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17.xml" ContentType="application/vnd.openxmlformats-officedocument.spreadsheetml.comment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omments18.xml" ContentType="application/vnd.openxmlformats-officedocument.spreadsheetml.comments+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19.xml" ContentType="application/vnd.openxmlformats-officedocument.spreadsheetml.comments+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omments20.xml" ContentType="application/vnd.openxmlformats-officedocument.spreadsheetml.comments+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omments21.xml" ContentType="application/vnd.openxmlformats-officedocument.spreadsheetml.comments+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omments22.xml" ContentType="application/vnd.openxmlformats-officedocument.spreadsheetml.comments+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omments23.xml" ContentType="application/vnd.openxmlformats-officedocument.spreadsheetml.comments+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comments2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mc:AlternateContent xmlns:mc="http://schemas.openxmlformats.org/markup-compatibility/2006">
    <mc:Choice Requires="x15">
      <x15ac:absPath xmlns:x15ac="http://schemas.microsoft.com/office/spreadsheetml/2010/11/ac" url="https://d.docs.live.net/d8c805c4a3338014/Dokumente/Aktuell/Flyer/Marceline Änderungen/Website/"/>
    </mc:Choice>
  </mc:AlternateContent>
  <xr:revisionPtr revIDLastSave="11" documentId="14_{A3837198-C64B-455E-A87A-DCAC4DE10BFC}" xr6:coauthVersionLast="47" xr6:coauthVersionMax="47" xr10:uidLastSave="{FB327038-D502-45A5-90E8-FA51D1A53103}"/>
  <bookViews>
    <workbookView xWindow="-108" yWindow="-108" windowWidth="23256" windowHeight="12456" tabRatio="676" xr2:uid="{00000000-000D-0000-FFFF-FFFF00000000}"/>
  </bookViews>
  <sheets>
    <sheet name="Start" sheetId="39" r:id="rId1"/>
    <sheet name="1 Erklärung" sheetId="1" r:id="rId2"/>
    <sheet name="2 Unternehmensdaten" sheetId="57" r:id="rId3"/>
    <sheet name="2a Chefeingaben" sheetId="2" r:id="rId4"/>
    <sheet name="3 Vorjahr" sheetId="3" r:id="rId5"/>
    <sheet name="4 Eingabe Friseure" sheetId="4" r:id="rId6"/>
    <sheet name="5 Eingabe Organisationskräfte" sheetId="5" r:id="rId7"/>
    <sheet name="6 Eingabe Azubis" sheetId="6" r:id="rId8"/>
    <sheet name="7 Verteil. auf Monate Friseure" sheetId="7" r:id="rId9"/>
    <sheet name="8 Verteil. auf Monate Orga" sheetId="8" r:id="rId10"/>
    <sheet name="9 Verteil. auf Monate Azubi" sheetId="9" r:id="rId11"/>
    <sheet name="10 PK Kosten Diagramm" sheetId="10" r:id="rId12"/>
    <sheet name="11 Gesamt PK" sheetId="11" r:id="rId13"/>
    <sheet name="12 GK Planung" sheetId="12" r:id="rId14"/>
    <sheet name="13 Werbung Weiterbildung" sheetId="13" r:id="rId15"/>
    <sheet name="14 Sonstige Kosten" sheetId="14" r:id="rId16"/>
    <sheet name="15 Zins + Tilgung" sheetId="15" r:id="rId17"/>
    <sheet name="16 Wareneingang" sheetId="17" r:id="rId18"/>
    <sheet name="16a Verkaufsplanung" sheetId="54" r:id="rId19"/>
    <sheet name="17 Chef-Ums.-Entn. od. GmbHgew." sheetId="16" r:id="rId20"/>
    <sheet name="18 Zielumsatz Planungsjahr" sheetId="55" r:id="rId21"/>
    <sheet name="18a Was wäre wenn" sheetId="51" r:id="rId22"/>
    <sheet name="19 Sollumsatz pro Arbeitsmonat" sheetId="19" r:id="rId23"/>
    <sheet name="20 Bruttolohnsumme" sheetId="20" r:id="rId24"/>
    <sheet name="21 Lohnfaktor" sheetId="21" r:id="rId25"/>
    <sheet name="22 Sollumsatz pro MA " sheetId="22" r:id="rId26"/>
    <sheet name="23 LF individuell" sheetId="23" r:id="rId27"/>
    <sheet name="24 Umsatz pro Tag" sheetId="24" r:id="rId28"/>
    <sheet name="25 Sollumsatz nach Monaten" sheetId="47" r:id="rId29"/>
    <sheet name="25a Soll-Ist Vergl. + Provision" sheetId="53" r:id="rId30"/>
    <sheet name="26 Mitarbeiterdaten" sheetId="59" r:id="rId31"/>
    <sheet name="Preiskalkulation" sheetId="27" r:id="rId32"/>
    <sheet name="27 Gewinnaufschlag" sheetId="56" r:id="rId33"/>
    <sheet name="28 PK pro Minute" sheetId="29" r:id="rId34"/>
    <sheet name="29 GK pro Minute" sheetId="30" r:id="rId35"/>
    <sheet name="30 Preis Fönen" sheetId="31" r:id="rId36"/>
    <sheet name="31 Preis  Wa, Sch, Fö" sheetId="49" r:id="rId37"/>
    <sheet name="32 Preis Herrenhaarschnitt" sheetId="33" r:id="rId38"/>
    <sheet name="33 Preis Farbe 1" sheetId="50" r:id="rId39"/>
    <sheet name="34 Preis Farbe 2" sheetId="35" r:id="rId40"/>
    <sheet name="35 Preis Strähnen" sheetId="36" r:id="rId41"/>
    <sheet name="36 Preis DL offen" sheetId="40" r:id="rId42"/>
    <sheet name="37 offen 16 Preise" sheetId="42" r:id="rId43"/>
    <sheet name="38 Liquidität" sheetId="41" r:id="rId44"/>
    <sheet name="39 Datenübernahme" sheetId="25" r:id="rId45"/>
    <sheet name="42 Liquiditätsplan" sheetId="44" r:id="rId46"/>
    <sheet name="43 Eingabe Controlling" sheetId="45" r:id="rId47"/>
    <sheet name="44 Quartale" sheetId="46" r:id="rId48"/>
    <sheet name="MAdaten" sheetId="58" r:id="rId49"/>
  </sheets>
  <definedNames>
    <definedName name="_xlnm.Print_Area" localSheetId="11">'10 PK Kosten Diagramm'!$A$1:$R$33</definedName>
    <definedName name="_xlnm.Print_Area" localSheetId="12">'11 Gesamt PK'!$A$1:$H$19</definedName>
    <definedName name="_xlnm.Print_Area" localSheetId="13">'12 GK Planung'!$A$1:$P$16</definedName>
    <definedName name="_xlnm.Print_Area" localSheetId="14">'13 Werbung Weiterbildung'!$A$1:$H$30</definedName>
    <definedName name="_xlnm.Print_Area" localSheetId="15">'14 Sonstige Kosten'!$B$1:$J$16</definedName>
    <definedName name="_xlnm.Print_Area" localSheetId="16">'15 Zins + Tilgung'!$A$1:$N$33</definedName>
    <definedName name="_xlnm.Print_Area" localSheetId="17">'16 Wareneingang'!$A$1:$D$32</definedName>
    <definedName name="_xlnm.Print_Area" localSheetId="22">'19 Sollumsatz pro Arbeitsmonat'!$A$1:$M$17</definedName>
    <definedName name="_xlnm.Print_Area" localSheetId="23">'20 Bruttolohnsumme'!$A$1:$L$45</definedName>
    <definedName name="_xlnm.Print_Area" localSheetId="24">'21 Lohnfaktor'!$A$1:$T$25</definedName>
    <definedName name="_xlnm.Print_Area" localSheetId="25">'22 Sollumsatz pro MA '!$A$5:$X$23</definedName>
    <definedName name="_xlnm.Print_Area" localSheetId="26">'23 LF individuell'!$B$50:$Y$78</definedName>
    <definedName name="_xlnm.Print_Area" localSheetId="27">'24 Umsatz pro Tag'!$A$1:$O$24</definedName>
    <definedName name="_xlnm.Print_Area" localSheetId="3">'2a Chefeingaben'!$A$1:$P$40</definedName>
    <definedName name="_xlnm.Print_Area" localSheetId="4">'3 Vorjahr'!$D$1:$V$36</definedName>
    <definedName name="_xlnm.Print_Area" localSheetId="5">'4 Eingabe Friseure'!$D$2:$BI$45</definedName>
    <definedName name="_xlnm.Print_Area" localSheetId="6">'5 Eingabe Organisationskräfte'!$A$2:$AL$23</definedName>
    <definedName name="_xlnm.Print_Area" localSheetId="7">'6 Eingabe Azubis'!$A$2:$AL$23</definedName>
    <definedName name="_xlnm.Print_Area" localSheetId="8">'7 Verteil. auf Monate Friseure'!$C$1:$X$52</definedName>
    <definedName name="_xlnm.Print_Area" localSheetId="9">'8 Verteil. auf Monate Orga'!$D$1:$X$52</definedName>
    <definedName name="_xlnm.Print_Area" localSheetId="10">'9 Verteil. auf Monate Azubi'!$A$1:$X$52</definedName>
    <definedName name="Z_91EE9386_9500_473B_B86C_27DB8DF0BA46_.wvu.PrintArea" localSheetId="11" hidden="1">'10 PK Kosten Diagramm'!$A$1:$R$33</definedName>
    <definedName name="Z_91EE9386_9500_473B_B86C_27DB8DF0BA46_.wvu.PrintArea" localSheetId="12" hidden="1">'11 Gesamt PK'!$A$1:$H$19</definedName>
    <definedName name="Z_91EE9386_9500_473B_B86C_27DB8DF0BA46_.wvu.PrintArea" localSheetId="13" hidden="1">'12 GK Planung'!$A$1:$P$16</definedName>
    <definedName name="Z_91EE9386_9500_473B_B86C_27DB8DF0BA46_.wvu.PrintArea" localSheetId="14" hidden="1">'13 Werbung Weiterbildung'!$A$1:$H$30</definedName>
    <definedName name="Z_91EE9386_9500_473B_B86C_27DB8DF0BA46_.wvu.PrintArea" localSheetId="15" hidden="1">'14 Sonstige Kosten'!$B$1:$J$16</definedName>
    <definedName name="Z_91EE9386_9500_473B_B86C_27DB8DF0BA46_.wvu.PrintArea" localSheetId="16" hidden="1">'15 Zins + Tilgung'!$A$1:$O$23</definedName>
    <definedName name="Z_91EE9386_9500_473B_B86C_27DB8DF0BA46_.wvu.PrintArea" localSheetId="17" hidden="1">'16 Wareneingang'!$A$1:$D$32</definedName>
    <definedName name="Z_91EE9386_9500_473B_B86C_27DB8DF0BA46_.wvu.PrintArea" localSheetId="19" hidden="1">'17 Chef-Ums.-Entn. od. GmbHgew.'!$A$22:$N$47</definedName>
    <definedName name="Z_91EE9386_9500_473B_B86C_27DB8DF0BA46_.wvu.PrintArea" localSheetId="22" hidden="1">'19 Sollumsatz pro Arbeitsmonat'!$A$1:$M$17</definedName>
    <definedName name="Z_91EE9386_9500_473B_B86C_27DB8DF0BA46_.wvu.PrintArea" localSheetId="24" hidden="1">'21 Lohnfaktor'!$A$1:$V$26</definedName>
    <definedName name="Z_91EE9386_9500_473B_B86C_27DB8DF0BA46_.wvu.PrintArea" localSheetId="25" hidden="1">'22 Sollumsatz pro MA '!$A$49:$W$94</definedName>
    <definedName name="Z_91EE9386_9500_473B_B86C_27DB8DF0BA46_.wvu.PrintArea" localSheetId="26" hidden="1">'23 LF individuell'!$B$50:$Y$78</definedName>
    <definedName name="Z_91EE9386_9500_473B_B86C_27DB8DF0BA46_.wvu.PrintArea" localSheetId="27" hidden="1">'24 Umsatz pro Tag'!$A$1:$O$24</definedName>
    <definedName name="Z_91EE9386_9500_473B_B86C_27DB8DF0BA46_.wvu.PrintArea" localSheetId="4" hidden="1">'3 Vorjahr'!$D$1:$T$36</definedName>
    <definedName name="Z_91EE9386_9500_473B_B86C_27DB8DF0BA46_.wvu.PrintArea" localSheetId="5" hidden="1">'4 Eingabe Friseure'!$D$2:$Z$48</definedName>
    <definedName name="Z_91EE9386_9500_473B_B86C_27DB8DF0BA46_.wvu.PrintArea" localSheetId="8" hidden="1">'7 Verteil. auf Monate Friseure'!$C$1:$X$52</definedName>
    <definedName name="Z_91EE9386_9500_473B_B86C_27DB8DF0BA46_.wvu.PrintArea" localSheetId="9" hidden="1">'8 Verteil. auf Monate Orga'!$D$1:$X$16</definedName>
    <definedName name="Z_91EE9386_9500_473B_B86C_27DB8DF0BA46_.wvu.PrintArea" localSheetId="10" hidden="1">'9 Verteil. auf Monate Azubi'!$A$1:$X$40</definedName>
    <definedName name="Z_B8019777_F14C_4393_8CE3_CE0081D0CD28_.wvu.PrintArea" localSheetId="11" hidden="1">'10 PK Kosten Diagramm'!$A$1:$R$33</definedName>
    <definedName name="Z_B8019777_F14C_4393_8CE3_CE0081D0CD28_.wvu.PrintArea" localSheetId="12" hidden="1">'11 Gesamt PK'!$A$1:$H$19</definedName>
    <definedName name="Z_B8019777_F14C_4393_8CE3_CE0081D0CD28_.wvu.PrintArea" localSheetId="13" hidden="1">'12 GK Planung'!$A$1:$P$16</definedName>
    <definedName name="Z_B8019777_F14C_4393_8CE3_CE0081D0CD28_.wvu.PrintArea" localSheetId="14" hidden="1">'13 Werbung Weiterbildung'!$A$1:$H$30</definedName>
    <definedName name="Z_B8019777_F14C_4393_8CE3_CE0081D0CD28_.wvu.PrintArea" localSheetId="15" hidden="1">'14 Sonstige Kosten'!$B$1:$J$16</definedName>
    <definedName name="Z_B8019777_F14C_4393_8CE3_CE0081D0CD28_.wvu.PrintArea" localSheetId="16" hidden="1">'15 Zins + Tilgung'!$A$1:$O$23</definedName>
    <definedName name="Z_B8019777_F14C_4393_8CE3_CE0081D0CD28_.wvu.PrintArea" localSheetId="17" hidden="1">'16 Wareneingang'!$A$1:$D$32</definedName>
    <definedName name="Z_B8019777_F14C_4393_8CE3_CE0081D0CD28_.wvu.PrintArea" localSheetId="19" hidden="1">'17 Chef-Ums.-Entn. od. GmbHgew.'!$A$22:$N$47</definedName>
    <definedName name="Z_B8019777_F14C_4393_8CE3_CE0081D0CD28_.wvu.PrintArea" localSheetId="22" hidden="1">'19 Sollumsatz pro Arbeitsmonat'!$A$1:$M$17</definedName>
    <definedName name="Z_B8019777_F14C_4393_8CE3_CE0081D0CD28_.wvu.PrintArea" localSheetId="24" hidden="1">'21 Lohnfaktor'!$A$1:$V$26</definedName>
    <definedName name="Z_B8019777_F14C_4393_8CE3_CE0081D0CD28_.wvu.PrintArea" localSheetId="25" hidden="1">'22 Sollumsatz pro MA '!$A$49:$W$94</definedName>
    <definedName name="Z_B8019777_F14C_4393_8CE3_CE0081D0CD28_.wvu.PrintArea" localSheetId="26" hidden="1">'23 LF individuell'!$B$50:$Y$78</definedName>
    <definedName name="Z_B8019777_F14C_4393_8CE3_CE0081D0CD28_.wvu.PrintArea" localSheetId="27" hidden="1">'24 Umsatz pro Tag'!$A$1:$O$24</definedName>
    <definedName name="Z_B8019777_F14C_4393_8CE3_CE0081D0CD28_.wvu.PrintArea" localSheetId="4" hidden="1">'3 Vorjahr'!$D$1:$T$36</definedName>
    <definedName name="Z_B8019777_F14C_4393_8CE3_CE0081D0CD28_.wvu.PrintArea" localSheetId="5" hidden="1">'4 Eingabe Friseure'!$D$2:$Z$48</definedName>
    <definedName name="Z_B8019777_F14C_4393_8CE3_CE0081D0CD28_.wvu.PrintArea" localSheetId="8" hidden="1">'7 Verteil. auf Monate Friseure'!$C$1:$X$52</definedName>
    <definedName name="Z_B8019777_F14C_4393_8CE3_CE0081D0CD28_.wvu.PrintArea" localSheetId="9" hidden="1">'8 Verteil. auf Monate Orga'!$D$1:$X$16</definedName>
    <definedName name="Z_B8019777_F14C_4393_8CE3_CE0081D0CD28_.wvu.PrintArea" localSheetId="10" hidden="1">'9 Verteil. auf Monate Azubi'!$A$1:$X$40</definedName>
  </definedNames>
  <calcPr calcId="191029"/>
  <customWorkbookViews>
    <customWorkbookView name="Windows-Benutzer - Persönliche Ansicht" guid="{91EE9386-9500-473B-B86C-27DB8DF0BA46}" mergeInterval="0" personalView="1" maximized="1" xWindow="-8" yWindow="-8" windowWidth="1936" windowHeight="1056" activeSheetId="4"/>
    <customWorkbookView name="Peter Lehmann 2 - Persönliche Ansicht" guid="{B8019777-F14C-4393-8CE3-CE0081D0CD28}" mergeInterval="0" personalView="1" maximized="1" windowWidth="1362" windowHeight="54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5" i="2" l="1"/>
  <c r="CA7" i="47" l="1"/>
  <c r="BZ7" i="47"/>
  <c r="BY7" i="47"/>
  <c r="EH13" i="47" l="1"/>
  <c r="EG13" i="47"/>
  <c r="EF13" i="47"/>
  <c r="EJ12" i="47"/>
  <c r="EI12" i="47"/>
  <c r="EM11" i="47"/>
  <c r="EL11" i="47"/>
  <c r="EF11" i="47"/>
  <c r="EE11" i="47"/>
  <c r="ED11" i="47"/>
  <c r="DZ10" i="47"/>
  <c r="DZ11" i="47"/>
  <c r="EK11" i="47" s="1"/>
  <c r="DZ12" i="47"/>
  <c r="EH12" i="47" s="1"/>
  <c r="EM46" i="47"/>
  <c r="EJ46" i="47"/>
  <c r="DZ46" i="47"/>
  <c r="EL46" i="47" s="1"/>
  <c r="EK45" i="47"/>
  <c r="EJ45" i="47"/>
  <c r="EG45" i="47"/>
  <c r="EF45" i="47"/>
  <c r="EC45" i="47"/>
  <c r="DZ45" i="47"/>
  <c r="EI45" i="47" s="1"/>
  <c r="EH44" i="47"/>
  <c r="EG44" i="47"/>
  <c r="EF44" i="47"/>
  <c r="DZ44" i="47"/>
  <c r="EJ44" i="47" s="1"/>
  <c r="DZ43" i="47"/>
  <c r="EK43" i="47" s="1"/>
  <c r="DZ42" i="47"/>
  <c r="EH42" i="47" s="1"/>
  <c r="EM41" i="47"/>
  <c r="EF41" i="47"/>
  <c r="EE41" i="47"/>
  <c r="ED41" i="47"/>
  <c r="DZ41" i="47"/>
  <c r="EI41" i="47" s="1"/>
  <c r="DZ40" i="47"/>
  <c r="EJ40" i="47" s="1"/>
  <c r="DZ39" i="47"/>
  <c r="EG39" i="47" s="1"/>
  <c r="EM38" i="47"/>
  <c r="EB38" i="47"/>
  <c r="DZ38" i="47"/>
  <c r="EL38" i="47" s="1"/>
  <c r="EJ37" i="47"/>
  <c r="EG37" i="47"/>
  <c r="EF37" i="47"/>
  <c r="EB37" i="47"/>
  <c r="DZ37" i="47"/>
  <c r="EI37" i="47" s="1"/>
  <c r="EG36" i="47"/>
  <c r="EF36" i="47"/>
  <c r="EE36" i="47"/>
  <c r="DZ36" i="47"/>
  <c r="EJ36" i="47" s="1"/>
  <c r="DZ35" i="47"/>
  <c r="EK35" i="47" s="1"/>
  <c r="DZ34" i="47"/>
  <c r="EH34" i="47" s="1"/>
  <c r="EM33" i="47"/>
  <c r="EL33" i="47"/>
  <c r="EE33" i="47"/>
  <c r="ED33" i="47"/>
  <c r="EC33" i="47"/>
  <c r="DZ33" i="47"/>
  <c r="EI33" i="47" s="1"/>
  <c r="DZ32" i="47"/>
  <c r="EJ32" i="47" s="1"/>
  <c r="EM31" i="47"/>
  <c r="DZ31" i="47"/>
  <c r="EK31" i="47" s="1"/>
  <c r="EJ30" i="47"/>
  <c r="DZ30" i="47"/>
  <c r="EL30" i="47" s="1"/>
  <c r="DZ29" i="47"/>
  <c r="EI29" i="47" s="1"/>
  <c r="EK28" i="47"/>
  <c r="EF28" i="47"/>
  <c r="EE28" i="47"/>
  <c r="ED28" i="47"/>
  <c r="DZ28" i="47"/>
  <c r="EJ28" i="47" s="1"/>
  <c r="DZ27" i="47"/>
  <c r="EK27" i="47" s="1"/>
  <c r="DZ26" i="47"/>
  <c r="EH26" i="47" s="1"/>
  <c r="EM25" i="47"/>
  <c r="EJ25" i="47"/>
  <c r="EE25" i="47"/>
  <c r="ED25" i="47"/>
  <c r="EC25" i="47"/>
  <c r="DZ25" i="47"/>
  <c r="EI25" i="47" s="1"/>
  <c r="DZ24" i="47"/>
  <c r="EJ24" i="47" s="1"/>
  <c r="EM23" i="47"/>
  <c r="DZ23" i="47"/>
  <c r="EK23" i="47" s="1"/>
  <c r="EJ22" i="47"/>
  <c r="DZ22" i="47"/>
  <c r="EL22" i="47" s="1"/>
  <c r="DZ21" i="47"/>
  <c r="EI21" i="47" s="1"/>
  <c r="EM20" i="47"/>
  <c r="EE20" i="47"/>
  <c r="ED20" i="47"/>
  <c r="EC20" i="47"/>
  <c r="DZ20" i="47"/>
  <c r="EJ20" i="47" s="1"/>
  <c r="DZ19" i="47"/>
  <c r="EK19" i="47" s="1"/>
  <c r="DZ18" i="47"/>
  <c r="EH18" i="47" s="1"/>
  <c r="EM17" i="47"/>
  <c r="EL17" i="47"/>
  <c r="ED17" i="47"/>
  <c r="EC17" i="47"/>
  <c r="EB17" i="47"/>
  <c r="DZ17" i="47"/>
  <c r="EI17" i="47" s="1"/>
  <c r="DZ16" i="47"/>
  <c r="EJ16" i="47" s="1"/>
  <c r="EM15" i="47"/>
  <c r="EL15" i="47"/>
  <c r="DZ15" i="47"/>
  <c r="EK15" i="47" s="1"/>
  <c r="EJ14" i="47"/>
  <c r="EB14" i="47"/>
  <c r="DZ14" i="47"/>
  <c r="EL14" i="47" s="1"/>
  <c r="DZ13" i="47"/>
  <c r="EM13" i="47" s="1"/>
  <c r="C20" i="3"/>
  <c r="X4" i="16"/>
  <c r="EC40" i="47" l="1"/>
  <c r="EC24" i="47"/>
  <c r="ED15" i="47"/>
  <c r="EC16" i="47"/>
  <c r="EE17" i="47"/>
  <c r="EE18" i="47"/>
  <c r="EF20" i="47"/>
  <c r="EF21" i="47"/>
  <c r="EE23" i="47"/>
  <c r="EG24" i="47"/>
  <c r="EF25" i="47"/>
  <c r="EF26" i="47"/>
  <c r="EG28" i="47"/>
  <c r="EG29" i="47"/>
  <c r="EE31" i="47"/>
  <c r="EG32" i="47"/>
  <c r="EF33" i="47"/>
  <c r="EF34" i="47"/>
  <c r="EH36" i="47"/>
  <c r="EE39" i="47"/>
  <c r="EH40" i="47"/>
  <c r="EG41" i="47"/>
  <c r="EK44" i="47"/>
  <c r="EG11" i="47"/>
  <c r="ED12" i="47"/>
  <c r="EL12" i="47"/>
  <c r="EI13" i="47"/>
  <c r="EB29" i="47"/>
  <c r="EE15" i="47"/>
  <c r="EG16" i="47"/>
  <c r="EF17" i="47"/>
  <c r="EF18" i="47"/>
  <c r="EG20" i="47"/>
  <c r="EG21" i="47"/>
  <c r="EF23" i="47"/>
  <c r="EH24" i="47"/>
  <c r="EG25" i="47"/>
  <c r="EM26" i="47"/>
  <c r="EH28" i="47"/>
  <c r="EJ29" i="47"/>
  <c r="EF31" i="47"/>
  <c r="EH32" i="47"/>
  <c r="EG33" i="47"/>
  <c r="EK36" i="47"/>
  <c r="EF39" i="47"/>
  <c r="EK40" i="47"/>
  <c r="EH41" i="47"/>
  <c r="EL44" i="47"/>
  <c r="EH11" i="47"/>
  <c r="EE12" i="47"/>
  <c r="EM12" i="47"/>
  <c r="EJ13" i="47"/>
  <c r="EF29" i="47"/>
  <c r="ED39" i="47"/>
  <c r="EF42" i="47"/>
  <c r="EK12" i="47"/>
  <c r="EF15" i="47"/>
  <c r="EH16" i="47"/>
  <c r="EG17" i="47"/>
  <c r="EM18" i="47"/>
  <c r="EH20" i="47"/>
  <c r="EJ21" i="47"/>
  <c r="EG23" i="47"/>
  <c r="EK24" i="47"/>
  <c r="EG31" i="47"/>
  <c r="EK32" i="47"/>
  <c r="EH33" i="47"/>
  <c r="EL36" i="47"/>
  <c r="EH39" i="47"/>
  <c r="EJ41" i="47"/>
  <c r="EC44" i="47"/>
  <c r="EM44" i="47"/>
  <c r="EB12" i="47"/>
  <c r="EI11" i="47"/>
  <c r="EF12" i="47"/>
  <c r="EC13" i="47"/>
  <c r="EK13" i="47"/>
  <c r="EB21" i="47"/>
  <c r="ED31" i="47"/>
  <c r="EG40" i="47"/>
  <c r="EC12" i="47"/>
  <c r="EB13" i="47"/>
  <c r="EG15" i="47"/>
  <c r="EK16" i="47"/>
  <c r="EJ17" i="47"/>
  <c r="EK20" i="47"/>
  <c r="EH23" i="47"/>
  <c r="EK25" i="47"/>
  <c r="EL28" i="47"/>
  <c r="EB30" i="47"/>
  <c r="EH31" i="47"/>
  <c r="EJ33" i="47"/>
  <c r="EC36" i="47"/>
  <c r="EM36" i="47"/>
  <c r="EE38" i="47"/>
  <c r="EL39" i="47"/>
  <c r="EB41" i="47"/>
  <c r="EK41" i="47"/>
  <c r="ED44" i="47"/>
  <c r="EB46" i="47"/>
  <c r="EB11" i="47"/>
  <c r="EJ11" i="47"/>
  <c r="EG12" i="47"/>
  <c r="ED13" i="47"/>
  <c r="EL13" i="47"/>
  <c r="ED23" i="47"/>
  <c r="EE26" i="47"/>
  <c r="EC32" i="47"/>
  <c r="EH15" i="47"/>
  <c r="EK17" i="47"/>
  <c r="EL20" i="47"/>
  <c r="EB22" i="47"/>
  <c r="EL23" i="47"/>
  <c r="EB25" i="47"/>
  <c r="EL25" i="47"/>
  <c r="EC28" i="47"/>
  <c r="EM28" i="47"/>
  <c r="EE30" i="47"/>
  <c r="EL31" i="47"/>
  <c r="EB33" i="47"/>
  <c r="EK33" i="47"/>
  <c r="ED36" i="47"/>
  <c r="EJ38" i="47"/>
  <c r="EM39" i="47"/>
  <c r="EC41" i="47"/>
  <c r="EL41" i="47"/>
  <c r="EE44" i="47"/>
  <c r="EB45" i="47"/>
  <c r="EE46" i="47"/>
  <c r="EC11" i="47"/>
  <c r="EE13" i="47"/>
  <c r="EI27" i="47"/>
  <c r="EI35" i="47"/>
  <c r="EE14" i="47"/>
  <c r="EI18" i="47"/>
  <c r="EE22" i="47"/>
  <c r="EM22" i="47"/>
  <c r="EI26" i="47"/>
  <c r="EL27" i="47"/>
  <c r="ED35" i="47"/>
  <c r="EL35" i="47"/>
  <c r="ED43" i="47"/>
  <c r="EL43" i="47"/>
  <c r="EF14" i="47"/>
  <c r="EI15" i="47"/>
  <c r="EB18" i="47"/>
  <c r="EE19" i="47"/>
  <c r="EM19" i="47"/>
  <c r="EC21" i="47"/>
  <c r="EF22" i="47"/>
  <c r="EI23" i="47"/>
  <c r="ED24" i="47"/>
  <c r="EL24" i="47"/>
  <c r="EB26" i="47"/>
  <c r="EK29" i="47"/>
  <c r="EF30" i="47"/>
  <c r="EI31" i="47"/>
  <c r="ED32" i="47"/>
  <c r="EL32" i="47"/>
  <c r="EB34" i="47"/>
  <c r="ED40" i="47"/>
  <c r="EB42" i="47"/>
  <c r="EE43" i="47"/>
  <c r="EF46" i="47"/>
  <c r="EG14" i="47"/>
  <c r="EB15" i="47"/>
  <c r="EJ15" i="47"/>
  <c r="EE16" i="47"/>
  <c r="EM16" i="47"/>
  <c r="EH17" i="47"/>
  <c r="EC18" i="47"/>
  <c r="EK18" i="47"/>
  <c r="EF19" i="47"/>
  <c r="EI20" i="47"/>
  <c r="ED21" i="47"/>
  <c r="EL21" i="47"/>
  <c r="EG22" i="47"/>
  <c r="EB23" i="47"/>
  <c r="EJ23" i="47"/>
  <c r="EE24" i="47"/>
  <c r="EM24" i="47"/>
  <c r="EH25" i="47"/>
  <c r="EC26" i="47"/>
  <c r="EK26" i="47"/>
  <c r="EF27" i="47"/>
  <c r="EI28" i="47"/>
  <c r="ED29" i="47"/>
  <c r="EL29" i="47"/>
  <c r="EG30" i="47"/>
  <c r="EB31" i="47"/>
  <c r="EJ31" i="47"/>
  <c r="EE32" i="47"/>
  <c r="EM32" i="47"/>
  <c r="EC34" i="47"/>
  <c r="EK34" i="47"/>
  <c r="EF35" i="47"/>
  <c r="EI36" i="47"/>
  <c r="ED37" i="47"/>
  <c r="EL37" i="47"/>
  <c r="EG38" i="47"/>
  <c r="EB39" i="47"/>
  <c r="EJ39" i="47"/>
  <c r="EE40" i="47"/>
  <c r="EM40" i="47"/>
  <c r="EC42" i="47"/>
  <c r="EK42" i="47"/>
  <c r="EF43" i="47"/>
  <c r="EI44" i="47"/>
  <c r="ED45" i="47"/>
  <c r="EL45" i="47"/>
  <c r="EG46" i="47"/>
  <c r="EM14" i="47"/>
  <c r="ED19" i="47"/>
  <c r="EL19" i="47"/>
  <c r="ED27" i="47"/>
  <c r="EM30" i="47"/>
  <c r="EI34" i="47"/>
  <c r="EI42" i="47"/>
  <c r="ED16" i="47"/>
  <c r="EL16" i="47"/>
  <c r="EJ18" i="47"/>
  <c r="EK21" i="47"/>
  <c r="EJ26" i="47"/>
  <c r="EE27" i="47"/>
  <c r="EM27" i="47"/>
  <c r="EC29" i="47"/>
  <c r="EJ34" i="47"/>
  <c r="EE35" i="47"/>
  <c r="EM35" i="47"/>
  <c r="EC37" i="47"/>
  <c r="EK37" i="47"/>
  <c r="EF38" i="47"/>
  <c r="EI39" i="47"/>
  <c r="EL40" i="47"/>
  <c r="EJ42" i="47"/>
  <c r="EM43" i="47"/>
  <c r="EH14" i="47"/>
  <c r="EC15" i="47"/>
  <c r="EF16" i="47"/>
  <c r="ED18" i="47"/>
  <c r="EL18" i="47"/>
  <c r="EG19" i="47"/>
  <c r="EB20" i="47"/>
  <c r="EE21" i="47"/>
  <c r="EM21" i="47"/>
  <c r="EH22" i="47"/>
  <c r="EC23" i="47"/>
  <c r="EF24" i="47"/>
  <c r="ED26" i="47"/>
  <c r="EL26" i="47"/>
  <c r="EG27" i="47"/>
  <c r="EB28" i="47"/>
  <c r="EE29" i="47"/>
  <c r="EM29" i="47"/>
  <c r="EH30" i="47"/>
  <c r="EC31" i="47"/>
  <c r="EF32" i="47"/>
  <c r="ED34" i="47"/>
  <c r="EL34" i="47"/>
  <c r="EG35" i="47"/>
  <c r="EB36" i="47"/>
  <c r="EE37" i="47"/>
  <c r="EM37" i="47"/>
  <c r="EH38" i="47"/>
  <c r="EC39" i="47"/>
  <c r="EK39" i="47"/>
  <c r="EF40" i="47"/>
  <c r="ED42" i="47"/>
  <c r="EL42" i="47"/>
  <c r="EG43" i="47"/>
  <c r="EB44" i="47"/>
  <c r="EE45" i="47"/>
  <c r="EM45" i="47"/>
  <c r="EH46" i="47"/>
  <c r="EI14" i="47"/>
  <c r="EH19" i="47"/>
  <c r="EI22" i="47"/>
  <c r="EH27" i="47"/>
  <c r="EI30" i="47"/>
  <c r="EE34" i="47"/>
  <c r="EM34" i="47"/>
  <c r="EH35" i="47"/>
  <c r="EI38" i="47"/>
  <c r="EE42" i="47"/>
  <c r="EM42" i="47"/>
  <c r="EH43" i="47"/>
  <c r="EI46" i="47"/>
  <c r="EC14" i="47"/>
  <c r="EK14" i="47"/>
  <c r="EI16" i="47"/>
  <c r="EG18" i="47"/>
  <c r="EB19" i="47"/>
  <c r="EJ19" i="47"/>
  <c r="EH21" i="47"/>
  <c r="EC22" i="47"/>
  <c r="EK22" i="47"/>
  <c r="EI24" i="47"/>
  <c r="EG26" i="47"/>
  <c r="EB27" i="47"/>
  <c r="EJ27" i="47"/>
  <c r="EH29" i="47"/>
  <c r="EC30" i="47"/>
  <c r="EK30" i="47"/>
  <c r="EI32" i="47"/>
  <c r="EG34" i="47"/>
  <c r="EB35" i="47"/>
  <c r="EJ35" i="47"/>
  <c r="EH37" i="47"/>
  <c r="EC38" i="47"/>
  <c r="EK38" i="47"/>
  <c r="EI40" i="47"/>
  <c r="EG42" i="47"/>
  <c r="EB43" i="47"/>
  <c r="EJ43" i="47"/>
  <c r="EH45" i="47"/>
  <c r="EC46" i="47"/>
  <c r="EK46" i="47"/>
  <c r="EI19" i="47"/>
  <c r="EI43" i="47"/>
  <c r="ED14" i="47"/>
  <c r="EB16" i="47"/>
  <c r="EC19" i="47"/>
  <c r="ED22" i="47"/>
  <c r="EB24" i="47"/>
  <c r="EC27" i="47"/>
  <c r="ED30" i="47"/>
  <c r="EB32" i="47"/>
  <c r="EC35" i="47"/>
  <c r="ED38" i="47"/>
  <c r="EB40" i="47"/>
  <c r="EC43" i="47"/>
  <c r="ED46" i="47"/>
  <c r="P33" i="3"/>
  <c r="K31" i="3"/>
  <c r="A45" i="1"/>
  <c r="A44" i="1"/>
  <c r="Y52" i="9"/>
  <c r="Y51" i="9"/>
  <c r="Y49" i="9"/>
  <c r="Y48" i="9"/>
  <c r="Y46" i="9"/>
  <c r="Y45" i="9"/>
  <c r="Y43" i="9"/>
  <c r="Y42" i="9"/>
  <c r="Y40" i="9"/>
  <c r="Y39" i="9"/>
  <c r="Y37" i="9"/>
  <c r="Y36" i="9"/>
  <c r="Y34" i="9"/>
  <c r="Y33" i="9"/>
  <c r="Y31" i="9"/>
  <c r="Y30" i="9"/>
  <c r="Y28" i="9"/>
  <c r="Y27" i="9"/>
  <c r="Y25" i="9"/>
  <c r="Y24" i="9"/>
  <c r="Y22" i="9"/>
  <c r="Y21" i="9"/>
  <c r="Y19" i="9"/>
  <c r="Y18" i="9"/>
  <c r="Y16" i="9"/>
  <c r="Y15" i="9"/>
  <c r="Y13" i="9"/>
  <c r="Y12" i="9"/>
  <c r="Y10" i="9"/>
  <c r="Y9" i="9"/>
  <c r="Y7" i="9"/>
  <c r="Y6" i="9"/>
  <c r="Y52" i="8"/>
  <c r="Y51" i="8"/>
  <c r="Y49" i="8"/>
  <c r="Y48" i="8"/>
  <c r="Y46" i="8"/>
  <c r="Y45" i="8"/>
  <c r="Y43" i="8"/>
  <c r="Y42" i="8"/>
  <c r="Y40" i="8"/>
  <c r="Y39" i="8"/>
  <c r="Y37" i="8"/>
  <c r="Y36" i="8"/>
  <c r="Y34" i="8"/>
  <c r="Y33" i="8"/>
  <c r="Y31" i="8"/>
  <c r="Y30" i="8"/>
  <c r="Y28" i="8"/>
  <c r="Y27" i="8"/>
  <c r="Y25" i="8"/>
  <c r="Y24" i="8"/>
  <c r="Y22" i="8"/>
  <c r="Y21" i="8"/>
  <c r="Y19" i="8"/>
  <c r="Y18" i="8"/>
  <c r="Y16" i="8"/>
  <c r="Y15" i="8"/>
  <c r="Y13" i="8"/>
  <c r="Y12" i="8"/>
  <c r="Y10" i="8"/>
  <c r="Y9" i="8"/>
  <c r="Y7" i="8"/>
  <c r="Y6" i="8"/>
  <c r="Y103" i="7"/>
  <c r="Y102" i="7"/>
  <c r="Y100" i="7"/>
  <c r="Y99" i="7"/>
  <c r="Y97" i="7"/>
  <c r="Y96" i="7"/>
  <c r="Y94" i="7"/>
  <c r="Y93" i="7"/>
  <c r="Y91" i="7"/>
  <c r="Y90" i="7"/>
  <c r="Y88" i="7"/>
  <c r="Y87" i="7"/>
  <c r="Y85" i="7"/>
  <c r="Y84" i="7"/>
  <c r="Y82" i="7"/>
  <c r="Y81" i="7"/>
  <c r="Y79" i="7"/>
  <c r="Y78" i="7"/>
  <c r="Y76" i="7"/>
  <c r="Y75" i="7"/>
  <c r="Y73" i="7"/>
  <c r="Y72" i="7"/>
  <c r="Y70" i="7"/>
  <c r="Y69" i="7"/>
  <c r="Y67" i="7"/>
  <c r="Y66" i="7"/>
  <c r="Y64" i="7"/>
  <c r="Y63" i="7"/>
  <c r="Y61" i="7"/>
  <c r="Y60" i="7"/>
  <c r="Y58" i="7"/>
  <c r="Y57" i="7"/>
  <c r="Y52" i="7"/>
  <c r="Y51" i="7"/>
  <c r="Y46" i="7"/>
  <c r="Y45" i="7"/>
  <c r="Y36" i="7"/>
  <c r="Y31" i="7"/>
  <c r="Y30" i="7"/>
  <c r="Y28" i="7"/>
  <c r="Y27" i="7"/>
  <c r="Y25" i="7"/>
  <c r="Y24" i="7"/>
  <c r="Y22" i="7"/>
  <c r="Y21" i="7"/>
  <c r="Y19" i="7"/>
  <c r="Y18" i="7"/>
  <c r="Y16" i="7"/>
  <c r="Y15" i="7"/>
  <c r="Y13" i="7"/>
  <c r="Y12" i="7"/>
  <c r="Y10" i="7"/>
  <c r="Y9" i="7"/>
  <c r="Y7" i="7"/>
  <c r="Y6" i="7"/>
  <c r="M2" i="39"/>
  <c r="Y4" i="9" l="1"/>
  <c r="S3" i="9" s="1"/>
  <c r="Y4" i="8"/>
  <c r="S3" i="8" s="1"/>
  <c r="N5" i="2" l="1"/>
  <c r="O26" i="2"/>
  <c r="O44" i="2"/>
  <c r="F27" i="40" l="1"/>
  <c r="G24" i="40"/>
  <c r="F24" i="40"/>
  <c r="B22" i="40"/>
  <c r="F27" i="36"/>
  <c r="G24" i="36"/>
  <c r="F24" i="36"/>
  <c r="B22" i="36"/>
  <c r="F27" i="35"/>
  <c r="G24" i="35"/>
  <c r="F24" i="35"/>
  <c r="B22" i="35"/>
  <c r="F27" i="50"/>
  <c r="G24" i="50"/>
  <c r="F24" i="50"/>
  <c r="B22" i="50"/>
  <c r="F27" i="33"/>
  <c r="G24" i="33"/>
  <c r="F24" i="33"/>
  <c r="B22" i="33"/>
  <c r="F27" i="49"/>
  <c r="G24" i="49"/>
  <c r="F24" i="49"/>
  <c r="B22" i="49"/>
  <c r="I46" i="20"/>
  <c r="G45" i="20"/>
  <c r="Q12" i="57"/>
  <c r="Q16" i="57"/>
  <c r="G46" i="20" l="1"/>
  <c r="A4" i="22" s="1"/>
  <c r="B63" i="16"/>
  <c r="C63" i="16"/>
  <c r="E63" i="16"/>
  <c r="F63" i="16"/>
  <c r="H63" i="16"/>
  <c r="I63" i="16"/>
  <c r="C64" i="16"/>
  <c r="F64" i="16"/>
  <c r="I64" i="16"/>
  <c r="N59" i="2"/>
  <c r="N41" i="2"/>
  <c r="Q9" i="16"/>
  <c r="Q8" i="16"/>
  <c r="Y9" i="16"/>
  <c r="X9" i="16"/>
  <c r="W9" i="16"/>
  <c r="P60" i="2"/>
  <c r="O60" i="2"/>
  <c r="N60" i="2"/>
  <c r="P42" i="2"/>
  <c r="O42" i="2"/>
  <c r="N42" i="2"/>
  <c r="S50" i="2"/>
  <c r="Q10" i="2"/>
  <c r="R9" i="2"/>
  <c r="S32" i="2"/>
  <c r="W6" i="16"/>
  <c r="A3" i="16"/>
  <c r="S14" i="2"/>
  <c r="D10" i="50"/>
  <c r="F10" i="50"/>
  <c r="G14" i="50"/>
  <c r="C16" i="50"/>
  <c r="D17" i="50"/>
  <c r="E17" i="50"/>
  <c r="D6" i="33"/>
  <c r="E17" i="33"/>
  <c r="D17" i="33"/>
  <c r="C16" i="33"/>
  <c r="G14" i="33"/>
  <c r="F10" i="33"/>
  <c r="E17" i="49"/>
  <c r="D17" i="49"/>
  <c r="C16" i="49"/>
  <c r="G14" i="49"/>
  <c r="F10" i="49"/>
  <c r="D10" i="49"/>
  <c r="W5" i="16" l="1"/>
  <c r="L197" i="59" l="1"/>
  <c r="K197" i="59"/>
  <c r="J197" i="59"/>
  <c r="H197" i="59"/>
  <c r="G197" i="59"/>
  <c r="F197" i="59"/>
  <c r="E197" i="59"/>
  <c r="D197" i="59"/>
  <c r="L176" i="59"/>
  <c r="K176" i="59"/>
  <c r="J176" i="59"/>
  <c r="H176" i="59"/>
  <c r="G176" i="59"/>
  <c r="F176" i="59"/>
  <c r="E176" i="59"/>
  <c r="D176" i="59"/>
  <c r="L155" i="59"/>
  <c r="K155" i="59"/>
  <c r="J155" i="59"/>
  <c r="H155" i="59"/>
  <c r="G155" i="59"/>
  <c r="F155" i="59"/>
  <c r="E155" i="59"/>
  <c r="D155" i="59"/>
  <c r="A151" i="59"/>
  <c r="K134" i="59"/>
  <c r="H134" i="59"/>
  <c r="K113" i="59"/>
  <c r="H113" i="59"/>
  <c r="H91" i="59"/>
  <c r="K69" i="59"/>
  <c r="H69" i="59"/>
  <c r="CD8" i="47"/>
  <c r="CO27" i="47" s="1"/>
  <c r="CT2" i="59"/>
  <c r="CS2" i="59"/>
  <c r="CR2" i="59"/>
  <c r="CQ2" i="59"/>
  <c r="CP2" i="59"/>
  <c r="CO2" i="59"/>
  <c r="CN2" i="59"/>
  <c r="CM2" i="59"/>
  <c r="CL2" i="59"/>
  <c r="CK2" i="59"/>
  <c r="CJ2" i="59"/>
  <c r="BG22" i="59"/>
  <c r="BH22" i="59"/>
  <c r="BG23" i="59"/>
  <c r="BH23" i="59"/>
  <c r="BG43" i="59"/>
  <c r="BH43" i="59"/>
  <c r="BG44" i="59"/>
  <c r="BH44" i="59"/>
  <c r="BG64" i="59"/>
  <c r="BH64" i="59"/>
  <c r="BG86" i="59"/>
  <c r="BH86" i="59"/>
  <c r="BG108" i="59"/>
  <c r="BH108" i="59"/>
  <c r="BG129" i="59"/>
  <c r="BH129" i="59"/>
  <c r="BG150" i="59"/>
  <c r="BH150" i="59"/>
  <c r="BG171" i="59"/>
  <c r="BH171" i="59"/>
  <c r="BG192" i="59"/>
  <c r="BH192" i="59"/>
  <c r="DV12" i="47"/>
  <c r="DU12" i="47"/>
  <c r="DR12" i="47"/>
  <c r="DQ12" i="47"/>
  <c r="DJ12" i="47"/>
  <c r="DI12" i="47"/>
  <c r="DF12" i="47"/>
  <c r="DE12" i="47"/>
  <c r="CX12" i="47"/>
  <c r="CW12" i="47"/>
  <c r="CT12" i="47"/>
  <c r="CS12" i="47"/>
  <c r="CL12" i="47"/>
  <c r="CK12" i="47"/>
  <c r="CH12" i="47"/>
  <c r="CG12" i="47"/>
  <c r="B14" i="40"/>
  <c r="G14" i="40" s="1"/>
  <c r="J20" i="40"/>
  <c r="D6" i="36"/>
  <c r="F27" i="31"/>
  <c r="G24" i="31"/>
  <c r="F24" i="31"/>
  <c r="B22" i="31"/>
  <c r="M21" i="40"/>
  <c r="K21" i="40"/>
  <c r="D17" i="40" s="1"/>
  <c r="E17" i="40"/>
  <c r="P10" i="40"/>
  <c r="D10" i="40"/>
  <c r="D6" i="40" s="1"/>
  <c r="P7" i="40"/>
  <c r="P11" i="40" s="1"/>
  <c r="F6" i="40"/>
  <c r="F7" i="40" s="1"/>
  <c r="F10" i="40" s="1"/>
  <c r="E5" i="40"/>
  <c r="E9" i="40" s="1"/>
  <c r="M21" i="36"/>
  <c r="K21" i="36"/>
  <c r="J20" i="36"/>
  <c r="E17" i="36"/>
  <c r="D17" i="36"/>
  <c r="G14" i="36"/>
  <c r="B14" i="36"/>
  <c r="P10" i="36"/>
  <c r="D10" i="36"/>
  <c r="P7" i="36"/>
  <c r="P11" i="36" s="1"/>
  <c r="F6" i="36"/>
  <c r="F7" i="36" s="1"/>
  <c r="F10" i="36" s="1"/>
  <c r="E5" i="36"/>
  <c r="C16" i="36" s="1"/>
  <c r="J20" i="35"/>
  <c r="D10" i="35" s="1"/>
  <c r="D6" i="35" s="1"/>
  <c r="E17" i="35"/>
  <c r="G14" i="35"/>
  <c r="B14" i="35"/>
  <c r="P10" i="35"/>
  <c r="P7" i="35"/>
  <c r="P11" i="35" s="1"/>
  <c r="F6" i="35"/>
  <c r="F7" i="35" s="1"/>
  <c r="F10" i="35" s="1"/>
  <c r="E5" i="35"/>
  <c r="C16" i="35" s="1"/>
  <c r="N15" i="33"/>
  <c r="M21" i="50"/>
  <c r="K21" i="50"/>
  <c r="J20" i="50"/>
  <c r="B14" i="50"/>
  <c r="D6" i="49"/>
  <c r="M21" i="33"/>
  <c r="K21" i="33"/>
  <c r="J20" i="33"/>
  <c r="B14" i="33"/>
  <c r="M21" i="49"/>
  <c r="K21" i="49"/>
  <c r="J20" i="49"/>
  <c r="N15" i="49"/>
  <c r="B14" i="49"/>
  <c r="E17" i="31"/>
  <c r="CH194" i="59"/>
  <c r="A193" i="59" s="1"/>
  <c r="AW194" i="59"/>
  <c r="CH173" i="59"/>
  <c r="A172" i="59" s="1"/>
  <c r="AW173" i="59"/>
  <c r="CH152" i="59"/>
  <c r="AW152" i="59"/>
  <c r="AW193" i="59" s="1"/>
  <c r="CG192" i="59"/>
  <c r="CF192" i="59"/>
  <c r="CE192" i="59"/>
  <c r="CD192" i="59"/>
  <c r="CC192" i="59"/>
  <c r="CB192" i="59"/>
  <c r="CA192" i="59"/>
  <c r="BZ192" i="59"/>
  <c r="BY192" i="59"/>
  <c r="BX192" i="59"/>
  <c r="BW192" i="59"/>
  <c r="BV192" i="59"/>
  <c r="BU192" i="59"/>
  <c r="BT192" i="59"/>
  <c r="BS192" i="59"/>
  <c r="BR192" i="59"/>
  <c r="BQ192" i="59"/>
  <c r="BP192" i="59"/>
  <c r="BO192" i="59"/>
  <c r="BN192" i="59"/>
  <c r="BM192" i="59"/>
  <c r="BL192" i="59"/>
  <c r="BK192" i="59"/>
  <c r="BJ192" i="59"/>
  <c r="BI192" i="59"/>
  <c r="BF192" i="59"/>
  <c r="BE192" i="59"/>
  <c r="BD192" i="59"/>
  <c r="BC192" i="59"/>
  <c r="BB192" i="59"/>
  <c r="BA192" i="59"/>
  <c r="AZ192" i="59"/>
  <c r="AY192" i="59"/>
  <c r="AX192" i="59"/>
  <c r="AW192" i="59"/>
  <c r="AV192" i="59"/>
  <c r="AU192" i="59"/>
  <c r="AT192" i="59"/>
  <c r="AS192" i="59"/>
  <c r="AR192" i="59"/>
  <c r="AQ192" i="59"/>
  <c r="AP192" i="59"/>
  <c r="AO192" i="59"/>
  <c r="AN192" i="59"/>
  <c r="AM192" i="59"/>
  <c r="AL192" i="59"/>
  <c r="AK192" i="59"/>
  <c r="AJ192" i="59"/>
  <c r="AI192" i="59"/>
  <c r="AF192" i="59"/>
  <c r="AE192" i="59"/>
  <c r="AD192" i="59"/>
  <c r="AC192" i="59"/>
  <c r="AB192" i="59"/>
  <c r="AA192" i="59"/>
  <c r="Z192" i="59"/>
  <c r="Y192" i="59"/>
  <c r="X192" i="59"/>
  <c r="W192" i="59"/>
  <c r="V192" i="59"/>
  <c r="U192" i="59"/>
  <c r="T192" i="59"/>
  <c r="S192" i="59"/>
  <c r="R192" i="59"/>
  <c r="Q192" i="59"/>
  <c r="P192" i="59"/>
  <c r="O192" i="59"/>
  <c r="CG171" i="59"/>
  <c r="CF171" i="59"/>
  <c r="CE171" i="59"/>
  <c r="CD171" i="59"/>
  <c r="CC171" i="59"/>
  <c r="CB171" i="59"/>
  <c r="CA171" i="59"/>
  <c r="BZ171" i="59"/>
  <c r="BY171" i="59"/>
  <c r="BX171" i="59"/>
  <c r="BW171" i="59"/>
  <c r="BV171" i="59"/>
  <c r="BU171" i="59"/>
  <c r="BT171" i="59"/>
  <c r="BS171" i="59"/>
  <c r="BR171" i="59"/>
  <c r="BQ171" i="59"/>
  <c r="BP171" i="59"/>
  <c r="BO171" i="59"/>
  <c r="BN171" i="59"/>
  <c r="BM171" i="59"/>
  <c r="BL171" i="59"/>
  <c r="BK171" i="59"/>
  <c r="BJ171" i="59"/>
  <c r="BI171" i="59"/>
  <c r="BF171" i="59"/>
  <c r="BE171" i="59"/>
  <c r="BD171" i="59"/>
  <c r="BC171" i="59"/>
  <c r="BB171" i="59"/>
  <c r="BA171" i="59"/>
  <c r="AZ171" i="59"/>
  <c r="AY171" i="59"/>
  <c r="AX171" i="59"/>
  <c r="AW171" i="59"/>
  <c r="AV171" i="59"/>
  <c r="AU171" i="59"/>
  <c r="AT171" i="59"/>
  <c r="AS171" i="59"/>
  <c r="AR171" i="59"/>
  <c r="AQ171" i="59"/>
  <c r="AP171" i="59"/>
  <c r="AO171" i="59"/>
  <c r="AN171" i="59"/>
  <c r="AM171" i="59"/>
  <c r="AL171" i="59"/>
  <c r="AK171" i="59"/>
  <c r="AJ171" i="59"/>
  <c r="AI171" i="59"/>
  <c r="AF171" i="59"/>
  <c r="AE171" i="59"/>
  <c r="AD171" i="59"/>
  <c r="AC171" i="59"/>
  <c r="AB171" i="59"/>
  <c r="AA171" i="59"/>
  <c r="Z171" i="59"/>
  <c r="Y171" i="59"/>
  <c r="X171" i="59"/>
  <c r="W171" i="59"/>
  <c r="V171" i="59"/>
  <c r="U171" i="59"/>
  <c r="T171" i="59"/>
  <c r="S171" i="59"/>
  <c r="R171" i="59"/>
  <c r="Q171" i="59"/>
  <c r="P171" i="59"/>
  <c r="O171" i="59"/>
  <c r="CG150" i="59"/>
  <c r="CF150" i="59"/>
  <c r="CE150" i="59"/>
  <c r="CD150" i="59"/>
  <c r="CC150" i="59"/>
  <c r="CB150" i="59"/>
  <c r="CA150" i="59"/>
  <c r="BZ150" i="59"/>
  <c r="BY150" i="59"/>
  <c r="BX150" i="59"/>
  <c r="BW150" i="59"/>
  <c r="BV150" i="59"/>
  <c r="BU150" i="59"/>
  <c r="BT150" i="59"/>
  <c r="BS150" i="59"/>
  <c r="BR150" i="59"/>
  <c r="BQ150" i="59"/>
  <c r="BP150" i="59"/>
  <c r="BO150" i="59"/>
  <c r="BN150" i="59"/>
  <c r="BM150" i="59"/>
  <c r="BL150" i="59"/>
  <c r="BK150" i="59"/>
  <c r="BJ150" i="59"/>
  <c r="BI150" i="59"/>
  <c r="BF150" i="59"/>
  <c r="BE150" i="59"/>
  <c r="BD150" i="59"/>
  <c r="BC150" i="59"/>
  <c r="BB150" i="59"/>
  <c r="BA150" i="59"/>
  <c r="AZ150" i="59"/>
  <c r="AY150" i="59"/>
  <c r="AX150" i="59"/>
  <c r="AW150" i="59"/>
  <c r="AV150" i="59"/>
  <c r="AU150" i="59"/>
  <c r="AT150" i="59"/>
  <c r="AS150" i="59"/>
  <c r="AR150" i="59"/>
  <c r="AQ150" i="59"/>
  <c r="AP150" i="59"/>
  <c r="AO150" i="59"/>
  <c r="AN150" i="59"/>
  <c r="AM150" i="59"/>
  <c r="AL150" i="59"/>
  <c r="AK150" i="59"/>
  <c r="AJ150" i="59"/>
  <c r="AI150" i="59"/>
  <c r="AF150" i="59"/>
  <c r="AE150" i="59"/>
  <c r="AD150" i="59"/>
  <c r="AC150" i="59"/>
  <c r="AB150" i="59"/>
  <c r="AA150" i="59"/>
  <c r="Z150" i="59"/>
  <c r="Y150" i="59"/>
  <c r="X150" i="59"/>
  <c r="W150" i="59"/>
  <c r="V150" i="59"/>
  <c r="U150" i="59"/>
  <c r="T150" i="59"/>
  <c r="S150" i="59"/>
  <c r="R150" i="59"/>
  <c r="Q150" i="59"/>
  <c r="P150" i="59"/>
  <c r="O150" i="59"/>
  <c r="CH131" i="59"/>
  <c r="A130" i="59" s="1"/>
  <c r="AW131" i="59"/>
  <c r="AW172" i="59" s="1"/>
  <c r="CG129" i="59"/>
  <c r="CF129" i="59"/>
  <c r="CE129" i="59"/>
  <c r="CD129" i="59"/>
  <c r="CC129" i="59"/>
  <c r="CB129" i="59"/>
  <c r="CA129" i="59"/>
  <c r="BZ129" i="59"/>
  <c r="BY129" i="59"/>
  <c r="BX129" i="59"/>
  <c r="BW129" i="59"/>
  <c r="BV129" i="59"/>
  <c r="BU129" i="59"/>
  <c r="BT129" i="59"/>
  <c r="BS129" i="59"/>
  <c r="BR129" i="59"/>
  <c r="BQ129" i="59"/>
  <c r="BP129" i="59"/>
  <c r="BO129" i="59"/>
  <c r="BN129" i="59"/>
  <c r="BM129" i="59"/>
  <c r="BL129" i="59"/>
  <c r="BK129" i="59"/>
  <c r="BJ129" i="59"/>
  <c r="BI129" i="59"/>
  <c r="BF129" i="59"/>
  <c r="BE129" i="59"/>
  <c r="BD129" i="59"/>
  <c r="BC129" i="59"/>
  <c r="BB129" i="59"/>
  <c r="BA129" i="59"/>
  <c r="AZ129" i="59"/>
  <c r="AY129" i="59"/>
  <c r="AX129" i="59"/>
  <c r="G134" i="59" s="1"/>
  <c r="AW129" i="59"/>
  <c r="AV129" i="59"/>
  <c r="F134" i="59" s="1"/>
  <c r="AU129" i="59"/>
  <c r="E134" i="59" s="1"/>
  <c r="AT129" i="59"/>
  <c r="J134" i="59" s="1"/>
  <c r="AS129" i="59"/>
  <c r="AR129" i="59"/>
  <c r="AQ129" i="59"/>
  <c r="AP129" i="59"/>
  <c r="AO129" i="59"/>
  <c r="AN129" i="59"/>
  <c r="AM129" i="59"/>
  <c r="AL129" i="59"/>
  <c r="D134" i="59" s="1"/>
  <c r="AK129" i="59"/>
  <c r="AJ129" i="59"/>
  <c r="L134" i="59" s="1"/>
  <c r="AI129" i="59"/>
  <c r="AF129" i="59"/>
  <c r="AE129" i="59"/>
  <c r="AD129" i="59"/>
  <c r="AC129" i="59"/>
  <c r="AB129" i="59"/>
  <c r="AA129" i="59"/>
  <c r="Z129" i="59"/>
  <c r="Y129" i="59"/>
  <c r="X129" i="59"/>
  <c r="W129" i="59"/>
  <c r="V129" i="59"/>
  <c r="U129" i="59"/>
  <c r="T129" i="59"/>
  <c r="S129" i="59"/>
  <c r="R129" i="59"/>
  <c r="Q129" i="59"/>
  <c r="P129" i="59"/>
  <c r="O129" i="59"/>
  <c r="CH110" i="59"/>
  <c r="A109" i="59" s="1"/>
  <c r="AW110" i="59"/>
  <c r="AW151" i="59" s="1"/>
  <c r="CG108" i="59"/>
  <c r="CF108" i="59"/>
  <c r="CE108" i="59"/>
  <c r="CD108" i="59"/>
  <c r="CC108" i="59"/>
  <c r="CB108" i="59"/>
  <c r="CA108" i="59"/>
  <c r="BZ108" i="59"/>
  <c r="BY108" i="59"/>
  <c r="BX108" i="59"/>
  <c r="BW108" i="59"/>
  <c r="BV108" i="59"/>
  <c r="BU108" i="59"/>
  <c r="BT108" i="59"/>
  <c r="BS108" i="59"/>
  <c r="BR108" i="59"/>
  <c r="BQ108" i="59"/>
  <c r="BP108" i="59"/>
  <c r="BO108" i="59"/>
  <c r="BN108" i="59"/>
  <c r="BM108" i="59"/>
  <c r="BL108" i="59"/>
  <c r="BK108" i="59"/>
  <c r="BJ108" i="59"/>
  <c r="BI108" i="59"/>
  <c r="BF108" i="59"/>
  <c r="BE108" i="59"/>
  <c r="BD108" i="59"/>
  <c r="BC108" i="59"/>
  <c r="BB108" i="59"/>
  <c r="BA108" i="59"/>
  <c r="AZ108" i="59"/>
  <c r="AY108" i="59"/>
  <c r="AX108" i="59"/>
  <c r="G113" i="59" s="1"/>
  <c r="AW108" i="59"/>
  <c r="AV108" i="59"/>
  <c r="F113" i="59" s="1"/>
  <c r="AU108" i="59"/>
  <c r="E113" i="59" s="1"/>
  <c r="AT108" i="59"/>
  <c r="J113" i="59" s="1"/>
  <c r="AS108" i="59"/>
  <c r="AR108" i="59"/>
  <c r="AQ108" i="59"/>
  <c r="AP108" i="59"/>
  <c r="AO108" i="59"/>
  <c r="AN108" i="59"/>
  <c r="AM108" i="59"/>
  <c r="AL108" i="59"/>
  <c r="D113" i="59" s="1"/>
  <c r="AK108" i="59"/>
  <c r="AJ108" i="59"/>
  <c r="L113" i="59" s="1"/>
  <c r="AI108" i="59"/>
  <c r="AF108" i="59"/>
  <c r="AE108" i="59"/>
  <c r="AD108" i="59"/>
  <c r="AC108" i="59"/>
  <c r="AB108" i="59"/>
  <c r="AA108" i="59"/>
  <c r="Z108" i="59"/>
  <c r="Y108" i="59"/>
  <c r="X108" i="59"/>
  <c r="W108" i="59"/>
  <c r="V108" i="59"/>
  <c r="U108" i="59"/>
  <c r="T108" i="59"/>
  <c r="S108" i="59"/>
  <c r="R108" i="59"/>
  <c r="Q108" i="59"/>
  <c r="P108" i="59"/>
  <c r="O108" i="59"/>
  <c r="CH66" i="59"/>
  <c r="A65" i="59" s="1"/>
  <c r="CH45" i="59"/>
  <c r="A44" i="59" s="1"/>
  <c r="CH24" i="59"/>
  <c r="A23" i="59" s="1"/>
  <c r="CH3" i="59"/>
  <c r="A2" i="59" s="1"/>
  <c r="CH88" i="59"/>
  <c r="A87" i="59" s="1"/>
  <c r="AW88" i="59"/>
  <c r="AW130" i="59" s="1"/>
  <c r="CG86" i="59"/>
  <c r="CF86" i="59"/>
  <c r="CE86" i="59"/>
  <c r="CD86" i="59"/>
  <c r="CC86" i="59"/>
  <c r="CB86" i="59"/>
  <c r="CA86" i="59"/>
  <c r="BZ86" i="59"/>
  <c r="BY86" i="59"/>
  <c r="BX86" i="59"/>
  <c r="BW86" i="59"/>
  <c r="BV86" i="59"/>
  <c r="BU86" i="59"/>
  <c r="BT86" i="59"/>
  <c r="BS86" i="59"/>
  <c r="BR86" i="59"/>
  <c r="BQ86" i="59"/>
  <c r="BP86" i="59"/>
  <c r="BO86" i="59"/>
  <c r="BN86" i="59"/>
  <c r="BM86" i="59"/>
  <c r="BL86" i="59"/>
  <c r="BK86" i="59"/>
  <c r="BJ86" i="59"/>
  <c r="BI86" i="59"/>
  <c r="BF86" i="59"/>
  <c r="BE86" i="59"/>
  <c r="BD86" i="59"/>
  <c r="BC86" i="59"/>
  <c r="BB86" i="59"/>
  <c r="BA86" i="59"/>
  <c r="AZ86" i="59"/>
  <c r="AY86" i="59"/>
  <c r="AX86" i="59"/>
  <c r="G91" i="59" s="1"/>
  <c r="AW86" i="59"/>
  <c r="AV86" i="59"/>
  <c r="F91" i="59" s="1"/>
  <c r="AU86" i="59"/>
  <c r="E91" i="59" s="1"/>
  <c r="AT86" i="59"/>
  <c r="J91" i="59" s="1"/>
  <c r="AS86" i="59"/>
  <c r="AR86" i="59"/>
  <c r="AQ86" i="59"/>
  <c r="AP86" i="59"/>
  <c r="AO86" i="59"/>
  <c r="AN86" i="59"/>
  <c r="AM86" i="59"/>
  <c r="AL86" i="59"/>
  <c r="D91" i="59" s="1"/>
  <c r="AK86" i="59"/>
  <c r="AJ86" i="59"/>
  <c r="L91" i="59" s="1"/>
  <c r="AI86" i="59"/>
  <c r="K91" i="59" s="1"/>
  <c r="AF86" i="59"/>
  <c r="AE86" i="59"/>
  <c r="AD86" i="59"/>
  <c r="AC86" i="59"/>
  <c r="AB86" i="59"/>
  <c r="AA86" i="59"/>
  <c r="Z86" i="59"/>
  <c r="Y86" i="59"/>
  <c r="X86" i="59"/>
  <c r="W86" i="59"/>
  <c r="V86" i="59"/>
  <c r="U86" i="59"/>
  <c r="T86" i="59"/>
  <c r="S86" i="59"/>
  <c r="R86" i="59"/>
  <c r="Q86" i="59"/>
  <c r="P86" i="59"/>
  <c r="O86" i="59"/>
  <c r="O66" i="59"/>
  <c r="O109" i="59" s="1"/>
  <c r="O45" i="59"/>
  <c r="O87" i="59" s="1"/>
  <c r="O24" i="59"/>
  <c r="O65" i="59" s="1"/>
  <c r="O3" i="59"/>
  <c r="AW66" i="59"/>
  <c r="AW109" i="59" s="1"/>
  <c r="CG64" i="59"/>
  <c r="CF64" i="59"/>
  <c r="CE64" i="59"/>
  <c r="CD64" i="59"/>
  <c r="CC64" i="59"/>
  <c r="CB64" i="59"/>
  <c r="CA64" i="59"/>
  <c r="BZ64" i="59"/>
  <c r="BY64" i="59"/>
  <c r="BX64" i="59"/>
  <c r="BW64" i="59"/>
  <c r="BV64" i="59"/>
  <c r="BU64" i="59"/>
  <c r="BT64" i="59"/>
  <c r="BS64" i="59"/>
  <c r="BR64" i="59"/>
  <c r="BQ64" i="59"/>
  <c r="BP64" i="59"/>
  <c r="BO64" i="59"/>
  <c r="BN64" i="59"/>
  <c r="BM64" i="59"/>
  <c r="BL64" i="59"/>
  <c r="BK64" i="59"/>
  <c r="BJ64" i="59"/>
  <c r="BI64" i="59"/>
  <c r="BF64" i="59"/>
  <c r="BE64" i="59"/>
  <c r="BD64" i="59"/>
  <c r="BC64" i="59"/>
  <c r="BB64" i="59"/>
  <c r="BA64" i="59"/>
  <c r="AZ64" i="59"/>
  <c r="AY64" i="59"/>
  <c r="AX64" i="59"/>
  <c r="G69" i="59" s="1"/>
  <c r="AW64" i="59"/>
  <c r="AV64" i="59"/>
  <c r="F69" i="59" s="1"/>
  <c r="AU64" i="59"/>
  <c r="E69" i="59" s="1"/>
  <c r="AT64" i="59"/>
  <c r="J69" i="59" s="1"/>
  <c r="AS64" i="59"/>
  <c r="AR64" i="59"/>
  <c r="AQ64" i="59"/>
  <c r="AP64" i="59"/>
  <c r="AO64" i="59"/>
  <c r="AN64" i="59"/>
  <c r="AM64" i="59"/>
  <c r="AL64" i="59"/>
  <c r="D69" i="59" s="1"/>
  <c r="AK64" i="59"/>
  <c r="AJ64" i="59"/>
  <c r="L69" i="59" s="1"/>
  <c r="AI64" i="59"/>
  <c r="AF64" i="59"/>
  <c r="AE64" i="59"/>
  <c r="AD64" i="59"/>
  <c r="AC64" i="59"/>
  <c r="AB64" i="59"/>
  <c r="AA64" i="59"/>
  <c r="Z64" i="59"/>
  <c r="Y64" i="59"/>
  <c r="X64" i="59"/>
  <c r="W64" i="59"/>
  <c r="V64" i="59"/>
  <c r="U64" i="59"/>
  <c r="T64" i="59"/>
  <c r="S64" i="59"/>
  <c r="R64" i="59"/>
  <c r="Q64" i="59"/>
  <c r="P64" i="59"/>
  <c r="O64"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F43" i="59"/>
  <c r="BE43" i="59"/>
  <c r="BD43" i="59"/>
  <c r="BC43" i="59"/>
  <c r="BB43" i="59"/>
  <c r="BA43" i="59"/>
  <c r="AZ43" i="59"/>
  <c r="AY43" i="59"/>
  <c r="AX43" i="59"/>
  <c r="G48" i="59" s="1"/>
  <c r="AW43" i="59"/>
  <c r="AV43" i="59"/>
  <c r="F48" i="59" s="1"/>
  <c r="AU43" i="59"/>
  <c r="E48" i="59" s="1"/>
  <c r="AT43" i="59"/>
  <c r="J48" i="59" s="1"/>
  <c r="AS43" i="59"/>
  <c r="H48" i="59" s="1"/>
  <c r="AR43" i="59"/>
  <c r="AQ43" i="59"/>
  <c r="AP43" i="59"/>
  <c r="AO43" i="59"/>
  <c r="AN43" i="59"/>
  <c r="AM43" i="59"/>
  <c r="AL43" i="59"/>
  <c r="D48" i="59" s="1"/>
  <c r="AK43" i="59"/>
  <c r="AJ43" i="59"/>
  <c r="L48" i="59" s="1"/>
  <c r="AI43" i="59"/>
  <c r="K48" i="59" s="1"/>
  <c r="AF43" i="59"/>
  <c r="AE43" i="59"/>
  <c r="AD43" i="59"/>
  <c r="AC43" i="59"/>
  <c r="AB43" i="59"/>
  <c r="AA43" i="59"/>
  <c r="Z43" i="59"/>
  <c r="Y43" i="59"/>
  <c r="X43" i="59"/>
  <c r="W43" i="59"/>
  <c r="V43" i="59"/>
  <c r="U43" i="59"/>
  <c r="T43" i="59"/>
  <c r="S43" i="59"/>
  <c r="R43" i="59"/>
  <c r="Q43" i="59"/>
  <c r="P43" i="59"/>
  <c r="O43"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F44" i="59"/>
  <c r="BE44" i="59"/>
  <c r="BD44" i="59"/>
  <c r="BC44" i="59"/>
  <c r="BB44" i="59"/>
  <c r="BA44" i="59"/>
  <c r="AZ44" i="59"/>
  <c r="AY44" i="59"/>
  <c r="AX44" i="59"/>
  <c r="AW44" i="59"/>
  <c r="AV44" i="59"/>
  <c r="AU44" i="59"/>
  <c r="AT44" i="59"/>
  <c r="AS44" i="59"/>
  <c r="AR44" i="59"/>
  <c r="AQ44" i="59"/>
  <c r="AP44" i="59"/>
  <c r="AN44"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F23" i="59"/>
  <c r="BE23" i="59"/>
  <c r="BD23" i="59"/>
  <c r="BC23" i="59"/>
  <c r="BB23" i="59"/>
  <c r="BA23" i="59"/>
  <c r="AZ23" i="59"/>
  <c r="AY23" i="59"/>
  <c r="AX23" i="59"/>
  <c r="AW23" i="59"/>
  <c r="AV23" i="59"/>
  <c r="AU23" i="59"/>
  <c r="AT23" i="59"/>
  <c r="AS23" i="59"/>
  <c r="AR23" i="59"/>
  <c r="AQ23" i="59"/>
  <c r="AP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F22" i="59"/>
  <c r="BE22" i="59"/>
  <c r="BD22" i="59"/>
  <c r="BC22" i="59"/>
  <c r="BB22" i="59"/>
  <c r="BA22" i="59"/>
  <c r="AZ22" i="59"/>
  <c r="AY22" i="59"/>
  <c r="AX22" i="59"/>
  <c r="G27" i="59" s="1"/>
  <c r="AW22" i="59"/>
  <c r="AV22" i="59"/>
  <c r="F27" i="59" s="1"/>
  <c r="AU22" i="59"/>
  <c r="E27" i="59" s="1"/>
  <c r="AT22" i="59"/>
  <c r="J27" i="59" s="1"/>
  <c r="AS22" i="59"/>
  <c r="H27" i="59" s="1"/>
  <c r="AR22" i="59"/>
  <c r="AQ22" i="59"/>
  <c r="AP22" i="59"/>
  <c r="AO22" i="59"/>
  <c r="AN22" i="59"/>
  <c r="AM22" i="59"/>
  <c r="AL22" i="59"/>
  <c r="D27" i="59" s="1"/>
  <c r="AK22" i="59"/>
  <c r="AJ22" i="59"/>
  <c r="L27" i="59" s="1"/>
  <c r="AI22" i="59"/>
  <c r="K27" i="59" s="1"/>
  <c r="AF22" i="59"/>
  <c r="AE22" i="59"/>
  <c r="AD22" i="59"/>
  <c r="AC22" i="59"/>
  <c r="AB22" i="59"/>
  <c r="AA22" i="59"/>
  <c r="Z22" i="59"/>
  <c r="Y22" i="59"/>
  <c r="X22" i="59"/>
  <c r="W22" i="59"/>
  <c r="V22" i="59"/>
  <c r="U22" i="59"/>
  <c r="T22" i="59"/>
  <c r="S22" i="59"/>
  <c r="R22" i="59"/>
  <c r="Q22" i="59"/>
  <c r="P22" i="59"/>
  <c r="O22" i="59"/>
  <c r="AW45" i="59"/>
  <c r="AW87" i="59" s="1"/>
  <c r="AW24" i="59"/>
  <c r="AW65" i="59" s="1"/>
  <c r="L6" i="59"/>
  <c r="K6" i="59"/>
  <c r="J6" i="59"/>
  <c r="H6" i="59"/>
  <c r="G6" i="59"/>
  <c r="F6" i="59"/>
  <c r="E6" i="59"/>
  <c r="D6" i="59"/>
  <c r="AW3" i="59"/>
  <c r="AO2" i="59"/>
  <c r="AO44" i="59" s="1"/>
  <c r="AH1" i="59"/>
  <c r="I6" i="59" s="1"/>
  <c r="DA24" i="47" l="1"/>
  <c r="DA16" i="47"/>
  <c r="DA40" i="47"/>
  <c r="CO35" i="47"/>
  <c r="CO43" i="47"/>
  <c r="DA32" i="47"/>
  <c r="CQ10" i="47"/>
  <c r="CO19" i="47"/>
  <c r="CC44" i="47"/>
  <c r="CC36" i="47"/>
  <c r="CC28" i="47"/>
  <c r="CC20" i="47"/>
  <c r="CD10" i="47"/>
  <c r="DA39" i="47"/>
  <c r="DA31" i="47"/>
  <c r="DA23" i="47"/>
  <c r="DA15" i="47"/>
  <c r="CO42" i="47"/>
  <c r="CO34" i="47"/>
  <c r="CO26" i="47"/>
  <c r="CO18" i="47"/>
  <c r="CE10" i="47"/>
  <c r="CC43" i="47"/>
  <c r="CC35" i="47"/>
  <c r="CC27" i="47"/>
  <c r="CC19" i="47"/>
  <c r="DA46" i="47"/>
  <c r="DA38" i="47"/>
  <c r="DA30" i="47"/>
  <c r="DA22" i="47"/>
  <c r="DA14" i="47"/>
  <c r="CO41" i="47"/>
  <c r="CO33" i="47"/>
  <c r="CO25" i="47"/>
  <c r="CO17" i="47"/>
  <c r="CC40" i="47"/>
  <c r="DA43" i="47"/>
  <c r="DA27" i="47"/>
  <c r="CO38" i="47"/>
  <c r="CO14" i="47"/>
  <c r="CC37" i="47"/>
  <c r="CC42" i="47"/>
  <c r="CC34" i="47"/>
  <c r="CC26" i="47"/>
  <c r="CC18" i="47"/>
  <c r="DA45" i="47"/>
  <c r="DA37" i="47"/>
  <c r="DA29" i="47"/>
  <c r="DA21" i="47"/>
  <c r="DA13" i="47"/>
  <c r="CO40" i="47"/>
  <c r="CO32" i="47"/>
  <c r="CO24" i="47"/>
  <c r="CO16" i="47"/>
  <c r="CC32" i="47"/>
  <c r="DA35" i="47"/>
  <c r="CO46" i="47"/>
  <c r="CO22" i="47"/>
  <c r="CC21" i="47"/>
  <c r="CC41" i="47"/>
  <c r="CC33" i="47"/>
  <c r="CC25" i="47"/>
  <c r="CC17" i="47"/>
  <c r="DA44" i="47"/>
  <c r="DA36" i="47"/>
  <c r="DA28" i="47"/>
  <c r="DA20" i="47"/>
  <c r="DB10" i="47"/>
  <c r="DC21" i="47" s="1"/>
  <c r="CO39" i="47"/>
  <c r="CO31" i="47"/>
  <c r="CO23" i="47"/>
  <c r="CO15" i="47"/>
  <c r="CC16" i="47"/>
  <c r="DA19" i="47"/>
  <c r="CO30" i="47"/>
  <c r="CC29" i="47"/>
  <c r="CC24" i="47"/>
  <c r="CC39" i="47"/>
  <c r="CC31" i="47"/>
  <c r="CC23" i="47"/>
  <c r="CC15" i="47"/>
  <c r="DA42" i="47"/>
  <c r="DA34" i="47"/>
  <c r="DA26" i="47"/>
  <c r="DA18" i="47"/>
  <c r="CO45" i="47"/>
  <c r="CO37" i="47"/>
  <c r="CO29" i="47"/>
  <c r="CO21" i="47"/>
  <c r="CO13" i="47"/>
  <c r="CC46" i="47"/>
  <c r="CC30" i="47"/>
  <c r="CC22" i="47"/>
  <c r="DA41" i="47"/>
  <c r="DA25" i="47"/>
  <c r="DA17" i="47"/>
  <c r="CO36" i="47"/>
  <c r="CP10" i="47"/>
  <c r="CS38" i="47" s="1"/>
  <c r="CC45" i="47"/>
  <c r="CC38" i="47"/>
  <c r="CC14" i="47"/>
  <c r="DA33" i="47"/>
  <c r="CO44" i="47"/>
  <c r="CO28" i="47"/>
  <c r="CO20" i="47"/>
  <c r="DC10" i="47"/>
  <c r="CC13" i="47"/>
  <c r="CP34" i="47"/>
  <c r="DF29" i="47"/>
  <c r="CR36" i="47"/>
  <c r="AH86" i="59"/>
  <c r="I91" i="59" s="1"/>
  <c r="AH129" i="59"/>
  <c r="I134" i="59" s="1"/>
  <c r="AH192" i="59"/>
  <c r="I197" i="59" s="1"/>
  <c r="AO23" i="59"/>
  <c r="AH43" i="59"/>
  <c r="I48" i="59" s="1"/>
  <c r="AH64" i="59"/>
  <c r="I69" i="59" s="1"/>
  <c r="AH108" i="59"/>
  <c r="I113" i="59" s="1"/>
  <c r="AH22" i="59"/>
  <c r="I27" i="59" s="1"/>
  <c r="AH171" i="59"/>
  <c r="I176" i="59" s="1"/>
  <c r="AH150" i="59"/>
  <c r="I155" i="59" s="1"/>
  <c r="P12" i="40"/>
  <c r="P13" i="40" s="1"/>
  <c r="C16" i="40"/>
  <c r="P12" i="36"/>
  <c r="P13" i="36" s="1"/>
  <c r="E9" i="36"/>
  <c r="P12" i="35"/>
  <c r="P13" i="35" s="1"/>
  <c r="E9" i="35"/>
  <c r="AG1" i="59"/>
  <c r="C6" i="59" s="1"/>
  <c r="V194" i="59"/>
  <c r="H193" i="59" s="1"/>
  <c r="U194" i="59"/>
  <c r="G193" i="59" s="1"/>
  <c r="T194" i="59"/>
  <c r="F193" i="59" s="1"/>
  <c r="S194" i="59"/>
  <c r="E193" i="59" s="1"/>
  <c r="R194" i="59"/>
  <c r="D193" i="59" s="1"/>
  <c r="P194" i="59"/>
  <c r="O194" i="59"/>
  <c r="N194" i="59"/>
  <c r="A192" i="59" s="1"/>
  <c r="V173" i="59"/>
  <c r="H172" i="59" s="1"/>
  <c r="U173" i="59"/>
  <c r="G172" i="59" s="1"/>
  <c r="T173" i="59"/>
  <c r="F172" i="59" s="1"/>
  <c r="S173" i="59"/>
  <c r="E172" i="59" s="1"/>
  <c r="R173" i="59"/>
  <c r="D172" i="59" s="1"/>
  <c r="P173" i="59"/>
  <c r="O173" i="59"/>
  <c r="N173" i="59"/>
  <c r="A171" i="59" s="1"/>
  <c r="V152" i="59"/>
  <c r="U152" i="59"/>
  <c r="T152" i="59"/>
  <c r="F151" i="59" s="1"/>
  <c r="S152" i="59"/>
  <c r="R152" i="59"/>
  <c r="P152" i="59"/>
  <c r="P193" i="59" s="1"/>
  <c r="O152" i="59"/>
  <c r="O193" i="59" s="1"/>
  <c r="N152" i="59"/>
  <c r="A150" i="59" s="1"/>
  <c r="V131" i="59"/>
  <c r="V172" i="59" s="1"/>
  <c r="U131" i="59"/>
  <c r="G130" i="59" s="1"/>
  <c r="T131" i="59"/>
  <c r="F130" i="59" s="1"/>
  <c r="S131" i="59"/>
  <c r="S172" i="59" s="1"/>
  <c r="R131" i="59"/>
  <c r="D130" i="59" s="1"/>
  <c r="P131" i="59"/>
  <c r="P172" i="59" s="1"/>
  <c r="O131" i="59"/>
  <c r="O172" i="59" s="1"/>
  <c r="N131" i="59"/>
  <c r="A129" i="59" s="1"/>
  <c r="V110" i="59"/>
  <c r="H109" i="59" s="1"/>
  <c r="U110" i="59"/>
  <c r="G109" i="59" s="1"/>
  <c r="T110" i="59"/>
  <c r="F109" i="59" s="1"/>
  <c r="S110" i="59"/>
  <c r="E109" i="59" s="1"/>
  <c r="R110" i="59"/>
  <c r="D109" i="59" s="1"/>
  <c r="P110" i="59"/>
  <c r="P151" i="59" s="1"/>
  <c r="O110" i="59"/>
  <c r="O151" i="59" s="1"/>
  <c r="N110" i="59"/>
  <c r="A108" i="59" s="1"/>
  <c r="V88" i="59"/>
  <c r="H87" i="59" s="1"/>
  <c r="U88" i="59"/>
  <c r="T88" i="59"/>
  <c r="F87" i="59" s="1"/>
  <c r="S88" i="59"/>
  <c r="E87" i="59" s="1"/>
  <c r="R88" i="59"/>
  <c r="D87" i="59" s="1"/>
  <c r="P88" i="59"/>
  <c r="P130" i="59" s="1"/>
  <c r="O88" i="59"/>
  <c r="O130" i="59" s="1"/>
  <c r="N88" i="59"/>
  <c r="A86" i="59" s="1"/>
  <c r="V66" i="59"/>
  <c r="H65" i="59" s="1"/>
  <c r="U66" i="59"/>
  <c r="G65" i="59" s="1"/>
  <c r="T66" i="59"/>
  <c r="F65" i="59" s="1"/>
  <c r="S66" i="59"/>
  <c r="E65" i="59" s="1"/>
  <c r="R66" i="59"/>
  <c r="D65" i="59" s="1"/>
  <c r="P66" i="59"/>
  <c r="P109" i="59" s="1"/>
  <c r="N66" i="59"/>
  <c r="A64" i="59" s="1"/>
  <c r="V45" i="59"/>
  <c r="H44" i="59" s="1"/>
  <c r="U45" i="59"/>
  <c r="G44" i="59" s="1"/>
  <c r="T45" i="59"/>
  <c r="T87" i="59" s="1"/>
  <c r="S45" i="59"/>
  <c r="E44" i="59" s="1"/>
  <c r="R45" i="59"/>
  <c r="R87" i="59" s="1"/>
  <c r="P45" i="59"/>
  <c r="P87" i="59" s="1"/>
  <c r="N45" i="59"/>
  <c r="A43" i="59" s="1"/>
  <c r="V24" i="59"/>
  <c r="H23" i="59" s="1"/>
  <c r="U24" i="59"/>
  <c r="G23" i="59" s="1"/>
  <c r="T24" i="59"/>
  <c r="F23" i="59" s="1"/>
  <c r="S24" i="59"/>
  <c r="E23" i="59" s="1"/>
  <c r="R24" i="59"/>
  <c r="D23" i="59" s="1"/>
  <c r="P24" i="59"/>
  <c r="P65" i="59" s="1"/>
  <c r="N24" i="59"/>
  <c r="A22" i="59" s="1"/>
  <c r="V3" i="59"/>
  <c r="H2" i="59" s="1"/>
  <c r="U3" i="59"/>
  <c r="G2" i="59" s="1"/>
  <c r="T3" i="59"/>
  <c r="F2" i="59" s="1"/>
  <c r="S3" i="59"/>
  <c r="E2" i="59" s="1"/>
  <c r="R3" i="59"/>
  <c r="D2" i="59" s="1"/>
  <c r="N3" i="59"/>
  <c r="A1" i="59" s="1"/>
  <c r="C3" i="2"/>
  <c r="AG43" i="59" l="1"/>
  <c r="C48" i="59" s="1"/>
  <c r="AG86" i="59"/>
  <c r="C91" i="59" s="1"/>
  <c r="CD43" i="47"/>
  <c r="CG43" i="47"/>
  <c r="CG39" i="47"/>
  <c r="CG35" i="47"/>
  <c r="CG31" i="47"/>
  <c r="CG30" i="47"/>
  <c r="CG29" i="47"/>
  <c r="CG25" i="47"/>
  <c r="CG21" i="47"/>
  <c r="CG17" i="47"/>
  <c r="CG13" i="47"/>
  <c r="CK46" i="47"/>
  <c r="CK42" i="47"/>
  <c r="CK38" i="47"/>
  <c r="CK34" i="47"/>
  <c r="CN30" i="47"/>
  <c r="CN29" i="47"/>
  <c r="CK28" i="47"/>
  <c r="CK24" i="47"/>
  <c r="CK20" i="47"/>
  <c r="CK16" i="47"/>
  <c r="CG46" i="47"/>
  <c r="CG42" i="47"/>
  <c r="CG38" i="47"/>
  <c r="CG34" i="47"/>
  <c r="CM30" i="47"/>
  <c r="CM29" i="47"/>
  <c r="CG28" i="47"/>
  <c r="CG24" i="47"/>
  <c r="CG20" i="47"/>
  <c r="CG16" i="47"/>
  <c r="CK45" i="47"/>
  <c r="CK41" i="47"/>
  <c r="CK37" i="47"/>
  <c r="CK33" i="47"/>
  <c r="CL30" i="47"/>
  <c r="CL29" i="47"/>
  <c r="CK27" i="47"/>
  <c r="CK23" i="47"/>
  <c r="CK19" i="47"/>
  <c r="CK15" i="47"/>
  <c r="CG45" i="47"/>
  <c r="CG41" i="47"/>
  <c r="CG37" i="47"/>
  <c r="CG33" i="47"/>
  <c r="CK30" i="47"/>
  <c r="CK29" i="47"/>
  <c r="CG27" i="47"/>
  <c r="CG23" i="47"/>
  <c r="CG19" i="47"/>
  <c r="CG15" i="47"/>
  <c r="CK44" i="47"/>
  <c r="CK40" i="47"/>
  <c r="CK36" i="47"/>
  <c r="CK32" i="47"/>
  <c r="CJ30" i="47"/>
  <c r="CJ29" i="47"/>
  <c r="CK26" i="47"/>
  <c r="CK22" i="47"/>
  <c r="CK18" i="47"/>
  <c r="CK14" i="47"/>
  <c r="CG44" i="47"/>
  <c r="CG40" i="47"/>
  <c r="CG36" i="47"/>
  <c r="CG32" i="47"/>
  <c r="CI30" i="47"/>
  <c r="CI29" i="47"/>
  <c r="CG26" i="47"/>
  <c r="CG22" i="47"/>
  <c r="CG18" i="47"/>
  <c r="CG14" i="47"/>
  <c r="CK43" i="47"/>
  <c r="CK39" i="47"/>
  <c r="CK35" i="47"/>
  <c r="CK31" i="47"/>
  <c r="CH30" i="47"/>
  <c r="CH29" i="47"/>
  <c r="CK25" i="47"/>
  <c r="CK21" i="47"/>
  <c r="CK17" i="47"/>
  <c r="CK13" i="47"/>
  <c r="S130" i="59"/>
  <c r="S87" i="59"/>
  <c r="V109" i="59"/>
  <c r="AG171" i="59"/>
  <c r="C176" i="59" s="1"/>
  <c r="AG129" i="59"/>
  <c r="C134" i="59" s="1"/>
  <c r="AG108" i="59"/>
  <c r="C113" i="59" s="1"/>
  <c r="AG22" i="59"/>
  <c r="C27" i="59" s="1"/>
  <c r="AG64" i="59"/>
  <c r="C69" i="59" s="1"/>
  <c r="AG192" i="59"/>
  <c r="C197" i="59" s="1"/>
  <c r="AG150" i="59"/>
  <c r="C155" i="59" s="1"/>
  <c r="T193" i="59"/>
  <c r="T109" i="59"/>
  <c r="U109" i="59"/>
  <c r="T65" i="59"/>
  <c r="R172" i="59"/>
  <c r="U87" i="59"/>
  <c r="T172" i="59"/>
  <c r="V65" i="59"/>
  <c r="U193" i="59"/>
  <c r="G151" i="59"/>
  <c r="V130" i="59"/>
  <c r="T130" i="59"/>
  <c r="U65" i="59"/>
  <c r="R65" i="59"/>
  <c r="V87" i="59"/>
  <c r="F44" i="59"/>
  <c r="R193" i="59"/>
  <c r="D151" i="59"/>
  <c r="U172" i="59"/>
  <c r="R130" i="59"/>
  <c r="R109" i="59"/>
  <c r="D44" i="59"/>
  <c r="V193" i="59"/>
  <c r="H151" i="59"/>
  <c r="S193" i="59"/>
  <c r="E151" i="59"/>
  <c r="H130" i="59"/>
  <c r="U130" i="59"/>
  <c r="G87" i="59"/>
  <c r="S65" i="59"/>
  <c r="S109" i="59"/>
  <c r="E130" i="59"/>
  <c r="CS21" i="47"/>
  <c r="CR43" i="47"/>
  <c r="CP37" i="47"/>
  <c r="CW26" i="47"/>
  <c r="CR32" i="47"/>
  <c r="CQ16" i="47"/>
  <c r="CW42" i="47"/>
  <c r="CP20" i="47"/>
  <c r="CW20" i="47"/>
  <c r="DE35" i="47"/>
  <c r="DB27" i="47"/>
  <c r="DI35" i="47"/>
  <c r="DC15" i="47"/>
  <c r="DD19" i="47"/>
  <c r="DD44" i="47"/>
  <c r="DE30" i="47"/>
  <c r="DC16" i="47"/>
  <c r="DC18" i="47"/>
  <c r="DD13" i="47"/>
  <c r="DE41" i="47"/>
  <c r="DC41" i="47"/>
  <c r="DI22" i="47"/>
  <c r="DB16" i="47"/>
  <c r="DE17" i="47"/>
  <c r="DI16" i="47"/>
  <c r="DB43" i="47"/>
  <c r="DE31" i="47"/>
  <c r="DI39" i="47"/>
  <c r="DB44" i="47"/>
  <c r="DE14" i="47"/>
  <c r="DC30" i="47"/>
  <c r="DD34" i="47"/>
  <c r="DB21" i="47"/>
  <c r="DB35" i="47"/>
  <c r="DE18" i="47"/>
  <c r="DB26" i="47"/>
  <c r="DI29" i="47"/>
  <c r="DD20" i="47"/>
  <c r="DD29" i="47"/>
  <c r="DD40" i="47"/>
  <c r="DB37" i="47"/>
  <c r="CE13" i="47"/>
  <c r="DE20" i="47"/>
  <c r="CD46" i="47"/>
  <c r="DE19" i="47"/>
  <c r="DI38" i="47"/>
  <c r="DE26" i="47"/>
  <c r="DC19" i="47"/>
  <c r="DD23" i="47"/>
  <c r="DC42" i="47"/>
  <c r="DI18" i="47"/>
  <c r="DC23" i="47"/>
  <c r="DK29" i="47"/>
  <c r="CS25" i="47"/>
  <c r="CW33" i="47"/>
  <c r="CP33" i="47"/>
  <c r="CX30" i="47"/>
  <c r="CP30" i="47"/>
  <c r="CP16" i="47"/>
  <c r="CE44" i="47"/>
  <c r="CY29" i="47"/>
  <c r="CW37" i="47"/>
  <c r="CE39" i="47"/>
  <c r="CD19" i="47"/>
  <c r="CD22" i="47"/>
  <c r="CE34" i="47"/>
  <c r="CF33" i="47"/>
  <c r="DD26" i="47"/>
  <c r="CF23" i="47"/>
  <c r="CF37" i="47"/>
  <c r="DB28" i="47"/>
  <c r="CE23" i="47"/>
  <c r="CS20" i="47"/>
  <c r="CP43" i="47"/>
  <c r="CP39" i="47"/>
  <c r="CW24" i="47"/>
  <c r="CQ42" i="47"/>
  <c r="CP29" i="47"/>
  <c r="CS14" i="47"/>
  <c r="CR22" i="47"/>
  <c r="CQ28" i="47"/>
  <c r="CS33" i="47"/>
  <c r="CQ35" i="47"/>
  <c r="CR41" i="47"/>
  <c r="CP28" i="47"/>
  <c r="CW30" i="47"/>
  <c r="CS41" i="47"/>
  <c r="CR46" i="47"/>
  <c r="CW17" i="47"/>
  <c r="CQ18" i="47"/>
  <c r="CR34" i="47"/>
  <c r="CS32" i="47"/>
  <c r="CQ36" i="47"/>
  <c r="CX29" i="47"/>
  <c r="CQ45" i="47"/>
  <c r="CS29" i="47"/>
  <c r="CR44" i="47"/>
  <c r="CS28" i="47"/>
  <c r="CP45" i="47"/>
  <c r="CT30" i="47"/>
  <c r="CP17" i="47"/>
  <c r="CQ14" i="47"/>
  <c r="CW25" i="47"/>
  <c r="CQ27" i="47"/>
  <c r="CP44" i="47"/>
  <c r="CQ29" i="47"/>
  <c r="CS45" i="47"/>
  <c r="CS43" i="47"/>
  <c r="CW27" i="47"/>
  <c r="CQ44" i="47"/>
  <c r="CP21" i="47"/>
  <c r="CW21" i="47"/>
  <c r="CS44" i="47"/>
  <c r="CR35" i="47"/>
  <c r="CW29" i="47"/>
  <c r="CP19" i="47"/>
  <c r="CQ38" i="47"/>
  <c r="CP36" i="47"/>
  <c r="CS13" i="47"/>
  <c r="CP46" i="47"/>
  <c r="DL30" i="47"/>
  <c r="DB25" i="47"/>
  <c r="CQ17" i="47"/>
  <c r="CZ29" i="47"/>
  <c r="CR21" i="47"/>
  <c r="CS40" i="47"/>
  <c r="CR26" i="47"/>
  <c r="CT29" i="47"/>
  <c r="CP27" i="47"/>
  <c r="CW40" i="47"/>
  <c r="CW22" i="47"/>
  <c r="DE46" i="47"/>
  <c r="CP38" i="47"/>
  <c r="DD30" i="47"/>
  <c r="DB24" i="47"/>
  <c r="CR16" i="47"/>
  <c r="CW41" i="47"/>
  <c r="CR33" i="47"/>
  <c r="CR29" i="47"/>
  <c r="CR20" i="47"/>
  <c r="DI13" i="47"/>
  <c r="CW39" i="47"/>
  <c r="CZ30" i="47"/>
  <c r="CR25" i="47"/>
  <c r="CQ39" i="47"/>
  <c r="CR27" i="47"/>
  <c r="CS16" i="47"/>
  <c r="CW36" i="47"/>
  <c r="CS26" i="47"/>
  <c r="CQ43" i="47"/>
  <c r="DI28" i="47"/>
  <c r="DD14" i="47"/>
  <c r="CW31" i="47"/>
  <c r="CS46" i="47"/>
  <c r="CP32" i="47"/>
  <c r="CW19" i="47"/>
  <c r="DB39" i="47"/>
  <c r="DI26" i="47"/>
  <c r="CP41" i="47"/>
  <c r="CQ19" i="47"/>
  <c r="CW38" i="47"/>
  <c r="DE32" i="47"/>
  <c r="DE13" i="47"/>
  <c r="CS35" i="47"/>
  <c r="CW16" i="47"/>
  <c r="CQ46" i="47"/>
  <c r="DC40" i="47"/>
  <c r="CS42" i="47"/>
  <c r="CQ34" i="47"/>
  <c r="CW15" i="47"/>
  <c r="CS31" i="47"/>
  <c r="CS19" i="47"/>
  <c r="CP40" i="47"/>
  <c r="CP18" i="47"/>
  <c r="CR37" i="47"/>
  <c r="DD45" i="47"/>
  <c r="CS15" i="47"/>
  <c r="CQ32" i="47"/>
  <c r="CQ20" i="47"/>
  <c r="DD27" i="47"/>
  <c r="CP24" i="47"/>
  <c r="DI37" i="47"/>
  <c r="CU30" i="47"/>
  <c r="CP23" i="47"/>
  <c r="CR13" i="47"/>
  <c r="DB40" i="47"/>
  <c r="CW32" i="47"/>
  <c r="CR28" i="47"/>
  <c r="DB19" i="47"/>
  <c r="CQ13" i="47"/>
  <c r="CR30" i="47"/>
  <c r="CR24" i="47"/>
  <c r="CS18" i="47"/>
  <c r="CR38" i="47"/>
  <c r="DC26" i="47"/>
  <c r="CQ33" i="47"/>
  <c r="DD25" i="47"/>
  <c r="DI40" i="47"/>
  <c r="CQ26" i="47"/>
  <c r="DG30" i="47"/>
  <c r="CW45" i="47"/>
  <c r="DF30" i="47"/>
  <c r="CR14" i="47"/>
  <c r="DC38" i="47"/>
  <c r="CS24" i="47"/>
  <c r="CV29" i="47"/>
  <c r="CY30" i="47"/>
  <c r="DI15" i="47"/>
  <c r="CW14" i="47"/>
  <c r="CW44" i="47"/>
  <c r="DI20" i="47"/>
  <c r="CQ37" i="47"/>
  <c r="DB29" i="47"/>
  <c r="CP22" i="47"/>
  <c r="DD46" i="47"/>
  <c r="DD38" i="47"/>
  <c r="DK30" i="47"/>
  <c r="CS27" i="47"/>
  <c r="DB18" i="47"/>
  <c r="DB46" i="47"/>
  <c r="DD35" i="47"/>
  <c r="DG29" i="47"/>
  <c r="DB23" i="47"/>
  <c r="CR15" i="47"/>
  <c r="CS37" i="47"/>
  <c r="CQ23" i="47"/>
  <c r="CW43" i="47"/>
  <c r="DC32" i="47"/>
  <c r="CQ22" i="47"/>
  <c r="CS36" i="47"/>
  <c r="DC25" i="47"/>
  <c r="CR42" i="47"/>
  <c r="DD28" i="47"/>
  <c r="DC44" i="47"/>
  <c r="CQ30" i="47"/>
  <c r="CW13" i="47"/>
  <c r="DD37" i="47"/>
  <c r="CW23" i="47"/>
  <c r="CP14" i="47"/>
  <c r="CS22" i="47"/>
  <c r="DD43" i="47"/>
  <c r="DC33" i="47"/>
  <c r="DB41" i="47"/>
  <c r="DJ29" i="47"/>
  <c r="DE23" i="47"/>
  <c r="DI17" i="47"/>
  <c r="DE45" i="47"/>
  <c r="DC39" i="47"/>
  <c r="DI34" i="47"/>
  <c r="DC45" i="47"/>
  <c r="DE33" i="47"/>
  <c r="DB36" i="47"/>
  <c r="DJ30" i="47"/>
  <c r="DI24" i="47"/>
  <c r="DC46" i="47"/>
  <c r="DE34" i="47"/>
  <c r="DE40" i="47"/>
  <c r="DC29" i="47"/>
  <c r="DD17" i="47"/>
  <c r="DE39" i="47"/>
  <c r="DD33" i="47"/>
  <c r="DB33" i="47"/>
  <c r="DC36" i="47"/>
  <c r="DE42" i="47"/>
  <c r="DD39" i="47"/>
  <c r="DE22" i="47"/>
  <c r="DI44" i="47"/>
  <c r="DE37" i="47"/>
  <c r="DD22" i="47"/>
  <c r="DE43" i="47"/>
  <c r="DB38" i="47"/>
  <c r="DE28" i="47"/>
  <c r="DD42" i="47"/>
  <c r="DE25" i="47"/>
  <c r="DD15" i="47"/>
  <c r="DE29" i="47"/>
  <c r="DE24" i="47"/>
  <c r="DC13" i="47"/>
  <c r="DB13" i="47"/>
  <c r="DC28" i="47"/>
  <c r="DD18" i="47"/>
  <c r="DI43" i="47"/>
  <c r="DC22" i="47"/>
  <c r="DB30" i="47"/>
  <c r="DC43" i="47"/>
  <c r="DH29" i="47"/>
  <c r="DI25" i="47"/>
  <c r="DI45" i="47"/>
  <c r="DE38" i="47"/>
  <c r="DB32" i="47"/>
  <c r="DB15" i="47"/>
  <c r="DC37" i="47"/>
  <c r="DB22" i="47"/>
  <c r="DC17" i="47"/>
  <c r="DI41" i="47"/>
  <c r="DD32" i="47"/>
  <c r="DI46" i="47"/>
  <c r="DC20" i="47"/>
  <c r="DB42" i="47"/>
  <c r="DD31" i="47"/>
  <c r="DB45" i="47"/>
  <c r="DD24" i="47"/>
  <c r="DB34" i="47"/>
  <c r="DE27" i="47"/>
  <c r="DB17" i="47"/>
  <c r="DL29" i="47"/>
  <c r="DI21" i="47"/>
  <c r="DC27" i="47"/>
  <c r="DE36" i="47"/>
  <c r="DI14" i="47"/>
  <c r="DC31" i="47"/>
  <c r="DC14" i="47"/>
  <c r="DI36" i="47"/>
  <c r="DB31" i="47"/>
  <c r="DB14" i="47"/>
  <c r="DI42" i="47"/>
  <c r="DD36" i="47"/>
  <c r="DI30" i="47"/>
  <c r="DI27" i="47"/>
  <c r="DE21" i="47"/>
  <c r="DD16" i="47"/>
  <c r="DI31" i="47"/>
  <c r="DC35" i="47"/>
  <c r="DI19" i="47"/>
  <c r="DD41" i="47"/>
  <c r="DH30" i="47"/>
  <c r="DB20" i="47"/>
  <c r="DE44" i="47"/>
  <c r="DC34" i="47"/>
  <c r="DI23" i="47"/>
  <c r="DI33" i="47"/>
  <c r="DC24" i="47"/>
  <c r="DE16" i="47"/>
  <c r="DD21" i="47"/>
  <c r="DI32" i="47"/>
  <c r="DE15" i="47"/>
  <c r="CS30" i="47"/>
  <c r="CP35" i="47"/>
  <c r="CR19" i="47"/>
  <c r="CS34" i="47"/>
  <c r="CU29" i="47"/>
  <c r="CP13" i="47"/>
  <c r="CR17" i="47"/>
  <c r="DN10" i="47"/>
  <c r="CV30" i="47"/>
  <c r="CQ21" i="47"/>
  <c r="CW46" i="47"/>
  <c r="CP42" i="47"/>
  <c r="CQ25" i="47"/>
  <c r="CW34" i="47"/>
  <c r="CW18" i="47"/>
  <c r="CP31" i="47"/>
  <c r="CR23" i="47"/>
  <c r="CQ40" i="47"/>
  <c r="CR45" i="47"/>
  <c r="CW35" i="47"/>
  <c r="CP26" i="47"/>
  <c r="CQ15" i="47"/>
  <c r="CR31" i="47"/>
  <c r="CP15" i="47"/>
  <c r="CQ41" i="47"/>
  <c r="CQ31" i="47"/>
  <c r="CP25" i="47"/>
  <c r="CS23" i="47"/>
  <c r="CR40" i="47"/>
  <c r="CR39" i="47"/>
  <c r="CQ24" i="47"/>
  <c r="CD28" i="47"/>
  <c r="CF24" i="47"/>
  <c r="CD20" i="47"/>
  <c r="CE41" i="47"/>
  <c r="CE26" i="47"/>
  <c r="CD14" i="47"/>
  <c r="CD25" i="47"/>
  <c r="CE45" i="47"/>
  <c r="CE40" i="47"/>
  <c r="CD26" i="47"/>
  <c r="CD36" i="47"/>
  <c r="CF42" i="47"/>
  <c r="CW28" i="47"/>
  <c r="CD33" i="47"/>
  <c r="CF15" i="47"/>
  <c r="CE32" i="47"/>
  <c r="CF38" i="47"/>
  <c r="CF22" i="47"/>
  <c r="CD18" i="47"/>
  <c r="CE35" i="47"/>
  <c r="CF39" i="47"/>
  <c r="CF28" i="47"/>
  <c r="CF30" i="47"/>
  <c r="CD38" i="47"/>
  <c r="CF27" i="47"/>
  <c r="CD16" i="47"/>
  <c r="CD32" i="47"/>
  <c r="CR18" i="47"/>
  <c r="CF40" i="47"/>
  <c r="CE25" i="47"/>
  <c r="CF46" i="47"/>
  <c r="CE19" i="47"/>
  <c r="CD45" i="47"/>
  <c r="CD17" i="47"/>
  <c r="CD44" i="47"/>
  <c r="CE37" i="47"/>
  <c r="CE33" i="47"/>
  <c r="CF29" i="47"/>
  <c r="CE42" i="47"/>
  <c r="CD30" i="47"/>
  <c r="CE27" i="47"/>
  <c r="CF32" i="47"/>
  <c r="CF31" i="47"/>
  <c r="CE29" i="47"/>
  <c r="CF44" i="47"/>
  <c r="CD13" i="47"/>
  <c r="CD34" i="47"/>
  <c r="CD23" i="47"/>
  <c r="CF16" i="47"/>
  <c r="CF21" i="47"/>
  <c r="CS17" i="47"/>
  <c r="CE21" i="47"/>
  <c r="CD15" i="47"/>
  <c r="CE36" i="47"/>
  <c r="CF41" i="47"/>
  <c r="CF26" i="47"/>
  <c r="CE24" i="47"/>
  <c r="CF19" i="47"/>
  <c r="CE15" i="47"/>
  <c r="CE46" i="47"/>
  <c r="CE14" i="47"/>
  <c r="CD35" i="47"/>
  <c r="CF17" i="47"/>
  <c r="CE22" i="47"/>
  <c r="CE30" i="47"/>
  <c r="CE43" i="47"/>
  <c r="CS39" i="47"/>
  <c r="CD40" i="47"/>
  <c r="CF45" i="47"/>
  <c r="CF13" i="47"/>
  <c r="CD41" i="47"/>
  <c r="CF34" i="47"/>
  <c r="CE18" i="47"/>
  <c r="CD39" i="47"/>
  <c r="CE28" i="47"/>
  <c r="CD37" i="47"/>
  <c r="CF25" i="47"/>
  <c r="CD21" i="47"/>
  <c r="CD42" i="47"/>
  <c r="CD27" i="47"/>
  <c r="CF18" i="47"/>
  <c r="CF14" i="47"/>
  <c r="CD31" i="47"/>
  <c r="CE31" i="47"/>
  <c r="CE20" i="47"/>
  <c r="CD29" i="47"/>
  <c r="CD24" i="47"/>
  <c r="CE17" i="47"/>
  <c r="CE38" i="47"/>
  <c r="CE16" i="47"/>
  <c r="CF43" i="47"/>
  <c r="CF36" i="47"/>
  <c r="CF35" i="47"/>
  <c r="CF20" i="47"/>
  <c r="R151" i="59"/>
  <c r="S151" i="59"/>
  <c r="T151" i="59"/>
  <c r="U151" i="59"/>
  <c r="V151" i="59"/>
  <c r="P14" i="40"/>
  <c r="P15" i="40"/>
  <c r="I2" i="40" s="1"/>
  <c r="I7" i="40" s="1"/>
  <c r="E3" i="40" s="1"/>
  <c r="P26" i="40" s="1"/>
  <c r="P14" i="36"/>
  <c r="P15" i="36"/>
  <c r="I2" i="36" s="1"/>
  <c r="I7" i="36" s="1"/>
  <c r="E3" i="36" s="1"/>
  <c r="P26" i="36" s="1"/>
  <c r="P14" i="35"/>
  <c r="P15" i="35"/>
  <c r="I2" i="35" s="1"/>
  <c r="I7" i="35" s="1"/>
  <c r="E3" i="35" s="1"/>
  <c r="P26" i="35" s="1"/>
  <c r="DV30" i="47" l="1"/>
  <c r="DP25" i="47"/>
  <c r="DO44" i="47"/>
  <c r="DN39" i="47"/>
  <c r="DO21" i="47"/>
  <c r="CK173" i="59" s="1"/>
  <c r="C184" i="59" s="1"/>
  <c r="DP28" i="47"/>
  <c r="DN28" i="47"/>
  <c r="DP37" i="47"/>
  <c r="DM31" i="47"/>
  <c r="DW29" i="47"/>
  <c r="DO13" i="47"/>
  <c r="CK3" i="59" s="1"/>
  <c r="C14" i="59" s="1"/>
  <c r="DM39" i="47"/>
  <c r="DX29" i="47"/>
  <c r="DO16" i="47"/>
  <c r="CK66" i="59" s="1"/>
  <c r="C77" i="59" s="1"/>
  <c r="DO18" i="47"/>
  <c r="CK110" i="59" s="1"/>
  <c r="C121" i="59" s="1"/>
  <c r="DO14" i="47"/>
  <c r="CK24" i="59" s="1"/>
  <c r="C35" i="59" s="1"/>
  <c r="DS30" i="47"/>
  <c r="DP13" i="47"/>
  <c r="CL3" i="59" s="1"/>
  <c r="D14" i="59" s="1"/>
  <c r="DM42" i="47"/>
  <c r="DN40" i="47"/>
  <c r="DN22" i="47"/>
  <c r="CJ194" i="59" s="1"/>
  <c r="B205" i="59" s="1"/>
  <c r="DR29" i="47"/>
  <c r="DO42" i="47"/>
  <c r="DM35" i="47"/>
  <c r="DO40" i="47"/>
  <c r="DM43" i="47"/>
  <c r="DP20" i="47"/>
  <c r="CL152" i="59" s="1"/>
  <c r="D163" i="59" s="1"/>
  <c r="DO19" i="47"/>
  <c r="CK131" i="59" s="1"/>
  <c r="C142" i="59" s="1"/>
  <c r="DN46" i="47"/>
  <c r="DP30" i="47"/>
  <c r="DM20" i="47"/>
  <c r="CI152" i="59" s="1"/>
  <c r="A163" i="59" s="1"/>
  <c r="DN24" i="47"/>
  <c r="DP17" i="47"/>
  <c r="CL88" i="59" s="1"/>
  <c r="D99" i="59" s="1"/>
  <c r="DO36" i="47"/>
  <c r="DP32" i="47"/>
  <c r="DN38" i="47"/>
  <c r="DO17" i="47"/>
  <c r="CK88" i="59" s="1"/>
  <c r="C99" i="59" s="1"/>
  <c r="DN27" i="47"/>
  <c r="DN17" i="47"/>
  <c r="CJ88" i="59" s="1"/>
  <c r="B99" i="59" s="1"/>
  <c r="DP22" i="47"/>
  <c r="CL194" i="59" s="1"/>
  <c r="D205" i="59" s="1"/>
  <c r="DM28" i="47"/>
  <c r="DP36" i="47"/>
  <c r="DN15" i="47"/>
  <c r="CJ45" i="59" s="1"/>
  <c r="B56" i="59" s="1"/>
  <c r="DO27" i="47"/>
  <c r="DO37" i="47"/>
  <c r="DP38" i="47"/>
  <c r="DT30" i="47"/>
  <c r="DP42" i="47"/>
  <c r="DM38" i="47"/>
  <c r="DM29" i="47"/>
  <c r="DV29" i="47"/>
  <c r="DP39" i="47"/>
  <c r="DN26" i="47"/>
  <c r="DN14" i="47"/>
  <c r="CJ24" i="59" s="1"/>
  <c r="B35" i="59" s="1"/>
  <c r="DP26" i="47"/>
  <c r="DP46" i="47"/>
  <c r="DM41" i="47"/>
  <c r="DM37" i="47"/>
  <c r="DO23" i="47"/>
  <c r="DM18" i="47"/>
  <c r="CI110" i="59" s="1"/>
  <c r="A121" i="59" s="1"/>
  <c r="DM45" i="47"/>
  <c r="DO22" i="47"/>
  <c r="CK194" i="59" s="1"/>
  <c r="C205" i="59" s="1"/>
  <c r="DP31" i="47"/>
  <c r="DU29" i="47"/>
  <c r="DO41" i="47"/>
  <c r="DN20" i="47"/>
  <c r="CJ152" i="59" s="1"/>
  <c r="B163" i="59" s="1"/>
  <c r="DP16" i="47"/>
  <c r="CL66" i="59" s="1"/>
  <c r="D77" i="59" s="1"/>
  <c r="DN35" i="47"/>
  <c r="DM16" i="47"/>
  <c r="CI66" i="59" s="1"/>
  <c r="A77" i="59" s="1"/>
  <c r="DM25" i="47"/>
  <c r="DN33" i="47"/>
  <c r="DN45" i="47"/>
  <c r="DP43" i="47"/>
  <c r="DO29" i="47"/>
  <c r="DN44" i="47"/>
  <c r="DN25" i="47"/>
  <c r="DN34" i="47"/>
  <c r="DM13" i="47"/>
  <c r="CI3" i="59" s="1"/>
  <c r="A14" i="59" s="1"/>
  <c r="DR30" i="47"/>
  <c r="DN37" i="47"/>
  <c r="DO20" i="47"/>
  <c r="CK152" i="59" s="1"/>
  <c r="C163" i="59" s="1"/>
  <c r="DN23" i="47"/>
  <c r="DN19" i="47"/>
  <c r="CJ131" i="59" s="1"/>
  <c r="B142" i="59" s="1"/>
  <c r="DO24" i="47"/>
  <c r="DM26" i="47"/>
  <c r="DN42" i="47"/>
  <c r="DP19" i="47"/>
  <c r="CL131" i="59" s="1"/>
  <c r="D142" i="59" s="1"/>
  <c r="DN21" i="47"/>
  <c r="CJ173" i="59" s="1"/>
  <c r="B184" i="59" s="1"/>
  <c r="DP44" i="47"/>
  <c r="DU30" i="47"/>
  <c r="DM23" i="47"/>
  <c r="DM34" i="47"/>
  <c r="DM21" i="47"/>
  <c r="CI173" i="59" s="1"/>
  <c r="A184" i="59" s="1"/>
  <c r="DP27" i="47"/>
  <c r="DN30" i="47"/>
  <c r="DP24" i="47"/>
  <c r="DO15" i="47"/>
  <c r="CK45" i="59" s="1"/>
  <c r="C56" i="59" s="1"/>
  <c r="DX30" i="47"/>
  <c r="DT29" i="47"/>
  <c r="DO33" i="47"/>
  <c r="DP34" i="47"/>
  <c r="DO39" i="47"/>
  <c r="DM22" i="47"/>
  <c r="CI194" i="59" s="1"/>
  <c r="A205" i="59" s="1"/>
  <c r="DM24" i="47"/>
  <c r="DM33" i="47"/>
  <c r="DM36" i="47"/>
  <c r="DM14" i="47"/>
  <c r="CI24" i="59" s="1"/>
  <c r="A35" i="59" s="1"/>
  <c r="DP33" i="47"/>
  <c r="DO28" i="47"/>
  <c r="DN43" i="47"/>
  <c r="DP45" i="47"/>
  <c r="DQ29" i="47"/>
  <c r="DO30" i="47"/>
  <c r="DO46" i="47"/>
  <c r="DP41" i="47"/>
  <c r="DP21" i="47"/>
  <c r="CL173" i="59" s="1"/>
  <c r="D184" i="59" s="1"/>
  <c r="DN13" i="47"/>
  <c r="CJ3" i="59" s="1"/>
  <c r="B14" i="59" s="1"/>
  <c r="DS29" i="47"/>
  <c r="DP29" i="47"/>
  <c r="DO25" i="47"/>
  <c r="DN16" i="47"/>
  <c r="CJ66" i="59" s="1"/>
  <c r="B77" i="59" s="1"/>
  <c r="DW30" i="47"/>
  <c r="DN29" i="47"/>
  <c r="DP14" i="47"/>
  <c r="CL24" i="59" s="1"/>
  <c r="D35" i="59" s="1"/>
  <c r="DN32" i="47"/>
  <c r="DO32" i="47"/>
  <c r="DO35" i="47"/>
  <c r="DO45" i="47"/>
  <c r="DO26" i="47"/>
  <c r="DM46" i="47"/>
  <c r="DM32" i="47"/>
  <c r="DM19" i="47"/>
  <c r="CI131" i="59" s="1"/>
  <c r="A142" i="59" s="1"/>
  <c r="DM44" i="47"/>
  <c r="DM30" i="47"/>
  <c r="DN41" i="47"/>
  <c r="DP35" i="47"/>
  <c r="DO38" i="47"/>
  <c r="DN31" i="47"/>
  <c r="DO31" i="47"/>
  <c r="DP23" i="47"/>
  <c r="DP40" i="47"/>
  <c r="DP15" i="47"/>
  <c r="CL45" i="59" s="1"/>
  <c r="D56" i="59" s="1"/>
  <c r="DO43" i="47"/>
  <c r="DN36" i="47"/>
  <c r="DQ30" i="47"/>
  <c r="DN18" i="47"/>
  <c r="CJ110" i="59" s="1"/>
  <c r="B121" i="59" s="1"/>
  <c r="DP18" i="47"/>
  <c r="CL110" i="59" s="1"/>
  <c r="D121" i="59" s="1"/>
  <c r="DM15" i="47"/>
  <c r="CI45" i="59" s="1"/>
  <c r="A56" i="59" s="1"/>
  <c r="DM40" i="47"/>
  <c r="DM27" i="47"/>
  <c r="DM17" i="47"/>
  <c r="CI88" i="59" s="1"/>
  <c r="A99" i="59" s="1"/>
  <c r="DO34" i="47"/>
  <c r="B32" i="11" l="1"/>
  <c r="N12" i="57" l="1"/>
  <c r="D24" i="13" l="1"/>
  <c r="A6" i="57"/>
  <c r="A5" i="57"/>
  <c r="J9" i="16"/>
  <c r="H7" i="16" s="1"/>
  <c r="G9" i="16"/>
  <c r="E7" i="16" s="1"/>
  <c r="D9" i="16"/>
  <c r="B7" i="16" s="1"/>
  <c r="B4" i="57" l="1"/>
  <c r="J40" i="3"/>
  <c r="J37" i="3"/>
  <c r="Q7" i="16"/>
  <c r="J12" i="57" l="1"/>
  <c r="J13" i="57"/>
  <c r="T14" i="57"/>
  <c r="T13" i="57"/>
  <c r="J14" i="57"/>
  <c r="K2" i="16"/>
  <c r="F1" i="16"/>
  <c r="H5" i="2" l="1"/>
  <c r="Q13" i="57"/>
  <c r="M2" i="16"/>
  <c r="J47" i="16" l="1"/>
  <c r="Y6" i="16"/>
  <c r="Y5" i="16" s="1"/>
  <c r="X6" i="16"/>
  <c r="X5" i="16" s="1"/>
  <c r="M1" i="15" l="1"/>
  <c r="A53" i="16"/>
  <c r="R7" i="16" l="1"/>
  <c r="B58" i="16" s="1"/>
  <c r="B65" i="16" s="1"/>
  <c r="R9" i="16"/>
  <c r="H58" i="16" s="1"/>
  <c r="R8" i="16"/>
  <c r="E58" i="16" s="1"/>
  <c r="D1" i="16"/>
  <c r="A20" i="16" l="1"/>
  <c r="I1" i="30" l="1"/>
  <c r="I1" i="56"/>
  <c r="AT12" i="2" l="1"/>
  <c r="AS12" i="2"/>
  <c r="AR12" i="2"/>
  <c r="AQ12" i="2"/>
  <c r="AP12" i="2"/>
  <c r="AO12" i="2"/>
  <c r="AN12" i="2"/>
  <c r="AM12" i="2"/>
  <c r="AL12" i="2"/>
  <c r="AK12" i="2"/>
  <c r="AJ12" i="2"/>
  <c r="AI12" i="2"/>
  <c r="AH12" i="2"/>
  <c r="AG12" i="2"/>
  <c r="AF12" i="2"/>
  <c r="AE12" i="2"/>
  <c r="AD12" i="2"/>
  <c r="AC12" i="2"/>
  <c r="AB12" i="2"/>
  <c r="AA12" i="2"/>
  <c r="Z12" i="2"/>
  <c r="Y12" i="2"/>
  <c r="X12" i="2"/>
  <c r="W12" i="2"/>
  <c r="W4" i="9" l="1"/>
  <c r="V4" i="9"/>
  <c r="X4" i="7"/>
  <c r="W4" i="7"/>
  <c r="V4" i="7"/>
  <c r="X4" i="8"/>
  <c r="W4" i="8"/>
  <c r="V4" i="8"/>
  <c r="X4" i="9"/>
  <c r="B6" i="19" l="1"/>
  <c r="G6" i="19" s="1"/>
  <c r="I67" i="16"/>
  <c r="I69" i="16" s="1"/>
  <c r="I71" i="16" s="1"/>
  <c r="I66" i="16"/>
  <c r="I68" i="16" s="1"/>
  <c r="I70" i="16" s="1"/>
  <c r="F67" i="16"/>
  <c r="F69" i="16" s="1"/>
  <c r="F71" i="16" s="1"/>
  <c r="F66" i="16"/>
  <c r="F68" i="16" s="1"/>
  <c r="F70" i="16" s="1"/>
  <c r="C67" i="16"/>
  <c r="C69" i="16" s="1"/>
  <c r="C71" i="16" s="1"/>
  <c r="C66" i="16"/>
  <c r="C68" i="16" s="1"/>
  <c r="C70" i="16" s="1"/>
  <c r="H68" i="16" l="1"/>
  <c r="H60" i="16"/>
  <c r="E68" i="16"/>
  <c r="E70" i="16" s="1"/>
  <c r="E60" i="16"/>
  <c r="I53" i="16"/>
  <c r="F53" i="16"/>
  <c r="C53" i="16"/>
  <c r="H66" i="16" l="1"/>
  <c r="H70" i="16"/>
  <c r="E66" i="16"/>
  <c r="B68" i="16" l="1"/>
  <c r="M7" i="57"/>
  <c r="K7" i="57"/>
  <c r="J8" i="16"/>
  <c r="J7" i="16"/>
  <c r="G8" i="16"/>
  <c r="G7" i="16"/>
  <c r="D8" i="16"/>
  <c r="D7" i="16"/>
  <c r="JS9" i="53"/>
  <c r="JH9" i="53"/>
  <c r="IW9" i="53"/>
  <c r="IL9" i="53"/>
  <c r="IA9" i="53"/>
  <c r="HP9" i="53"/>
  <c r="HE9" i="53"/>
  <c r="GT9" i="53"/>
  <c r="GI9" i="53"/>
  <c r="FX9" i="53"/>
  <c r="FM9" i="53"/>
  <c r="FB9" i="53"/>
  <c r="P10" i="57"/>
  <c r="C44" i="2" s="1"/>
  <c r="P9" i="57"/>
  <c r="C26" i="2" s="1"/>
  <c r="P8" i="57"/>
  <c r="C5" i="2" s="1"/>
  <c r="Q46" i="2" l="1"/>
  <c r="R45" i="2"/>
  <c r="S51" i="2"/>
  <c r="P15" i="2"/>
  <c r="S18" i="2"/>
  <c r="S16" i="2"/>
  <c r="Q28" i="2"/>
  <c r="R27" i="2"/>
  <c r="S33" i="2"/>
  <c r="Q66" i="59"/>
  <c r="C65" i="59" s="1"/>
  <c r="Q24" i="59"/>
  <c r="C23" i="59" s="1"/>
  <c r="Q194" i="59"/>
  <c r="C193" i="59" s="1"/>
  <c r="Q88" i="59"/>
  <c r="C87" i="59" s="1"/>
  <c r="Q45" i="59"/>
  <c r="C44" i="59" s="1"/>
  <c r="Q173" i="59"/>
  <c r="C172" i="59" s="1"/>
  <c r="Q152" i="59"/>
  <c r="C151" i="59" s="1"/>
  <c r="Q131" i="59"/>
  <c r="C130" i="59" s="1"/>
  <c r="Q110" i="59"/>
  <c r="C109" i="59" s="1"/>
  <c r="B70" i="16"/>
  <c r="A68" i="16"/>
  <c r="H35" i="57"/>
  <c r="G35" i="57"/>
  <c r="F35" i="57"/>
  <c r="E35" i="57"/>
  <c r="D35" i="57"/>
  <c r="C35" i="57"/>
  <c r="N4" i="24"/>
  <c r="L4" i="24"/>
  <c r="J4" i="24"/>
  <c r="H4" i="24"/>
  <c r="F4" i="24"/>
  <c r="D4" i="24"/>
  <c r="W41" i="24"/>
  <c r="V41" i="24"/>
  <c r="U41" i="24"/>
  <c r="T41" i="24"/>
  <c r="S41" i="24"/>
  <c r="R41" i="24"/>
  <c r="W40" i="24"/>
  <c r="V40" i="24"/>
  <c r="U40" i="24"/>
  <c r="T40" i="24"/>
  <c r="S40" i="24"/>
  <c r="R40" i="24"/>
  <c r="W39" i="24"/>
  <c r="V39" i="24"/>
  <c r="U39" i="24"/>
  <c r="T39" i="24"/>
  <c r="S39" i="24"/>
  <c r="R39" i="24"/>
  <c r="W38" i="24"/>
  <c r="V38" i="24"/>
  <c r="U38" i="24"/>
  <c r="T38" i="24"/>
  <c r="S38" i="24"/>
  <c r="R38" i="24"/>
  <c r="W37" i="24"/>
  <c r="V37" i="24"/>
  <c r="U37" i="24"/>
  <c r="T37" i="24"/>
  <c r="S37" i="24"/>
  <c r="R37" i="24"/>
  <c r="W36" i="24"/>
  <c r="V36" i="24"/>
  <c r="U36" i="24"/>
  <c r="T36" i="24"/>
  <c r="S36" i="24"/>
  <c r="R36" i="24"/>
  <c r="W35" i="24"/>
  <c r="V35" i="24"/>
  <c r="U35" i="24"/>
  <c r="T35" i="24"/>
  <c r="S35" i="24"/>
  <c r="R35" i="24"/>
  <c r="W34" i="24"/>
  <c r="V34" i="24"/>
  <c r="U34" i="24"/>
  <c r="T34" i="24"/>
  <c r="S34" i="24"/>
  <c r="R34" i="24"/>
  <c r="W33" i="24"/>
  <c r="V33" i="24"/>
  <c r="U33" i="24"/>
  <c r="T33" i="24"/>
  <c r="S33" i="24"/>
  <c r="R33" i="24"/>
  <c r="W32" i="24"/>
  <c r="V32" i="24"/>
  <c r="U32" i="24"/>
  <c r="T32" i="24"/>
  <c r="S32" i="24"/>
  <c r="R32" i="24"/>
  <c r="W31" i="24"/>
  <c r="V31" i="24"/>
  <c r="U31" i="24"/>
  <c r="T31" i="24"/>
  <c r="S31" i="24"/>
  <c r="R31" i="24"/>
  <c r="W30" i="24"/>
  <c r="V30" i="24"/>
  <c r="U30" i="24"/>
  <c r="T30" i="24"/>
  <c r="S30" i="24"/>
  <c r="R30" i="24"/>
  <c r="W29" i="24"/>
  <c r="V29" i="24"/>
  <c r="U29" i="24"/>
  <c r="T29" i="24"/>
  <c r="S29" i="24"/>
  <c r="R29" i="24"/>
  <c r="W28" i="24"/>
  <c r="V28" i="24"/>
  <c r="U28" i="24"/>
  <c r="T28" i="24"/>
  <c r="S28" i="24"/>
  <c r="R28" i="24"/>
  <c r="W27" i="24"/>
  <c r="V27" i="24"/>
  <c r="U27" i="24"/>
  <c r="T27" i="24"/>
  <c r="S27" i="24"/>
  <c r="R27" i="24"/>
  <c r="W26" i="24"/>
  <c r="V26" i="24"/>
  <c r="U26" i="24"/>
  <c r="T26" i="24"/>
  <c r="S26" i="24"/>
  <c r="R26" i="24"/>
  <c r="W25" i="24"/>
  <c r="V25" i="24"/>
  <c r="U25" i="24"/>
  <c r="T25" i="24"/>
  <c r="S25" i="24"/>
  <c r="R25" i="24"/>
  <c r="W24" i="24"/>
  <c r="V24" i="24"/>
  <c r="U24" i="24"/>
  <c r="T24" i="24"/>
  <c r="S24" i="24"/>
  <c r="R24" i="24"/>
  <c r="W23" i="24"/>
  <c r="V23" i="24"/>
  <c r="U23" i="24"/>
  <c r="T23" i="24"/>
  <c r="S23" i="24"/>
  <c r="R23" i="24"/>
  <c r="W22" i="24"/>
  <c r="V22" i="24"/>
  <c r="U22" i="24"/>
  <c r="T22" i="24"/>
  <c r="S22" i="24"/>
  <c r="R22" i="24"/>
  <c r="W21" i="24"/>
  <c r="V21" i="24"/>
  <c r="U21" i="24"/>
  <c r="T21" i="24"/>
  <c r="S21" i="24"/>
  <c r="R21" i="24"/>
  <c r="W20" i="24"/>
  <c r="V20" i="24"/>
  <c r="U20" i="24"/>
  <c r="T20" i="24"/>
  <c r="S20" i="24"/>
  <c r="R20" i="24"/>
  <c r="W19" i="24"/>
  <c r="V19" i="24"/>
  <c r="U19" i="24"/>
  <c r="T19" i="24"/>
  <c r="S19" i="24"/>
  <c r="R19" i="24"/>
  <c r="W18" i="24"/>
  <c r="V18" i="24"/>
  <c r="U18" i="24"/>
  <c r="T18" i="24"/>
  <c r="S18" i="24"/>
  <c r="R18" i="24"/>
  <c r="W17" i="24"/>
  <c r="V17" i="24"/>
  <c r="U17" i="24"/>
  <c r="T17" i="24"/>
  <c r="S17" i="24"/>
  <c r="R17" i="24"/>
  <c r="W16" i="24"/>
  <c r="V16" i="24"/>
  <c r="U16" i="24"/>
  <c r="T16" i="24"/>
  <c r="S16" i="24"/>
  <c r="R16" i="24"/>
  <c r="W15" i="24"/>
  <c r="V15" i="24"/>
  <c r="U15" i="24"/>
  <c r="T15" i="24"/>
  <c r="S15" i="24"/>
  <c r="R15" i="24"/>
  <c r="W14" i="24"/>
  <c r="V14" i="24"/>
  <c r="U14" i="24"/>
  <c r="T14" i="24"/>
  <c r="S14" i="24"/>
  <c r="R14" i="24"/>
  <c r="W13" i="24"/>
  <c r="V13" i="24"/>
  <c r="U13" i="24"/>
  <c r="T13" i="24"/>
  <c r="S13" i="24"/>
  <c r="R13" i="24"/>
  <c r="W12" i="24"/>
  <c r="V12" i="24"/>
  <c r="U12" i="24"/>
  <c r="T12" i="24"/>
  <c r="S12" i="24"/>
  <c r="R12" i="24"/>
  <c r="W11" i="24"/>
  <c r="V11" i="24"/>
  <c r="U11" i="24"/>
  <c r="T11" i="24"/>
  <c r="S11" i="24"/>
  <c r="R11" i="24"/>
  <c r="W10" i="24"/>
  <c r="V10" i="24"/>
  <c r="U10" i="24"/>
  <c r="T10" i="24"/>
  <c r="S10" i="24"/>
  <c r="R10" i="24"/>
  <c r="W9" i="24"/>
  <c r="V9" i="24"/>
  <c r="U9" i="24"/>
  <c r="T9" i="24"/>
  <c r="S9" i="24"/>
  <c r="R9" i="24"/>
  <c r="B1" i="16"/>
  <c r="A1" i="16"/>
  <c r="E2" i="16"/>
  <c r="I46" i="16"/>
  <c r="O45" i="16"/>
  <c r="N45" i="16"/>
  <c r="M45" i="16"/>
  <c r="O44" i="16"/>
  <c r="N44" i="16"/>
  <c r="M44" i="16"/>
  <c r="O43" i="16"/>
  <c r="N43" i="16"/>
  <c r="M43" i="16"/>
  <c r="O42" i="16"/>
  <c r="N42" i="16"/>
  <c r="M42" i="16"/>
  <c r="O41" i="16"/>
  <c r="N41" i="16"/>
  <c r="M41" i="16"/>
  <c r="I47" i="16"/>
  <c r="H45" i="16"/>
  <c r="E45" i="16"/>
  <c r="G44" i="16"/>
  <c r="G43" i="16"/>
  <c r="H52" i="16"/>
  <c r="H53" i="16" s="1"/>
  <c r="H40" i="16"/>
  <c r="I36" i="16"/>
  <c r="H34" i="16"/>
  <c r="I34" i="16" s="1"/>
  <c r="I33" i="16"/>
  <c r="I32" i="16"/>
  <c r="I31" i="16"/>
  <c r="I30" i="16"/>
  <c r="I29" i="16"/>
  <c r="I28" i="16"/>
  <c r="I27" i="16"/>
  <c r="I26" i="16"/>
  <c r="I25" i="16"/>
  <c r="I12" i="16"/>
  <c r="H12" i="16"/>
  <c r="D169" i="3"/>
  <c r="D170" i="3"/>
  <c r="S54" i="2" l="1"/>
  <c r="P51" i="2"/>
  <c r="S52" i="2"/>
  <c r="S34" i="2"/>
  <c r="P33" i="2"/>
  <c r="S36" i="2"/>
  <c r="Q65" i="59"/>
  <c r="Q3" i="59"/>
  <c r="C2" i="59" s="1"/>
  <c r="Q172" i="59"/>
  <c r="Q193" i="59"/>
  <c r="Q87" i="59"/>
  <c r="Q130" i="59"/>
  <c r="Q109" i="59"/>
  <c r="Q151" i="59"/>
  <c r="P41" i="16"/>
  <c r="N47" i="16"/>
  <c r="P42" i="16"/>
  <c r="P45" i="16"/>
  <c r="P44" i="16"/>
  <c r="M47" i="16"/>
  <c r="O47" i="16"/>
  <c r="P43" i="16"/>
  <c r="H14" i="16"/>
  <c r="T23" i="19" s="1"/>
  <c r="I38" i="16"/>
  <c r="H38" i="16"/>
  <c r="K10" i="22"/>
  <c r="J10" i="22"/>
  <c r="H10" i="22"/>
  <c r="C10" i="57"/>
  <c r="L33" i="3"/>
  <c r="C40" i="15"/>
  <c r="E216" i="3"/>
  <c r="G216" i="3" s="1"/>
  <c r="C39" i="15" s="1"/>
  <c r="E215" i="3"/>
  <c r="G215" i="3" s="1"/>
  <c r="C38" i="15" s="1"/>
  <c r="E214" i="3"/>
  <c r="G214" i="3" s="1"/>
  <c r="C37" i="15" s="1"/>
  <c r="E213" i="3"/>
  <c r="G213" i="3" s="1"/>
  <c r="C36" i="15" s="1"/>
  <c r="E212" i="3"/>
  <c r="G212" i="3" s="1"/>
  <c r="C35" i="15" s="1"/>
  <c r="E211" i="3"/>
  <c r="G211" i="3" s="1"/>
  <c r="C34" i="15" s="1"/>
  <c r="E210" i="3"/>
  <c r="G210" i="3" s="1"/>
  <c r="C33" i="15" s="1"/>
  <c r="E209" i="3"/>
  <c r="G209" i="3" s="1"/>
  <c r="C32" i="15" s="1"/>
  <c r="D208" i="3"/>
  <c r="E201" i="3"/>
  <c r="G201" i="3" s="1"/>
  <c r="C25" i="15" s="1"/>
  <c r="E200" i="3"/>
  <c r="G200" i="3" s="1"/>
  <c r="C24" i="15" s="1"/>
  <c r="E199" i="3"/>
  <c r="G199" i="3" s="1"/>
  <c r="C23" i="15" s="1"/>
  <c r="E198" i="3"/>
  <c r="G198" i="3" s="1"/>
  <c r="C22" i="15" s="1"/>
  <c r="D193" i="3"/>
  <c r="H194" i="3"/>
  <c r="F11" i="3"/>
  <c r="H111" i="3"/>
  <c r="H110" i="3"/>
  <c r="I14" i="16" l="1"/>
  <c r="T22" i="19"/>
  <c r="P47" i="16"/>
  <c r="P46" i="16"/>
  <c r="N15" i="16"/>
  <c r="G191" i="3"/>
  <c r="V23" i="19" l="1"/>
  <c r="U22" i="19"/>
  <c r="U23" i="19" s="1"/>
  <c r="M5" i="16"/>
  <c r="J56" i="2"/>
  <c r="I56" i="2"/>
  <c r="J38" i="2"/>
  <c r="I38" i="2"/>
  <c r="L2" i="16"/>
  <c r="I2" i="16" s="1"/>
  <c r="B41" i="16"/>
  <c r="I6" i="57"/>
  <c r="I5" i="57"/>
  <c r="P5" i="12"/>
  <c r="M5" i="12"/>
  <c r="J5" i="12"/>
  <c r="G5" i="12"/>
  <c r="D5" i="12"/>
  <c r="B4" i="12"/>
  <c r="N4" i="12"/>
  <c r="K4" i="12"/>
  <c r="H4" i="12"/>
  <c r="E4" i="12"/>
  <c r="O53" i="2"/>
  <c r="O35" i="2"/>
  <c r="J59" i="2"/>
  <c r="I59" i="2"/>
  <c r="J58" i="2"/>
  <c r="I58" i="2"/>
  <c r="J57" i="2"/>
  <c r="I57" i="2"/>
  <c r="J41" i="2"/>
  <c r="J40" i="2"/>
  <c r="J39" i="2"/>
  <c r="J5" i="57"/>
  <c r="I41" i="2"/>
  <c r="I40" i="2"/>
  <c r="I39" i="2"/>
  <c r="C36" i="2"/>
  <c r="C54" i="2" s="1"/>
  <c r="J20" i="2"/>
  <c r="J23" i="2"/>
  <c r="J22" i="2"/>
  <c r="J21" i="2"/>
  <c r="I23" i="2"/>
  <c r="I22" i="2"/>
  <c r="I21" i="2"/>
  <c r="I20" i="2"/>
  <c r="C24" i="2" s="1"/>
  <c r="A17" i="1"/>
  <c r="A18" i="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6" i="1" s="1"/>
  <c r="A47" i="1" s="1"/>
  <c r="A48" i="1" s="1"/>
  <c r="A49" i="1" s="1"/>
  <c r="A50" i="1" s="1"/>
  <c r="A51" i="1" s="1"/>
  <c r="A52" i="1" s="1"/>
  <c r="A53" i="1" s="1"/>
  <c r="A54" i="1" s="1"/>
  <c r="A55" i="1" s="1"/>
  <c r="A56" i="1" s="1"/>
  <c r="A57" i="1" s="1"/>
  <c r="A58" i="1" s="1"/>
  <c r="A59" i="1" s="1"/>
  <c r="A60" i="1" s="1"/>
  <c r="A61" i="1" s="1"/>
  <c r="A62" i="1" s="1"/>
  <c r="B1" i="2"/>
  <c r="O2" i="2"/>
  <c r="H19" i="16" l="1"/>
  <c r="J64" i="16" s="1"/>
  <c r="H64" i="16" s="1"/>
  <c r="H65" i="16" s="1"/>
  <c r="N57" i="2"/>
  <c r="A39" i="16"/>
  <c r="A41" i="16"/>
  <c r="I39" i="16"/>
  <c r="V6" i="24"/>
  <c r="H61" i="16"/>
  <c r="R6" i="24"/>
  <c r="T6" i="24"/>
  <c r="S6" i="24"/>
  <c r="U6" i="24"/>
  <c r="W6" i="24"/>
  <c r="H54" i="16"/>
  <c r="H56" i="16" s="1"/>
  <c r="I55" i="2"/>
  <c r="I37" i="2"/>
  <c r="I19" i="2"/>
  <c r="F2" i="16"/>
  <c r="H67" i="16" l="1"/>
  <c r="H71" i="16"/>
  <c r="H69" i="16"/>
  <c r="J19" i="2"/>
  <c r="J55" i="2"/>
  <c r="L55" i="2" s="1"/>
  <c r="J37" i="2"/>
  <c r="L37" i="2" s="1"/>
  <c r="L38" i="2" s="1"/>
  <c r="O5" i="2"/>
  <c r="B22" i="16" s="1"/>
  <c r="L8" i="16" l="1"/>
  <c r="L9" i="16"/>
  <c r="M55" i="2"/>
  <c r="M56" i="2" s="1"/>
  <c r="P57" i="2" s="1"/>
  <c r="L56" i="2"/>
  <c r="L57" i="2" s="1"/>
  <c r="B5" i="20"/>
  <c r="B6" i="20"/>
  <c r="B7" i="20"/>
  <c r="A120" i="22"/>
  <c r="A74" i="22"/>
  <c r="U74" i="22" s="1"/>
  <c r="K9" i="16"/>
  <c r="M37" i="2"/>
  <c r="P5" i="2"/>
  <c r="C42" i="2"/>
  <c r="J24" i="2"/>
  <c r="C60" i="2"/>
  <c r="F29" i="57"/>
  <c r="G29" i="57"/>
  <c r="F49" i="57"/>
  <c r="D49" i="57"/>
  <c r="C49" i="57"/>
  <c r="E48" i="57"/>
  <c r="D48" i="57"/>
  <c r="C48" i="57"/>
  <c r="H41" i="57"/>
  <c r="G41" i="57"/>
  <c r="F41" i="57"/>
  <c r="E41" i="57"/>
  <c r="D41" i="57"/>
  <c r="C41" i="57"/>
  <c r="J39" i="57"/>
  <c r="I39" i="57"/>
  <c r="J38" i="57"/>
  <c r="I38" i="57"/>
  <c r="J37" i="57"/>
  <c r="I37" i="57"/>
  <c r="J36" i="57"/>
  <c r="I36" i="57"/>
  <c r="A36" i="57"/>
  <c r="H24" i="57"/>
  <c r="G22" i="57"/>
  <c r="G19" i="57"/>
  <c r="H15" i="57"/>
  <c r="I15" i="57" s="1"/>
  <c r="H14" i="57"/>
  <c r="I14" i="57" s="1"/>
  <c r="D11" i="57"/>
  <c r="C9" i="57"/>
  <c r="B2" i="57"/>
  <c r="D1" i="57"/>
  <c r="P9" i="16" l="1"/>
  <c r="V9" i="16"/>
  <c r="U9" i="16"/>
  <c r="S9" i="16"/>
  <c r="G1" i="21"/>
  <c r="P1" i="22" s="1"/>
  <c r="F1" i="24" s="1"/>
  <c r="G1" i="20"/>
  <c r="E1" i="19"/>
  <c r="S8" i="24"/>
  <c r="T8" i="24"/>
  <c r="V8" i="24"/>
  <c r="A8" i="24"/>
  <c r="B74" i="22"/>
  <c r="R8" i="24"/>
  <c r="A10" i="22"/>
  <c r="A12" i="47" s="1"/>
  <c r="V120" i="22"/>
  <c r="V10" i="22" s="1"/>
  <c r="U8" i="24"/>
  <c r="W8" i="24"/>
  <c r="L43" i="57"/>
  <c r="I40" i="57"/>
  <c r="F40" i="57" s="1"/>
  <c r="J40" i="57"/>
  <c r="J41" i="57" s="1"/>
  <c r="K30" i="39"/>
  <c r="K27" i="39"/>
  <c r="L27" i="39" s="1"/>
  <c r="I27" i="39"/>
  <c r="L23" i="39"/>
  <c r="K21" i="39"/>
  <c r="M21" i="39" s="1"/>
  <c r="BU12" i="47" l="1"/>
  <c r="BG12" i="47"/>
  <c r="AP12" i="47"/>
  <c r="Y12" i="47"/>
  <c r="K12" i="47"/>
  <c r="AD12" i="47"/>
  <c r="AC12" i="47"/>
  <c r="BT12" i="47"/>
  <c r="BC12" i="47"/>
  <c r="AO12" i="47"/>
  <c r="X12" i="47"/>
  <c r="G12" i="47"/>
  <c r="AE12" i="47"/>
  <c r="M12" i="47"/>
  <c r="AQ12" i="47"/>
  <c r="BS12" i="47"/>
  <c r="BB12" i="47"/>
  <c r="AK12" i="47"/>
  <c r="W12" i="47"/>
  <c r="F12" i="47"/>
  <c r="Q12" i="47"/>
  <c r="BI12" i="47"/>
  <c r="BO12" i="47"/>
  <c r="BA12" i="47"/>
  <c r="AJ12" i="47"/>
  <c r="S12" i="47"/>
  <c r="E12" i="47"/>
  <c r="AV12" i="47"/>
  <c r="BH12" i="47"/>
  <c r="BN12" i="47"/>
  <c r="AW12" i="47"/>
  <c r="AI12" i="47"/>
  <c r="R12" i="47"/>
  <c r="BM12" i="47"/>
  <c r="AU12" i="47"/>
  <c r="L12" i="47"/>
  <c r="X120" i="22"/>
  <c r="A9" i="53"/>
  <c r="L9" i="53" s="1"/>
  <c r="W9" i="53" s="1"/>
  <c r="AH9" i="53" s="1"/>
  <c r="AS9" i="53" s="1"/>
  <c r="BD9" i="53" s="1"/>
  <c r="BO9" i="53" s="1"/>
  <c r="BZ9" i="53" s="1"/>
  <c r="CK9" i="53" s="1"/>
  <c r="CV9" i="53" s="1"/>
  <c r="DG9" i="53" s="1"/>
  <c r="DR9" i="53" s="1"/>
  <c r="EC9" i="53" s="1"/>
  <c r="ED9" i="53" s="1"/>
  <c r="CB12" i="47"/>
  <c r="BV12" i="47"/>
  <c r="BX12" i="47"/>
  <c r="BW12" i="47"/>
  <c r="H40" i="57"/>
  <c r="G40" i="57"/>
  <c r="C40" i="57"/>
  <c r="I41" i="57"/>
  <c r="D40" i="57"/>
  <c r="E40" i="57"/>
  <c r="R21" i="39"/>
  <c r="K41" i="57"/>
  <c r="A52" i="57"/>
  <c r="K43" i="57"/>
  <c r="L21" i="39"/>
  <c r="O21" i="39"/>
  <c r="L25" i="39"/>
  <c r="L19" i="39" s="1"/>
  <c r="J2" i="16"/>
  <c r="G4" i="11"/>
  <c r="BR59" i="56"/>
  <c r="BR50" i="56"/>
  <c r="AG50" i="56"/>
  <c r="M9" i="16" l="1"/>
  <c r="O9" i="16" s="1"/>
  <c r="T9" i="16" s="1"/>
  <c r="N9" i="16"/>
  <c r="EO9" i="53"/>
  <c r="EH9" i="53"/>
  <c r="ER9" i="53" s="1"/>
  <c r="EQ9" i="53"/>
  <c r="Q20" i="39"/>
  <c r="N20" i="39"/>
  <c r="Q19" i="39"/>
  <c r="N19" i="39"/>
  <c r="O19" i="39" s="1"/>
  <c r="N17" i="39"/>
  <c r="O17" i="39" s="1"/>
  <c r="J19" i="39"/>
  <c r="J120" i="3"/>
  <c r="K120" i="3" s="1"/>
  <c r="J118" i="3"/>
  <c r="J117" i="3"/>
  <c r="K117" i="3" s="1"/>
  <c r="M74" i="22" l="1"/>
  <c r="L120" i="22"/>
  <c r="L10" i="22" s="1"/>
  <c r="L74" i="22"/>
  <c r="H59" i="16"/>
  <c r="Y7" i="16"/>
  <c r="EP9" i="53"/>
  <c r="N74" i="22"/>
  <c r="L20" i="39"/>
  <c r="K118" i="3"/>
  <c r="H62" i="16" l="1"/>
  <c r="H72" i="16"/>
  <c r="Y8" i="16"/>
  <c r="L17" i="39"/>
  <c r="P10" i="50" l="1"/>
  <c r="P7" i="50"/>
  <c r="B30" i="3"/>
  <c r="C26" i="11" l="1"/>
  <c r="O28" i="39" l="1"/>
  <c r="M26" i="39" s="1"/>
  <c r="M28" i="39" l="1"/>
  <c r="K33" i="39" l="1"/>
  <c r="O1" i="39"/>
  <c r="O6" i="2" l="1"/>
  <c r="Q21" i="39" l="1"/>
  <c r="O20" i="39" s="1"/>
  <c r="N10" i="2" l="1"/>
  <c r="C14" i="2"/>
  <c r="B4" i="16"/>
  <c r="A8" i="16" s="1"/>
  <c r="A40" i="16"/>
  <c r="J6" i="57"/>
  <c r="L30" i="57"/>
  <c r="E13" i="29" s="1"/>
  <c r="J10" i="57"/>
  <c r="H30" i="57"/>
  <c r="O8" i="57"/>
  <c r="J4" i="57"/>
  <c r="J8" i="57"/>
  <c r="N9" i="2"/>
  <c r="C17" i="2"/>
  <c r="D17" i="2" s="1"/>
  <c r="E17" i="2" s="1"/>
  <c r="F17" i="2" s="1"/>
  <c r="G17" i="2" s="1"/>
  <c r="H17" i="2" s="1"/>
  <c r="I17" i="2" s="1"/>
  <c r="J17" i="2" s="1"/>
  <c r="K17" i="2" s="1"/>
  <c r="L17" i="2" s="1"/>
  <c r="M17" i="2" s="1"/>
  <c r="N17" i="2" s="1"/>
  <c r="J9" i="57"/>
  <c r="C10" i="2"/>
  <c r="C6" i="2"/>
  <c r="C12" i="2"/>
  <c r="C30" i="2" s="1"/>
  <c r="C48" i="2" s="1"/>
  <c r="C32" i="2"/>
  <c r="C50" i="2" s="1"/>
  <c r="B24" i="57"/>
  <c r="B30" i="57"/>
  <c r="F30" i="57"/>
  <c r="A30" i="57"/>
  <c r="A32" i="2"/>
  <c r="D3" i="6"/>
  <c r="I2" i="5"/>
  <c r="D52" i="57"/>
  <c r="C52" i="57"/>
  <c r="B52" i="57"/>
  <c r="G52" i="57"/>
  <c r="F52" i="57"/>
  <c r="E52" i="57"/>
  <c r="K23" i="57"/>
  <c r="I31" i="57" s="1"/>
  <c r="B5" i="29"/>
  <c r="O27" i="39"/>
  <c r="I35" i="57" l="1"/>
  <c r="X42" i="2" s="1"/>
  <c r="K25" i="57"/>
  <c r="A30" i="2"/>
  <c r="H52" i="57"/>
  <c r="E79" i="3"/>
  <c r="E78" i="3"/>
  <c r="D66" i="3"/>
  <c r="G13" i="29" l="1"/>
  <c r="X35" i="2"/>
  <c r="Z37" i="2"/>
  <c r="O17" i="2"/>
  <c r="J28" i="57"/>
  <c r="L28" i="57" s="1"/>
  <c r="E59" i="15" l="1"/>
  <c r="E53" i="15"/>
  <c r="E20" i="15"/>
  <c r="E22" i="29" l="1"/>
  <c r="E23" i="29" s="1"/>
  <c r="W3" i="7" l="1"/>
  <c r="D3" i="13" l="1"/>
  <c r="G11" i="14"/>
  <c r="G12" i="14"/>
  <c r="F13" i="14"/>
  <c r="F12" i="14" s="1"/>
  <c r="G13" i="14"/>
  <c r="E2" i="13"/>
  <c r="G28" i="13"/>
  <c r="G27" i="13"/>
  <c r="G26" i="13"/>
  <c r="G25" i="13"/>
  <c r="G24" i="13"/>
  <c r="G23" i="13"/>
  <c r="G22" i="13"/>
  <c r="C19" i="13"/>
  <c r="C17" i="13"/>
  <c r="C16" i="13"/>
  <c r="C15" i="13"/>
  <c r="C14" i="13"/>
  <c r="C12" i="13"/>
  <c r="C11" i="13"/>
  <c r="C10" i="13"/>
  <c r="B3" i="13"/>
  <c r="C13" i="13" s="1"/>
  <c r="C9" i="13" l="1"/>
  <c r="D2" i="13"/>
  <c r="C3" i="13" s="1"/>
  <c r="C2" i="13" s="1"/>
  <c r="E13" i="14"/>
  <c r="E11" i="14" l="1"/>
  <c r="A4" i="12"/>
  <c r="F7" i="50"/>
  <c r="F6" i="50"/>
  <c r="E5" i="50"/>
  <c r="E9" i="50" s="1"/>
  <c r="I7" i="33"/>
  <c r="E3" i="33" s="1"/>
  <c r="F7" i="33"/>
  <c r="F6" i="33"/>
  <c r="E5" i="33"/>
  <c r="I7" i="49"/>
  <c r="E3" i="49" s="1"/>
  <c r="F6" i="49"/>
  <c r="F7" i="49" s="1"/>
  <c r="E5" i="49"/>
  <c r="E9" i="49" s="1"/>
  <c r="I7" i="31"/>
  <c r="E3" i="31" s="1"/>
  <c r="N15" i="31" s="1"/>
  <c r="F6" i="31"/>
  <c r="F7" i="31" s="1"/>
  <c r="F10" i="31" s="1"/>
  <c r="E5" i="31"/>
  <c r="E9" i="31" s="1"/>
  <c r="BD33" i="56"/>
  <c r="AC104" i="56"/>
  <c r="AC103" i="56"/>
  <c r="AB64" i="56"/>
  <c r="AB63" i="56"/>
  <c r="W62" i="56"/>
  <c r="A2" i="56"/>
  <c r="AM2" i="56" s="1"/>
  <c r="BB49" i="56"/>
  <c r="AQ49" i="56"/>
  <c r="P49" i="56"/>
  <c r="E49" i="56"/>
  <c r="BJ33" i="56"/>
  <c r="X33" i="56"/>
  <c r="BJ32" i="56"/>
  <c r="X32" i="56"/>
  <c r="BJ31" i="56"/>
  <c r="BC31" i="56"/>
  <c r="X31" i="56"/>
  <c r="BJ30" i="56"/>
  <c r="BC30" i="56"/>
  <c r="X30" i="56"/>
  <c r="BJ29" i="56"/>
  <c r="X29" i="56"/>
  <c r="F12" i="56"/>
  <c r="AR11" i="56"/>
  <c r="AR10" i="56"/>
  <c r="AR9" i="56"/>
  <c r="E9" i="33" l="1"/>
  <c r="C16" i="31"/>
  <c r="AR12" i="56"/>
  <c r="P11" i="50"/>
  <c r="P12" i="50" s="1"/>
  <c r="P13" i="50" s="1"/>
  <c r="AY63" i="56"/>
  <c r="S63" i="56"/>
  <c r="M1" i="56"/>
  <c r="BD63" i="56"/>
  <c r="M2" i="56"/>
  <c r="M63" i="56"/>
  <c r="P2" i="56"/>
  <c r="P14" i="50" l="1"/>
  <c r="P15" i="50" s="1"/>
  <c r="I2" i="50" s="1"/>
  <c r="I7" i="50" s="1"/>
  <c r="E3" i="50" s="1"/>
  <c r="P26" i="50" s="1"/>
  <c r="A52" i="22" l="1"/>
  <c r="O99" i="22" l="1"/>
  <c r="U140" i="22"/>
  <c r="T54" i="22"/>
  <c r="U100" i="22" s="1"/>
  <c r="K46" i="22"/>
  <c r="J46" i="22"/>
  <c r="H46" i="22"/>
  <c r="K45" i="22"/>
  <c r="J45" i="22"/>
  <c r="H45" i="22"/>
  <c r="K44" i="22"/>
  <c r="J44" i="22"/>
  <c r="H44" i="22"/>
  <c r="K43" i="22"/>
  <c r="J43" i="22"/>
  <c r="H43" i="22"/>
  <c r="K42" i="22"/>
  <c r="J42" i="22"/>
  <c r="H42" i="22"/>
  <c r="K41" i="22"/>
  <c r="J41" i="22"/>
  <c r="H41" i="22"/>
  <c r="K40" i="22"/>
  <c r="J40" i="22"/>
  <c r="H40" i="22"/>
  <c r="K39" i="22"/>
  <c r="J39" i="22"/>
  <c r="H39" i="22"/>
  <c r="K38" i="22"/>
  <c r="J38" i="22"/>
  <c r="H38" i="22"/>
  <c r="K37" i="22"/>
  <c r="J37" i="22"/>
  <c r="H37" i="22"/>
  <c r="K36" i="22"/>
  <c r="J36" i="22"/>
  <c r="H36" i="22"/>
  <c r="K35" i="22"/>
  <c r="J35" i="22"/>
  <c r="H35" i="22"/>
  <c r="K34" i="22"/>
  <c r="J34" i="22"/>
  <c r="H34" i="22"/>
  <c r="K33" i="22"/>
  <c r="J33" i="22"/>
  <c r="H33" i="22"/>
  <c r="K32" i="22"/>
  <c r="J32" i="22"/>
  <c r="H32" i="22"/>
  <c r="K31" i="22"/>
  <c r="J31" i="22"/>
  <c r="H31" i="22"/>
  <c r="V29" i="22"/>
  <c r="K9" i="22"/>
  <c r="J9" i="22"/>
  <c r="H9" i="22"/>
  <c r="K8" i="22"/>
  <c r="J8" i="22"/>
  <c r="K26" i="22"/>
  <c r="J26" i="22"/>
  <c r="H26" i="22"/>
  <c r="K25" i="22"/>
  <c r="J25" i="22"/>
  <c r="H25" i="22"/>
  <c r="K24" i="22"/>
  <c r="J24" i="22"/>
  <c r="H24" i="22"/>
  <c r="K23" i="22"/>
  <c r="J23" i="22"/>
  <c r="H23" i="22"/>
  <c r="K22" i="22"/>
  <c r="J22" i="22"/>
  <c r="H22" i="22"/>
  <c r="K21" i="22"/>
  <c r="J21" i="22"/>
  <c r="H21" i="22"/>
  <c r="K20" i="22"/>
  <c r="J20" i="22"/>
  <c r="H20" i="22"/>
  <c r="K19" i="22"/>
  <c r="J19" i="22"/>
  <c r="H19" i="22"/>
  <c r="K18" i="22"/>
  <c r="J18" i="22"/>
  <c r="H18" i="22"/>
  <c r="K17" i="22"/>
  <c r="J17" i="22"/>
  <c r="H17" i="22"/>
  <c r="K16" i="22"/>
  <c r="J16" i="22"/>
  <c r="H16" i="22"/>
  <c r="K15" i="22"/>
  <c r="J15" i="22"/>
  <c r="H15" i="22"/>
  <c r="K14" i="22"/>
  <c r="J14" i="22"/>
  <c r="H14" i="22"/>
  <c r="K13" i="22"/>
  <c r="J13" i="22"/>
  <c r="H13" i="22"/>
  <c r="K12" i="22"/>
  <c r="J12" i="22"/>
  <c r="H12" i="22"/>
  <c r="K11" i="22"/>
  <c r="J11" i="22"/>
  <c r="H11" i="22"/>
  <c r="D5" i="22"/>
  <c r="A5" i="22"/>
  <c r="I3" i="22"/>
  <c r="G21" i="29"/>
  <c r="F21" i="29"/>
  <c r="A21" i="29"/>
  <c r="G20" i="29"/>
  <c r="F20" i="29"/>
  <c r="A20" i="29"/>
  <c r="G19" i="29"/>
  <c r="F19" i="29"/>
  <c r="A19" i="29"/>
  <c r="G18" i="29"/>
  <c r="F18" i="29"/>
  <c r="A18" i="29"/>
  <c r="J8" i="29"/>
  <c r="J7" i="29"/>
  <c r="J6" i="29"/>
  <c r="J4" i="29"/>
  <c r="J3" i="29"/>
  <c r="E16" i="30"/>
  <c r="F16" i="30" s="1"/>
  <c r="B16" i="30"/>
  <c r="E15" i="30"/>
  <c r="F15" i="30" s="1"/>
  <c r="B15" i="30"/>
  <c r="E14" i="30"/>
  <c r="F14" i="30" s="1"/>
  <c r="B14" i="30"/>
  <c r="E13" i="30"/>
  <c r="F13" i="30" s="1"/>
  <c r="B13" i="30"/>
  <c r="I15" i="19"/>
  <c r="E15" i="19"/>
  <c r="I13" i="19"/>
  <c r="E13" i="19"/>
  <c r="I12" i="19"/>
  <c r="E12" i="19"/>
  <c r="B4" i="19"/>
  <c r="F10" i="19" s="1"/>
  <c r="A10" i="19" s="1"/>
  <c r="B3" i="19"/>
  <c r="D28" i="51"/>
  <c r="D27" i="51"/>
  <c r="D26" i="51"/>
  <c r="Q31" i="51"/>
  <c r="H12" i="51"/>
  <c r="T11" i="51"/>
  <c r="T10" i="51"/>
  <c r="L12" i="51" s="1"/>
  <c r="L6" i="51"/>
  <c r="D31" i="51"/>
  <c r="G31" i="51" l="1"/>
  <c r="I31" i="51" s="1"/>
  <c r="BA50" i="56"/>
  <c r="AP50" i="56"/>
  <c r="AP52" i="56"/>
  <c r="BA52" i="56"/>
  <c r="G22" i="29"/>
  <c r="B14" i="31"/>
  <c r="L6" i="29"/>
  <c r="M6" i="29" s="1"/>
  <c r="L7" i="29"/>
  <c r="M7" i="29" s="1"/>
  <c r="L8" i="29"/>
  <c r="M8" i="29" s="1"/>
  <c r="A3" i="19"/>
  <c r="F31" i="51"/>
  <c r="Q1" i="51"/>
  <c r="R31" i="51"/>
  <c r="T2" i="29" l="1"/>
  <c r="J20" i="31"/>
  <c r="D6" i="31" s="1"/>
  <c r="D10" i="31" s="1"/>
  <c r="G14" i="31"/>
  <c r="O36" i="16" l="1"/>
  <c r="C53" i="15"/>
  <c r="E7" i="15"/>
  <c r="C17" i="15"/>
  <c r="C15" i="15"/>
  <c r="C14" i="15"/>
  <c r="G15" i="15"/>
  <c r="C52" i="15" s="1"/>
  <c r="C13" i="15" l="1"/>
  <c r="C49" i="15"/>
  <c r="C58" i="15"/>
  <c r="C50" i="15"/>
  <c r="C56" i="15"/>
  <c r="C57" i="15"/>
  <c r="C55" i="15"/>
  <c r="C16" i="15"/>
  <c r="C51" i="15"/>
  <c r="G14" i="15"/>
  <c r="E15" i="15" s="1"/>
  <c r="E13" i="15" s="1"/>
  <c r="N34" i="16" s="1"/>
  <c r="C48" i="15" l="1"/>
  <c r="C54" i="15"/>
  <c r="E22" i="15"/>
  <c r="E35" i="15" s="1"/>
  <c r="E48" i="15" s="1"/>
  <c r="N36" i="16"/>
  <c r="E23" i="15"/>
  <c r="E37" i="15" s="1"/>
  <c r="E50" i="15" s="1"/>
  <c r="G8" i="54" l="1"/>
  <c r="AB25" i="3"/>
  <c r="AB27" i="3" s="1"/>
  <c r="T47" i="17"/>
  <c r="S47" i="17"/>
  <c r="R47" i="17"/>
  <c r="Q47" i="17"/>
  <c r="P47" i="17"/>
  <c r="O47" i="17"/>
  <c r="L47" i="17"/>
  <c r="T46" i="17"/>
  <c r="S46" i="17"/>
  <c r="R46" i="17"/>
  <c r="Q46" i="17"/>
  <c r="P46" i="17"/>
  <c r="O46" i="17"/>
  <c r="M46" i="17"/>
  <c r="T15" i="17"/>
  <c r="S15" i="17"/>
  <c r="R15" i="17"/>
  <c r="Q15" i="17"/>
  <c r="P15" i="17"/>
  <c r="O15" i="17"/>
  <c r="L15" i="17"/>
  <c r="T14" i="17"/>
  <c r="S14" i="17"/>
  <c r="R14" i="17"/>
  <c r="Q14" i="17"/>
  <c r="P14" i="17"/>
  <c r="O14" i="17"/>
  <c r="M14" i="17"/>
  <c r="T45" i="17"/>
  <c r="S45" i="17"/>
  <c r="R45" i="17"/>
  <c r="Q45" i="17"/>
  <c r="P45" i="17"/>
  <c r="O45" i="17"/>
  <c r="L45" i="17"/>
  <c r="T44" i="17"/>
  <c r="S44" i="17"/>
  <c r="R44" i="17"/>
  <c r="Q44" i="17"/>
  <c r="P44" i="17"/>
  <c r="O44" i="17"/>
  <c r="M44" i="17"/>
  <c r="T43" i="17"/>
  <c r="S43" i="17"/>
  <c r="R43" i="17"/>
  <c r="Q43" i="17"/>
  <c r="P43" i="17"/>
  <c r="O43" i="17"/>
  <c r="L43" i="17"/>
  <c r="T42" i="17"/>
  <c r="S42" i="17"/>
  <c r="R42" i="17"/>
  <c r="Q42" i="17"/>
  <c r="P42" i="17"/>
  <c r="O42" i="17"/>
  <c r="M42" i="17"/>
  <c r="T41" i="17"/>
  <c r="S41" i="17"/>
  <c r="R41" i="17"/>
  <c r="Q41" i="17"/>
  <c r="P41" i="17"/>
  <c r="O41" i="17"/>
  <c r="L41" i="17"/>
  <c r="T40" i="17"/>
  <c r="S40" i="17"/>
  <c r="R40" i="17"/>
  <c r="Q40" i="17"/>
  <c r="P40" i="17"/>
  <c r="O40" i="17"/>
  <c r="M40" i="17"/>
  <c r="T30" i="17"/>
  <c r="S30" i="17"/>
  <c r="R30" i="17"/>
  <c r="Q30" i="17"/>
  <c r="P30" i="17"/>
  <c r="O30" i="17"/>
  <c r="L30" i="17"/>
  <c r="T29" i="17"/>
  <c r="S29" i="17"/>
  <c r="R29" i="17"/>
  <c r="Q29" i="17"/>
  <c r="P29" i="17"/>
  <c r="O29" i="17"/>
  <c r="M29" i="17"/>
  <c r="T25" i="17"/>
  <c r="S25" i="17"/>
  <c r="R25" i="17"/>
  <c r="Q25" i="17"/>
  <c r="P25" i="17"/>
  <c r="O25" i="17"/>
  <c r="L25" i="17"/>
  <c r="T24" i="17"/>
  <c r="S24" i="17"/>
  <c r="R24" i="17"/>
  <c r="Q24" i="17"/>
  <c r="P24" i="17"/>
  <c r="O24" i="17"/>
  <c r="N24" i="17"/>
  <c r="M24" i="17"/>
  <c r="T20" i="17"/>
  <c r="S20" i="17"/>
  <c r="R20" i="17"/>
  <c r="Q20" i="17"/>
  <c r="P20" i="17"/>
  <c r="O20" i="17"/>
  <c r="L20" i="17"/>
  <c r="T19" i="17"/>
  <c r="S19" i="17"/>
  <c r="R19" i="17"/>
  <c r="Q19" i="17"/>
  <c r="P19" i="17"/>
  <c r="O19" i="17"/>
  <c r="N19" i="17"/>
  <c r="M19" i="17"/>
  <c r="T39" i="17"/>
  <c r="S39" i="17"/>
  <c r="R39" i="17"/>
  <c r="Q39" i="17"/>
  <c r="P39" i="17"/>
  <c r="O39" i="17"/>
  <c r="L39" i="17"/>
  <c r="T38" i="17"/>
  <c r="S38" i="17"/>
  <c r="R38" i="17"/>
  <c r="Q38" i="17"/>
  <c r="P38" i="17"/>
  <c r="O38" i="17"/>
  <c r="N38" i="17"/>
  <c r="M38" i="17"/>
  <c r="T37" i="17"/>
  <c r="S37" i="17"/>
  <c r="R37" i="17"/>
  <c r="Q37" i="17"/>
  <c r="P37" i="17"/>
  <c r="O37" i="17"/>
  <c r="L37" i="17"/>
  <c r="T36" i="17"/>
  <c r="S36" i="17"/>
  <c r="R36" i="17"/>
  <c r="Q36" i="17"/>
  <c r="P36" i="17"/>
  <c r="O36" i="17"/>
  <c r="N36" i="17"/>
  <c r="M36" i="17"/>
  <c r="T35" i="17"/>
  <c r="S35" i="17"/>
  <c r="R35" i="17"/>
  <c r="Q35" i="17"/>
  <c r="P35" i="17"/>
  <c r="O35" i="17"/>
  <c r="L35" i="17"/>
  <c r="T34" i="17"/>
  <c r="S34" i="17"/>
  <c r="R34" i="17"/>
  <c r="Q34" i="17"/>
  <c r="P34" i="17"/>
  <c r="O34" i="17"/>
  <c r="N34" i="17"/>
  <c r="M34" i="17"/>
  <c r="T33" i="17"/>
  <c r="S33" i="17"/>
  <c r="R33" i="17"/>
  <c r="Q33" i="17"/>
  <c r="P33" i="17"/>
  <c r="O33" i="17"/>
  <c r="L33" i="17"/>
  <c r="T32" i="17"/>
  <c r="S32" i="17"/>
  <c r="R32" i="17"/>
  <c r="Q32" i="17"/>
  <c r="P32" i="17"/>
  <c r="O32" i="17"/>
  <c r="N32" i="17"/>
  <c r="M32" i="17"/>
  <c r="T28" i="17"/>
  <c r="T31" i="17" s="1"/>
  <c r="S28" i="17"/>
  <c r="R28" i="17"/>
  <c r="Q28" i="17"/>
  <c r="P28" i="17"/>
  <c r="P31" i="17" s="1"/>
  <c r="O28" i="17"/>
  <c r="L28" i="17"/>
  <c r="T27" i="17"/>
  <c r="S27" i="17"/>
  <c r="R27" i="17"/>
  <c r="Q27" i="17"/>
  <c r="P27" i="17"/>
  <c r="O27" i="17"/>
  <c r="N27" i="17"/>
  <c r="M27" i="17"/>
  <c r="T23" i="17"/>
  <c r="S23" i="17"/>
  <c r="R23" i="17"/>
  <c r="Q23" i="17"/>
  <c r="P23" i="17"/>
  <c r="O23" i="17"/>
  <c r="L23" i="17"/>
  <c r="T22" i="17"/>
  <c r="S22" i="17"/>
  <c r="R22" i="17"/>
  <c r="Q22" i="17"/>
  <c r="P22" i="17"/>
  <c r="O22" i="17"/>
  <c r="N22" i="17"/>
  <c r="M22" i="17"/>
  <c r="T18" i="17"/>
  <c r="S18" i="17"/>
  <c r="R18" i="17"/>
  <c r="Q18" i="17"/>
  <c r="P18" i="17"/>
  <c r="O18" i="17"/>
  <c r="L18" i="17"/>
  <c r="T17" i="17"/>
  <c r="S17" i="17"/>
  <c r="R17" i="17"/>
  <c r="Q17" i="17"/>
  <c r="P17" i="17"/>
  <c r="O17" i="17"/>
  <c r="N17" i="17"/>
  <c r="M17" i="17"/>
  <c r="T13" i="17"/>
  <c r="T16" i="17" s="1"/>
  <c r="S13" i="17"/>
  <c r="S16" i="17" s="1"/>
  <c r="R13" i="17"/>
  <c r="Q13" i="17"/>
  <c r="P13" i="17"/>
  <c r="O13" i="17"/>
  <c r="L13" i="17"/>
  <c r="T12" i="17"/>
  <c r="S12" i="17"/>
  <c r="R12" i="17"/>
  <c r="Q12" i="17"/>
  <c r="P12" i="17"/>
  <c r="O12" i="17"/>
  <c r="N12" i="17"/>
  <c r="M12" i="17"/>
  <c r="E8" i="54"/>
  <c r="E9" i="54"/>
  <c r="D18" i="54"/>
  <c r="C18" i="54" s="1"/>
  <c r="C19" i="54"/>
  <c r="Y53" i="3"/>
  <c r="AB53" i="3" s="1"/>
  <c r="N13" i="17" s="1"/>
  <c r="B52" i="3"/>
  <c r="Y52" i="3"/>
  <c r="K12" i="17" s="1"/>
  <c r="E24" i="3"/>
  <c r="N29" i="17" l="1"/>
  <c r="AB29" i="3"/>
  <c r="O26" i="17"/>
  <c r="Q31" i="17"/>
  <c r="O21" i="17"/>
  <c r="O31" i="17"/>
  <c r="R31" i="17"/>
  <c r="R16" i="17"/>
  <c r="R21" i="17"/>
  <c r="R26" i="17"/>
  <c r="S31" i="17"/>
  <c r="Q21" i="17"/>
  <c r="Q26" i="17"/>
  <c r="T21" i="17"/>
  <c r="T26" i="17"/>
  <c r="P21" i="17"/>
  <c r="P26" i="17"/>
  <c r="Q16" i="17"/>
  <c r="S21" i="17"/>
  <c r="S26" i="17"/>
  <c r="P16" i="17"/>
  <c r="O16" i="17"/>
  <c r="K13" i="17"/>
  <c r="AA53" i="3"/>
  <c r="B24" i="3"/>
  <c r="N40" i="17" l="1"/>
  <c r="AB31" i="3"/>
  <c r="Z52" i="3"/>
  <c r="L12" i="17" s="1"/>
  <c r="M13" i="17"/>
  <c r="A6" i="54"/>
  <c r="Y38" i="3"/>
  <c r="Y37" i="3"/>
  <c r="K46" i="17" s="1"/>
  <c r="Y36" i="3"/>
  <c r="Y35" i="3"/>
  <c r="K14" i="17" s="1"/>
  <c r="Y34" i="3"/>
  <c r="Y33" i="3"/>
  <c r="K44" i="17" s="1"/>
  <c r="Y32" i="3"/>
  <c r="K43" i="17" s="1"/>
  <c r="Y31" i="3"/>
  <c r="K42" i="17" s="1"/>
  <c r="Y30" i="3"/>
  <c r="K41" i="17" s="1"/>
  <c r="Y29" i="3"/>
  <c r="K40" i="17" s="1"/>
  <c r="Y28" i="3"/>
  <c r="Y27" i="3"/>
  <c r="K29" i="17" s="1"/>
  <c r="Y26" i="3"/>
  <c r="K25" i="17" s="1"/>
  <c r="Y25" i="3"/>
  <c r="K24" i="17" s="1"/>
  <c r="Y24" i="3"/>
  <c r="Y23" i="3"/>
  <c r="K19" i="17" s="1"/>
  <c r="Y57" i="3"/>
  <c r="K23" i="17" s="1"/>
  <c r="Y59" i="3"/>
  <c r="K28" i="17" s="1"/>
  <c r="Y61" i="3"/>
  <c r="K33" i="17" s="1"/>
  <c r="Y63" i="3"/>
  <c r="K35" i="17" s="1"/>
  <c r="Y65" i="3"/>
  <c r="Y67" i="3"/>
  <c r="K39" i="17" s="1"/>
  <c r="Y55" i="3"/>
  <c r="K18" i="17" s="1"/>
  <c r="Y66" i="3"/>
  <c r="K38" i="17" s="1"/>
  <c r="Y64" i="3"/>
  <c r="K36" i="17" s="1"/>
  <c r="Y62" i="3"/>
  <c r="K34" i="17" s="1"/>
  <c r="Y60" i="3"/>
  <c r="K32" i="17" s="1"/>
  <c r="Y58" i="3"/>
  <c r="K27" i="17" s="1"/>
  <c r="Y56" i="3"/>
  <c r="K22" i="17" s="1"/>
  <c r="Y54" i="3"/>
  <c r="K17" i="17" s="1"/>
  <c r="D50" i="3"/>
  <c r="D53" i="3"/>
  <c r="E53" i="3" l="1"/>
  <c r="D49" i="3"/>
  <c r="N42" i="17"/>
  <c r="AB33" i="3"/>
  <c r="AA65" i="3"/>
  <c r="M37" i="17" s="1"/>
  <c r="K37" i="17"/>
  <c r="AB38" i="3"/>
  <c r="N47" i="17" s="1"/>
  <c r="K47" i="17"/>
  <c r="K26" i="17"/>
  <c r="AB36" i="3"/>
  <c r="N15" i="17" s="1"/>
  <c r="K15" i="17"/>
  <c r="K16" i="17" s="1"/>
  <c r="AB34" i="3"/>
  <c r="N45" i="17" s="1"/>
  <c r="K45" i="17"/>
  <c r="AB28" i="3"/>
  <c r="N30" i="17" s="1"/>
  <c r="K30" i="17"/>
  <c r="K31" i="17" s="1"/>
  <c r="AB24" i="3"/>
  <c r="N20" i="17" s="1"/>
  <c r="K20" i="17"/>
  <c r="K21" i="17" s="1"/>
  <c r="Z66" i="3"/>
  <c r="L38" i="17" s="1"/>
  <c r="Z64" i="3"/>
  <c r="L36" i="17" s="1"/>
  <c r="AA57" i="3"/>
  <c r="AA67" i="3"/>
  <c r="M39" i="17" s="1"/>
  <c r="AB59" i="3"/>
  <c r="N28" i="17" s="1"/>
  <c r="AB65" i="3"/>
  <c r="N37" i="17" s="1"/>
  <c r="AB63" i="3"/>
  <c r="N35" i="17" s="1"/>
  <c r="AB67" i="3"/>
  <c r="N39" i="17" s="1"/>
  <c r="AA61" i="3"/>
  <c r="M33" i="17" s="1"/>
  <c r="AB55" i="3"/>
  <c r="N18" i="17" s="1"/>
  <c r="AA34" i="3"/>
  <c r="M45" i="17" s="1"/>
  <c r="Z37" i="3"/>
  <c r="L46" i="17" s="1"/>
  <c r="Z33" i="3"/>
  <c r="L44" i="17" s="1"/>
  <c r="AA32" i="3"/>
  <c r="AB32" i="3"/>
  <c r="N43" i="17" s="1"/>
  <c r="AA30" i="3"/>
  <c r="AB30" i="3"/>
  <c r="N41" i="17" s="1"/>
  <c r="AA26" i="3"/>
  <c r="AB26" i="3"/>
  <c r="N25" i="17" s="1"/>
  <c r="AA24" i="3"/>
  <c r="AA63" i="3"/>
  <c r="M35" i="17" s="1"/>
  <c r="AA59" i="3"/>
  <c r="AB61" i="3"/>
  <c r="N33" i="17" s="1"/>
  <c r="B53" i="3"/>
  <c r="AB57" i="3"/>
  <c r="N23" i="17" s="1"/>
  <c r="AA55" i="3"/>
  <c r="I50" i="3"/>
  <c r="AA36" i="3"/>
  <c r="AA28" i="3"/>
  <c r="AA38" i="3"/>
  <c r="M47" i="17" s="1"/>
  <c r="AB50" i="3"/>
  <c r="AB21" i="3"/>
  <c r="Z62" i="3" l="1"/>
  <c r="L34" i="17" s="1"/>
  <c r="N44" i="17"/>
  <c r="AB35" i="3"/>
  <c r="Z60" i="3"/>
  <c r="L32" i="17" s="1"/>
  <c r="Z58" i="3"/>
  <c r="L27" i="17" s="1"/>
  <c r="M28" i="17"/>
  <c r="Z56" i="3"/>
  <c r="L22" i="17" s="1"/>
  <c r="M23" i="17"/>
  <c r="Z54" i="3"/>
  <c r="L17" i="17" s="1"/>
  <c r="M18" i="17"/>
  <c r="Z35" i="3"/>
  <c r="L14" i="17" s="1"/>
  <c r="M15" i="17"/>
  <c r="M16" i="17" s="1"/>
  <c r="Z31" i="3"/>
  <c r="L42" i="17" s="1"/>
  <c r="M43" i="17"/>
  <c r="Z29" i="3"/>
  <c r="L40" i="17" s="1"/>
  <c r="M41" i="17"/>
  <c r="Z27" i="3"/>
  <c r="L29" i="17" s="1"/>
  <c r="M30" i="17"/>
  <c r="Z25" i="3"/>
  <c r="L24" i="17" s="1"/>
  <c r="M25" i="17"/>
  <c r="Z23" i="3"/>
  <c r="L19" i="17" s="1"/>
  <c r="M20" i="17"/>
  <c r="U1" i="3"/>
  <c r="B28" i="3"/>
  <c r="B27" i="3"/>
  <c r="B26" i="3"/>
  <c r="B23" i="3"/>
  <c r="N14" i="17" l="1"/>
  <c r="AB37" i="3"/>
  <c r="N46" i="17" s="1"/>
  <c r="M31" i="17"/>
  <c r="M21" i="17"/>
  <c r="M26" i="17"/>
  <c r="M34" i="16"/>
  <c r="M37" i="16"/>
  <c r="N38" i="16" s="1"/>
  <c r="ER47" i="53" l="1"/>
  <c r="EQ47" i="53"/>
  <c r="EP47" i="53"/>
  <c r="JS63" i="53"/>
  <c r="JH63" i="53"/>
  <c r="IW63" i="53"/>
  <c r="IL63" i="53"/>
  <c r="IA63" i="53"/>
  <c r="HP63" i="53"/>
  <c r="HE63" i="53"/>
  <c r="GT63" i="53"/>
  <c r="GI63" i="53"/>
  <c r="FX63" i="53"/>
  <c r="FM63" i="53"/>
  <c r="FB63" i="53"/>
  <c r="DZ63" i="53"/>
  <c r="EB63" i="53" s="1"/>
  <c r="JZ63" i="53" s="1"/>
  <c r="DV63" i="53"/>
  <c r="DW63" i="53" s="1"/>
  <c r="DO63" i="53"/>
  <c r="DK63" i="53"/>
  <c r="DL63" i="53" s="1"/>
  <c r="DD63" i="53"/>
  <c r="DE63" i="53" s="1"/>
  <c r="CZ63" i="53"/>
  <c r="CS63" i="53"/>
  <c r="CU63" i="53" s="1"/>
  <c r="IS63" i="53" s="1"/>
  <c r="CO63" i="53"/>
  <c r="CQ63" i="53" s="1"/>
  <c r="IO63" i="53" s="1"/>
  <c r="CH63" i="53"/>
  <c r="CJ63" i="53" s="1"/>
  <c r="IH63" i="53" s="1"/>
  <c r="CD63" i="53"/>
  <c r="BW63" i="53"/>
  <c r="BY63" i="53" s="1"/>
  <c r="HW63" i="53" s="1"/>
  <c r="BS63" i="53"/>
  <c r="BT63" i="53" s="1"/>
  <c r="BL63" i="53"/>
  <c r="BN63" i="53" s="1"/>
  <c r="HL63" i="53" s="1"/>
  <c r="BH63" i="53"/>
  <c r="BJ63" i="53" s="1"/>
  <c r="HH63" i="53" s="1"/>
  <c r="BA63" i="53"/>
  <c r="BC63" i="53" s="1"/>
  <c r="HA63" i="53" s="1"/>
  <c r="AW63" i="53"/>
  <c r="AY63" i="53" s="1"/>
  <c r="GW63" i="53" s="1"/>
  <c r="AP63" i="53"/>
  <c r="AR63" i="53" s="1"/>
  <c r="GP63" i="53" s="1"/>
  <c r="AL63" i="53"/>
  <c r="AN63" i="53" s="1"/>
  <c r="GL63" i="53" s="1"/>
  <c r="AE63" i="53"/>
  <c r="AA63" i="53"/>
  <c r="AB63" i="53" s="1"/>
  <c r="T63" i="53"/>
  <c r="U63" i="53" s="1"/>
  <c r="P63" i="53"/>
  <c r="I63" i="53"/>
  <c r="K63" i="53" s="1"/>
  <c r="FI63" i="53" s="1"/>
  <c r="E63" i="53"/>
  <c r="G63" i="53" s="1"/>
  <c r="FE63" i="53" s="1"/>
  <c r="JS62" i="53"/>
  <c r="JH62" i="53"/>
  <c r="IW62" i="53"/>
  <c r="IL62" i="53"/>
  <c r="IA62" i="53"/>
  <c r="HP62" i="53"/>
  <c r="HE62" i="53"/>
  <c r="GT62" i="53"/>
  <c r="GI62" i="53"/>
  <c r="FX62" i="53"/>
  <c r="FM62" i="53"/>
  <c r="FB62" i="53"/>
  <c r="DZ62" i="53"/>
  <c r="EB62" i="53" s="1"/>
  <c r="JZ62" i="53" s="1"/>
  <c r="DV62" i="53"/>
  <c r="DW62" i="53" s="1"/>
  <c r="DO62" i="53"/>
  <c r="DK62" i="53"/>
  <c r="DM62" i="53" s="1"/>
  <c r="JK62" i="53" s="1"/>
  <c r="DD62" i="53"/>
  <c r="DE62" i="53" s="1"/>
  <c r="CZ62" i="53"/>
  <c r="DB62" i="53" s="1"/>
  <c r="IZ62" i="53" s="1"/>
  <c r="CS62" i="53"/>
  <c r="CU62" i="53" s="1"/>
  <c r="IS62" i="53" s="1"/>
  <c r="CO62" i="53"/>
  <c r="CQ62" i="53" s="1"/>
  <c r="IO62" i="53" s="1"/>
  <c r="CH62" i="53"/>
  <c r="CJ62" i="53" s="1"/>
  <c r="IH62" i="53" s="1"/>
  <c r="CD62" i="53"/>
  <c r="BW62" i="53"/>
  <c r="BY62" i="53" s="1"/>
  <c r="HW62" i="53" s="1"/>
  <c r="BS62" i="53"/>
  <c r="BT62" i="53" s="1"/>
  <c r="BL62" i="53"/>
  <c r="BN62" i="53" s="1"/>
  <c r="HL62" i="53" s="1"/>
  <c r="BH62" i="53"/>
  <c r="BJ62" i="53" s="1"/>
  <c r="HH62" i="53" s="1"/>
  <c r="BA62" i="53"/>
  <c r="BC62" i="53" s="1"/>
  <c r="HA62" i="53" s="1"/>
  <c r="AW62" i="53"/>
  <c r="AY62" i="53" s="1"/>
  <c r="GW62" i="53" s="1"/>
  <c r="AP62" i="53"/>
  <c r="AR62" i="53" s="1"/>
  <c r="GP62" i="53" s="1"/>
  <c r="AL62" i="53"/>
  <c r="AN62" i="53" s="1"/>
  <c r="GL62" i="53" s="1"/>
  <c r="AE62" i="53"/>
  <c r="AA62" i="53"/>
  <c r="AC62" i="53" s="1"/>
  <c r="GA62" i="53" s="1"/>
  <c r="T62" i="53"/>
  <c r="U62" i="53" s="1"/>
  <c r="P62" i="53"/>
  <c r="R62" i="53" s="1"/>
  <c r="FP62" i="53" s="1"/>
  <c r="I62" i="53"/>
  <c r="K62" i="53" s="1"/>
  <c r="FI62" i="53" s="1"/>
  <c r="E62" i="53"/>
  <c r="G62" i="53" s="1"/>
  <c r="FE62" i="53" s="1"/>
  <c r="JS61" i="53"/>
  <c r="JH61" i="53"/>
  <c r="IW61" i="53"/>
  <c r="IL61" i="53"/>
  <c r="IA61" i="53"/>
  <c r="HP61" i="53"/>
  <c r="HE61" i="53"/>
  <c r="GT61" i="53"/>
  <c r="GI61" i="53"/>
  <c r="FX61" i="53"/>
  <c r="FM61" i="53"/>
  <c r="FB61" i="53"/>
  <c r="DZ61" i="53"/>
  <c r="EB61" i="53" s="1"/>
  <c r="JZ61" i="53" s="1"/>
  <c r="DV61" i="53"/>
  <c r="DX61" i="53" s="1"/>
  <c r="JV61" i="53" s="1"/>
  <c r="DO61" i="53"/>
  <c r="DK61" i="53"/>
  <c r="DM61" i="53" s="1"/>
  <c r="JK61" i="53" s="1"/>
  <c r="DD61" i="53"/>
  <c r="DE61" i="53" s="1"/>
  <c r="CZ61" i="53"/>
  <c r="DA61" i="53" s="1"/>
  <c r="CS61" i="53"/>
  <c r="CU61" i="53" s="1"/>
  <c r="IS61" i="53" s="1"/>
  <c r="CO61" i="53"/>
  <c r="CQ61" i="53" s="1"/>
  <c r="IO61" i="53" s="1"/>
  <c r="CH61" i="53"/>
  <c r="CJ61" i="53" s="1"/>
  <c r="IH61" i="53" s="1"/>
  <c r="CD61" i="53"/>
  <c r="BW61" i="53"/>
  <c r="BX61" i="53" s="1"/>
  <c r="BS61" i="53"/>
  <c r="BT61" i="53" s="1"/>
  <c r="BL61" i="53"/>
  <c r="BN61" i="53" s="1"/>
  <c r="HL61" i="53" s="1"/>
  <c r="BH61" i="53"/>
  <c r="BJ61" i="53" s="1"/>
  <c r="HH61" i="53" s="1"/>
  <c r="BA61" i="53"/>
  <c r="BC61" i="53" s="1"/>
  <c r="HA61" i="53" s="1"/>
  <c r="AW61" i="53"/>
  <c r="AY61" i="53" s="1"/>
  <c r="GW61" i="53" s="1"/>
  <c r="AP61" i="53"/>
  <c r="AL61" i="53"/>
  <c r="AN61" i="53" s="1"/>
  <c r="GL61" i="53" s="1"/>
  <c r="AE61" i="53"/>
  <c r="AA61" i="53"/>
  <c r="AC61" i="53" s="1"/>
  <c r="GA61" i="53" s="1"/>
  <c r="T61" i="53"/>
  <c r="U61" i="53" s="1"/>
  <c r="P61" i="53"/>
  <c r="Q61" i="53" s="1"/>
  <c r="I61" i="53"/>
  <c r="K61" i="53" s="1"/>
  <c r="FI61" i="53" s="1"/>
  <c r="E61" i="53"/>
  <c r="G61" i="53" s="1"/>
  <c r="FE61" i="53" s="1"/>
  <c r="JS60" i="53"/>
  <c r="JH60" i="53"/>
  <c r="IW60" i="53"/>
  <c r="IL60" i="53"/>
  <c r="IA60" i="53"/>
  <c r="HP60" i="53"/>
  <c r="HE60" i="53"/>
  <c r="GT60" i="53"/>
  <c r="GI60" i="53"/>
  <c r="FX60" i="53"/>
  <c r="FM60" i="53"/>
  <c r="FB60" i="53"/>
  <c r="DZ60" i="53"/>
  <c r="EB60" i="53" s="1"/>
  <c r="JZ60" i="53" s="1"/>
  <c r="DV60" i="53"/>
  <c r="DX60" i="53" s="1"/>
  <c r="JV60" i="53" s="1"/>
  <c r="DO60" i="53"/>
  <c r="DK60" i="53"/>
  <c r="DM60" i="53" s="1"/>
  <c r="JK60" i="53" s="1"/>
  <c r="DD60" i="53"/>
  <c r="DE60" i="53" s="1"/>
  <c r="CZ60" i="53"/>
  <c r="DB60" i="53" s="1"/>
  <c r="IZ60" i="53" s="1"/>
  <c r="CS60" i="53"/>
  <c r="CU60" i="53" s="1"/>
  <c r="IS60" i="53" s="1"/>
  <c r="CO60" i="53"/>
  <c r="CH60" i="53"/>
  <c r="CJ60" i="53" s="1"/>
  <c r="IH60" i="53" s="1"/>
  <c r="CD60" i="53"/>
  <c r="BW60" i="53"/>
  <c r="BY60" i="53" s="1"/>
  <c r="HW60" i="53" s="1"/>
  <c r="BS60" i="53"/>
  <c r="BT60" i="53" s="1"/>
  <c r="BL60" i="53"/>
  <c r="BM60" i="53" s="1"/>
  <c r="BH60" i="53"/>
  <c r="BJ60" i="53" s="1"/>
  <c r="HH60" i="53" s="1"/>
  <c r="BA60" i="53"/>
  <c r="BB60" i="53" s="1"/>
  <c r="AW60" i="53"/>
  <c r="AP60" i="53"/>
  <c r="AR60" i="53" s="1"/>
  <c r="GP60" i="53" s="1"/>
  <c r="AL60" i="53"/>
  <c r="AN60" i="53" s="1"/>
  <c r="GL60" i="53" s="1"/>
  <c r="AE60" i="53"/>
  <c r="AA60" i="53"/>
  <c r="AC60" i="53" s="1"/>
  <c r="GA60" i="53" s="1"/>
  <c r="T60" i="53"/>
  <c r="U60" i="53" s="1"/>
  <c r="P60" i="53"/>
  <c r="Q60" i="53" s="1"/>
  <c r="I60" i="53"/>
  <c r="K60" i="53" s="1"/>
  <c r="FI60" i="53" s="1"/>
  <c r="E60" i="53"/>
  <c r="JS59" i="53"/>
  <c r="JH59" i="53"/>
  <c r="IW59" i="53"/>
  <c r="IL59" i="53"/>
  <c r="IA59" i="53"/>
  <c r="HP59" i="53"/>
  <c r="HE59" i="53"/>
  <c r="GT59" i="53"/>
  <c r="GI59" i="53"/>
  <c r="FX59" i="53"/>
  <c r="FM59" i="53"/>
  <c r="FB59" i="53"/>
  <c r="DZ59" i="53"/>
  <c r="EB59" i="53" s="1"/>
  <c r="JZ59" i="53" s="1"/>
  <c r="DV59" i="53"/>
  <c r="DX59" i="53" s="1"/>
  <c r="JV59" i="53" s="1"/>
  <c r="DO59" i="53"/>
  <c r="DK59" i="53"/>
  <c r="DM59" i="53" s="1"/>
  <c r="JK59" i="53" s="1"/>
  <c r="DD59" i="53"/>
  <c r="DE59" i="53" s="1"/>
  <c r="CZ59" i="53"/>
  <c r="CS59" i="53"/>
  <c r="CU59" i="53" s="1"/>
  <c r="IS59" i="53" s="1"/>
  <c r="CO59" i="53"/>
  <c r="CQ59" i="53" s="1"/>
  <c r="IO59" i="53" s="1"/>
  <c r="CH59" i="53"/>
  <c r="CD59" i="53"/>
  <c r="BW59" i="53"/>
  <c r="BX59" i="53" s="1"/>
  <c r="BS59" i="53"/>
  <c r="BT59" i="53" s="1"/>
  <c r="BL59" i="53"/>
  <c r="BN59" i="53" s="1"/>
  <c r="HL59" i="53" s="1"/>
  <c r="BH59" i="53"/>
  <c r="BJ59" i="53" s="1"/>
  <c r="HH59" i="53" s="1"/>
  <c r="BA59" i="53"/>
  <c r="BC59" i="53" s="1"/>
  <c r="HA59" i="53" s="1"/>
  <c r="AW59" i="53"/>
  <c r="AX59" i="53" s="1"/>
  <c r="AP59" i="53"/>
  <c r="AR59" i="53" s="1"/>
  <c r="GP59" i="53" s="1"/>
  <c r="AL59" i="53"/>
  <c r="AN59" i="53" s="1"/>
  <c r="GL59" i="53" s="1"/>
  <c r="AE59" i="53"/>
  <c r="AA59" i="53"/>
  <c r="AB59" i="53" s="1"/>
  <c r="T59" i="53"/>
  <c r="V59" i="53" s="1"/>
  <c r="FT59" i="53" s="1"/>
  <c r="P59" i="53"/>
  <c r="R59" i="53" s="1"/>
  <c r="FP59" i="53" s="1"/>
  <c r="I59" i="53"/>
  <c r="K59" i="53" s="1"/>
  <c r="FI59" i="53" s="1"/>
  <c r="E59" i="53"/>
  <c r="G59" i="53" s="1"/>
  <c r="FE59" i="53" s="1"/>
  <c r="JS58" i="53"/>
  <c r="JH58" i="53"/>
  <c r="IW58" i="53"/>
  <c r="IL58" i="53"/>
  <c r="IA58" i="53"/>
  <c r="HP58" i="53"/>
  <c r="HE58" i="53"/>
  <c r="GT58" i="53"/>
  <c r="GI58" i="53"/>
  <c r="FX58" i="53"/>
  <c r="FM58" i="53"/>
  <c r="FB58" i="53"/>
  <c r="DZ58" i="53"/>
  <c r="EB58" i="53" s="1"/>
  <c r="JZ58" i="53" s="1"/>
  <c r="DV58" i="53"/>
  <c r="DW58" i="53" s="1"/>
  <c r="DO58" i="53"/>
  <c r="DK58" i="53"/>
  <c r="DM58" i="53" s="1"/>
  <c r="JK58" i="53" s="1"/>
  <c r="DD58" i="53"/>
  <c r="DF58" i="53" s="1"/>
  <c r="JD58" i="53" s="1"/>
  <c r="CZ58" i="53"/>
  <c r="DB58" i="53" s="1"/>
  <c r="IZ58" i="53" s="1"/>
  <c r="CS58" i="53"/>
  <c r="CU58" i="53" s="1"/>
  <c r="IS58" i="53" s="1"/>
  <c r="CO58" i="53"/>
  <c r="CQ58" i="53" s="1"/>
  <c r="IO58" i="53" s="1"/>
  <c r="CH58" i="53"/>
  <c r="CI58" i="53" s="1"/>
  <c r="CD58" i="53"/>
  <c r="BW58" i="53"/>
  <c r="BY58" i="53" s="1"/>
  <c r="HW58" i="53" s="1"/>
  <c r="BS58" i="53"/>
  <c r="BU58" i="53" s="1"/>
  <c r="HS58" i="53" s="1"/>
  <c r="BL58" i="53"/>
  <c r="BN58" i="53" s="1"/>
  <c r="HL58" i="53" s="1"/>
  <c r="BH58" i="53"/>
  <c r="BJ58" i="53" s="1"/>
  <c r="HH58" i="53" s="1"/>
  <c r="BA58" i="53"/>
  <c r="AW58" i="53"/>
  <c r="AX58" i="53" s="1"/>
  <c r="AP58" i="53"/>
  <c r="AR58" i="53" s="1"/>
  <c r="GP58" i="53" s="1"/>
  <c r="AL58" i="53"/>
  <c r="AN58" i="53" s="1"/>
  <c r="GL58" i="53" s="1"/>
  <c r="AE58" i="53"/>
  <c r="AA58" i="53"/>
  <c r="AC58" i="53" s="1"/>
  <c r="GA58" i="53" s="1"/>
  <c r="T58" i="53"/>
  <c r="U58" i="53" s="1"/>
  <c r="P58" i="53"/>
  <c r="R58" i="53" s="1"/>
  <c r="FP58" i="53" s="1"/>
  <c r="I58" i="53"/>
  <c r="K58" i="53" s="1"/>
  <c r="FI58" i="53" s="1"/>
  <c r="E58" i="53"/>
  <c r="G58" i="53" s="1"/>
  <c r="FE58" i="53" s="1"/>
  <c r="JS57" i="53"/>
  <c r="JH57" i="53"/>
  <c r="IW57" i="53"/>
  <c r="IL57" i="53"/>
  <c r="IA57" i="53"/>
  <c r="HP57" i="53"/>
  <c r="HE57" i="53"/>
  <c r="GT57" i="53"/>
  <c r="GI57" i="53"/>
  <c r="FX57" i="53"/>
  <c r="FM57" i="53"/>
  <c r="FB57" i="53"/>
  <c r="DZ57" i="53"/>
  <c r="EB57" i="53" s="1"/>
  <c r="JZ57" i="53" s="1"/>
  <c r="DV57" i="53"/>
  <c r="DX57" i="53" s="1"/>
  <c r="JV57" i="53" s="1"/>
  <c r="DO57" i="53"/>
  <c r="DP57" i="53" s="1"/>
  <c r="DK57" i="53"/>
  <c r="DD57" i="53"/>
  <c r="DF57" i="53" s="1"/>
  <c r="JD57" i="53" s="1"/>
  <c r="CZ57" i="53"/>
  <c r="DB57" i="53" s="1"/>
  <c r="IZ57" i="53" s="1"/>
  <c r="CS57" i="53"/>
  <c r="CU57" i="53" s="1"/>
  <c r="IS57" i="53" s="1"/>
  <c r="CO57" i="53"/>
  <c r="CQ57" i="53" s="1"/>
  <c r="IO57" i="53" s="1"/>
  <c r="CH57" i="53"/>
  <c r="CI57" i="53" s="1"/>
  <c r="CD57" i="53"/>
  <c r="BW57" i="53"/>
  <c r="BX57" i="53" s="1"/>
  <c r="BS57" i="53"/>
  <c r="BU57" i="53" s="1"/>
  <c r="HS57" i="53" s="1"/>
  <c r="BL57" i="53"/>
  <c r="BN57" i="53" s="1"/>
  <c r="HL57" i="53" s="1"/>
  <c r="BH57" i="53"/>
  <c r="BJ57" i="53" s="1"/>
  <c r="HH57" i="53" s="1"/>
  <c r="BA57" i="53"/>
  <c r="AW57" i="53"/>
  <c r="AX57" i="53" s="1"/>
  <c r="AP57" i="53"/>
  <c r="AR57" i="53" s="1"/>
  <c r="GP57" i="53" s="1"/>
  <c r="AL57" i="53"/>
  <c r="AN57" i="53" s="1"/>
  <c r="GL57" i="53" s="1"/>
  <c r="AE57" i="53"/>
  <c r="AF57" i="53" s="1"/>
  <c r="AA57" i="53"/>
  <c r="AC57" i="53" s="1"/>
  <c r="GA57" i="53" s="1"/>
  <c r="T57" i="53"/>
  <c r="V57" i="53" s="1"/>
  <c r="FT57" i="53" s="1"/>
  <c r="P57" i="53"/>
  <c r="R57" i="53" s="1"/>
  <c r="FP57" i="53" s="1"/>
  <c r="I57" i="53"/>
  <c r="E57" i="53"/>
  <c r="G57" i="53" s="1"/>
  <c r="FE57" i="53" s="1"/>
  <c r="JS56" i="53"/>
  <c r="JH56" i="53"/>
  <c r="IW56" i="53"/>
  <c r="IL56" i="53"/>
  <c r="IA56" i="53"/>
  <c r="HP56" i="53"/>
  <c r="HE56" i="53"/>
  <c r="GT56" i="53"/>
  <c r="GI56" i="53"/>
  <c r="FX56" i="53"/>
  <c r="FM56" i="53"/>
  <c r="FB56" i="53"/>
  <c r="DZ56" i="53"/>
  <c r="EB56" i="53" s="1"/>
  <c r="JZ56" i="53" s="1"/>
  <c r="DV56" i="53"/>
  <c r="DX56" i="53" s="1"/>
  <c r="JV56" i="53" s="1"/>
  <c r="DO56" i="53"/>
  <c r="DK56" i="53"/>
  <c r="DM56" i="53" s="1"/>
  <c r="JK56" i="53" s="1"/>
  <c r="DD56" i="53"/>
  <c r="DE56" i="53" s="1"/>
  <c r="CZ56" i="53"/>
  <c r="DB56" i="53" s="1"/>
  <c r="IZ56" i="53" s="1"/>
  <c r="CS56" i="53"/>
  <c r="CU56" i="53" s="1"/>
  <c r="IS56" i="53" s="1"/>
  <c r="CO56" i="53"/>
  <c r="CQ56" i="53" s="1"/>
  <c r="IO56" i="53" s="1"/>
  <c r="CH56" i="53"/>
  <c r="CI56" i="53" s="1"/>
  <c r="CD56" i="53"/>
  <c r="BW56" i="53"/>
  <c r="BY56" i="53" s="1"/>
  <c r="HW56" i="53" s="1"/>
  <c r="BS56" i="53"/>
  <c r="BT56" i="53" s="1"/>
  <c r="BL56" i="53"/>
  <c r="BM56" i="53" s="1"/>
  <c r="BH56" i="53"/>
  <c r="BJ56" i="53" s="1"/>
  <c r="HH56" i="53" s="1"/>
  <c r="BA56" i="53"/>
  <c r="BC56" i="53" s="1"/>
  <c r="HA56" i="53" s="1"/>
  <c r="AW56" i="53"/>
  <c r="AY56" i="53" s="1"/>
  <c r="GW56" i="53" s="1"/>
  <c r="AP56" i="53"/>
  <c r="AR56" i="53" s="1"/>
  <c r="GP56" i="53" s="1"/>
  <c r="AL56" i="53"/>
  <c r="AN56" i="53" s="1"/>
  <c r="GL56" i="53" s="1"/>
  <c r="AE56" i="53"/>
  <c r="AA56" i="53"/>
  <c r="AC56" i="53" s="1"/>
  <c r="GA56" i="53" s="1"/>
  <c r="T56" i="53"/>
  <c r="U56" i="53" s="1"/>
  <c r="P56" i="53"/>
  <c r="R56" i="53" s="1"/>
  <c r="FP56" i="53" s="1"/>
  <c r="I56" i="53"/>
  <c r="K56" i="53" s="1"/>
  <c r="FI56" i="53" s="1"/>
  <c r="E56" i="53"/>
  <c r="G56" i="53" s="1"/>
  <c r="FE56" i="53" s="1"/>
  <c r="JS55" i="53"/>
  <c r="JH55" i="53"/>
  <c r="IW55" i="53"/>
  <c r="IL55" i="53"/>
  <c r="IA55" i="53"/>
  <c r="HP55" i="53"/>
  <c r="HE55" i="53"/>
  <c r="GT55" i="53"/>
  <c r="GI55" i="53"/>
  <c r="FX55" i="53"/>
  <c r="FM55" i="53"/>
  <c r="FB55" i="53"/>
  <c r="DZ55" i="53"/>
  <c r="EB55" i="53" s="1"/>
  <c r="JZ55" i="53" s="1"/>
  <c r="DV55" i="53"/>
  <c r="DX55" i="53" s="1"/>
  <c r="JV55" i="53" s="1"/>
  <c r="DO55" i="53"/>
  <c r="DK55" i="53"/>
  <c r="DM55" i="53" s="1"/>
  <c r="JK55" i="53" s="1"/>
  <c r="DD55" i="53"/>
  <c r="DE55" i="53" s="1"/>
  <c r="CZ55" i="53"/>
  <c r="DB55" i="53" s="1"/>
  <c r="IZ55" i="53" s="1"/>
  <c r="CS55" i="53"/>
  <c r="CU55" i="53" s="1"/>
  <c r="IS55" i="53" s="1"/>
  <c r="CO55" i="53"/>
  <c r="CQ55" i="53" s="1"/>
  <c r="IO55" i="53" s="1"/>
  <c r="CH55" i="53"/>
  <c r="CJ55" i="53" s="1"/>
  <c r="IH55" i="53" s="1"/>
  <c r="CD55" i="53"/>
  <c r="BW55" i="53"/>
  <c r="BY55" i="53" s="1"/>
  <c r="HW55" i="53" s="1"/>
  <c r="BS55" i="53"/>
  <c r="BT55" i="53" s="1"/>
  <c r="BL55" i="53"/>
  <c r="BM55" i="53" s="1"/>
  <c r="BH55" i="53"/>
  <c r="BJ55" i="53" s="1"/>
  <c r="HH55" i="53" s="1"/>
  <c r="BA55" i="53"/>
  <c r="BC55" i="53" s="1"/>
  <c r="HA55" i="53" s="1"/>
  <c r="AW55" i="53"/>
  <c r="AY55" i="53" s="1"/>
  <c r="GW55" i="53" s="1"/>
  <c r="AP55" i="53"/>
  <c r="AR55" i="53" s="1"/>
  <c r="GP55" i="53" s="1"/>
  <c r="AL55" i="53"/>
  <c r="AN55" i="53" s="1"/>
  <c r="GL55" i="53" s="1"/>
  <c r="AE55" i="53"/>
  <c r="AA55" i="53"/>
  <c r="AC55" i="53" s="1"/>
  <c r="GA55" i="53" s="1"/>
  <c r="T55" i="53"/>
  <c r="U55" i="53" s="1"/>
  <c r="P55" i="53"/>
  <c r="Q55" i="53" s="1"/>
  <c r="I55" i="53"/>
  <c r="K55" i="53" s="1"/>
  <c r="FI55" i="53" s="1"/>
  <c r="E55" i="53"/>
  <c r="G55" i="53" s="1"/>
  <c r="FE55" i="53" s="1"/>
  <c r="JS54" i="53"/>
  <c r="JH54" i="53"/>
  <c r="IW54" i="53"/>
  <c r="IL54" i="53"/>
  <c r="IA54" i="53"/>
  <c r="HP54" i="53"/>
  <c r="HE54" i="53"/>
  <c r="GT54" i="53"/>
  <c r="GI54" i="53"/>
  <c r="FX54" i="53"/>
  <c r="FM54" i="53"/>
  <c r="FB54" i="53"/>
  <c r="DZ54" i="53"/>
  <c r="EB54" i="53" s="1"/>
  <c r="JZ54" i="53" s="1"/>
  <c r="DV54" i="53"/>
  <c r="DX54" i="53" s="1"/>
  <c r="JV54" i="53" s="1"/>
  <c r="DO54" i="53"/>
  <c r="DK54" i="53"/>
  <c r="DM54" i="53" s="1"/>
  <c r="JK54" i="53" s="1"/>
  <c r="DD54" i="53"/>
  <c r="DE54" i="53" s="1"/>
  <c r="CZ54" i="53"/>
  <c r="CS54" i="53"/>
  <c r="CU54" i="53" s="1"/>
  <c r="IS54" i="53" s="1"/>
  <c r="CO54" i="53"/>
  <c r="CQ54" i="53" s="1"/>
  <c r="IO54" i="53" s="1"/>
  <c r="CH54" i="53"/>
  <c r="CJ54" i="53" s="1"/>
  <c r="IH54" i="53" s="1"/>
  <c r="CD54" i="53"/>
  <c r="BW54" i="53"/>
  <c r="BY54" i="53" s="1"/>
  <c r="HW54" i="53" s="1"/>
  <c r="BS54" i="53"/>
  <c r="BT54" i="53" s="1"/>
  <c r="BL54" i="53"/>
  <c r="BN54" i="53" s="1"/>
  <c r="HL54" i="53" s="1"/>
  <c r="BH54" i="53"/>
  <c r="BJ54" i="53" s="1"/>
  <c r="HH54" i="53" s="1"/>
  <c r="BA54" i="53"/>
  <c r="BB54" i="53" s="1"/>
  <c r="AW54" i="53"/>
  <c r="AP54" i="53"/>
  <c r="AL54" i="53"/>
  <c r="AN54" i="53" s="1"/>
  <c r="GL54" i="53" s="1"/>
  <c r="AE54" i="53"/>
  <c r="AA54" i="53"/>
  <c r="AB54" i="53" s="1"/>
  <c r="T54" i="53"/>
  <c r="U54" i="53" s="1"/>
  <c r="P54" i="53"/>
  <c r="I54" i="53"/>
  <c r="K54" i="53" s="1"/>
  <c r="FI54" i="53" s="1"/>
  <c r="E54" i="53"/>
  <c r="G54" i="53" s="1"/>
  <c r="FE54" i="53" s="1"/>
  <c r="JS53" i="53"/>
  <c r="JH53" i="53"/>
  <c r="IW53" i="53"/>
  <c r="IL53" i="53"/>
  <c r="IA53" i="53"/>
  <c r="HP53" i="53"/>
  <c r="HE53" i="53"/>
  <c r="GT53" i="53"/>
  <c r="GI53" i="53"/>
  <c r="FX53" i="53"/>
  <c r="FM53" i="53"/>
  <c r="FB53" i="53"/>
  <c r="DZ53" i="53"/>
  <c r="EB53" i="53" s="1"/>
  <c r="JZ53" i="53" s="1"/>
  <c r="DV53" i="53"/>
  <c r="DX53" i="53" s="1"/>
  <c r="JV53" i="53" s="1"/>
  <c r="DO53" i="53"/>
  <c r="DK53" i="53"/>
  <c r="DM53" i="53" s="1"/>
  <c r="JK53" i="53" s="1"/>
  <c r="DD53" i="53"/>
  <c r="DE53" i="53" s="1"/>
  <c r="CZ53" i="53"/>
  <c r="DA53" i="53" s="1"/>
  <c r="CS53" i="53"/>
  <c r="CU53" i="53" s="1"/>
  <c r="IS53" i="53" s="1"/>
  <c r="CO53" i="53"/>
  <c r="CH53" i="53"/>
  <c r="CJ53" i="53" s="1"/>
  <c r="IH53" i="53" s="1"/>
  <c r="CD53" i="53"/>
  <c r="BW53" i="53"/>
  <c r="BY53" i="53" s="1"/>
  <c r="HW53" i="53" s="1"/>
  <c r="BS53" i="53"/>
  <c r="BT53" i="53" s="1"/>
  <c r="BL53" i="53"/>
  <c r="BN53" i="53" s="1"/>
  <c r="HL53" i="53" s="1"/>
  <c r="BH53" i="53"/>
  <c r="BI53" i="53" s="1"/>
  <c r="BA53" i="53"/>
  <c r="BC53" i="53" s="1"/>
  <c r="HA53" i="53" s="1"/>
  <c r="AW53" i="53"/>
  <c r="AP53" i="53"/>
  <c r="AL53" i="53"/>
  <c r="AM53" i="53" s="1"/>
  <c r="AE53" i="53"/>
  <c r="AA53" i="53"/>
  <c r="AB53" i="53" s="1"/>
  <c r="T53" i="53"/>
  <c r="U53" i="53" s="1"/>
  <c r="P53" i="53"/>
  <c r="I53" i="53"/>
  <c r="K53" i="53" s="1"/>
  <c r="FI53" i="53" s="1"/>
  <c r="E53" i="53"/>
  <c r="G53" i="53" s="1"/>
  <c r="FE53" i="53" s="1"/>
  <c r="JS52" i="53"/>
  <c r="JH52" i="53"/>
  <c r="IW52" i="53"/>
  <c r="IL52" i="53"/>
  <c r="IA52" i="53"/>
  <c r="HP52" i="53"/>
  <c r="HE52" i="53"/>
  <c r="GT52" i="53"/>
  <c r="GI52" i="53"/>
  <c r="FX52" i="53"/>
  <c r="FM52" i="53"/>
  <c r="FB52" i="53"/>
  <c r="DZ52" i="53"/>
  <c r="EB52" i="53" s="1"/>
  <c r="JZ52" i="53" s="1"/>
  <c r="DV52" i="53"/>
  <c r="DX52" i="53" s="1"/>
  <c r="JV52" i="53" s="1"/>
  <c r="DO52" i="53"/>
  <c r="DK52" i="53"/>
  <c r="DM52" i="53" s="1"/>
  <c r="JK52" i="53" s="1"/>
  <c r="DD52" i="53"/>
  <c r="DE52" i="53" s="1"/>
  <c r="CZ52" i="53"/>
  <c r="DA52" i="53" s="1"/>
  <c r="CS52" i="53"/>
  <c r="CU52" i="53" s="1"/>
  <c r="IS52" i="53" s="1"/>
  <c r="CO52" i="53"/>
  <c r="CH52" i="53"/>
  <c r="CJ52" i="53" s="1"/>
  <c r="IH52" i="53" s="1"/>
  <c r="CD52" i="53"/>
  <c r="CF52" i="53" s="1"/>
  <c r="ID52" i="53" s="1"/>
  <c r="BW52" i="53"/>
  <c r="BX52" i="53" s="1"/>
  <c r="BS52" i="53"/>
  <c r="BU52" i="53" s="1"/>
  <c r="HS52" i="53" s="1"/>
  <c r="BL52" i="53"/>
  <c r="BN52" i="53" s="1"/>
  <c r="HL52" i="53" s="1"/>
  <c r="BH52" i="53"/>
  <c r="BJ52" i="53" s="1"/>
  <c r="HH52" i="53" s="1"/>
  <c r="BA52" i="53"/>
  <c r="AW52" i="53"/>
  <c r="AY52" i="53" s="1"/>
  <c r="GW52" i="53" s="1"/>
  <c r="AP52" i="53"/>
  <c r="AR52" i="53" s="1"/>
  <c r="GP52" i="53" s="1"/>
  <c r="AL52" i="53"/>
  <c r="AM52" i="53" s="1"/>
  <c r="AE52" i="53"/>
  <c r="AF52" i="53" s="1"/>
  <c r="AA52" i="53"/>
  <c r="AC52" i="53" s="1"/>
  <c r="GA52" i="53" s="1"/>
  <c r="T52" i="53"/>
  <c r="V52" i="53" s="1"/>
  <c r="FT52" i="53" s="1"/>
  <c r="P52" i="53"/>
  <c r="I52" i="53"/>
  <c r="K52" i="53" s="1"/>
  <c r="FI52" i="53" s="1"/>
  <c r="E52" i="53"/>
  <c r="G52" i="53" s="1"/>
  <c r="FE52" i="53" s="1"/>
  <c r="JS51" i="53"/>
  <c r="JH51" i="53"/>
  <c r="IW51" i="53"/>
  <c r="IL51" i="53"/>
  <c r="IA51" i="53"/>
  <c r="HP51" i="53"/>
  <c r="HE51" i="53"/>
  <c r="GT51" i="53"/>
  <c r="GI51" i="53"/>
  <c r="FX51" i="53"/>
  <c r="FM51" i="53"/>
  <c r="FB51" i="53"/>
  <c r="DZ51" i="53"/>
  <c r="EB51" i="53" s="1"/>
  <c r="JZ51" i="53" s="1"/>
  <c r="DV51" i="53"/>
  <c r="DW51" i="53" s="1"/>
  <c r="DO51" i="53"/>
  <c r="DP51" i="53" s="1"/>
  <c r="DK51" i="53"/>
  <c r="DM51" i="53" s="1"/>
  <c r="JK51" i="53" s="1"/>
  <c r="DD51" i="53"/>
  <c r="DF51" i="53" s="1"/>
  <c r="JD51" i="53" s="1"/>
  <c r="CZ51" i="53"/>
  <c r="CS51" i="53"/>
  <c r="CU51" i="53" s="1"/>
  <c r="IS51" i="53" s="1"/>
  <c r="CO51" i="53"/>
  <c r="CQ51" i="53" s="1"/>
  <c r="IO51" i="53" s="1"/>
  <c r="CH51" i="53"/>
  <c r="CJ51" i="53" s="1"/>
  <c r="IH51" i="53" s="1"/>
  <c r="CD51" i="53"/>
  <c r="CE51" i="53" s="1"/>
  <c r="BW51" i="53"/>
  <c r="BX51" i="53" s="1"/>
  <c r="BS51" i="53"/>
  <c r="BT51" i="53" s="1"/>
  <c r="BL51" i="53"/>
  <c r="BN51" i="53" s="1"/>
  <c r="HL51" i="53" s="1"/>
  <c r="BH51" i="53"/>
  <c r="BJ51" i="53" s="1"/>
  <c r="HH51" i="53" s="1"/>
  <c r="BA51" i="53"/>
  <c r="AW51" i="53"/>
  <c r="AY51" i="53" s="1"/>
  <c r="GW51" i="53" s="1"/>
  <c r="AP51" i="53"/>
  <c r="AR51" i="53" s="1"/>
  <c r="GP51" i="53" s="1"/>
  <c r="AL51" i="53"/>
  <c r="AM51" i="53" s="1"/>
  <c r="AE51" i="53"/>
  <c r="AF51" i="53" s="1"/>
  <c r="AA51" i="53"/>
  <c r="AC51" i="53" s="1"/>
  <c r="GA51" i="53" s="1"/>
  <c r="T51" i="53"/>
  <c r="V51" i="53" s="1"/>
  <c r="FT51" i="53" s="1"/>
  <c r="P51" i="53"/>
  <c r="I51" i="53"/>
  <c r="K51" i="53" s="1"/>
  <c r="FI51" i="53" s="1"/>
  <c r="E51" i="53"/>
  <c r="G51" i="53" s="1"/>
  <c r="FE51" i="53" s="1"/>
  <c r="JS50" i="53"/>
  <c r="JH50" i="53"/>
  <c r="IW50" i="53"/>
  <c r="IL50" i="53"/>
  <c r="IA50" i="53"/>
  <c r="HP50" i="53"/>
  <c r="HE50" i="53"/>
  <c r="GT50" i="53"/>
  <c r="GI50" i="53"/>
  <c r="FX50" i="53"/>
  <c r="FM50" i="53"/>
  <c r="FB50" i="53"/>
  <c r="DZ50" i="53"/>
  <c r="EB50" i="53" s="1"/>
  <c r="JZ50" i="53" s="1"/>
  <c r="DV50" i="53"/>
  <c r="DW50" i="53" s="1"/>
  <c r="DO50" i="53"/>
  <c r="DP50" i="53" s="1"/>
  <c r="DK50" i="53"/>
  <c r="DM50" i="53" s="1"/>
  <c r="JK50" i="53" s="1"/>
  <c r="DD50" i="53"/>
  <c r="DF50" i="53" s="1"/>
  <c r="JD50" i="53" s="1"/>
  <c r="CZ50" i="53"/>
  <c r="CS50" i="53"/>
  <c r="CT50" i="53" s="1"/>
  <c r="CO50" i="53"/>
  <c r="CQ50" i="53" s="1"/>
  <c r="IO50" i="53" s="1"/>
  <c r="CH50" i="53"/>
  <c r="CJ50" i="53" s="1"/>
  <c r="IH50" i="53" s="1"/>
  <c r="CD50" i="53"/>
  <c r="CE50" i="53" s="1"/>
  <c r="BW50" i="53"/>
  <c r="BX50" i="53" s="1"/>
  <c r="BS50" i="53"/>
  <c r="BU50" i="53" s="1"/>
  <c r="HS50" i="53" s="1"/>
  <c r="BL50" i="53"/>
  <c r="BN50" i="53" s="1"/>
  <c r="HL50" i="53" s="1"/>
  <c r="BH50" i="53"/>
  <c r="BJ50" i="53" s="1"/>
  <c r="HH50" i="53" s="1"/>
  <c r="BA50" i="53"/>
  <c r="AW50" i="53"/>
  <c r="AY50" i="53" s="1"/>
  <c r="GW50" i="53" s="1"/>
  <c r="AP50" i="53"/>
  <c r="AR50" i="53" s="1"/>
  <c r="GP50" i="53" s="1"/>
  <c r="AL50" i="53"/>
  <c r="AM50" i="53" s="1"/>
  <c r="AE50" i="53"/>
  <c r="AF50" i="53" s="1"/>
  <c r="AA50" i="53"/>
  <c r="AC50" i="53" s="1"/>
  <c r="GA50" i="53" s="1"/>
  <c r="T50" i="53"/>
  <c r="V50" i="53" s="1"/>
  <c r="FT50" i="53" s="1"/>
  <c r="P50" i="53"/>
  <c r="I50" i="53"/>
  <c r="K50" i="53" s="1"/>
  <c r="FI50" i="53" s="1"/>
  <c r="E50" i="53"/>
  <c r="G50" i="53" s="1"/>
  <c r="FE50" i="53" s="1"/>
  <c r="JS49" i="53"/>
  <c r="JH49" i="53"/>
  <c r="IW49" i="53"/>
  <c r="IL49" i="53"/>
  <c r="IA49" i="53"/>
  <c r="HP49" i="53"/>
  <c r="HE49" i="53"/>
  <c r="GT49" i="53"/>
  <c r="GI49" i="53"/>
  <c r="FX49" i="53"/>
  <c r="FM49" i="53"/>
  <c r="FB49" i="53"/>
  <c r="DZ49" i="53"/>
  <c r="EB49" i="53" s="1"/>
  <c r="JZ49" i="53" s="1"/>
  <c r="DV49" i="53"/>
  <c r="DW49" i="53" s="1"/>
  <c r="DO49" i="53"/>
  <c r="DP49" i="53" s="1"/>
  <c r="DK49" i="53"/>
  <c r="DM49" i="53" s="1"/>
  <c r="JK49" i="53" s="1"/>
  <c r="DD49" i="53"/>
  <c r="DE49" i="53" s="1"/>
  <c r="CZ49" i="53"/>
  <c r="DA49" i="53" s="1"/>
  <c r="CS49" i="53"/>
  <c r="CU49" i="53" s="1"/>
  <c r="IS49" i="53" s="1"/>
  <c r="CO49" i="53"/>
  <c r="CQ49" i="53" s="1"/>
  <c r="IO49" i="53" s="1"/>
  <c r="CH49" i="53"/>
  <c r="CJ49" i="53" s="1"/>
  <c r="IH49" i="53" s="1"/>
  <c r="CD49" i="53"/>
  <c r="CE49" i="53" s="1"/>
  <c r="BW49" i="53"/>
  <c r="BX49" i="53" s="1"/>
  <c r="BS49" i="53"/>
  <c r="BU49" i="53" s="1"/>
  <c r="HS49" i="53" s="1"/>
  <c r="BL49" i="53"/>
  <c r="BN49" i="53" s="1"/>
  <c r="HL49" i="53" s="1"/>
  <c r="BH49" i="53"/>
  <c r="BI49" i="53" s="1"/>
  <c r="BA49" i="53"/>
  <c r="BB49" i="53" s="1"/>
  <c r="AW49" i="53"/>
  <c r="AY49" i="53" s="1"/>
  <c r="GW49" i="53" s="1"/>
  <c r="AP49" i="53"/>
  <c r="AR49" i="53" s="1"/>
  <c r="GP49" i="53" s="1"/>
  <c r="AL49" i="53"/>
  <c r="AM49" i="53" s="1"/>
  <c r="AE49" i="53"/>
  <c r="AF49" i="53" s="1"/>
  <c r="AA49" i="53"/>
  <c r="AC49" i="53" s="1"/>
  <c r="GA49" i="53" s="1"/>
  <c r="T49" i="53"/>
  <c r="V49" i="53" s="1"/>
  <c r="FT49" i="53" s="1"/>
  <c r="P49" i="53"/>
  <c r="Q49" i="53" s="1"/>
  <c r="I49" i="53"/>
  <c r="K49" i="53" s="1"/>
  <c r="FI49" i="53" s="1"/>
  <c r="E49" i="53"/>
  <c r="F49" i="53" s="1"/>
  <c r="L49" i="11"/>
  <c r="K49" i="11"/>
  <c r="J49" i="11"/>
  <c r="I49" i="11"/>
  <c r="H49" i="11"/>
  <c r="G49" i="11"/>
  <c r="F49" i="11"/>
  <c r="E49" i="11"/>
  <c r="D49" i="11"/>
  <c r="C49" i="11"/>
  <c r="A49" i="11"/>
  <c r="DE51" i="53" l="1"/>
  <c r="AB62" i="53"/>
  <c r="BM53" i="53"/>
  <c r="CI54" i="53"/>
  <c r="AB52" i="53"/>
  <c r="DW52" i="53"/>
  <c r="BC54" i="53"/>
  <c r="HA54" i="53" s="1"/>
  <c r="CT52" i="53"/>
  <c r="BJ53" i="53"/>
  <c r="HH53" i="53" s="1"/>
  <c r="DF55" i="53"/>
  <c r="JD55" i="53" s="1"/>
  <c r="DX62" i="53"/>
  <c r="JV62" i="53" s="1"/>
  <c r="EA50" i="53"/>
  <c r="CP49" i="53"/>
  <c r="CT53" i="53"/>
  <c r="V54" i="53"/>
  <c r="FT54" i="53" s="1"/>
  <c r="BM57" i="53"/>
  <c r="BN60" i="53"/>
  <c r="HL60" i="53" s="1"/>
  <c r="BY51" i="53"/>
  <c r="HW51" i="53" s="1"/>
  <c r="CF51" i="53"/>
  <c r="ID51" i="53" s="1"/>
  <c r="DL51" i="53"/>
  <c r="EA62" i="53"/>
  <c r="BX54" i="53"/>
  <c r="BI62" i="53"/>
  <c r="DB61" i="53"/>
  <c r="IZ61" i="53" s="1"/>
  <c r="DW55" i="53"/>
  <c r="CP56" i="53"/>
  <c r="BI57" i="53"/>
  <c r="Q58" i="53"/>
  <c r="AM54" i="53"/>
  <c r="BN55" i="53"/>
  <c r="HL55" i="53" s="1"/>
  <c r="DA56" i="53"/>
  <c r="AB57" i="53"/>
  <c r="V58" i="53"/>
  <c r="FT58" i="53" s="1"/>
  <c r="CT58" i="53"/>
  <c r="BI59" i="53"/>
  <c r="R60" i="53"/>
  <c r="FP60" i="53" s="1"/>
  <c r="BC60" i="53"/>
  <c r="HA60" i="53" s="1"/>
  <c r="BI61" i="53"/>
  <c r="BM62" i="53"/>
  <c r="AM58" i="53"/>
  <c r="DL58" i="53"/>
  <c r="BY59" i="53"/>
  <c r="HW59" i="53" s="1"/>
  <c r="DL59" i="53"/>
  <c r="DL61" i="53"/>
  <c r="AN50" i="53"/>
  <c r="GL50" i="53" s="1"/>
  <c r="BY50" i="53"/>
  <c r="HW50" i="53" s="1"/>
  <c r="CT55" i="53"/>
  <c r="J56" i="53"/>
  <c r="DA60" i="53"/>
  <c r="R61" i="53"/>
  <c r="FP61" i="53" s="1"/>
  <c r="CT62" i="53"/>
  <c r="EA49" i="53"/>
  <c r="DB52" i="53"/>
  <c r="IZ52" i="53" s="1"/>
  <c r="DF54" i="53"/>
  <c r="JD54" i="53" s="1"/>
  <c r="BB56" i="53"/>
  <c r="CJ56" i="53"/>
  <c r="IH56" i="53" s="1"/>
  <c r="DL56" i="53"/>
  <c r="BX60" i="53"/>
  <c r="CT61" i="53"/>
  <c r="AM62" i="53"/>
  <c r="DL60" i="53"/>
  <c r="DW61" i="53"/>
  <c r="V63" i="53"/>
  <c r="FT63" i="53" s="1"/>
  <c r="BI63" i="53"/>
  <c r="EA51" i="53"/>
  <c r="BN56" i="53"/>
  <c r="HL56" i="53" s="1"/>
  <c r="DW56" i="53"/>
  <c r="BY61" i="53"/>
  <c r="HW61" i="53" s="1"/>
  <c r="DL49" i="53"/>
  <c r="BX53" i="53"/>
  <c r="BM54" i="53"/>
  <c r="AM56" i="53"/>
  <c r="BY57" i="53"/>
  <c r="HW57" i="53" s="1"/>
  <c r="DW60" i="53"/>
  <c r="J50" i="53"/>
  <c r="BT50" i="53"/>
  <c r="DX50" i="53"/>
  <c r="JV50" i="53" s="1"/>
  <c r="BM51" i="53"/>
  <c r="AQ52" i="53"/>
  <c r="BU53" i="53"/>
  <c r="HS53" i="53" s="1"/>
  <c r="J54" i="53"/>
  <c r="CT56" i="53"/>
  <c r="Q57" i="53"/>
  <c r="AQ57" i="53"/>
  <c r="BT57" i="53"/>
  <c r="CT57" i="53"/>
  <c r="AB58" i="53"/>
  <c r="BI58" i="53"/>
  <c r="CP59" i="53"/>
  <c r="BI60" i="53"/>
  <c r="AM61" i="53"/>
  <c r="AC63" i="53"/>
  <c r="GA63" i="53" s="1"/>
  <c r="CP50" i="53"/>
  <c r="AQ50" i="53"/>
  <c r="AQ51" i="53"/>
  <c r="DQ51" i="53"/>
  <c r="JO51" i="53" s="1"/>
  <c r="U52" i="53"/>
  <c r="V53" i="53"/>
  <c r="FT53" i="53" s="1"/>
  <c r="BB53" i="53"/>
  <c r="BU54" i="53"/>
  <c r="HS54" i="53" s="1"/>
  <c r="EA54" i="53"/>
  <c r="AX56" i="53"/>
  <c r="CP58" i="53"/>
  <c r="AM59" i="53"/>
  <c r="AM60" i="53"/>
  <c r="DF61" i="53"/>
  <c r="JD61" i="53" s="1"/>
  <c r="J62" i="53"/>
  <c r="BM63" i="53"/>
  <c r="BU51" i="53"/>
  <c r="HS51" i="53" s="1"/>
  <c r="V56" i="53"/>
  <c r="FT56" i="53" s="1"/>
  <c r="DA57" i="53"/>
  <c r="J58" i="53"/>
  <c r="BM58" i="53"/>
  <c r="DX58" i="53"/>
  <c r="JV58" i="53" s="1"/>
  <c r="BU59" i="53"/>
  <c r="HS59" i="53" s="1"/>
  <c r="CT59" i="53"/>
  <c r="J60" i="53"/>
  <c r="DF60" i="53"/>
  <c r="JD60" i="53" s="1"/>
  <c r="BM61" i="53"/>
  <c r="CP61" i="53"/>
  <c r="DF63" i="53"/>
  <c r="JD63" i="53" s="1"/>
  <c r="AX49" i="53"/>
  <c r="AG50" i="53"/>
  <c r="GE50" i="53" s="1"/>
  <c r="BI50" i="53"/>
  <c r="CF50" i="53"/>
  <c r="ID50" i="53" s="1"/>
  <c r="DL50" i="53"/>
  <c r="BI51" i="53"/>
  <c r="F52" i="53"/>
  <c r="J53" i="53"/>
  <c r="AN53" i="53"/>
  <c r="GL53" i="53" s="1"/>
  <c r="BI54" i="53"/>
  <c r="DA55" i="53"/>
  <c r="EA55" i="53"/>
  <c r="F56" i="53"/>
  <c r="DF56" i="53"/>
  <c r="JD56" i="53" s="1"/>
  <c r="BX58" i="53"/>
  <c r="U59" i="53"/>
  <c r="BU60" i="53"/>
  <c r="HS60" i="53" s="1"/>
  <c r="CT60" i="53"/>
  <c r="BB61" i="53"/>
  <c r="V62" i="53"/>
  <c r="FT62" i="53" s="1"/>
  <c r="BX62" i="53"/>
  <c r="DM63" i="53"/>
  <c r="JK63" i="53" s="1"/>
  <c r="DE50" i="53"/>
  <c r="AG51" i="53"/>
  <c r="GE51" i="53" s="1"/>
  <c r="CT51" i="53"/>
  <c r="BT52" i="53"/>
  <c r="DL52" i="53"/>
  <c r="CI53" i="53"/>
  <c r="DF53" i="53"/>
  <c r="JD53" i="53" s="1"/>
  <c r="EA53" i="53"/>
  <c r="CT54" i="53"/>
  <c r="F55" i="53"/>
  <c r="V55" i="53"/>
  <c r="FT55" i="53" s="1"/>
  <c r="AQ55" i="53"/>
  <c r="BI55" i="53"/>
  <c r="Q56" i="53"/>
  <c r="BU56" i="53"/>
  <c r="HS56" i="53" s="1"/>
  <c r="U57" i="53"/>
  <c r="AM57" i="53"/>
  <c r="DW57" i="53"/>
  <c r="AQ58" i="53"/>
  <c r="DE58" i="53"/>
  <c r="J59" i="53"/>
  <c r="AC59" i="53"/>
  <c r="GA59" i="53" s="1"/>
  <c r="AY59" i="53"/>
  <c r="GW59" i="53" s="1"/>
  <c r="BM59" i="53"/>
  <c r="DW59" i="53"/>
  <c r="AB60" i="53"/>
  <c r="EA60" i="53"/>
  <c r="J61" i="53"/>
  <c r="AB61" i="53"/>
  <c r="AQ62" i="53"/>
  <c r="DF62" i="53"/>
  <c r="JD62" i="53" s="1"/>
  <c r="J63" i="53"/>
  <c r="BU63" i="53"/>
  <c r="HS63" i="53" s="1"/>
  <c r="CT63" i="53"/>
  <c r="AQ49" i="53"/>
  <c r="AG49" i="53"/>
  <c r="GE49" i="53" s="1"/>
  <c r="BJ49" i="53"/>
  <c r="HH49" i="53" s="1"/>
  <c r="DX49" i="53"/>
  <c r="JV49" i="53" s="1"/>
  <c r="U50" i="53"/>
  <c r="BM50" i="53"/>
  <c r="U51" i="53"/>
  <c r="AN51" i="53"/>
  <c r="GL51" i="53" s="1"/>
  <c r="DL53" i="53"/>
  <c r="J55" i="53"/>
  <c r="AX55" i="53"/>
  <c r="CI55" i="53"/>
  <c r="AQ56" i="53"/>
  <c r="BI56" i="53"/>
  <c r="BX56" i="53"/>
  <c r="EA56" i="53"/>
  <c r="F57" i="53"/>
  <c r="CJ57" i="53"/>
  <c r="IH57" i="53" s="1"/>
  <c r="DE57" i="53"/>
  <c r="AY58" i="53"/>
  <c r="GW58" i="53" s="1"/>
  <c r="BT58" i="53"/>
  <c r="Q59" i="53"/>
  <c r="BB59" i="53"/>
  <c r="DF59" i="53"/>
  <c r="JD59" i="53" s="1"/>
  <c r="BU61" i="53"/>
  <c r="HS61" i="53" s="1"/>
  <c r="EA61" i="53"/>
  <c r="BU62" i="53"/>
  <c r="HS62" i="53" s="1"/>
  <c r="CP62" i="53"/>
  <c r="DL62" i="53"/>
  <c r="AM63" i="53"/>
  <c r="BX63" i="53"/>
  <c r="DX63" i="53"/>
  <c r="JV63" i="53" s="1"/>
  <c r="AM55" i="53"/>
  <c r="BB55" i="53"/>
  <c r="CP55" i="53"/>
  <c r="AQ63" i="53"/>
  <c r="DF49" i="53"/>
  <c r="JD49" i="53" s="1"/>
  <c r="F50" i="53"/>
  <c r="AB50" i="53"/>
  <c r="DQ50" i="53"/>
  <c r="JO50" i="53" s="1"/>
  <c r="J52" i="53"/>
  <c r="CI52" i="53"/>
  <c r="F51" i="53"/>
  <c r="AB51" i="53"/>
  <c r="AX51" i="53"/>
  <c r="CP51" i="53"/>
  <c r="AG52" i="53"/>
  <c r="GE52" i="53" s="1"/>
  <c r="BM52" i="53"/>
  <c r="DF52" i="53"/>
  <c r="JD52" i="53" s="1"/>
  <c r="DB53" i="53"/>
  <c r="IZ53" i="53" s="1"/>
  <c r="DW53" i="53"/>
  <c r="R55" i="53"/>
  <c r="FP55" i="53" s="1"/>
  <c r="BU55" i="53"/>
  <c r="HS55" i="53" s="1"/>
  <c r="AG57" i="53"/>
  <c r="GE57" i="53" s="1"/>
  <c r="DQ57" i="53"/>
  <c r="JO57" i="53" s="1"/>
  <c r="F59" i="53"/>
  <c r="AQ59" i="53"/>
  <c r="V60" i="53"/>
  <c r="FT60" i="53" s="1"/>
  <c r="F61" i="53"/>
  <c r="V61" i="53"/>
  <c r="FT61" i="53" s="1"/>
  <c r="BT49" i="53"/>
  <c r="BC49" i="53"/>
  <c r="HA49" i="53" s="1"/>
  <c r="AN49" i="53"/>
  <c r="GL49" i="53" s="1"/>
  <c r="BY49" i="53"/>
  <c r="HW49" i="53" s="1"/>
  <c r="BM49" i="53"/>
  <c r="AB49" i="53"/>
  <c r="J49" i="53"/>
  <c r="U49" i="53"/>
  <c r="R49" i="53"/>
  <c r="FP49" i="53" s="1"/>
  <c r="CT49" i="53"/>
  <c r="J51" i="53"/>
  <c r="DB51" i="53"/>
  <c r="IZ51" i="53" s="1"/>
  <c r="DA51" i="53"/>
  <c r="CQ52" i="53"/>
  <c r="IO52" i="53" s="1"/>
  <c r="CP52" i="53"/>
  <c r="AC54" i="53"/>
  <c r="GA54" i="53" s="1"/>
  <c r="CF49" i="53"/>
  <c r="ID49" i="53" s="1"/>
  <c r="CU50" i="53"/>
  <c r="IS50" i="53" s="1"/>
  <c r="CI51" i="53"/>
  <c r="BC52" i="53"/>
  <c r="HA52" i="53" s="1"/>
  <c r="BB52" i="53"/>
  <c r="EA52" i="53"/>
  <c r="AR53" i="53"/>
  <c r="GP53" i="53" s="1"/>
  <c r="AQ53" i="53"/>
  <c r="DL54" i="53"/>
  <c r="CP57" i="53"/>
  <c r="DB59" i="53"/>
  <c r="IZ59" i="53" s="1"/>
  <c r="DA59" i="53"/>
  <c r="DQ63" i="53"/>
  <c r="JO63" i="53" s="1"/>
  <c r="DP63" i="53"/>
  <c r="CI59" i="53"/>
  <c r="CJ59" i="53"/>
  <c r="IH59" i="53" s="1"/>
  <c r="R53" i="53"/>
  <c r="FP53" i="53" s="1"/>
  <c r="Q53" i="53"/>
  <c r="AY53" i="53"/>
  <c r="GW53" i="53" s="1"/>
  <c r="AX53" i="53"/>
  <c r="CI49" i="53"/>
  <c r="DB49" i="53"/>
  <c r="IZ49" i="53" s="1"/>
  <c r="DQ49" i="53"/>
  <c r="JO49" i="53" s="1"/>
  <c r="CI50" i="53"/>
  <c r="BC51" i="53"/>
  <c r="HA51" i="53" s="1"/>
  <c r="BB51" i="53"/>
  <c r="DX51" i="53"/>
  <c r="JV51" i="53" s="1"/>
  <c r="AN52" i="53"/>
  <c r="GL52" i="53" s="1"/>
  <c r="BI52" i="53"/>
  <c r="BY52" i="53"/>
  <c r="HW52" i="53" s="1"/>
  <c r="R54" i="53"/>
  <c r="FP54" i="53" s="1"/>
  <c r="Q54" i="53"/>
  <c r="R63" i="53"/>
  <c r="FP63" i="53" s="1"/>
  <c r="Q63" i="53"/>
  <c r="DB63" i="53"/>
  <c r="IZ63" i="53" s="1"/>
  <c r="DA63" i="53"/>
  <c r="R52" i="53"/>
  <c r="FP52" i="53" s="1"/>
  <c r="Q52" i="53"/>
  <c r="DB50" i="53"/>
  <c r="IZ50" i="53" s="1"/>
  <c r="DA50" i="53"/>
  <c r="R51" i="53"/>
  <c r="FP51" i="53" s="1"/>
  <c r="Q51" i="53"/>
  <c r="G49" i="53"/>
  <c r="FE49" i="53" s="1"/>
  <c r="R50" i="53"/>
  <c r="FP50" i="53" s="1"/>
  <c r="Q50" i="53"/>
  <c r="AX50" i="53"/>
  <c r="AC53" i="53"/>
  <c r="GA53" i="53" s="1"/>
  <c r="CQ53" i="53"/>
  <c r="IO53" i="53" s="1"/>
  <c r="CP53" i="53"/>
  <c r="AX52" i="53"/>
  <c r="DL55" i="53"/>
  <c r="BC50" i="53"/>
  <c r="HA50" i="53" s="1"/>
  <c r="BB50" i="53"/>
  <c r="AR54" i="53"/>
  <c r="GP54" i="53" s="1"/>
  <c r="AQ54" i="53"/>
  <c r="DB54" i="53"/>
  <c r="IZ54" i="53" s="1"/>
  <c r="DA54" i="53"/>
  <c r="AY54" i="53"/>
  <c r="GW54" i="53" s="1"/>
  <c r="AX54" i="53"/>
  <c r="DQ52" i="53"/>
  <c r="JO52" i="53" s="1"/>
  <c r="DP52" i="53"/>
  <c r="DQ53" i="53"/>
  <c r="JO53" i="53" s="1"/>
  <c r="DP53" i="53"/>
  <c r="DQ54" i="53"/>
  <c r="JO54" i="53" s="1"/>
  <c r="DP54" i="53"/>
  <c r="DQ56" i="53"/>
  <c r="JO56" i="53" s="1"/>
  <c r="DP56" i="53"/>
  <c r="K57" i="53"/>
  <c r="FI57" i="53" s="1"/>
  <c r="J57" i="53"/>
  <c r="DM57" i="53"/>
  <c r="JK57" i="53" s="1"/>
  <c r="DL57" i="53"/>
  <c r="CF58" i="53"/>
  <c r="ID58" i="53" s="1"/>
  <c r="CE58" i="53"/>
  <c r="G60" i="53"/>
  <c r="FE60" i="53" s="1"/>
  <c r="F60" i="53"/>
  <c r="DQ55" i="53"/>
  <c r="JO55" i="53" s="1"/>
  <c r="DP55" i="53"/>
  <c r="AG58" i="53"/>
  <c r="GE58" i="53" s="1"/>
  <c r="AF58" i="53"/>
  <c r="CQ60" i="53"/>
  <c r="IO60" i="53" s="1"/>
  <c r="CP60" i="53"/>
  <c r="AR61" i="53"/>
  <c r="GP61" i="53" s="1"/>
  <c r="AQ61" i="53"/>
  <c r="CF63" i="53"/>
  <c r="ID63" i="53" s="1"/>
  <c r="CE63" i="53"/>
  <c r="AG53" i="53"/>
  <c r="GE53" i="53" s="1"/>
  <c r="AF53" i="53"/>
  <c r="AG54" i="53"/>
  <c r="GE54" i="53" s="1"/>
  <c r="AF54" i="53"/>
  <c r="CP54" i="53"/>
  <c r="DW54" i="53"/>
  <c r="AB55" i="53"/>
  <c r="BX55" i="53"/>
  <c r="AB56" i="53"/>
  <c r="BC58" i="53"/>
  <c r="HA58" i="53" s="1"/>
  <c r="BB58" i="53"/>
  <c r="EA58" i="53"/>
  <c r="CE57" i="53"/>
  <c r="CF57" i="53"/>
  <c r="ID57" i="53" s="1"/>
  <c r="CE52" i="53"/>
  <c r="F53" i="53"/>
  <c r="CF53" i="53"/>
  <c r="ID53" i="53" s="1"/>
  <c r="CE53" i="53"/>
  <c r="F54" i="53"/>
  <c r="CF54" i="53"/>
  <c r="ID54" i="53" s="1"/>
  <c r="CE54" i="53"/>
  <c r="AG55" i="53"/>
  <c r="GE55" i="53" s="1"/>
  <c r="AF55" i="53"/>
  <c r="AG56" i="53"/>
  <c r="GE56" i="53" s="1"/>
  <c r="AF56" i="53"/>
  <c r="AY57" i="53"/>
  <c r="GW57" i="53" s="1"/>
  <c r="AG63" i="53"/>
  <c r="GE63" i="53" s="1"/>
  <c r="AF63" i="53"/>
  <c r="BB63" i="53"/>
  <c r="CF55" i="53"/>
  <c r="ID55" i="53" s="1"/>
  <c r="CE55" i="53"/>
  <c r="CF56" i="53"/>
  <c r="ID56" i="53" s="1"/>
  <c r="CE56" i="53"/>
  <c r="BC57" i="53"/>
  <c r="HA57" i="53" s="1"/>
  <c r="BB57" i="53"/>
  <c r="DQ59" i="53"/>
  <c r="JO59" i="53" s="1"/>
  <c r="DP59" i="53"/>
  <c r="CF62" i="53"/>
  <c r="ID62" i="53" s="1"/>
  <c r="CE62" i="53"/>
  <c r="DQ62" i="53"/>
  <c r="JO62" i="53" s="1"/>
  <c r="DP62" i="53"/>
  <c r="EA57" i="53"/>
  <c r="F58" i="53"/>
  <c r="CJ58" i="53"/>
  <c r="IH58" i="53" s="1"/>
  <c r="DA58" i="53"/>
  <c r="DQ58" i="53"/>
  <c r="JO58" i="53" s="1"/>
  <c r="DP58" i="53"/>
  <c r="AG62" i="53"/>
  <c r="GE62" i="53" s="1"/>
  <c r="AF62" i="53"/>
  <c r="BB62" i="53"/>
  <c r="DA62" i="53"/>
  <c r="AQ60" i="53"/>
  <c r="CF61" i="53"/>
  <c r="ID61" i="53" s="1"/>
  <c r="CE61" i="53"/>
  <c r="DQ61" i="53"/>
  <c r="JO61" i="53" s="1"/>
  <c r="DP61" i="53"/>
  <c r="Q62" i="53"/>
  <c r="CP63" i="53"/>
  <c r="EA63" i="53"/>
  <c r="AY60" i="53"/>
  <c r="GW60" i="53" s="1"/>
  <c r="AX60" i="53"/>
  <c r="AG61" i="53"/>
  <c r="GE61" i="53" s="1"/>
  <c r="AF61" i="53"/>
  <c r="F63" i="53"/>
  <c r="AG59" i="53"/>
  <c r="GE59" i="53" s="1"/>
  <c r="AF59" i="53"/>
  <c r="AG60" i="53"/>
  <c r="GE60" i="53" s="1"/>
  <c r="AF60" i="53"/>
  <c r="CF60" i="53"/>
  <c r="ID60" i="53" s="1"/>
  <c r="CE60" i="53"/>
  <c r="DQ60" i="53"/>
  <c r="JO60" i="53" s="1"/>
  <c r="DP60" i="53"/>
  <c r="CF59" i="53"/>
  <c r="ID59" i="53" s="1"/>
  <c r="CE59" i="53"/>
  <c r="EA59" i="53"/>
  <c r="F62" i="53"/>
  <c r="CI60" i="53"/>
  <c r="AX61" i="53"/>
  <c r="CI61" i="53"/>
  <c r="AX62" i="53"/>
  <c r="CI62" i="53"/>
  <c r="AX63" i="53"/>
  <c r="CI63" i="53"/>
  <c r="EM55" i="53" l="1"/>
  <c r="EN58" i="53"/>
  <c r="EM59" i="53"/>
  <c r="EN59" i="53"/>
  <c r="EM57" i="53"/>
  <c r="EM61" i="53"/>
  <c r="EM58" i="53"/>
  <c r="EM63" i="53"/>
  <c r="EM62" i="53"/>
  <c r="EM56" i="53"/>
  <c r="EN54" i="53"/>
  <c r="EM50" i="53"/>
  <c r="EN53" i="53"/>
  <c r="EN62" i="53"/>
  <c r="EL55" i="53"/>
  <c r="EL63" i="53"/>
  <c r="EL51" i="53"/>
  <c r="EN51" i="53"/>
  <c r="EN63" i="53"/>
  <c r="EL61" i="53"/>
  <c r="EL58" i="53"/>
  <c r="EL52" i="53"/>
  <c r="EL54" i="53"/>
  <c r="EM52" i="53"/>
  <c r="EM51" i="53"/>
  <c r="EN61" i="53"/>
  <c r="EL50" i="53"/>
  <c r="EN52" i="53"/>
  <c r="EM54" i="53"/>
  <c r="EL57" i="53"/>
  <c r="EN50" i="53"/>
  <c r="EL53" i="53"/>
  <c r="EL62" i="53"/>
  <c r="EN55" i="53"/>
  <c r="EN60" i="53"/>
  <c r="EM60" i="53"/>
  <c r="EL60" i="53"/>
  <c r="EN57" i="53"/>
  <c r="EM53" i="53"/>
  <c r="EN56" i="53"/>
  <c r="EL49" i="53"/>
  <c r="EM49" i="53"/>
  <c r="EN49" i="53"/>
  <c r="EL59" i="53"/>
  <c r="EL56" i="53"/>
  <c r="D43" i="11" l="1"/>
  <c r="D42" i="11"/>
  <c r="B43" i="11"/>
  <c r="D46" i="11" s="1"/>
  <c r="A39" i="11"/>
  <c r="B39" i="11"/>
  <c r="C39" i="11"/>
  <c r="D39" i="11"/>
  <c r="E39" i="11"/>
  <c r="F39" i="11"/>
  <c r="F37" i="11"/>
  <c r="E37" i="11"/>
  <c r="D37" i="11"/>
  <c r="C37" i="11"/>
  <c r="B37" i="11"/>
  <c r="A37" i="11"/>
  <c r="A36" i="11"/>
  <c r="A43" i="11"/>
  <c r="C33" i="11"/>
  <c r="DZ48" i="53" l="1"/>
  <c r="DV48" i="53"/>
  <c r="AG6" i="53"/>
  <c r="R47" i="53" l="1"/>
  <c r="AC47" i="53" s="1"/>
  <c r="AN47" i="53" s="1"/>
  <c r="AY47" i="53" s="1"/>
  <c r="BJ47" i="53" s="1"/>
  <c r="BU47" i="53" s="1"/>
  <c r="CF47" i="53" s="1"/>
  <c r="CQ47" i="53" s="1"/>
  <c r="DB47" i="53" s="1"/>
  <c r="DM47" i="53" s="1"/>
  <c r="DX47" i="53" s="1"/>
  <c r="K47" i="53"/>
  <c r="V47" i="53" s="1"/>
  <c r="AG47" i="53" s="1"/>
  <c r="AR47" i="53" s="1"/>
  <c r="BC47" i="53" s="1"/>
  <c r="BN47" i="53" s="1"/>
  <c r="BY47" i="53" s="1"/>
  <c r="CJ47" i="53" s="1"/>
  <c r="CU47" i="53" s="1"/>
  <c r="DF47" i="53" s="1"/>
  <c r="DQ47" i="53" s="1"/>
  <c r="EB47" i="53" s="1"/>
  <c r="JS48" i="53"/>
  <c r="JH48" i="53"/>
  <c r="IW48" i="53"/>
  <c r="IL48" i="53"/>
  <c r="IA48" i="53"/>
  <c r="HP48" i="53"/>
  <c r="HE48" i="53"/>
  <c r="GT48" i="53"/>
  <c r="GI48" i="53"/>
  <c r="FX48" i="53"/>
  <c r="FM48" i="53"/>
  <c r="FB48" i="53"/>
  <c r="EB48" i="53"/>
  <c r="JZ48" i="53" s="1"/>
  <c r="DX48" i="53"/>
  <c r="JV48" i="53" s="1"/>
  <c r="DO48" i="53"/>
  <c r="DP48" i="53" s="1"/>
  <c r="DK48" i="53"/>
  <c r="DM48" i="53" s="1"/>
  <c r="JK48" i="53" s="1"/>
  <c r="DD48" i="53"/>
  <c r="DF48" i="53" s="1"/>
  <c r="JD48" i="53" s="1"/>
  <c r="CZ48" i="53"/>
  <c r="DB48" i="53" s="1"/>
  <c r="IZ48" i="53" s="1"/>
  <c r="CS48" i="53"/>
  <c r="CU48" i="53" s="1"/>
  <c r="IS48" i="53" s="1"/>
  <c r="CO48" i="53"/>
  <c r="CQ48" i="53" s="1"/>
  <c r="IO48" i="53" s="1"/>
  <c r="CH48" i="53"/>
  <c r="CJ48" i="53" s="1"/>
  <c r="IH48" i="53" s="1"/>
  <c r="CD48" i="53"/>
  <c r="CE48" i="53" s="1"/>
  <c r="BW48" i="53"/>
  <c r="BY48" i="53" s="1"/>
  <c r="HW48" i="53" s="1"/>
  <c r="BS48" i="53"/>
  <c r="BT48" i="53" s="1"/>
  <c r="BL48" i="53"/>
  <c r="BN48" i="53" s="1"/>
  <c r="HL48" i="53" s="1"/>
  <c r="BH48" i="53"/>
  <c r="BJ48" i="53" s="1"/>
  <c r="HH48" i="53" s="1"/>
  <c r="BA48" i="53"/>
  <c r="BC48" i="53" s="1"/>
  <c r="HA48" i="53" s="1"/>
  <c r="AW48" i="53"/>
  <c r="AY48" i="53" s="1"/>
  <c r="GW48" i="53" s="1"/>
  <c r="AP48" i="53"/>
  <c r="AR48" i="53" s="1"/>
  <c r="GP48" i="53" s="1"/>
  <c r="AL48" i="53"/>
  <c r="AN48" i="53" s="1"/>
  <c r="GL48" i="53" s="1"/>
  <c r="AE48" i="53"/>
  <c r="AF48" i="53" s="1"/>
  <c r="AA48" i="53"/>
  <c r="AC48" i="53" s="1"/>
  <c r="GA48" i="53" s="1"/>
  <c r="T48" i="53"/>
  <c r="V48" i="53" s="1"/>
  <c r="FT48" i="53" s="1"/>
  <c r="P48" i="53"/>
  <c r="R48" i="53" s="1"/>
  <c r="FP48" i="53" s="1"/>
  <c r="I48" i="53"/>
  <c r="K48" i="53" s="1"/>
  <c r="FI48" i="53" s="1"/>
  <c r="E48" i="53"/>
  <c r="F48" i="53" s="1"/>
  <c r="JS43" i="53"/>
  <c r="JH43" i="53"/>
  <c r="IW43" i="53"/>
  <c r="IL43" i="53"/>
  <c r="IA43" i="53"/>
  <c r="HP43" i="53"/>
  <c r="HE43" i="53"/>
  <c r="GT43" i="53"/>
  <c r="GI43" i="53"/>
  <c r="FX43" i="53"/>
  <c r="FM43" i="53"/>
  <c r="FB43" i="53"/>
  <c r="JS42" i="53"/>
  <c r="JH42" i="53"/>
  <c r="IW42" i="53"/>
  <c r="IL42" i="53"/>
  <c r="IA42" i="53"/>
  <c r="HP42" i="53"/>
  <c r="HE42" i="53"/>
  <c r="GT42" i="53"/>
  <c r="GI42" i="53"/>
  <c r="FX42" i="53"/>
  <c r="FM42" i="53"/>
  <c r="FB42" i="53"/>
  <c r="JS41" i="53"/>
  <c r="JH41" i="53"/>
  <c r="IW41" i="53"/>
  <c r="IL41" i="53"/>
  <c r="IA41" i="53"/>
  <c r="HP41" i="53"/>
  <c r="HE41" i="53"/>
  <c r="GT41" i="53"/>
  <c r="GI41" i="53"/>
  <c r="FX41" i="53"/>
  <c r="FM41" i="53"/>
  <c r="FB41" i="53"/>
  <c r="JS40" i="53"/>
  <c r="JH40" i="53"/>
  <c r="IW40" i="53"/>
  <c r="IL40" i="53"/>
  <c r="IA40" i="53"/>
  <c r="HP40" i="53"/>
  <c r="HE40" i="53"/>
  <c r="GT40" i="53"/>
  <c r="GI40" i="53"/>
  <c r="FX40" i="53"/>
  <c r="FM40" i="53"/>
  <c r="FB40" i="53"/>
  <c r="JS39" i="53"/>
  <c r="JH39" i="53"/>
  <c r="IW39" i="53"/>
  <c r="IL39" i="53"/>
  <c r="IA39" i="53"/>
  <c r="HP39" i="53"/>
  <c r="HE39" i="53"/>
  <c r="GT39" i="53"/>
  <c r="GI39" i="53"/>
  <c r="FX39" i="53"/>
  <c r="FM39" i="53"/>
  <c r="FB39" i="53"/>
  <c r="JS38" i="53"/>
  <c r="JH38" i="53"/>
  <c r="IW38" i="53"/>
  <c r="IL38" i="53"/>
  <c r="IA38" i="53"/>
  <c r="HP38" i="53"/>
  <c r="HE38" i="53"/>
  <c r="GT38" i="53"/>
  <c r="GI38" i="53"/>
  <c r="FX38" i="53"/>
  <c r="FM38" i="53"/>
  <c r="FB38" i="53"/>
  <c r="JS37" i="53"/>
  <c r="JH37" i="53"/>
  <c r="IW37" i="53"/>
  <c r="IL37" i="53"/>
  <c r="IA37" i="53"/>
  <c r="HP37" i="53"/>
  <c r="HE37" i="53"/>
  <c r="GT37" i="53"/>
  <c r="GI37" i="53"/>
  <c r="FX37" i="53"/>
  <c r="FM37" i="53"/>
  <c r="FB37" i="53"/>
  <c r="JS36" i="53"/>
  <c r="JH36" i="53"/>
  <c r="IW36" i="53"/>
  <c r="IL36" i="53"/>
  <c r="IA36" i="53"/>
  <c r="HP36" i="53"/>
  <c r="HE36" i="53"/>
  <c r="GT36" i="53"/>
  <c r="GI36" i="53"/>
  <c r="FX36" i="53"/>
  <c r="FM36" i="53"/>
  <c r="FB36" i="53"/>
  <c r="JS35" i="53"/>
  <c r="JH35" i="53"/>
  <c r="IW35" i="53"/>
  <c r="IL35" i="53"/>
  <c r="IA35" i="53"/>
  <c r="HP35" i="53"/>
  <c r="HE35" i="53"/>
  <c r="GT35" i="53"/>
  <c r="GI35" i="53"/>
  <c r="FX35" i="53"/>
  <c r="FM35" i="53"/>
  <c r="FB35" i="53"/>
  <c r="JS34" i="53"/>
  <c r="JH34" i="53"/>
  <c r="IW34" i="53"/>
  <c r="IL34" i="53"/>
  <c r="IA34" i="53"/>
  <c r="HP34" i="53"/>
  <c r="HE34" i="53"/>
  <c r="GT34" i="53"/>
  <c r="GI34" i="53"/>
  <c r="FX34" i="53"/>
  <c r="FM34" i="53"/>
  <c r="FB34" i="53"/>
  <c r="JS33" i="53"/>
  <c r="JH33" i="53"/>
  <c r="IW33" i="53"/>
  <c r="IL33" i="53"/>
  <c r="IA33" i="53"/>
  <c r="HP33" i="53"/>
  <c r="HE33" i="53"/>
  <c r="GT33" i="53"/>
  <c r="GI33" i="53"/>
  <c r="FX33" i="53"/>
  <c r="FM33" i="53"/>
  <c r="FB33" i="53"/>
  <c r="JS32" i="53"/>
  <c r="JH32" i="53"/>
  <c r="IW32" i="53"/>
  <c r="IL32" i="53"/>
  <c r="IA32" i="53"/>
  <c r="HP32" i="53"/>
  <c r="HE32" i="53"/>
  <c r="GT32" i="53"/>
  <c r="GI32" i="53"/>
  <c r="FX32" i="53"/>
  <c r="FM32" i="53"/>
  <c r="FB32" i="53"/>
  <c r="JS31" i="53"/>
  <c r="JH31" i="53"/>
  <c r="IW31" i="53"/>
  <c r="IL31" i="53"/>
  <c r="IA31" i="53"/>
  <c r="HP31" i="53"/>
  <c r="HE31" i="53"/>
  <c r="GT31" i="53"/>
  <c r="GI31" i="53"/>
  <c r="FX31" i="53"/>
  <c r="FM31" i="53"/>
  <c r="FB31" i="53"/>
  <c r="JS30" i="53"/>
  <c r="JH30" i="53"/>
  <c r="IW30" i="53"/>
  <c r="IL30" i="53"/>
  <c r="IA30" i="53"/>
  <c r="HP30" i="53"/>
  <c r="HE30" i="53"/>
  <c r="GT30" i="53"/>
  <c r="GI30" i="53"/>
  <c r="FX30" i="53"/>
  <c r="FM30" i="53"/>
  <c r="FB30" i="53"/>
  <c r="JS29" i="53"/>
  <c r="JH29" i="53"/>
  <c r="IW29" i="53"/>
  <c r="IL29" i="53"/>
  <c r="IA29" i="53"/>
  <c r="HP29" i="53"/>
  <c r="HE29" i="53"/>
  <c r="GT29" i="53"/>
  <c r="GI29" i="53"/>
  <c r="FX29" i="53"/>
  <c r="FM29" i="53"/>
  <c r="FB29" i="53"/>
  <c r="JS28" i="53"/>
  <c r="JH28" i="53"/>
  <c r="IW28" i="53"/>
  <c r="IL28" i="53"/>
  <c r="IA28" i="53"/>
  <c r="HP28" i="53"/>
  <c r="HE28" i="53"/>
  <c r="GT28" i="53"/>
  <c r="GI28" i="53"/>
  <c r="FX28" i="53"/>
  <c r="FM28" i="53"/>
  <c r="FB28" i="53"/>
  <c r="JS8" i="53"/>
  <c r="JH8" i="53"/>
  <c r="IW8" i="53"/>
  <c r="IL8" i="53"/>
  <c r="IA8" i="53"/>
  <c r="HP8" i="53"/>
  <c r="HE8" i="53"/>
  <c r="GT8" i="53"/>
  <c r="GI8" i="53"/>
  <c r="FX8" i="53"/>
  <c r="FM8" i="53"/>
  <c r="FB8" i="53"/>
  <c r="JS7" i="53"/>
  <c r="JH7" i="53"/>
  <c r="IW7" i="53"/>
  <c r="IL7" i="53"/>
  <c r="IA7" i="53"/>
  <c r="HP7" i="53"/>
  <c r="HE7" i="53"/>
  <c r="GT7" i="53"/>
  <c r="GI7" i="53"/>
  <c r="FX7" i="53"/>
  <c r="FM7" i="53"/>
  <c r="FB7" i="53"/>
  <c r="JS25" i="53"/>
  <c r="JH25" i="53"/>
  <c r="IW25" i="53"/>
  <c r="IL25" i="53"/>
  <c r="IA25" i="53"/>
  <c r="HP25" i="53"/>
  <c r="HE25" i="53"/>
  <c r="GT25" i="53"/>
  <c r="GI25" i="53"/>
  <c r="FX25" i="53"/>
  <c r="FM25" i="53"/>
  <c r="FB25" i="53"/>
  <c r="JS24" i="53"/>
  <c r="JH24" i="53"/>
  <c r="IW24" i="53"/>
  <c r="IL24" i="53"/>
  <c r="IA24" i="53"/>
  <c r="HP24" i="53"/>
  <c r="HE24" i="53"/>
  <c r="GT24" i="53"/>
  <c r="GI24" i="53"/>
  <c r="FX24" i="53"/>
  <c r="FM24" i="53"/>
  <c r="FB24" i="53"/>
  <c r="JS23" i="53"/>
  <c r="JH23" i="53"/>
  <c r="IW23" i="53"/>
  <c r="IL23" i="53"/>
  <c r="IA23" i="53"/>
  <c r="HP23" i="53"/>
  <c r="HE23" i="53"/>
  <c r="GT23" i="53"/>
  <c r="GI23" i="53"/>
  <c r="FX23" i="53"/>
  <c r="FM23" i="53"/>
  <c r="FB23" i="53"/>
  <c r="JS22" i="53"/>
  <c r="JH22" i="53"/>
  <c r="IW22" i="53"/>
  <c r="IL22" i="53"/>
  <c r="IA22" i="53"/>
  <c r="HP22" i="53"/>
  <c r="HE22" i="53"/>
  <c r="GT22" i="53"/>
  <c r="GI22" i="53"/>
  <c r="FX22" i="53"/>
  <c r="FM22" i="53"/>
  <c r="FB22" i="53"/>
  <c r="JS21" i="53"/>
  <c r="JH21" i="53"/>
  <c r="IW21" i="53"/>
  <c r="IL21" i="53"/>
  <c r="IA21" i="53"/>
  <c r="HP21" i="53"/>
  <c r="HE21" i="53"/>
  <c r="GT21" i="53"/>
  <c r="GI21" i="53"/>
  <c r="FX21" i="53"/>
  <c r="FM21" i="53"/>
  <c r="FB21" i="53"/>
  <c r="JS20" i="53"/>
  <c r="JH20" i="53"/>
  <c r="IW20" i="53"/>
  <c r="IL20" i="53"/>
  <c r="IA20" i="53"/>
  <c r="HP20" i="53"/>
  <c r="HE20" i="53"/>
  <c r="GT20" i="53"/>
  <c r="GI20" i="53"/>
  <c r="FX20" i="53"/>
  <c r="FM20" i="53"/>
  <c r="FB20" i="53"/>
  <c r="JS19" i="53"/>
  <c r="JH19" i="53"/>
  <c r="IW19" i="53"/>
  <c r="IL19" i="53"/>
  <c r="IA19" i="53"/>
  <c r="HP19" i="53"/>
  <c r="HE19" i="53"/>
  <c r="GT19" i="53"/>
  <c r="GI19" i="53"/>
  <c r="FX19" i="53"/>
  <c r="FM19" i="53"/>
  <c r="FB19" i="53"/>
  <c r="JS18" i="53"/>
  <c r="JH18" i="53"/>
  <c r="IW18" i="53"/>
  <c r="IL18" i="53"/>
  <c r="IA18" i="53"/>
  <c r="HP18" i="53"/>
  <c r="HE18" i="53"/>
  <c r="GT18" i="53"/>
  <c r="GI18" i="53"/>
  <c r="FX18" i="53"/>
  <c r="FM18" i="53"/>
  <c r="FB18" i="53"/>
  <c r="JS17" i="53"/>
  <c r="JH17" i="53"/>
  <c r="IW17" i="53"/>
  <c r="IL17" i="53"/>
  <c r="IA17" i="53"/>
  <c r="HP17" i="53"/>
  <c r="HE17" i="53"/>
  <c r="GT17" i="53"/>
  <c r="GI17" i="53"/>
  <c r="FX17" i="53"/>
  <c r="FM17" i="53"/>
  <c r="FB17" i="53"/>
  <c r="JS16" i="53"/>
  <c r="JH16" i="53"/>
  <c r="IW16" i="53"/>
  <c r="IL16" i="53"/>
  <c r="IA16" i="53"/>
  <c r="HP16" i="53"/>
  <c r="HE16" i="53"/>
  <c r="GT16" i="53"/>
  <c r="GI16" i="53"/>
  <c r="FX16" i="53"/>
  <c r="FM16" i="53"/>
  <c r="FB16" i="53"/>
  <c r="JS15" i="53"/>
  <c r="JH15" i="53"/>
  <c r="IW15" i="53"/>
  <c r="IL15" i="53"/>
  <c r="IA15" i="53"/>
  <c r="HP15" i="53"/>
  <c r="HE15" i="53"/>
  <c r="GT15" i="53"/>
  <c r="GI15" i="53"/>
  <c r="FX15" i="53"/>
  <c r="FM15" i="53"/>
  <c r="FB15" i="53"/>
  <c r="JS14" i="53"/>
  <c r="JH14" i="53"/>
  <c r="IW14" i="53"/>
  <c r="IL14" i="53"/>
  <c r="IA14" i="53"/>
  <c r="HP14" i="53"/>
  <c r="HE14" i="53"/>
  <c r="GT14" i="53"/>
  <c r="GI14" i="53"/>
  <c r="FX14" i="53"/>
  <c r="FM14" i="53"/>
  <c r="FB14" i="53"/>
  <c r="JS13" i="53"/>
  <c r="JH13" i="53"/>
  <c r="IW13" i="53"/>
  <c r="IL13" i="53"/>
  <c r="IA13" i="53"/>
  <c r="HP13" i="53"/>
  <c r="HE13" i="53"/>
  <c r="GT13" i="53"/>
  <c r="GI13" i="53"/>
  <c r="FX13" i="53"/>
  <c r="FM13" i="53"/>
  <c r="FB13" i="53"/>
  <c r="JS12" i="53"/>
  <c r="JH12" i="53"/>
  <c r="IW12" i="53"/>
  <c r="IL12" i="53"/>
  <c r="IA12" i="53"/>
  <c r="HP12" i="53"/>
  <c r="HE12" i="53"/>
  <c r="GT12" i="53"/>
  <c r="GI12" i="53"/>
  <c r="FX12" i="53"/>
  <c r="FM12" i="53"/>
  <c r="FB12" i="53"/>
  <c r="JS11" i="53"/>
  <c r="JH11" i="53"/>
  <c r="IW11" i="53"/>
  <c r="IL11" i="53"/>
  <c r="IA11" i="53"/>
  <c r="HP11" i="53"/>
  <c r="HE11" i="53"/>
  <c r="GT11" i="53"/>
  <c r="GI11" i="53"/>
  <c r="FX11" i="53"/>
  <c r="FM11" i="53"/>
  <c r="FB11" i="53"/>
  <c r="JS10" i="53"/>
  <c r="JH10" i="53"/>
  <c r="IW10" i="53"/>
  <c r="IL10" i="53"/>
  <c r="IA10" i="53"/>
  <c r="HP10" i="53"/>
  <c r="HE10" i="53"/>
  <c r="GT10" i="53"/>
  <c r="GI10" i="53"/>
  <c r="FX10" i="53"/>
  <c r="FM10" i="53"/>
  <c r="FB10" i="53"/>
  <c r="JR5" i="53"/>
  <c r="JQ5" i="53"/>
  <c r="JG5" i="53"/>
  <c r="JF5" i="53"/>
  <c r="IV5" i="53"/>
  <c r="IU5" i="53"/>
  <c r="IK5" i="53"/>
  <c r="IJ5" i="53"/>
  <c r="HZ5" i="53"/>
  <c r="HY5" i="53"/>
  <c r="HO5" i="53"/>
  <c r="HN5" i="53"/>
  <c r="HD5" i="53"/>
  <c r="HC5" i="53"/>
  <c r="GS5" i="53"/>
  <c r="GR5" i="53"/>
  <c r="GH5" i="53"/>
  <c r="GG5" i="53"/>
  <c r="FW5" i="53"/>
  <c r="FV5" i="53"/>
  <c r="FL5" i="53"/>
  <c r="FK5" i="53"/>
  <c r="FA5" i="53"/>
  <c r="EZ5" i="53"/>
  <c r="JP4" i="53"/>
  <c r="JE4" i="53"/>
  <c r="IT4" i="53"/>
  <c r="II4" i="53"/>
  <c r="HX4" i="53"/>
  <c r="HM4" i="53"/>
  <c r="HB4" i="53"/>
  <c r="GQ4" i="53"/>
  <c r="GF4" i="53"/>
  <c r="FU4" i="53"/>
  <c r="FJ4" i="53"/>
  <c r="EY4" i="53"/>
  <c r="Y5" i="53"/>
  <c r="B5" i="53"/>
  <c r="R6" i="53" l="1"/>
  <c r="M5" i="53" s="1"/>
  <c r="AN6" i="53"/>
  <c r="AI5" i="53" s="1"/>
  <c r="AY6" i="53"/>
  <c r="AT5" i="53" s="1"/>
  <c r="AC6" i="53"/>
  <c r="X5" i="53" s="1"/>
  <c r="DM6" i="53"/>
  <c r="DH5" i="53" s="1"/>
  <c r="CQ6" i="53"/>
  <c r="CL5" i="53" s="1"/>
  <c r="DX6" i="53"/>
  <c r="DS5" i="53" s="1"/>
  <c r="BJ6" i="53"/>
  <c r="BE5" i="53" s="1"/>
  <c r="BU6" i="53"/>
  <c r="BP5" i="53" s="1"/>
  <c r="DB6" i="53"/>
  <c r="CW5" i="53" s="1"/>
  <c r="CF6" i="53"/>
  <c r="CA5" i="53" s="1"/>
  <c r="DQ48" i="53"/>
  <c r="JO48" i="53" s="1"/>
  <c r="Q48" i="53"/>
  <c r="U48" i="53"/>
  <c r="AX48" i="53"/>
  <c r="BU48" i="53"/>
  <c r="HS48" i="53" s="1"/>
  <c r="DA48" i="53"/>
  <c r="CF48" i="53"/>
  <c r="ID48" i="53" s="1"/>
  <c r="DE48" i="53"/>
  <c r="CI48" i="53"/>
  <c r="AG48" i="53"/>
  <c r="GE48" i="53" s="1"/>
  <c r="G6" i="53"/>
  <c r="G48" i="53"/>
  <c r="FE48" i="53" s="1"/>
  <c r="J48" i="53"/>
  <c r="BI48" i="53"/>
  <c r="CT48" i="53"/>
  <c r="AM48" i="53"/>
  <c r="BX48" i="53"/>
  <c r="DW48" i="53"/>
  <c r="AB48" i="53"/>
  <c r="BM48" i="53"/>
  <c r="DL48" i="53"/>
  <c r="BB48" i="53"/>
  <c r="AQ48" i="53"/>
  <c r="CP48" i="53"/>
  <c r="EA48" i="53"/>
  <c r="EN48" i="53" l="1"/>
  <c r="EL48" i="53"/>
  <c r="EM48" i="53"/>
  <c r="BU50" i="47"/>
  <c r="BT50" i="47"/>
  <c r="BS50" i="47"/>
  <c r="BR50" i="47"/>
  <c r="BQ50" i="47"/>
  <c r="BP50" i="47"/>
  <c r="BO50" i="47"/>
  <c r="BN50" i="47"/>
  <c r="BM50" i="47"/>
  <c r="BL50" i="47"/>
  <c r="BK50" i="47"/>
  <c r="BJ50" i="47"/>
  <c r="BI50" i="47"/>
  <c r="BH50" i="47"/>
  <c r="BG50" i="47"/>
  <c r="BF50" i="47"/>
  <c r="BE50" i="47"/>
  <c r="BD50" i="47"/>
  <c r="BC50" i="47"/>
  <c r="BB50" i="47"/>
  <c r="BA50" i="47"/>
  <c r="AZ50" i="47"/>
  <c r="AY50" i="47"/>
  <c r="AX50" i="47"/>
  <c r="AW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Q50" i="47"/>
  <c r="P50" i="47"/>
  <c r="O50" i="47"/>
  <c r="N50" i="47"/>
  <c r="M3" i="47" l="1"/>
  <c r="S3" i="47" s="1"/>
  <c r="Y3" i="47" s="1"/>
  <c r="AE3" i="47" s="1"/>
  <c r="AK3" i="47" s="1"/>
  <c r="AQ3" i="47" s="1"/>
  <c r="AW3" i="47" s="1"/>
  <c r="BC3" i="47" s="1"/>
  <c r="BI3" i="47" s="1"/>
  <c r="BO3" i="47" s="1"/>
  <c r="BU3" i="47" s="1"/>
  <c r="CA3" i="47" s="1"/>
  <c r="L3" i="47"/>
  <c r="R3" i="47" s="1"/>
  <c r="X3" i="47" s="1"/>
  <c r="AD3" i="47" s="1"/>
  <c r="AJ3" i="47" s="1"/>
  <c r="AP3" i="47" s="1"/>
  <c r="AV3" i="47" s="1"/>
  <c r="BB3" i="47" s="1"/>
  <c r="BH3" i="47" s="1"/>
  <c r="BN3" i="47" s="1"/>
  <c r="BT3" i="47" s="1"/>
  <c r="BZ3" i="47" s="1"/>
  <c r="K3" i="47"/>
  <c r="Q3" i="47" s="1"/>
  <c r="W3" i="47" s="1"/>
  <c r="AC3" i="47" s="1"/>
  <c r="AI3" i="47" s="1"/>
  <c r="AO3" i="47" s="1"/>
  <c r="AU3" i="47" s="1"/>
  <c r="BA3" i="47" s="1"/>
  <c r="BG3" i="47" s="1"/>
  <c r="BM3" i="47" s="1"/>
  <c r="BS3" i="47" s="1"/>
  <c r="BY3" i="47" s="1"/>
  <c r="BR9" i="47"/>
  <c r="BQ9" i="47"/>
  <c r="BP9" i="47"/>
  <c r="BL9" i="47"/>
  <c r="BK9" i="47"/>
  <c r="BJ9" i="47"/>
  <c r="BF9" i="47"/>
  <c r="BE9" i="47"/>
  <c r="BD9" i="47"/>
  <c r="BU7" i="47"/>
  <c r="BT7" i="47"/>
  <c r="BS7" i="47"/>
  <c r="BO7" i="47"/>
  <c r="BN7" i="47"/>
  <c r="BM7" i="47"/>
  <c r="BI7" i="47"/>
  <c r="BH7" i="47"/>
  <c r="BG7" i="47"/>
  <c r="AZ9" i="47"/>
  <c r="AY9" i="47"/>
  <c r="AX9" i="47"/>
  <c r="AT9" i="47"/>
  <c r="AS9" i="47"/>
  <c r="AR9" i="47"/>
  <c r="BC7" i="47"/>
  <c r="BB7" i="47"/>
  <c r="BA7" i="47"/>
  <c r="AW7" i="47"/>
  <c r="AV7" i="47"/>
  <c r="AU7" i="47"/>
  <c r="AN9" i="47"/>
  <c r="AL9" i="47"/>
  <c r="AH9" i="47"/>
  <c r="AG9" i="47"/>
  <c r="AF9" i="47"/>
  <c r="AQ7" i="47"/>
  <c r="AP7" i="47"/>
  <c r="AO7" i="47"/>
  <c r="AK7" i="47"/>
  <c r="AJ7" i="47"/>
  <c r="AI7" i="47"/>
  <c r="AB9" i="47"/>
  <c r="AA9" i="47"/>
  <c r="Z9" i="47"/>
  <c r="AE7" i="47"/>
  <c r="AD7" i="47"/>
  <c r="AC7" i="47"/>
  <c r="V9" i="47"/>
  <c r="U9" i="47"/>
  <c r="T9" i="47"/>
  <c r="Y7" i="47"/>
  <c r="X7" i="47"/>
  <c r="W7" i="47"/>
  <c r="P9" i="47"/>
  <c r="O9" i="47"/>
  <c r="N9" i="47"/>
  <c r="S7" i="47"/>
  <c r="R7" i="47"/>
  <c r="Q7" i="47"/>
  <c r="A52" i="47"/>
  <c r="A49" i="53" s="1"/>
  <c r="L49" i="53" s="1"/>
  <c r="W49" i="53" s="1"/>
  <c r="AH49" i="53" s="1"/>
  <c r="AS49" i="53" s="1"/>
  <c r="BD49" i="53" s="1"/>
  <c r="BO49" i="53" s="1"/>
  <c r="BZ49" i="53" s="1"/>
  <c r="CK49" i="53" s="1"/>
  <c r="CV49" i="53" s="1"/>
  <c r="DG49" i="53" s="1"/>
  <c r="DR49" i="53" s="1"/>
  <c r="EC49" i="53" s="1"/>
  <c r="EG49" i="53" s="1"/>
  <c r="M49" i="47"/>
  <c r="S49" i="47" s="1"/>
  <c r="Y49" i="47" s="1"/>
  <c r="AE49" i="47" s="1"/>
  <c r="AK49" i="47" s="1"/>
  <c r="AQ49" i="47" s="1"/>
  <c r="AW49" i="47" s="1"/>
  <c r="BC49" i="47" s="1"/>
  <c r="BI49" i="47" s="1"/>
  <c r="BO49" i="47" s="1"/>
  <c r="BU49" i="47" s="1"/>
  <c r="CA49" i="47" s="1"/>
  <c r="L49" i="47"/>
  <c r="R49" i="47" s="1"/>
  <c r="X49" i="47" s="1"/>
  <c r="AD49" i="47" s="1"/>
  <c r="AJ49" i="47" s="1"/>
  <c r="AP49" i="47" s="1"/>
  <c r="AV49" i="47" s="1"/>
  <c r="BB49" i="47" s="1"/>
  <c r="BH49" i="47" s="1"/>
  <c r="BN49" i="47" s="1"/>
  <c r="BT49" i="47" s="1"/>
  <c r="BZ49" i="47" s="1"/>
  <c r="M48" i="47"/>
  <c r="Y48" i="47" s="1"/>
  <c r="AE48" i="47" s="1"/>
  <c r="AK48" i="47" s="1"/>
  <c r="AQ48" i="47" s="1"/>
  <c r="AW48" i="47" s="1"/>
  <c r="BC48" i="47" s="1"/>
  <c r="BI48" i="47" s="1"/>
  <c r="BO48" i="47" s="1"/>
  <c r="BU48" i="47" s="1"/>
  <c r="L48" i="47"/>
  <c r="X48" i="47" s="1"/>
  <c r="AD48" i="47" s="1"/>
  <c r="AJ48" i="47" s="1"/>
  <c r="AP48" i="47" s="1"/>
  <c r="AV48" i="47" s="1"/>
  <c r="BB48" i="47" s="1"/>
  <c r="BH48" i="47" s="1"/>
  <c r="BN48" i="47" s="1"/>
  <c r="BT48" i="47" s="1"/>
  <c r="K48" i="47"/>
  <c r="Q48" i="47" s="1"/>
  <c r="W48" i="47" s="1"/>
  <c r="AC48" i="47" s="1"/>
  <c r="AI48" i="47" s="1"/>
  <c r="AO48" i="47" s="1"/>
  <c r="AU48" i="47" s="1"/>
  <c r="BA48" i="47" s="1"/>
  <c r="BG48" i="47" s="1"/>
  <c r="BM48" i="47" s="1"/>
  <c r="BS48" i="47" s="1"/>
  <c r="K49" i="47"/>
  <c r="Q49" i="47" s="1"/>
  <c r="W49" i="47" s="1"/>
  <c r="AC49" i="47" s="1"/>
  <c r="AI49" i="47" s="1"/>
  <c r="AO49" i="47" s="1"/>
  <c r="AU49" i="47" s="1"/>
  <c r="BA49" i="47" s="1"/>
  <c r="BG49" i="47" s="1"/>
  <c r="BM49" i="47" s="1"/>
  <c r="BS49" i="47" s="1"/>
  <c r="BY49" i="47" s="1"/>
  <c r="M50" i="47"/>
  <c r="L50" i="47"/>
  <c r="K50" i="47"/>
  <c r="C49" i="47"/>
  <c r="J50" i="47"/>
  <c r="I50" i="47"/>
  <c r="G50" i="47"/>
  <c r="F50" i="47"/>
  <c r="E50" i="47"/>
  <c r="D50" i="47"/>
  <c r="C50" i="47"/>
  <c r="D49" i="47"/>
  <c r="B49" i="47"/>
  <c r="J9" i="47"/>
  <c r="I9" i="47"/>
  <c r="H9" i="47"/>
  <c r="H7" i="47"/>
  <c r="N7" i="47" s="1"/>
  <c r="T7" i="47" s="1"/>
  <c r="Z7" i="47" s="1"/>
  <c r="AF7" i="47" s="1"/>
  <c r="AL7" i="47" s="1"/>
  <c r="AR7" i="47" s="1"/>
  <c r="AX7" i="47" s="1"/>
  <c r="BD7" i="47" s="1"/>
  <c r="BJ7" i="47" s="1"/>
  <c r="BP7" i="47" s="1"/>
  <c r="H6" i="47"/>
  <c r="N6" i="47" s="1"/>
  <c r="T6" i="47" s="1"/>
  <c r="Z6" i="47" s="1"/>
  <c r="AF6" i="47" s="1"/>
  <c r="AL6" i="47" s="1"/>
  <c r="AR6" i="47" s="1"/>
  <c r="AX6" i="47" s="1"/>
  <c r="BD6" i="47" s="1"/>
  <c r="BJ6" i="47" s="1"/>
  <c r="BP6" i="47" s="1"/>
  <c r="H5" i="47"/>
  <c r="N5" i="47" s="1"/>
  <c r="T5" i="47" s="1"/>
  <c r="Z5" i="47" s="1"/>
  <c r="AF5" i="47" s="1"/>
  <c r="AL5" i="47" s="1"/>
  <c r="AR5" i="47" s="1"/>
  <c r="AX5" i="47" s="1"/>
  <c r="BD5" i="47" s="1"/>
  <c r="BJ5" i="47" s="1"/>
  <c r="BP5" i="47" s="1"/>
  <c r="H4" i="47"/>
  <c r="N4" i="47" s="1"/>
  <c r="T4" i="47" s="1"/>
  <c r="Z4" i="47" s="1"/>
  <c r="AF4" i="47" s="1"/>
  <c r="AL4" i="47" s="1"/>
  <c r="AR4" i="47" s="1"/>
  <c r="AX4" i="47" s="1"/>
  <c r="BD4" i="47" s="1"/>
  <c r="BJ4" i="47" s="1"/>
  <c r="BP4" i="47" s="1"/>
  <c r="D9" i="47"/>
  <c r="C9" i="47"/>
  <c r="B9" i="47"/>
  <c r="M9" i="47"/>
  <c r="S9" i="47" s="1"/>
  <c r="Y9" i="47" s="1"/>
  <c r="AE9" i="47" s="1"/>
  <c r="AK9" i="47" s="1"/>
  <c r="AQ9" i="47" s="1"/>
  <c r="AW9" i="47" s="1"/>
  <c r="BC9" i="47" s="1"/>
  <c r="BI9" i="47" s="1"/>
  <c r="BO9" i="47" s="1"/>
  <c r="BU9" i="47" s="1"/>
  <c r="CA9" i="47" s="1"/>
  <c r="L9" i="47"/>
  <c r="R9" i="47" s="1"/>
  <c r="X9" i="47" s="1"/>
  <c r="AD9" i="47" s="1"/>
  <c r="AJ9" i="47" s="1"/>
  <c r="AP9" i="47" s="1"/>
  <c r="AV9" i="47" s="1"/>
  <c r="BB9" i="47" s="1"/>
  <c r="BH9" i="47" s="1"/>
  <c r="BN9" i="47" s="1"/>
  <c r="BT9" i="47" s="1"/>
  <c r="BZ9" i="47" s="1"/>
  <c r="K9" i="47"/>
  <c r="Q9" i="47" s="1"/>
  <c r="W9" i="47" s="1"/>
  <c r="AC9" i="47" s="1"/>
  <c r="AI9" i="47" s="1"/>
  <c r="AO9" i="47" s="1"/>
  <c r="AU9" i="47" s="1"/>
  <c r="BA9" i="47" s="1"/>
  <c r="BG9" i="47" s="1"/>
  <c r="BM9" i="47" s="1"/>
  <c r="BS9" i="47" s="1"/>
  <c r="BY9" i="47" s="1"/>
  <c r="J8" i="47"/>
  <c r="P8" i="47" s="1"/>
  <c r="I8" i="47"/>
  <c r="O8" i="47" s="1"/>
  <c r="H8" i="47"/>
  <c r="H49" i="47" s="1"/>
  <c r="I49" i="47" l="1"/>
  <c r="ED49" i="53"/>
  <c r="EO49" i="53"/>
  <c r="EH49" i="53"/>
  <c r="EK49" i="53"/>
  <c r="EE49" i="53"/>
  <c r="EI49" i="53"/>
  <c r="V8" i="47"/>
  <c r="P49" i="47"/>
  <c r="BV52" i="47"/>
  <c r="CA52" i="47"/>
  <c r="BW52" i="47"/>
  <c r="BZ52" i="47"/>
  <c r="BY52" i="47"/>
  <c r="CB52" i="47"/>
  <c r="BX52" i="47"/>
  <c r="U8" i="47"/>
  <c r="O49" i="47"/>
  <c r="J49" i="47"/>
  <c r="N8" i="47"/>
  <c r="EF49" i="53" l="1"/>
  <c r="EJ49" i="53"/>
  <c r="EQ49" i="53"/>
  <c r="ER49" i="53"/>
  <c r="T8" i="47"/>
  <c r="N49" i="47"/>
  <c r="AA8" i="47"/>
  <c r="U49" i="47"/>
  <c r="AB8" i="47"/>
  <c r="V49" i="47"/>
  <c r="G9" i="11"/>
  <c r="C42" i="11"/>
  <c r="B49" i="11" s="1"/>
  <c r="A34" i="11"/>
  <c r="A33" i="11"/>
  <c r="A31" i="11"/>
  <c r="A30" i="11"/>
  <c r="D9" i="11"/>
  <c r="A45" i="11" l="1"/>
  <c r="A4" i="19" s="1"/>
  <c r="E45" i="11"/>
  <c r="EP49" i="53"/>
  <c r="C43" i="11"/>
  <c r="F9" i="11" s="1"/>
  <c r="C30" i="11"/>
  <c r="AG8" i="47"/>
  <c r="AA49" i="47"/>
  <c r="AH8" i="47"/>
  <c r="AB49" i="47"/>
  <c r="Z8" i="47"/>
  <c r="T49" i="47"/>
  <c r="A32" i="11"/>
  <c r="AN8" i="47" l="1"/>
  <c r="AH49" i="47"/>
  <c r="AM8" i="47"/>
  <c r="AG49" i="47"/>
  <c r="AF8" i="47"/>
  <c r="Z49" i="47"/>
  <c r="AT8" i="47" l="1"/>
  <c r="AN49" i="47"/>
  <c r="AS8" i="47"/>
  <c r="AM49" i="47"/>
  <c r="AL8" i="47"/>
  <c r="AF49" i="47"/>
  <c r="A66" i="47"/>
  <c r="A63" i="53" s="1"/>
  <c r="L63" i="53" s="1"/>
  <c r="W63" i="53" s="1"/>
  <c r="AH63" i="53" s="1"/>
  <c r="AS63" i="53" s="1"/>
  <c r="BD63" i="53" s="1"/>
  <c r="BO63" i="53" s="1"/>
  <c r="BZ63" i="53" s="1"/>
  <c r="CK63" i="53" s="1"/>
  <c r="CV63" i="53" s="1"/>
  <c r="DG63" i="53" s="1"/>
  <c r="DR63" i="53" s="1"/>
  <c r="EC63" i="53" s="1"/>
  <c r="EG63" i="53" s="1"/>
  <c r="A65" i="47"/>
  <c r="A62" i="53" s="1"/>
  <c r="L62" i="53" s="1"/>
  <c r="W62" i="53" s="1"/>
  <c r="AH62" i="53" s="1"/>
  <c r="AS62" i="53" s="1"/>
  <c r="BD62" i="53" s="1"/>
  <c r="BO62" i="53" s="1"/>
  <c r="BZ62" i="53" s="1"/>
  <c r="CK62" i="53" s="1"/>
  <c r="CV62" i="53" s="1"/>
  <c r="DG62" i="53" s="1"/>
  <c r="DR62" i="53" s="1"/>
  <c r="EC62" i="53" s="1"/>
  <c r="EG62" i="53" s="1"/>
  <c r="A64" i="47"/>
  <c r="A61" i="53" s="1"/>
  <c r="L61" i="53" s="1"/>
  <c r="W61" i="53" s="1"/>
  <c r="AH61" i="53" s="1"/>
  <c r="AS61" i="53" s="1"/>
  <c r="BD61" i="53" s="1"/>
  <c r="BO61" i="53" s="1"/>
  <c r="BZ61" i="53" s="1"/>
  <c r="CK61" i="53" s="1"/>
  <c r="CV61" i="53" s="1"/>
  <c r="DG61" i="53" s="1"/>
  <c r="DR61" i="53" s="1"/>
  <c r="EC61" i="53" s="1"/>
  <c r="EG61" i="53" s="1"/>
  <c r="A63" i="47"/>
  <c r="A60" i="53" s="1"/>
  <c r="L60" i="53" s="1"/>
  <c r="W60" i="53" s="1"/>
  <c r="AH60" i="53" s="1"/>
  <c r="AS60" i="53" s="1"/>
  <c r="BD60" i="53" s="1"/>
  <c r="BO60" i="53" s="1"/>
  <c r="BZ60" i="53" s="1"/>
  <c r="CK60" i="53" s="1"/>
  <c r="CV60" i="53" s="1"/>
  <c r="DG60" i="53" s="1"/>
  <c r="DR60" i="53" s="1"/>
  <c r="EC60" i="53" s="1"/>
  <c r="EG60" i="53" s="1"/>
  <c r="A62" i="47"/>
  <c r="A59" i="53" s="1"/>
  <c r="L59" i="53" s="1"/>
  <c r="W59" i="53" s="1"/>
  <c r="AH59" i="53" s="1"/>
  <c r="AS59" i="53" s="1"/>
  <c r="BD59" i="53" s="1"/>
  <c r="BO59" i="53" s="1"/>
  <c r="BZ59" i="53" s="1"/>
  <c r="CK59" i="53" s="1"/>
  <c r="CV59" i="53" s="1"/>
  <c r="DG59" i="53" s="1"/>
  <c r="DR59" i="53" s="1"/>
  <c r="EC59" i="53" s="1"/>
  <c r="EG59" i="53" s="1"/>
  <c r="A61" i="47"/>
  <c r="A58" i="53" s="1"/>
  <c r="L58" i="53" s="1"/>
  <c r="W58" i="53" s="1"/>
  <c r="AH58" i="53" s="1"/>
  <c r="AS58" i="53" s="1"/>
  <c r="BD58" i="53" s="1"/>
  <c r="BO58" i="53" s="1"/>
  <c r="BZ58" i="53" s="1"/>
  <c r="CK58" i="53" s="1"/>
  <c r="CV58" i="53" s="1"/>
  <c r="DG58" i="53" s="1"/>
  <c r="DR58" i="53" s="1"/>
  <c r="EC58" i="53" s="1"/>
  <c r="EG58" i="53" s="1"/>
  <c r="A60" i="47"/>
  <c r="A57" i="53" s="1"/>
  <c r="L57" i="53" s="1"/>
  <c r="W57" i="53" s="1"/>
  <c r="AH57" i="53" s="1"/>
  <c r="AS57" i="53" s="1"/>
  <c r="BD57" i="53" s="1"/>
  <c r="BO57" i="53" s="1"/>
  <c r="BZ57" i="53" s="1"/>
  <c r="CK57" i="53" s="1"/>
  <c r="CV57" i="53" s="1"/>
  <c r="DG57" i="53" s="1"/>
  <c r="DR57" i="53" s="1"/>
  <c r="EC57" i="53" s="1"/>
  <c r="EG57" i="53" s="1"/>
  <c r="A59" i="47"/>
  <c r="A56" i="53" s="1"/>
  <c r="L56" i="53" s="1"/>
  <c r="W56" i="53" s="1"/>
  <c r="AH56" i="53" s="1"/>
  <c r="AS56" i="53" s="1"/>
  <c r="BD56" i="53" s="1"/>
  <c r="BO56" i="53" s="1"/>
  <c r="BZ56" i="53" s="1"/>
  <c r="CK56" i="53" s="1"/>
  <c r="CV56" i="53" s="1"/>
  <c r="DG56" i="53" s="1"/>
  <c r="DR56" i="53" s="1"/>
  <c r="EC56" i="53" s="1"/>
  <c r="EG56" i="53" s="1"/>
  <c r="A58" i="47"/>
  <c r="A55" i="53" s="1"/>
  <c r="L55" i="53" s="1"/>
  <c r="W55" i="53" s="1"/>
  <c r="AH55" i="53" s="1"/>
  <c r="AS55" i="53" s="1"/>
  <c r="BD55" i="53" s="1"/>
  <c r="BO55" i="53" s="1"/>
  <c r="BZ55" i="53" s="1"/>
  <c r="CK55" i="53" s="1"/>
  <c r="CV55" i="53" s="1"/>
  <c r="DG55" i="53" s="1"/>
  <c r="DR55" i="53" s="1"/>
  <c r="EC55" i="53" s="1"/>
  <c r="EG55" i="53" s="1"/>
  <c r="A57" i="47"/>
  <c r="A54" i="53" s="1"/>
  <c r="L54" i="53" s="1"/>
  <c r="W54" i="53" s="1"/>
  <c r="AH54" i="53" s="1"/>
  <c r="AS54" i="53" s="1"/>
  <c r="BD54" i="53" s="1"/>
  <c r="BO54" i="53" s="1"/>
  <c r="BZ54" i="53" s="1"/>
  <c r="CK54" i="53" s="1"/>
  <c r="CV54" i="53" s="1"/>
  <c r="DG54" i="53" s="1"/>
  <c r="DR54" i="53" s="1"/>
  <c r="EC54" i="53" s="1"/>
  <c r="EG54" i="53" s="1"/>
  <c r="A56" i="47"/>
  <c r="A53" i="53" s="1"/>
  <c r="L53" i="53" s="1"/>
  <c r="W53" i="53" s="1"/>
  <c r="AH53" i="53" s="1"/>
  <c r="AS53" i="53" s="1"/>
  <c r="BD53" i="53" s="1"/>
  <c r="BO53" i="53" s="1"/>
  <c r="BZ53" i="53" s="1"/>
  <c r="CK53" i="53" s="1"/>
  <c r="CV53" i="53" s="1"/>
  <c r="DG53" i="53" s="1"/>
  <c r="DR53" i="53" s="1"/>
  <c r="EC53" i="53" s="1"/>
  <c r="EG53" i="53" s="1"/>
  <c r="A55" i="47"/>
  <c r="A52" i="53" s="1"/>
  <c r="L52" i="53" s="1"/>
  <c r="W52" i="53" s="1"/>
  <c r="AH52" i="53" s="1"/>
  <c r="AS52" i="53" s="1"/>
  <c r="BD52" i="53" s="1"/>
  <c r="BO52" i="53" s="1"/>
  <c r="BZ52" i="53" s="1"/>
  <c r="CK52" i="53" s="1"/>
  <c r="CV52" i="53" s="1"/>
  <c r="DG52" i="53" s="1"/>
  <c r="DR52" i="53" s="1"/>
  <c r="EC52" i="53" s="1"/>
  <c r="EG52" i="53" s="1"/>
  <c r="A54" i="47"/>
  <c r="A51" i="53" s="1"/>
  <c r="L51" i="53" s="1"/>
  <c r="W51" i="53" s="1"/>
  <c r="AH51" i="53" s="1"/>
  <c r="AS51" i="53" s="1"/>
  <c r="BD51" i="53" s="1"/>
  <c r="BO51" i="53" s="1"/>
  <c r="BZ51" i="53" s="1"/>
  <c r="CK51" i="53" s="1"/>
  <c r="CV51" i="53" s="1"/>
  <c r="DG51" i="53" s="1"/>
  <c r="DR51" i="53" s="1"/>
  <c r="EC51" i="53" s="1"/>
  <c r="EG51" i="53" s="1"/>
  <c r="A53" i="47"/>
  <c r="A50" i="53" s="1"/>
  <c r="L50" i="53" s="1"/>
  <c r="W50" i="53" s="1"/>
  <c r="AH50" i="53" s="1"/>
  <c r="AS50" i="53" s="1"/>
  <c r="BD50" i="53" s="1"/>
  <c r="BO50" i="53" s="1"/>
  <c r="BZ50" i="53" s="1"/>
  <c r="CK50" i="53" s="1"/>
  <c r="CV50" i="53" s="1"/>
  <c r="DG50" i="53" s="1"/>
  <c r="DR50" i="53" s="1"/>
  <c r="EC50" i="53" s="1"/>
  <c r="EG50" i="53" s="1"/>
  <c r="M7" i="47"/>
  <c r="L7" i="47"/>
  <c r="K7" i="47"/>
  <c r="E7" i="47"/>
  <c r="G7" i="47"/>
  <c r="EE61" i="53" l="1"/>
  <c r="EF61" i="53" s="1"/>
  <c r="ED61" i="53"/>
  <c r="EK61" i="53"/>
  <c r="EO61" i="53"/>
  <c r="EI61" i="53"/>
  <c r="EJ61" i="53" s="1"/>
  <c r="EH61" i="53"/>
  <c r="EH62" i="53"/>
  <c r="EE62" i="53"/>
  <c r="EF62" i="53" s="1"/>
  <c r="EK62" i="53"/>
  <c r="ED62" i="53"/>
  <c r="EI62" i="53"/>
  <c r="EJ62" i="53" s="1"/>
  <c r="EO62" i="53"/>
  <c r="EE63" i="53"/>
  <c r="EF63" i="53" s="1"/>
  <c r="ED63" i="53"/>
  <c r="EK63" i="53"/>
  <c r="EI63" i="53"/>
  <c r="EJ63" i="53" s="1"/>
  <c r="EH63" i="53"/>
  <c r="EO63" i="53"/>
  <c r="EI51" i="53"/>
  <c r="EH51" i="53"/>
  <c r="EO51" i="53"/>
  <c r="ED51" i="53"/>
  <c r="EK51" i="53"/>
  <c r="EE51" i="53"/>
  <c r="EF51" i="53" s="1"/>
  <c r="EK54" i="53"/>
  <c r="EI54" i="53"/>
  <c r="EJ54" i="53" s="1"/>
  <c r="EH54" i="53"/>
  <c r="EO54" i="53"/>
  <c r="EE54" i="53"/>
  <c r="EF54" i="53" s="1"/>
  <c r="ED54" i="53"/>
  <c r="EE56" i="53"/>
  <c r="EF56" i="53" s="1"/>
  <c r="ED56" i="53"/>
  <c r="EO56" i="53"/>
  <c r="EK56" i="53"/>
  <c r="EI56" i="53"/>
  <c r="EJ56" i="53" s="1"/>
  <c r="EH56" i="53"/>
  <c r="ED53" i="53"/>
  <c r="EK53" i="53"/>
  <c r="EI53" i="53"/>
  <c r="EJ53" i="53" s="1"/>
  <c r="EH53" i="53"/>
  <c r="EO53" i="53"/>
  <c r="EE53" i="53"/>
  <c r="EF53" i="53" s="1"/>
  <c r="EO55" i="53"/>
  <c r="EE55" i="53"/>
  <c r="EF55" i="53" s="1"/>
  <c r="ED55" i="53"/>
  <c r="EK55" i="53"/>
  <c r="EI55" i="53"/>
  <c r="EJ55" i="53" s="1"/>
  <c r="EH55" i="53"/>
  <c r="EH57" i="53"/>
  <c r="EE57" i="53"/>
  <c r="EF57" i="53" s="1"/>
  <c r="EK57" i="53"/>
  <c r="ED57" i="53"/>
  <c r="EI57" i="53"/>
  <c r="EJ57" i="53" s="1"/>
  <c r="EO57" i="53"/>
  <c r="EK50" i="53"/>
  <c r="EE50" i="53"/>
  <c r="ED50" i="53"/>
  <c r="EI50" i="53"/>
  <c r="EH50" i="53"/>
  <c r="EO50" i="53"/>
  <c r="EK58" i="53"/>
  <c r="EI58" i="53"/>
  <c r="EJ58" i="53" s="1"/>
  <c r="EH58" i="53"/>
  <c r="ED58" i="53"/>
  <c r="EO58" i="53"/>
  <c r="EE58" i="53"/>
  <c r="EF58" i="53" s="1"/>
  <c r="EE59" i="53"/>
  <c r="EF59" i="53" s="1"/>
  <c r="EK59" i="53"/>
  <c r="EO59" i="53"/>
  <c r="EI59" i="53"/>
  <c r="EJ59" i="53" s="1"/>
  <c r="ED59" i="53"/>
  <c r="EH59" i="53"/>
  <c r="EO52" i="53"/>
  <c r="EE52" i="53"/>
  <c r="ED52" i="53"/>
  <c r="EK52" i="53"/>
  <c r="EI52" i="53"/>
  <c r="EH52" i="53"/>
  <c r="EO60" i="53"/>
  <c r="EI60" i="53"/>
  <c r="EJ60" i="53" s="1"/>
  <c r="EH60" i="53"/>
  <c r="EE60" i="53"/>
  <c r="EF60" i="53" s="1"/>
  <c r="EK60" i="53"/>
  <c r="ED60" i="53"/>
  <c r="BZ54" i="47"/>
  <c r="CA54" i="47"/>
  <c r="BY54" i="47"/>
  <c r="BX54" i="47"/>
  <c r="BW54" i="47"/>
  <c r="CB54" i="47"/>
  <c r="BV54" i="47"/>
  <c r="CA63" i="47"/>
  <c r="BZ63" i="47"/>
  <c r="CB63" i="47"/>
  <c r="BY63" i="47"/>
  <c r="BX63" i="47"/>
  <c r="BW63" i="47"/>
  <c r="BV63" i="47"/>
  <c r="BV56" i="47"/>
  <c r="CB56" i="47"/>
  <c r="CA56" i="47"/>
  <c r="BZ56" i="47"/>
  <c r="BY56" i="47"/>
  <c r="BW56" i="47"/>
  <c r="BX56" i="47"/>
  <c r="BV64" i="47"/>
  <c r="CB64" i="47"/>
  <c r="CA64" i="47"/>
  <c r="BZ64" i="47"/>
  <c r="BY64" i="47"/>
  <c r="BX64" i="47"/>
  <c r="BW64" i="47"/>
  <c r="AZ8" i="47"/>
  <c r="AT49" i="47"/>
  <c r="BX57" i="47"/>
  <c r="CB57" i="47"/>
  <c r="BW57" i="47"/>
  <c r="BV57" i="47"/>
  <c r="BY57" i="47"/>
  <c r="CA57" i="47"/>
  <c r="BZ57" i="47"/>
  <c r="BX65" i="47"/>
  <c r="CB65" i="47"/>
  <c r="BY65" i="47"/>
  <c r="BW65" i="47"/>
  <c r="BV65" i="47"/>
  <c r="CA65" i="47"/>
  <c r="BZ65" i="47"/>
  <c r="BZ66" i="47"/>
  <c r="BY66" i="47"/>
  <c r="BX66" i="47"/>
  <c r="CB66" i="47"/>
  <c r="BW66" i="47"/>
  <c r="CA66" i="47"/>
  <c r="BV66" i="47"/>
  <c r="CA55" i="47"/>
  <c r="BZ55" i="47"/>
  <c r="CB55" i="47"/>
  <c r="BY55" i="47"/>
  <c r="BX55" i="47"/>
  <c r="BW55" i="47"/>
  <c r="BV55" i="47"/>
  <c r="BZ58" i="47"/>
  <c r="BY58" i="47"/>
  <c r="CB58" i="47"/>
  <c r="BX58" i="47"/>
  <c r="BW58" i="47"/>
  <c r="BV58" i="47"/>
  <c r="CA58" i="47"/>
  <c r="CA59" i="47"/>
  <c r="BZ59" i="47"/>
  <c r="BY59" i="47"/>
  <c r="BX59" i="47"/>
  <c r="BW59" i="47"/>
  <c r="BV59" i="47"/>
  <c r="CB59" i="47"/>
  <c r="BV60" i="47"/>
  <c r="CA60" i="47"/>
  <c r="BZ60" i="47"/>
  <c r="BY60" i="47"/>
  <c r="CB60" i="47"/>
  <c r="BW60" i="47"/>
  <c r="BX60" i="47"/>
  <c r="AR8" i="47"/>
  <c r="AL49" i="47"/>
  <c r="BX53" i="47"/>
  <c r="BW53" i="47"/>
  <c r="BV53" i="47"/>
  <c r="CB53" i="47"/>
  <c r="CA53" i="47"/>
  <c r="BZ53" i="47"/>
  <c r="BY53" i="47"/>
  <c r="BX61" i="47"/>
  <c r="BW61" i="47"/>
  <c r="BV61" i="47"/>
  <c r="BY61" i="47"/>
  <c r="CB61" i="47"/>
  <c r="CA61" i="47"/>
  <c r="BZ61" i="47"/>
  <c r="BZ62" i="47"/>
  <c r="BY62" i="47"/>
  <c r="CA62" i="47"/>
  <c r="BX62" i="47"/>
  <c r="BW62" i="47"/>
  <c r="CB62" i="47"/>
  <c r="BV62" i="47"/>
  <c r="AY8" i="47"/>
  <c r="AS49" i="47"/>
  <c r="B50" i="47"/>
  <c r="H50" i="47"/>
  <c r="F7" i="47"/>
  <c r="EJ52" i="53" l="1"/>
  <c r="EF52" i="53"/>
  <c r="EF50" i="53"/>
  <c r="EJ51" i="53"/>
  <c r="EJ50" i="53"/>
  <c r="ER60" i="53"/>
  <c r="EQ60" i="53"/>
  <c r="EP60" i="53"/>
  <c r="ER58" i="53"/>
  <c r="EQ58" i="53"/>
  <c r="EP58" i="53"/>
  <c r="EQ63" i="53"/>
  <c r="EP63" i="53"/>
  <c r="ER63" i="53"/>
  <c r="ER50" i="53"/>
  <c r="EQ50" i="53"/>
  <c r="EP50" i="53" s="1"/>
  <c r="ER52" i="53"/>
  <c r="EQ52" i="53"/>
  <c r="EP52" i="53" s="1"/>
  <c r="ER62" i="53"/>
  <c r="EQ62" i="53"/>
  <c r="EP62" i="53"/>
  <c r="ER54" i="53"/>
  <c r="EQ54" i="53"/>
  <c r="EP54" i="53"/>
  <c r="ER59" i="53"/>
  <c r="EQ59" i="53"/>
  <c r="EP59" i="53"/>
  <c r="ER57" i="53"/>
  <c r="EQ57" i="53"/>
  <c r="EP57" i="53"/>
  <c r="EP55" i="53"/>
  <c r="EQ55" i="53"/>
  <c r="ER55" i="53"/>
  <c r="ER56" i="53"/>
  <c r="EQ56" i="53"/>
  <c r="EP56" i="53"/>
  <c r="ER53" i="53"/>
  <c r="EQ53" i="53"/>
  <c r="EP53" i="53"/>
  <c r="EQ51" i="53"/>
  <c r="EP51" i="53" s="1"/>
  <c r="ER51" i="53"/>
  <c r="ER61" i="53"/>
  <c r="EQ61" i="53"/>
  <c r="EP61" i="53"/>
  <c r="AX8" i="47"/>
  <c r="AR49" i="47"/>
  <c r="BE8" i="47"/>
  <c r="AY49" i="47"/>
  <c r="BF8" i="47"/>
  <c r="AZ49" i="47"/>
  <c r="BD8" i="47" l="1"/>
  <c r="AX49" i="47"/>
  <c r="BL8" i="47"/>
  <c r="BF49" i="47"/>
  <c r="BK8" i="47"/>
  <c r="BE49" i="47"/>
  <c r="BJ8" i="47" l="1"/>
  <c r="BD49" i="47"/>
  <c r="BR8" i="47"/>
  <c r="BL49" i="47"/>
  <c r="BQ8" i="47"/>
  <c r="BK49" i="47"/>
  <c r="O59" i="20"/>
  <c r="O58" i="20"/>
  <c r="BP8" i="47" l="1"/>
  <c r="BJ49" i="47"/>
  <c r="BW9" i="47"/>
  <c r="BQ49" i="47"/>
  <c r="BW49" i="47" s="1"/>
  <c r="BW3" i="47"/>
  <c r="BX9" i="47"/>
  <c r="BR49" i="47"/>
  <c r="BX49" i="47" s="1"/>
  <c r="BX3" i="47"/>
  <c r="BV9" i="47" l="1"/>
  <c r="BP49" i="47"/>
  <c r="BV49" i="47" s="1"/>
  <c r="BV3" i="47"/>
  <c r="A51" i="47"/>
  <c r="A48" i="53" s="1"/>
  <c r="L48" i="53" s="1"/>
  <c r="W48" i="53" s="1"/>
  <c r="AH48" i="53" s="1"/>
  <c r="AS48" i="53" s="1"/>
  <c r="BD48" i="53" s="1"/>
  <c r="BO48" i="53" s="1"/>
  <c r="BZ48" i="53" s="1"/>
  <c r="CK48" i="53" s="1"/>
  <c r="CV48" i="53" s="1"/>
  <c r="DG48" i="53" s="1"/>
  <c r="DR48" i="53" s="1"/>
  <c r="EC48" i="53" s="1"/>
  <c r="EG48" i="53" s="1"/>
  <c r="AF1" i="47"/>
  <c r="EO48" i="53" l="1"/>
  <c r="EI48" i="53"/>
  <c r="EH48" i="53"/>
  <c r="ED48" i="53"/>
  <c r="EK48" i="53"/>
  <c r="EE48" i="53"/>
  <c r="CA51" i="47"/>
  <c r="CA50" i="47" s="1"/>
  <c r="BZ51" i="47"/>
  <c r="BZ50" i="47" s="1"/>
  <c r="BY51" i="47"/>
  <c r="BY50" i="47" s="1"/>
  <c r="BX51" i="47"/>
  <c r="BW51" i="47"/>
  <c r="BV51" i="47"/>
  <c r="CB51" i="47"/>
  <c r="O60" i="20"/>
  <c r="O57" i="20"/>
  <c r="EF48" i="53" l="1"/>
  <c r="EJ48" i="53"/>
  <c r="EQ48" i="53"/>
  <c r="EP48" i="53" s="1"/>
  <c r="ER48" i="53"/>
  <c r="BV50" i="47"/>
  <c r="BV7" i="47"/>
  <c r="BW50" i="47"/>
  <c r="BW7" i="47"/>
  <c r="BX50" i="47"/>
  <c r="BX7" i="47"/>
  <c r="O64" i="20"/>
  <c r="O63" i="20"/>
  <c r="O62" i="20"/>
  <c r="O56" i="20"/>
  <c r="O11" i="12" l="1"/>
  <c r="N11" i="12"/>
  <c r="N10" i="12"/>
  <c r="N9" i="12"/>
  <c r="N8" i="12"/>
  <c r="I15" i="12"/>
  <c r="C15" i="12"/>
  <c r="C14" i="12"/>
  <c r="B2" i="12"/>
  <c r="E29" i="3"/>
  <c r="E27" i="3"/>
  <c r="A2" i="12" l="1"/>
  <c r="C2" i="12"/>
  <c r="J3" i="12"/>
  <c r="D3" i="12"/>
  <c r="C13" i="12" s="1"/>
  <c r="G3" i="12"/>
  <c r="P3" i="12"/>
  <c r="M3" i="12"/>
  <c r="L11" i="12" s="1"/>
  <c r="I10" i="12" l="1"/>
  <c r="I9" i="12"/>
  <c r="I8" i="12"/>
  <c r="I7" i="12"/>
  <c r="I14" i="12"/>
  <c r="I13" i="12"/>
  <c r="I12" i="12"/>
  <c r="I11" i="12"/>
  <c r="C12" i="12"/>
  <c r="C11" i="12"/>
  <c r="L9" i="12"/>
  <c r="L8" i="12"/>
  <c r="L7" i="12"/>
  <c r="L10" i="12"/>
  <c r="O10" i="12"/>
  <c r="O9" i="12"/>
  <c r="O8" i="12"/>
  <c r="O7" i="12"/>
  <c r="C8" i="12"/>
  <c r="C10" i="12"/>
  <c r="C7" i="12"/>
  <c r="C9" i="12"/>
  <c r="D17" i="3" l="1"/>
  <c r="M1" i="39" l="1"/>
  <c r="Q4" i="1" l="1"/>
  <c r="S4" i="1"/>
  <c r="K1" i="19" s="1"/>
  <c r="S3" i="1"/>
  <c r="B4" i="27" s="1"/>
  <c r="Q3" i="1"/>
  <c r="N25" i="39" l="1"/>
  <c r="O25" i="39" l="1"/>
  <c r="G12" i="17" l="1"/>
  <c r="F14" i="17"/>
  <c r="F12" i="17"/>
  <c r="D44" i="16"/>
  <c r="D43" i="16"/>
  <c r="B60" i="16" l="1"/>
  <c r="B66" i="16" l="1"/>
  <c r="F2" i="39"/>
  <c r="E52" i="16" l="1"/>
  <c r="E53" i="16" s="1"/>
  <c r="B52" i="16"/>
  <c r="AA32" i="2" l="1"/>
  <c r="AB32" i="2" s="1"/>
  <c r="AA31" i="2"/>
  <c r="AB31" i="2" s="1"/>
  <c r="AA30" i="2"/>
  <c r="AB30" i="2" s="1"/>
  <c r="AL23" i="6" l="1"/>
  <c r="AL23" i="5"/>
  <c r="AL22" i="5"/>
  <c r="AL21" i="5"/>
  <c r="AL20" i="5"/>
  <c r="AL19" i="5"/>
  <c r="AL18" i="5"/>
  <c r="AL17" i="5"/>
  <c r="AL16" i="5"/>
  <c r="AL15" i="5"/>
  <c r="AL14" i="5"/>
  <c r="AL13" i="5"/>
  <c r="AI4" i="5"/>
  <c r="AI4" i="6" s="1"/>
  <c r="B53" i="16" l="1"/>
  <c r="B22" i="3" l="1"/>
  <c r="E41" i="15"/>
  <c r="F32" i="15" s="1"/>
  <c r="E60" i="15"/>
  <c r="D5" i="15" l="1"/>
  <c r="E33" i="15"/>
  <c r="Q64" i="9" l="1"/>
  <c r="P64" i="9"/>
  <c r="O64" i="9"/>
  <c r="N64" i="9"/>
  <c r="M64" i="9"/>
  <c r="L64" i="9"/>
  <c r="K64" i="9"/>
  <c r="J64" i="9"/>
  <c r="I64" i="9"/>
  <c r="H64" i="9"/>
  <c r="G64" i="9"/>
  <c r="F64" i="9"/>
  <c r="Q64" i="8"/>
  <c r="P64" i="8"/>
  <c r="O64" i="8"/>
  <c r="N64" i="8"/>
  <c r="M64" i="8"/>
  <c r="L64" i="8"/>
  <c r="K64" i="8"/>
  <c r="J64" i="8"/>
  <c r="I64" i="8"/>
  <c r="H64" i="8"/>
  <c r="G64" i="8"/>
  <c r="F64" i="8"/>
  <c r="Q140" i="7"/>
  <c r="P140" i="7"/>
  <c r="O140" i="7"/>
  <c r="N140" i="7"/>
  <c r="M140" i="7"/>
  <c r="L140" i="7"/>
  <c r="K140" i="7"/>
  <c r="J140" i="7"/>
  <c r="I140" i="7"/>
  <c r="H140" i="7"/>
  <c r="G140" i="7"/>
  <c r="F140" i="7"/>
  <c r="U140" i="7" l="1"/>
  <c r="R64" i="8"/>
  <c r="R64" i="9"/>
  <c r="D108" i="3" l="1"/>
  <c r="D16" i="11"/>
  <c r="B38" i="15" l="1"/>
  <c r="AB23" i="15"/>
  <c r="AA23" i="15"/>
  <c r="Z23" i="15"/>
  <c r="AB22" i="15"/>
  <c r="AA22" i="15"/>
  <c r="Z22" i="15"/>
  <c r="AB21" i="15"/>
  <c r="AA21" i="15"/>
  <c r="Z21" i="15"/>
  <c r="AB20" i="15"/>
  <c r="AA20" i="15"/>
  <c r="Z20" i="15"/>
  <c r="AB19" i="15"/>
  <c r="AA19" i="15"/>
  <c r="Z19" i="15"/>
  <c r="AB18" i="15"/>
  <c r="AA18" i="15"/>
  <c r="Z18" i="15"/>
  <c r="AB17" i="15"/>
  <c r="AA17" i="15"/>
  <c r="Z17" i="15"/>
  <c r="AB16" i="15"/>
  <c r="AA16" i="15"/>
  <c r="Z16" i="15"/>
  <c r="Y25" i="15"/>
  <c r="X25" i="15"/>
  <c r="W25" i="15"/>
  <c r="V25" i="15"/>
  <c r="U25" i="15"/>
  <c r="T25" i="15"/>
  <c r="S25" i="15"/>
  <c r="R25" i="15"/>
  <c r="Q25" i="15"/>
  <c r="P25" i="15"/>
  <c r="O25" i="15"/>
  <c r="N25" i="15"/>
  <c r="M25" i="15" l="1"/>
  <c r="AC21" i="15"/>
  <c r="M21" i="15" s="1"/>
  <c r="AC17" i="15"/>
  <c r="M17" i="15" s="1"/>
  <c r="AC22" i="15"/>
  <c r="M22" i="15" s="1"/>
  <c r="AC20" i="15"/>
  <c r="M20" i="15" s="1"/>
  <c r="AC18" i="15"/>
  <c r="M18" i="15" s="1"/>
  <c r="AC19" i="15"/>
  <c r="M19" i="15" s="1"/>
  <c r="AC23" i="15"/>
  <c r="M23" i="15" s="1"/>
  <c r="AC16" i="15"/>
  <c r="M16" i="15" s="1"/>
  <c r="N23" i="39"/>
  <c r="AC15" i="15" l="1"/>
  <c r="I25" i="15" s="1"/>
  <c r="M14" i="15" s="1"/>
  <c r="AA3" i="59"/>
  <c r="J2" i="59" s="1"/>
  <c r="N6" i="29" l="1"/>
  <c r="C46" i="16"/>
  <c r="W7" i="5"/>
  <c r="C12" i="16" l="1"/>
  <c r="E19" i="16" l="1"/>
  <c r="G64" i="16" s="1"/>
  <c r="E64" i="16" s="1"/>
  <c r="E65" i="16" s="1"/>
  <c r="E69" i="16" l="1"/>
  <c r="E71" i="16"/>
  <c r="E61" i="16"/>
  <c r="E67" i="16"/>
  <c r="E54" i="16"/>
  <c r="E56" i="16" s="1"/>
  <c r="AA29" i="2"/>
  <c r="AB29" i="2" s="1"/>
  <c r="AA28" i="2"/>
  <c r="AB28" i="2" s="1"/>
  <c r="AA27" i="2"/>
  <c r="AB27" i="2" s="1"/>
  <c r="AB26" i="2"/>
  <c r="AB25" i="2"/>
  <c r="AB24" i="2"/>
  <c r="AB20" i="2"/>
  <c r="AB19" i="2"/>
  <c r="AB18" i="2"/>
  <c r="AB17" i="2"/>
  <c r="AC20" i="2" l="1"/>
  <c r="AC18" i="2"/>
  <c r="F11" i="17"/>
  <c r="N23" i="2" l="1"/>
  <c r="N21" i="2" s="1"/>
  <c r="L7" i="16" s="1"/>
  <c r="K44" i="57"/>
  <c r="X36" i="2"/>
  <c r="N39" i="2" l="1"/>
  <c r="M38" i="2"/>
  <c r="L39" i="2"/>
  <c r="AL17" i="6"/>
  <c r="AL21" i="6"/>
  <c r="AL13" i="6"/>
  <c r="AL14" i="6"/>
  <c r="AL16" i="6"/>
  <c r="AL20" i="6"/>
  <c r="AL19" i="6"/>
  <c r="AL15" i="6"/>
  <c r="AL12" i="6"/>
  <c r="AL18" i="6"/>
  <c r="AL22" i="6"/>
  <c r="B23" i="16"/>
  <c r="B6" i="16" s="1"/>
  <c r="B49" i="16" s="1"/>
  <c r="P39" i="2" l="1"/>
  <c r="E18" i="16"/>
  <c r="H18" i="16"/>
  <c r="H15" i="16" l="1"/>
  <c r="I15" i="16" s="1"/>
  <c r="C74" i="22"/>
  <c r="U34" i="3"/>
  <c r="U30" i="3"/>
  <c r="U27" i="3"/>
  <c r="U26" i="3"/>
  <c r="U24" i="3"/>
  <c r="U23" i="3"/>
  <c r="U22" i="3"/>
  <c r="U21" i="3"/>
  <c r="U20" i="3"/>
  <c r="U19" i="3"/>
  <c r="U15" i="3"/>
  <c r="U17" i="3"/>
  <c r="U14" i="3"/>
  <c r="W74" i="22" l="1"/>
  <c r="H27" i="14" l="1"/>
  <c r="G27" i="14"/>
  <c r="H26" i="14"/>
  <c r="G26" i="14"/>
  <c r="H25" i="14"/>
  <c r="G25" i="14"/>
  <c r="H24" i="14"/>
  <c r="G24" i="14"/>
  <c r="G23" i="14"/>
  <c r="G22" i="14"/>
  <c r="G21" i="14"/>
  <c r="G20" i="14"/>
  <c r="G19" i="14"/>
  <c r="H18" i="14"/>
  <c r="G18" i="14"/>
  <c r="G17" i="14"/>
  <c r="G16" i="14"/>
  <c r="G14" i="14"/>
  <c r="H12" i="14"/>
  <c r="G10" i="14"/>
  <c r="G9" i="14"/>
  <c r="I28" i="14"/>
  <c r="J8" i="14" s="1"/>
  <c r="I5" i="14"/>
  <c r="H7" i="14" l="1"/>
  <c r="I4" i="14" s="1"/>
  <c r="C16" i="14" s="1"/>
  <c r="H15" i="14"/>
  <c r="H16" i="14"/>
  <c r="H20" i="14"/>
  <c r="H11" i="14"/>
  <c r="H17" i="14"/>
  <c r="H21" i="14"/>
  <c r="H13" i="14"/>
  <c r="H22" i="14"/>
  <c r="H10" i="14"/>
  <c r="H14" i="14"/>
  <c r="H19" i="14"/>
  <c r="H23" i="14"/>
  <c r="H9" i="14"/>
  <c r="I29" i="14"/>
  <c r="J3" i="14"/>
  <c r="E15" i="14" l="1"/>
  <c r="E7" i="14" s="1"/>
  <c r="E218" i="3"/>
  <c r="D218" i="3"/>
  <c r="D252" i="3"/>
  <c r="D251" i="3"/>
  <c r="E251" i="3" s="1"/>
  <c r="D250" i="3"/>
  <c r="E250" i="3" s="1"/>
  <c r="D249" i="3"/>
  <c r="P30" i="3" s="1"/>
  <c r="D248" i="3"/>
  <c r="E248" i="3" s="1"/>
  <c r="E243" i="3"/>
  <c r="G243" i="3" s="1"/>
  <c r="E242" i="3"/>
  <c r="G242" i="3" s="1"/>
  <c r="E241" i="3"/>
  <c r="G241" i="3" s="1"/>
  <c r="E240" i="3"/>
  <c r="G240" i="3" s="1"/>
  <c r="E239" i="3"/>
  <c r="G239" i="3" s="1"/>
  <c r="E238" i="3"/>
  <c r="G238" i="3" s="1"/>
  <c r="D238" i="3"/>
  <c r="D236" i="3" s="1"/>
  <c r="E234" i="3"/>
  <c r="D233" i="3"/>
  <c r="E233" i="3" s="1"/>
  <c r="G233" i="3" s="1"/>
  <c r="K40" i="3" s="1"/>
  <c r="D222" i="3"/>
  <c r="I222" i="3" s="1"/>
  <c r="I220" i="3"/>
  <c r="E219" i="3"/>
  <c r="D217" i="3"/>
  <c r="E217" i="3" s="1"/>
  <c r="E205" i="3"/>
  <c r="E204" i="3"/>
  <c r="H202" i="3"/>
  <c r="D202" i="3"/>
  <c r="E192" i="3" s="1"/>
  <c r="D190" i="3"/>
  <c r="E190" i="3" s="1"/>
  <c r="G190" i="3" s="1"/>
  <c r="K24" i="3" s="1"/>
  <c r="T31" i="3" s="1"/>
  <c r="E189" i="3"/>
  <c r="E176" i="3"/>
  <c r="I170" i="3"/>
  <c r="I169" i="3"/>
  <c r="D167" i="3"/>
  <c r="E167" i="3" s="1"/>
  <c r="G167" i="3" s="1"/>
  <c r="G110" i="3" s="1"/>
  <c r="E165" i="3"/>
  <c r="D160" i="3"/>
  <c r="I160" i="3" s="1"/>
  <c r="D155" i="3"/>
  <c r="I155" i="3" s="1"/>
  <c r="I154" i="3"/>
  <c r="I153" i="3"/>
  <c r="E151" i="3"/>
  <c r="D148" i="3"/>
  <c r="E147" i="3"/>
  <c r="E140" i="3"/>
  <c r="D139" i="3"/>
  <c r="E129" i="3" s="1"/>
  <c r="E138" i="3"/>
  <c r="D129" i="3"/>
  <c r="D126" i="3" s="1"/>
  <c r="E126" i="3" s="1"/>
  <c r="G126" i="3" s="1"/>
  <c r="K22" i="3" s="1"/>
  <c r="I126" i="3"/>
  <c r="E125" i="3"/>
  <c r="D116" i="3"/>
  <c r="D113" i="3" s="1"/>
  <c r="E113" i="3" s="1"/>
  <c r="J116" i="3" s="1"/>
  <c r="D114" i="3"/>
  <c r="E112" i="3"/>
  <c r="E107" i="3"/>
  <c r="D103" i="3"/>
  <c r="E103" i="3" s="1"/>
  <c r="G103" i="3" s="1"/>
  <c r="D102" i="3"/>
  <c r="E102" i="3" s="1"/>
  <c r="G102" i="3" s="1"/>
  <c r="D101" i="3"/>
  <c r="I103" i="3" s="1"/>
  <c r="D100" i="3"/>
  <c r="E100" i="3" s="1"/>
  <c r="G100" i="3" s="1"/>
  <c r="D99" i="3"/>
  <c r="E99" i="3" s="1"/>
  <c r="G99" i="3" s="1"/>
  <c r="D98" i="3"/>
  <c r="I100" i="3" s="1"/>
  <c r="I97" i="3"/>
  <c r="I95" i="3"/>
  <c r="I94" i="3"/>
  <c r="E93" i="3"/>
  <c r="D85" i="3"/>
  <c r="D82" i="3" s="1"/>
  <c r="E82" i="3" s="1"/>
  <c r="G82" i="3" s="1"/>
  <c r="K19" i="3" s="1"/>
  <c r="T20" i="3" s="1"/>
  <c r="D83" i="3"/>
  <c r="E81" i="3"/>
  <c r="H69" i="3"/>
  <c r="E66" i="3"/>
  <c r="D63" i="3"/>
  <c r="E62" i="3"/>
  <c r="I49" i="3"/>
  <c r="E50" i="3" s="1"/>
  <c r="E46" i="3"/>
  <c r="D45" i="3"/>
  <c r="D44" i="3"/>
  <c r="E44" i="3" s="1"/>
  <c r="E43" i="3"/>
  <c r="D42" i="3"/>
  <c r="E42" i="3" s="1"/>
  <c r="D38" i="3"/>
  <c r="E41" i="3" s="1"/>
  <c r="G41" i="3" s="1"/>
  <c r="P34" i="3" s="1"/>
  <c r="O35" i="3"/>
  <c r="O34" i="3"/>
  <c r="O33" i="3"/>
  <c r="D33" i="3"/>
  <c r="O32" i="3"/>
  <c r="E32" i="3"/>
  <c r="O31" i="3"/>
  <c r="O30" i="3"/>
  <c r="B20" i="3"/>
  <c r="O29" i="3"/>
  <c r="O28" i="3"/>
  <c r="O27" i="3"/>
  <c r="O26" i="3"/>
  <c r="O25" i="3"/>
  <c r="O24" i="3"/>
  <c r="D24" i="3"/>
  <c r="D23" i="3"/>
  <c r="D22" i="3" s="1"/>
  <c r="E22" i="3" s="1"/>
  <c r="G22" i="3" s="1"/>
  <c r="K11" i="3" s="1"/>
  <c r="I20" i="3"/>
  <c r="I19" i="3"/>
  <c r="I18" i="3"/>
  <c r="N17" i="3"/>
  <c r="K116" i="3" l="1"/>
  <c r="J119" i="3"/>
  <c r="E252" i="3"/>
  <c r="P28" i="3"/>
  <c r="D20" i="3"/>
  <c r="E20" i="3" s="1"/>
  <c r="G20" i="3" s="1"/>
  <c r="K13" i="3" s="1"/>
  <c r="D5" i="54" s="1"/>
  <c r="AP47" i="56"/>
  <c r="BA47" i="56"/>
  <c r="D166" i="3"/>
  <c r="E166" i="3" s="1"/>
  <c r="H6" i="14"/>
  <c r="G6" i="14" s="1"/>
  <c r="G4" i="14" s="1"/>
  <c r="C23" i="51"/>
  <c r="O47" i="56"/>
  <c r="D47" i="56"/>
  <c r="Q28" i="3"/>
  <c r="E37" i="3"/>
  <c r="G37" i="3" s="1"/>
  <c r="K32" i="3" s="1"/>
  <c r="T17" i="3" s="1"/>
  <c r="D32" i="3"/>
  <c r="P27" i="3"/>
  <c r="Q27" i="3" s="1"/>
  <c r="P32" i="3"/>
  <c r="J31" i="3" s="1"/>
  <c r="D43" i="3"/>
  <c r="A43" i="3"/>
  <c r="D154" i="3"/>
  <c r="E154" i="3" s="1"/>
  <c r="G154" i="3" s="1"/>
  <c r="K26" i="3" s="1"/>
  <c r="P25" i="3"/>
  <c r="P31" i="3"/>
  <c r="Q31" i="3" s="1"/>
  <c r="D220" i="3"/>
  <c r="E220" i="3" s="1"/>
  <c r="G220" i="3" s="1"/>
  <c r="K37" i="3" s="1"/>
  <c r="D110" i="3"/>
  <c r="E110" i="3" s="1"/>
  <c r="E148" i="3"/>
  <c r="G148" i="3" s="1"/>
  <c r="T24" i="3" s="1"/>
  <c r="E169" i="3"/>
  <c r="E45" i="3"/>
  <c r="I129" i="3"/>
  <c r="D127" i="3" s="1"/>
  <c r="E149" i="3"/>
  <c r="E202" i="3"/>
  <c r="E49" i="3"/>
  <c r="G49" i="3" s="1"/>
  <c r="K15" i="3" s="1"/>
  <c r="D6" i="17" s="1"/>
  <c r="D153" i="3"/>
  <c r="E153" i="3" s="1"/>
  <c r="G153" i="3" s="1"/>
  <c r="K25" i="3" s="1"/>
  <c r="T26" i="3" s="1"/>
  <c r="E222" i="3"/>
  <c r="E139" i="3"/>
  <c r="G139" i="3" s="1"/>
  <c r="G111" i="3" s="1"/>
  <c r="I24" i="3"/>
  <c r="E30" i="3" s="1"/>
  <c r="D168" i="3"/>
  <c r="E168" i="3" s="1"/>
  <c r="G168" i="3" s="1"/>
  <c r="P13" i="3"/>
  <c r="Q30" i="3"/>
  <c r="G236" i="3"/>
  <c r="K39" i="3" s="1"/>
  <c r="H112" i="3"/>
  <c r="G113" i="3"/>
  <c r="K21" i="3" s="1"/>
  <c r="T22" i="3" s="1"/>
  <c r="H84" i="3"/>
  <c r="E98" i="3"/>
  <c r="G98" i="3" s="1"/>
  <c r="E249" i="3"/>
  <c r="D80" i="3"/>
  <c r="E101" i="3"/>
  <c r="G101" i="3" s="1"/>
  <c r="D111" i="3"/>
  <c r="E142" i="3"/>
  <c r="P29" i="3"/>
  <c r="Q29" i="3" s="1"/>
  <c r="K24" i="16"/>
  <c r="T23" i="3" l="1"/>
  <c r="J121" i="3"/>
  <c r="K121" i="3" s="1"/>
  <c r="K119" i="3"/>
  <c r="G23" i="51"/>
  <c r="P23" i="51" s="1"/>
  <c r="R23" i="51" s="1"/>
  <c r="J30" i="3"/>
  <c r="C26" i="15"/>
  <c r="P35" i="3"/>
  <c r="B3" i="54"/>
  <c r="E5" i="54"/>
  <c r="K34" i="3"/>
  <c r="T27" i="3"/>
  <c r="F7" i="12"/>
  <c r="G97" i="3"/>
  <c r="D65" i="3"/>
  <c r="E65" i="3" s="1"/>
  <c r="G65" i="3" s="1"/>
  <c r="K17" i="3" s="1"/>
  <c r="F4" i="11" s="1"/>
  <c r="E80" i="3"/>
  <c r="N33" i="3"/>
  <c r="T15" i="3"/>
  <c r="K27" i="3"/>
  <c r="T28" i="3" s="1"/>
  <c r="C9" i="14"/>
  <c r="B9" i="14" s="1"/>
  <c r="H8" i="14"/>
  <c r="C11" i="14" s="1"/>
  <c r="B65" i="3"/>
  <c r="E64" i="3"/>
  <c r="D64" i="3"/>
  <c r="O17" i="3" s="1"/>
  <c r="D109" i="3"/>
  <c r="E111" i="3"/>
  <c r="K20" i="3" l="1"/>
  <c r="F6" i="12"/>
  <c r="G109" i="3"/>
  <c r="K23" i="3" s="1"/>
  <c r="C10" i="14" s="1"/>
  <c r="F23" i="51"/>
  <c r="T33" i="3"/>
  <c r="T19" i="3"/>
  <c r="P24" i="3"/>
  <c r="N29" i="3" s="1"/>
  <c r="T21" i="3"/>
  <c r="T29" i="3" s="1"/>
  <c r="F8" i="12"/>
  <c r="F9" i="12"/>
  <c r="F14" i="12"/>
  <c r="F13" i="12"/>
  <c r="F10" i="12"/>
  <c r="F11" i="12"/>
  <c r="F12" i="12"/>
  <c r="K28" i="3" l="1"/>
  <c r="K30" i="3"/>
  <c r="B11" i="14"/>
  <c r="B10" i="14"/>
  <c r="T32" i="3" l="1"/>
  <c r="B14" i="12"/>
  <c r="B13" i="12"/>
  <c r="R95" i="22" l="1"/>
  <c r="P49" i="22"/>
  <c r="G1" i="54"/>
  <c r="F1" i="19"/>
  <c r="O11" i="19" l="1"/>
  <c r="P11" i="19" s="1"/>
  <c r="A2" i="16"/>
  <c r="E40" i="16"/>
  <c r="B40" i="16"/>
  <c r="L13" i="19" l="1"/>
  <c r="L14" i="19"/>
  <c r="B45" i="16"/>
  <c r="N13" i="19"/>
  <c r="N14" i="19"/>
  <c r="I5" i="19"/>
  <c r="O16" i="19"/>
  <c r="P16" i="19" s="1"/>
  <c r="O17" i="19"/>
  <c r="K18" i="19"/>
  <c r="N17" i="19"/>
  <c r="V25" i="19" s="1"/>
  <c r="N16" i="19"/>
  <c r="K12" i="19"/>
  <c r="I9" i="19"/>
  <c r="K15" i="19"/>
  <c r="F47" i="16"/>
  <c r="C47" i="16"/>
  <c r="F46" i="16"/>
  <c r="T20" i="19" l="1"/>
  <c r="S20" i="19"/>
  <c r="O27" i="19"/>
  <c r="S27" i="19"/>
  <c r="S25" i="19"/>
  <c r="S28" i="19"/>
  <c r="P25" i="19"/>
  <c r="P28" i="19"/>
  <c r="O28" i="19"/>
  <c r="P27" i="19"/>
  <c r="D8" i="17" l="1"/>
  <c r="N6" i="21" l="1"/>
  <c r="H6" i="21"/>
  <c r="S1" i="21"/>
  <c r="B49" i="21"/>
  <c r="B48" i="21"/>
  <c r="D24" i="21"/>
  <c r="B26" i="21"/>
  <c r="AC23" i="21"/>
  <c r="R13" i="21"/>
  <c r="R11" i="21"/>
  <c r="Q8" i="21"/>
  <c r="AK194" i="59" l="1"/>
  <c r="AK173" i="59"/>
  <c r="AK152" i="59"/>
  <c r="AK193" i="59" s="1"/>
  <c r="AK131" i="59"/>
  <c r="AK172" i="59" s="1"/>
  <c r="AK110" i="59"/>
  <c r="AK151" i="59" s="1"/>
  <c r="AK88" i="59"/>
  <c r="AK130" i="59" s="1"/>
  <c r="AK66" i="59"/>
  <c r="AK109" i="59" s="1"/>
  <c r="AK45" i="59"/>
  <c r="AK87" i="59" s="1"/>
  <c r="AK24" i="59"/>
  <c r="AK65" i="59" s="1"/>
  <c r="AK3" i="59"/>
  <c r="AM88" i="59"/>
  <c r="AM130" i="59" s="1"/>
  <c r="AN66" i="59"/>
  <c r="AN109" i="59" s="1"/>
  <c r="AN45" i="59"/>
  <c r="AN87" i="59" s="1"/>
  <c r="AM131" i="59"/>
  <c r="AM172" i="59" s="1"/>
  <c r="AN88" i="59"/>
  <c r="AN130" i="59" s="1"/>
  <c r="AM24" i="59"/>
  <c r="AM65" i="59" s="1"/>
  <c r="AN194" i="59"/>
  <c r="AN152" i="59"/>
  <c r="AN193" i="59" s="1"/>
  <c r="AM45" i="59"/>
  <c r="AM87" i="59" s="1"/>
  <c r="AM3" i="59"/>
  <c r="AM194" i="59"/>
  <c r="AM152" i="59"/>
  <c r="AM193" i="59" s="1"/>
  <c r="AN3" i="59"/>
  <c r="AN110" i="59"/>
  <c r="AN151" i="59" s="1"/>
  <c r="AM66" i="59"/>
  <c r="AM109" i="59" s="1"/>
  <c r="AN173" i="59"/>
  <c r="AN131" i="59"/>
  <c r="AN172" i="59" s="1"/>
  <c r="AM110" i="59"/>
  <c r="AM151" i="59" s="1"/>
  <c r="AN24" i="59"/>
  <c r="AN65" i="59" s="1"/>
  <c r="AM173" i="59"/>
  <c r="U1" i="2" l="1"/>
  <c r="A19" i="16" l="1"/>
  <c r="F39" i="16" l="1"/>
  <c r="C39" i="16"/>
  <c r="B16" i="13" l="1"/>
  <c r="D8" i="15" l="1"/>
  <c r="M10" i="16" l="1"/>
  <c r="E12" i="16"/>
  <c r="F12" i="16" l="1"/>
  <c r="E14" i="16" l="1"/>
  <c r="A12" i="16"/>
  <c r="Q22" i="19" l="1"/>
  <c r="R22" i="19" s="1"/>
  <c r="R23" i="19" s="1"/>
  <c r="Q23" i="19"/>
  <c r="M15" i="16"/>
  <c r="L10" i="16" s="1"/>
  <c r="L17" i="16" s="1"/>
  <c r="F14" i="16"/>
  <c r="J11" i="16"/>
  <c r="E15" i="16"/>
  <c r="G3" i="5"/>
  <c r="L7" i="15"/>
  <c r="J5" i="5" l="1"/>
  <c r="B58" i="15" l="1"/>
  <c r="B57" i="15"/>
  <c r="B56" i="15"/>
  <c r="B55" i="15"/>
  <c r="B53" i="15"/>
  <c r="B52" i="15"/>
  <c r="B37" i="15"/>
  <c r="B36" i="15"/>
  <c r="B35" i="15"/>
  <c r="F50" i="15" l="1"/>
  <c r="E47" i="15"/>
  <c r="D6" i="15"/>
  <c r="B12" i="12" l="1"/>
  <c r="B11" i="12"/>
  <c r="W57" i="8" l="1"/>
  <c r="W56" i="8"/>
  <c r="W55" i="8"/>
  <c r="S56" i="8"/>
  <c r="S57" i="8"/>
  <c r="U57" i="8"/>
  <c r="U56" i="8"/>
  <c r="U55" i="8"/>
  <c r="AP23" i="5"/>
  <c r="AP22" i="5"/>
  <c r="AP21" i="5"/>
  <c r="AP20" i="5"/>
  <c r="AP19" i="5"/>
  <c r="AP18" i="5"/>
  <c r="AP17" i="5"/>
  <c r="AP16" i="5"/>
  <c r="AP15" i="5"/>
  <c r="AP14" i="5"/>
  <c r="AP13" i="5"/>
  <c r="AP12" i="5"/>
  <c r="AP11" i="5"/>
  <c r="AP10" i="5"/>
  <c r="AP9" i="5"/>
  <c r="AP8" i="5"/>
  <c r="AP7" i="5"/>
  <c r="AT15" i="2" l="1"/>
  <c r="AS15" i="2"/>
  <c r="AR15" i="2"/>
  <c r="AQ15" i="2"/>
  <c r="AP15" i="2"/>
  <c r="AO15" i="2"/>
  <c r="AN15" i="2"/>
  <c r="AM15" i="2"/>
  <c r="AL15" i="2"/>
  <c r="AK15" i="2"/>
  <c r="AJ15" i="2"/>
  <c r="AI15" i="2"/>
  <c r="AH15" i="2"/>
  <c r="AG15" i="2"/>
  <c r="AF15" i="2"/>
  <c r="AE15" i="2"/>
  <c r="AD15" i="2"/>
  <c r="AC15" i="2"/>
  <c r="AB15" i="2"/>
  <c r="AA15" i="2"/>
  <c r="Z15" i="2"/>
  <c r="Y15" i="2"/>
  <c r="X15" i="2"/>
  <c r="W15" i="2"/>
  <c r="V15" i="2" l="1"/>
  <c r="H30" i="13" l="1"/>
  <c r="H10" i="13" l="1"/>
  <c r="I12" i="13"/>
  <c r="E8" i="13"/>
  <c r="I20" i="13"/>
  <c r="E28" i="15" l="1"/>
  <c r="F23" i="15" s="1"/>
  <c r="D4" i="15" l="1"/>
  <c r="W121" i="7"/>
  <c r="W120" i="7"/>
  <c r="W119" i="7"/>
  <c r="U121" i="7"/>
  <c r="U120" i="7"/>
  <c r="U119" i="7"/>
  <c r="S121" i="7"/>
  <c r="S120" i="7"/>
  <c r="Q7" i="10" l="1"/>
  <c r="Q6" i="10"/>
  <c r="Q8" i="10" l="1"/>
  <c r="K37" i="16" l="1"/>
  <c r="K35" i="16"/>
  <c r="K34" i="16"/>
  <c r="K33" i="16"/>
  <c r="K32" i="16"/>
  <c r="K31" i="16"/>
  <c r="K30" i="16"/>
  <c r="K29" i="16"/>
  <c r="K28" i="16"/>
  <c r="K27" i="16"/>
  <c r="K26" i="16"/>
  <c r="M35" i="16"/>
  <c r="M33" i="16"/>
  <c r="M32" i="16"/>
  <c r="M31" i="16"/>
  <c r="M30" i="16"/>
  <c r="M29" i="16"/>
  <c r="M28" i="16"/>
  <c r="M27" i="16"/>
  <c r="M26" i="16"/>
  <c r="M25" i="16"/>
  <c r="K25" i="16"/>
  <c r="M36" i="16" l="1"/>
  <c r="N37" i="16" s="1"/>
  <c r="M38" i="16" l="1"/>
  <c r="N39" i="16" s="1"/>
  <c r="J22" i="15"/>
  <c r="J21" i="15"/>
  <c r="J20" i="15"/>
  <c r="J19" i="15"/>
  <c r="J18" i="15"/>
  <c r="J17" i="15"/>
  <c r="J23" i="15"/>
  <c r="B47" i="15"/>
  <c r="E18" i="15"/>
  <c r="D3" i="15" l="1"/>
  <c r="M40" i="16"/>
  <c r="K40" i="16"/>
  <c r="B7" i="13"/>
  <c r="N7" i="12"/>
  <c r="H15" i="12"/>
  <c r="E13" i="12"/>
  <c r="K11" i="12"/>
  <c r="K10" i="12"/>
  <c r="K9" i="12"/>
  <c r="K8" i="12"/>
  <c r="K7" i="12"/>
  <c r="H14" i="12"/>
  <c r="H13" i="12"/>
  <c r="H12" i="12"/>
  <c r="H11" i="12"/>
  <c r="H10" i="12"/>
  <c r="H9" i="12"/>
  <c r="H8" i="12"/>
  <c r="H7" i="12"/>
  <c r="E12" i="12"/>
  <c r="E11" i="12"/>
  <c r="E10" i="12"/>
  <c r="E9" i="12"/>
  <c r="E8" i="12"/>
  <c r="E7" i="12"/>
  <c r="B10" i="12"/>
  <c r="B9" i="12"/>
  <c r="B8" i="12"/>
  <c r="B7" i="12"/>
  <c r="BA44" i="56" l="1"/>
  <c r="AP44" i="56"/>
  <c r="O44" i="56"/>
  <c r="D44" i="56"/>
  <c r="G20" i="51" l="1"/>
  <c r="C20" i="51"/>
  <c r="F20" i="51" l="1"/>
  <c r="P20" i="51"/>
  <c r="R20" i="51" s="1"/>
  <c r="I21" i="15" l="1"/>
  <c r="I20" i="15"/>
  <c r="I19" i="15"/>
  <c r="I18" i="15"/>
  <c r="I17" i="15"/>
  <c r="I16" i="15"/>
  <c r="B51" i="15"/>
  <c r="B50" i="15"/>
  <c r="B49" i="15"/>
  <c r="B34" i="15"/>
  <c r="B33" i="15"/>
  <c r="B32" i="15"/>
  <c r="B16" i="15"/>
  <c r="B15" i="15"/>
  <c r="B14" i="15"/>
  <c r="B13" i="15"/>
  <c r="B24" i="15"/>
  <c r="B22" i="15"/>
  <c r="B23" i="15"/>
  <c r="A5" i="9"/>
  <c r="AE7" i="9"/>
  <c r="AD7" i="9"/>
  <c r="AC7" i="9"/>
  <c r="AB7" i="9"/>
  <c r="AA7" i="9"/>
  <c r="AD7" i="8"/>
  <c r="AC7" i="8"/>
  <c r="AB7" i="8"/>
  <c r="AA7" i="8"/>
  <c r="M24" i="15" l="1"/>
  <c r="R7" i="9"/>
  <c r="C55" i="8"/>
  <c r="P115" i="7"/>
  <c r="O115" i="7"/>
  <c r="M115" i="7"/>
  <c r="L115" i="7"/>
  <c r="K115" i="7"/>
  <c r="J115" i="7"/>
  <c r="I115" i="7"/>
  <c r="H115" i="7"/>
  <c r="G115" i="7"/>
  <c r="F115" i="7"/>
  <c r="P114" i="7"/>
  <c r="O114" i="7"/>
  <c r="M114" i="7"/>
  <c r="L114" i="7"/>
  <c r="J114" i="7"/>
  <c r="I114" i="7"/>
  <c r="H114" i="7"/>
  <c r="G114" i="7"/>
  <c r="F114" i="7"/>
  <c r="Q115" i="7"/>
  <c r="Q114" i="7"/>
  <c r="C132" i="7"/>
  <c r="T27" i="15" l="1"/>
  <c r="S27" i="15"/>
  <c r="U27" i="15"/>
  <c r="Y27" i="15"/>
  <c r="Q27" i="15"/>
  <c r="X27" i="15"/>
  <c r="P27" i="15"/>
  <c r="N27" i="15"/>
  <c r="W27" i="15"/>
  <c r="O27" i="15"/>
  <c r="V27" i="15"/>
  <c r="R27" i="15"/>
  <c r="M26" i="15"/>
  <c r="G12" i="13"/>
  <c r="M36" i="15" l="1"/>
  <c r="M27" i="15"/>
  <c r="N26" i="15" s="1"/>
  <c r="X6" i="9"/>
  <c r="AE51" i="9"/>
  <c r="AD51" i="9"/>
  <c r="C52" i="9" s="1"/>
  <c r="D52" i="9" s="1"/>
  <c r="AC51" i="9"/>
  <c r="AB51" i="9"/>
  <c r="AA51" i="9"/>
  <c r="AK50" i="9"/>
  <c r="AJ50" i="9"/>
  <c r="AI50" i="9"/>
  <c r="AH50" i="9"/>
  <c r="AG50" i="9"/>
  <c r="AE50" i="9"/>
  <c r="AD50" i="9"/>
  <c r="AC50" i="9"/>
  <c r="AB50" i="9"/>
  <c r="AA50" i="9"/>
  <c r="Z50" i="9"/>
  <c r="AE48" i="9"/>
  <c r="AD48" i="9"/>
  <c r="C49" i="9" s="1"/>
  <c r="D49" i="9" s="1"/>
  <c r="AC48" i="9"/>
  <c r="AB48" i="9"/>
  <c r="AA48" i="9"/>
  <c r="AK47" i="9"/>
  <c r="AJ47" i="9"/>
  <c r="AI47" i="9"/>
  <c r="AH47" i="9"/>
  <c r="AG47" i="9"/>
  <c r="AE47" i="9"/>
  <c r="AD47" i="9"/>
  <c r="AC47" i="9"/>
  <c r="AB47" i="9"/>
  <c r="AA47" i="9"/>
  <c r="Z47" i="9"/>
  <c r="AE45" i="9"/>
  <c r="AD45" i="9"/>
  <c r="C46" i="9" s="1"/>
  <c r="D46" i="9" s="1"/>
  <c r="AC45" i="9"/>
  <c r="AB45" i="9"/>
  <c r="AA45" i="9"/>
  <c r="AB44" i="9"/>
  <c r="AA44" i="9"/>
  <c r="Z44" i="9"/>
  <c r="AE42" i="9"/>
  <c r="AD42" i="9"/>
  <c r="C43" i="9" s="1"/>
  <c r="D43" i="9" s="1"/>
  <c r="AC42" i="9"/>
  <c r="AB42" i="9"/>
  <c r="AA42" i="9"/>
  <c r="AB41" i="9"/>
  <c r="AA41" i="9"/>
  <c r="Z41" i="9"/>
  <c r="AE39" i="9"/>
  <c r="AD39" i="9"/>
  <c r="C40" i="9" s="1"/>
  <c r="D40" i="9" s="1"/>
  <c r="AC39" i="9"/>
  <c r="AB39" i="9"/>
  <c r="AA39" i="9"/>
  <c r="AB38" i="9"/>
  <c r="AA38" i="9"/>
  <c r="Z38" i="9"/>
  <c r="AE36" i="9"/>
  <c r="AD36" i="9"/>
  <c r="C37" i="9" s="1"/>
  <c r="D37" i="9" s="1"/>
  <c r="AC36" i="9"/>
  <c r="AB36" i="9"/>
  <c r="AA36" i="9"/>
  <c r="AB35" i="9"/>
  <c r="AA35" i="9"/>
  <c r="Z35" i="9"/>
  <c r="AE33" i="9"/>
  <c r="AD33" i="9"/>
  <c r="C34" i="9" s="1"/>
  <c r="D34" i="9" s="1"/>
  <c r="AC33" i="9"/>
  <c r="AB33" i="9"/>
  <c r="AA33" i="9"/>
  <c r="AE32" i="9"/>
  <c r="AD32" i="9"/>
  <c r="AE30" i="9"/>
  <c r="AD30" i="9"/>
  <c r="C31" i="9" s="1"/>
  <c r="D31" i="9" s="1"/>
  <c r="AC30" i="9"/>
  <c r="AB30" i="9"/>
  <c r="AA30" i="9"/>
  <c r="AE27" i="9"/>
  <c r="AD27" i="9"/>
  <c r="C28" i="9" s="1"/>
  <c r="D28" i="9" s="1"/>
  <c r="AC27" i="9"/>
  <c r="AB27" i="9"/>
  <c r="AA27" i="9"/>
  <c r="AK26" i="9"/>
  <c r="AJ26" i="9"/>
  <c r="AI26" i="9"/>
  <c r="AH26" i="9"/>
  <c r="AE24" i="9"/>
  <c r="AD24" i="9"/>
  <c r="C25" i="9" s="1"/>
  <c r="D25" i="9" s="1"/>
  <c r="AC24" i="9"/>
  <c r="AB24" i="9"/>
  <c r="AA24" i="9"/>
  <c r="AB23" i="9"/>
  <c r="AA23" i="9"/>
  <c r="Z23" i="9"/>
  <c r="AE21" i="9"/>
  <c r="AD21" i="9"/>
  <c r="C22" i="9" s="1"/>
  <c r="D22" i="9" s="1"/>
  <c r="AC21" i="9"/>
  <c r="AB21" i="9"/>
  <c r="AA21" i="9"/>
  <c r="AE18" i="9"/>
  <c r="AD18" i="9"/>
  <c r="C19" i="9" s="1"/>
  <c r="D19" i="9" s="1"/>
  <c r="AC18" i="9"/>
  <c r="AB18" i="9"/>
  <c r="AA18" i="9"/>
  <c r="AE15" i="9"/>
  <c r="AD15" i="9"/>
  <c r="C16" i="9" s="1"/>
  <c r="D16" i="9" s="1"/>
  <c r="AC15" i="9"/>
  <c r="AB15" i="9"/>
  <c r="AA15" i="9"/>
  <c r="AE12" i="9"/>
  <c r="AD12" i="9"/>
  <c r="C13" i="9" s="1"/>
  <c r="D13" i="9" s="1"/>
  <c r="AC12" i="9"/>
  <c r="AB12" i="9"/>
  <c r="AA12" i="9"/>
  <c r="AE9" i="9"/>
  <c r="AD9" i="9"/>
  <c r="C10" i="9" s="1"/>
  <c r="D10" i="9" s="1"/>
  <c r="AC9" i="9"/>
  <c r="AB9" i="9"/>
  <c r="AA9" i="9"/>
  <c r="AE6" i="9"/>
  <c r="AD6" i="9"/>
  <c r="AC6" i="9"/>
  <c r="AB6" i="9"/>
  <c r="AA6" i="9"/>
  <c r="C51" i="9" l="1"/>
  <c r="C50" i="9" s="1"/>
  <c r="B51" i="9"/>
  <c r="B50" i="9" s="1"/>
  <c r="C48" i="9"/>
  <c r="C47" i="9" s="1"/>
  <c r="B48" i="9"/>
  <c r="B47" i="9" s="1"/>
  <c r="C45" i="9"/>
  <c r="C44" i="9" s="1"/>
  <c r="B45" i="9"/>
  <c r="B44" i="9" s="1"/>
  <c r="C42" i="9"/>
  <c r="C41" i="9" s="1"/>
  <c r="B42" i="9"/>
  <c r="B41" i="9" s="1"/>
  <c r="C39" i="9"/>
  <c r="B39" i="9"/>
  <c r="B38" i="9" s="1"/>
  <c r="C36" i="9"/>
  <c r="B36" i="9"/>
  <c r="B35" i="9" s="1"/>
  <c r="C33" i="9"/>
  <c r="B33" i="9"/>
  <c r="B32" i="9" s="1"/>
  <c r="C30" i="9"/>
  <c r="C29" i="9" s="1"/>
  <c r="B30" i="9"/>
  <c r="B29" i="9" s="1"/>
  <c r="C27" i="9"/>
  <c r="B27" i="9"/>
  <c r="B26" i="9" s="1"/>
  <c r="C24" i="9"/>
  <c r="C23" i="9" s="1"/>
  <c r="B24" i="9"/>
  <c r="C21" i="9"/>
  <c r="B21" i="9"/>
  <c r="B20" i="9" s="1"/>
  <c r="C18" i="9"/>
  <c r="C17" i="9" s="1"/>
  <c r="B18" i="9"/>
  <c r="B17" i="9" s="1"/>
  <c r="B15" i="9"/>
  <c r="B14" i="9" s="1"/>
  <c r="C9" i="9"/>
  <c r="C8" i="9" s="1"/>
  <c r="A52" i="9"/>
  <c r="A51" i="9"/>
  <c r="A49" i="9"/>
  <c r="S51" i="9" s="1"/>
  <c r="A48" i="9"/>
  <c r="A46" i="9"/>
  <c r="S48" i="9" s="1"/>
  <c r="A45" i="9"/>
  <c r="A43" i="9"/>
  <c r="S45" i="9" s="1"/>
  <c r="A42" i="9"/>
  <c r="A40" i="9"/>
  <c r="S42" i="9" s="1"/>
  <c r="A39" i="9"/>
  <c r="A37" i="9"/>
  <c r="S39" i="9" s="1"/>
  <c r="A36" i="9"/>
  <c r="A34" i="9"/>
  <c r="S36" i="9" s="1"/>
  <c r="A33" i="9"/>
  <c r="A31" i="9"/>
  <c r="S33" i="9" s="1"/>
  <c r="A30" i="9"/>
  <c r="A28" i="9"/>
  <c r="S30" i="9" s="1"/>
  <c r="A27" i="9"/>
  <c r="A25" i="9"/>
  <c r="S27" i="9" s="1"/>
  <c r="A24" i="9"/>
  <c r="A22" i="9"/>
  <c r="A21" i="9"/>
  <c r="A19" i="9"/>
  <c r="S21" i="9" s="1"/>
  <c r="A18" i="9"/>
  <c r="C7" i="9"/>
  <c r="D7" i="9" s="1"/>
  <c r="B6" i="9"/>
  <c r="B5" i="9" s="1"/>
  <c r="A6" i="9"/>
  <c r="A16" i="9"/>
  <c r="S18" i="9" s="1"/>
  <c r="C15" i="9"/>
  <c r="C12" i="9"/>
  <c r="B12" i="9"/>
  <c r="B11" i="9" s="1"/>
  <c r="A9" i="9"/>
  <c r="A7" i="9"/>
  <c r="C6" i="9"/>
  <c r="C32" i="9" l="1"/>
  <c r="C35" i="9"/>
  <c r="B23" i="9"/>
  <c r="C26" i="9"/>
  <c r="C38" i="9"/>
  <c r="C14" i="9"/>
  <c r="C20" i="9"/>
  <c r="C5" i="9"/>
  <c r="R6" i="9"/>
  <c r="C11" i="9"/>
  <c r="B9" i="9"/>
  <c r="B8" i="9" s="1"/>
  <c r="A10" i="9"/>
  <c r="S12" i="9" s="1"/>
  <c r="A12" i="9"/>
  <c r="A13" i="9"/>
  <c r="A15" i="9"/>
  <c r="AA6" i="8"/>
  <c r="AE7" i="8"/>
  <c r="AD9" i="7"/>
  <c r="C10" i="7" s="1"/>
  <c r="AA9" i="7"/>
  <c r="AB9" i="7"/>
  <c r="C9" i="7" s="1"/>
  <c r="C8" i="7" l="1"/>
  <c r="D10" i="7"/>
  <c r="B6" i="8"/>
  <c r="B5" i="8" s="1"/>
  <c r="A9" i="7"/>
  <c r="A10" i="7"/>
  <c r="B9" i="7"/>
  <c r="B8" i="7" l="1"/>
  <c r="S13" i="11"/>
  <c r="N17" i="11"/>
  <c r="F118" i="7" s="1"/>
  <c r="O17" i="11"/>
  <c r="G118" i="7" s="1"/>
  <c r="P17" i="11"/>
  <c r="H118" i="7" s="1"/>
  <c r="Q17" i="11"/>
  <c r="I118" i="7" s="1"/>
  <c r="R17" i="11"/>
  <c r="S17" i="11"/>
  <c r="K118" i="7" s="1"/>
  <c r="T17" i="11"/>
  <c r="L118" i="7" s="1"/>
  <c r="U17" i="11"/>
  <c r="M118" i="7" s="1"/>
  <c r="V17" i="11"/>
  <c r="N118" i="7" s="1"/>
  <c r="W17" i="11"/>
  <c r="O118" i="7" s="1"/>
  <c r="X17" i="11"/>
  <c r="P118" i="7" s="1"/>
  <c r="Y17" i="11"/>
  <c r="Q118" i="7" s="1"/>
  <c r="P7" i="10"/>
  <c r="P6" i="10"/>
  <c r="Z16" i="11" l="1"/>
  <c r="D5" i="11" s="1"/>
  <c r="J118" i="7"/>
  <c r="H17" i="13"/>
  <c r="F29" i="13"/>
  <c r="F28" i="13"/>
  <c r="F27" i="13"/>
  <c r="F26" i="13"/>
  <c r="F25" i="13"/>
  <c r="F24" i="13"/>
  <c r="F23" i="13"/>
  <c r="F22" i="13"/>
  <c r="B15" i="13"/>
  <c r="B14" i="13"/>
  <c r="B13" i="13"/>
  <c r="B12" i="13"/>
  <c r="B11" i="13"/>
  <c r="B10" i="13"/>
  <c r="B9" i="13"/>
  <c r="AN23" i="5"/>
  <c r="AM23" i="5"/>
  <c r="AK23" i="5"/>
  <c r="AJ23" i="5"/>
  <c r="AH23" i="5"/>
  <c r="AG23" i="5"/>
  <c r="AF23" i="5"/>
  <c r="AI23" i="5" s="1"/>
  <c r="AN22" i="5"/>
  <c r="AM22" i="5"/>
  <c r="AK22" i="5"/>
  <c r="AL50" i="8" s="1"/>
  <c r="AJ22" i="5"/>
  <c r="AH22" i="5"/>
  <c r="AG22" i="5"/>
  <c r="AF22" i="5"/>
  <c r="AI22" i="5" s="1"/>
  <c r="AN21" i="5"/>
  <c r="AM21" i="5"/>
  <c r="AK21" i="5"/>
  <c r="AL47" i="8" s="1"/>
  <c r="AJ21" i="5"/>
  <c r="AH21" i="5"/>
  <c r="AG21" i="5"/>
  <c r="AF21" i="5"/>
  <c r="AI21" i="5" s="1"/>
  <c r="AN20" i="5"/>
  <c r="AM20" i="5"/>
  <c r="AK20" i="5"/>
  <c r="AL44" i="8" s="1"/>
  <c r="AJ20" i="5"/>
  <c r="AH20" i="5"/>
  <c r="AG20" i="5"/>
  <c r="AF20" i="5"/>
  <c r="AI20" i="5" s="1"/>
  <c r="AN19" i="5"/>
  <c r="AM19" i="5"/>
  <c r="AK19" i="5"/>
  <c r="AL41" i="8" s="1"/>
  <c r="AJ19" i="5"/>
  <c r="AH19" i="5"/>
  <c r="AG19" i="5"/>
  <c r="AF19" i="5"/>
  <c r="AI19" i="5" s="1"/>
  <c r="AN18" i="5"/>
  <c r="AM18" i="5"/>
  <c r="AK18" i="5"/>
  <c r="AL38" i="8" s="1"/>
  <c r="AJ18" i="5"/>
  <c r="AH18" i="5"/>
  <c r="AG18" i="5"/>
  <c r="AF18" i="5"/>
  <c r="AI18" i="5" s="1"/>
  <c r="AN17" i="5"/>
  <c r="AM17" i="5"/>
  <c r="AK17" i="5"/>
  <c r="AL35" i="8" s="1"/>
  <c r="AJ17" i="5"/>
  <c r="AH17" i="5"/>
  <c r="AG17" i="5"/>
  <c r="AF17" i="5"/>
  <c r="AI17" i="5" s="1"/>
  <c r="AN16" i="5"/>
  <c r="AK16" i="5"/>
  <c r="AL32" i="8" s="1"/>
  <c r="AG16" i="5"/>
  <c r="AN15" i="5"/>
  <c r="AK15" i="5"/>
  <c r="AM15" i="5" s="1"/>
  <c r="AG15" i="5"/>
  <c r="AN14" i="5"/>
  <c r="AK14" i="5"/>
  <c r="AL26" i="8" s="1"/>
  <c r="AG14" i="5"/>
  <c r="AN13" i="5"/>
  <c r="AK13" i="5"/>
  <c r="AL23" i="8" s="1"/>
  <c r="AG13" i="5"/>
  <c r="AN12" i="5"/>
  <c r="AK12" i="5"/>
  <c r="AL20" i="8" s="1"/>
  <c r="AG12" i="5"/>
  <c r="AK11" i="5"/>
  <c r="AL17" i="8" s="1"/>
  <c r="AG11" i="5"/>
  <c r="AK10" i="5"/>
  <c r="AM10" i="5" s="1"/>
  <c r="AG10" i="5"/>
  <c r="AK9" i="5"/>
  <c r="AM9" i="5" s="1"/>
  <c r="AG9" i="5"/>
  <c r="AK8" i="5"/>
  <c r="AG8" i="5"/>
  <c r="AE51" i="8"/>
  <c r="AD51" i="8"/>
  <c r="C52" i="8" s="1"/>
  <c r="D52" i="8" s="1"/>
  <c r="AC51" i="8"/>
  <c r="AB51" i="8"/>
  <c r="C51" i="8" s="1"/>
  <c r="C50" i="8" s="1"/>
  <c r="AA51" i="8"/>
  <c r="AE48" i="8"/>
  <c r="AD48" i="8"/>
  <c r="C49" i="8" s="1"/>
  <c r="D49" i="8" s="1"/>
  <c r="AC48" i="8"/>
  <c r="AB48" i="8"/>
  <c r="C48" i="8" s="1"/>
  <c r="C47" i="8" s="1"/>
  <c r="AA48" i="8"/>
  <c r="AE45" i="8"/>
  <c r="AD45" i="8"/>
  <c r="C46" i="8" s="1"/>
  <c r="D46" i="8" s="1"/>
  <c r="AC45" i="8"/>
  <c r="AB45" i="8"/>
  <c r="C45" i="8" s="1"/>
  <c r="C44" i="8" s="1"/>
  <c r="AA45" i="8"/>
  <c r="AE42" i="8"/>
  <c r="AD42" i="8"/>
  <c r="C43" i="8" s="1"/>
  <c r="D43" i="8" s="1"/>
  <c r="AC42" i="8"/>
  <c r="AB42" i="8"/>
  <c r="C42" i="8" s="1"/>
  <c r="C41" i="8" s="1"/>
  <c r="AA42" i="8"/>
  <c r="AE39" i="8"/>
  <c r="AD39" i="8"/>
  <c r="C40" i="8" s="1"/>
  <c r="D40" i="8" s="1"/>
  <c r="AC39" i="8"/>
  <c r="AB39" i="8"/>
  <c r="C39" i="8" s="1"/>
  <c r="C38" i="8" s="1"/>
  <c r="AA39" i="8"/>
  <c r="AE36" i="8"/>
  <c r="AD36" i="8"/>
  <c r="C37" i="8" s="1"/>
  <c r="D37" i="8" s="1"/>
  <c r="AC36" i="8"/>
  <c r="AB36" i="8"/>
  <c r="C36" i="8" s="1"/>
  <c r="C35" i="8" s="1"/>
  <c r="AA36" i="8"/>
  <c r="AE33" i="8"/>
  <c r="AD33" i="8"/>
  <c r="C34" i="8" s="1"/>
  <c r="D34" i="8" s="1"/>
  <c r="AC33" i="8"/>
  <c r="AB33" i="8"/>
  <c r="C33" i="8" s="1"/>
  <c r="C32" i="8" s="1"/>
  <c r="AA33" i="8"/>
  <c r="AE30" i="8"/>
  <c r="AD30" i="8"/>
  <c r="C31" i="8" s="1"/>
  <c r="D31" i="8" s="1"/>
  <c r="AC30" i="8"/>
  <c r="AB30" i="8"/>
  <c r="C30" i="8" s="1"/>
  <c r="C29" i="8" s="1"/>
  <c r="AA30" i="8"/>
  <c r="AE27" i="8"/>
  <c r="AD27" i="8"/>
  <c r="C28" i="8" s="1"/>
  <c r="D28" i="8" s="1"/>
  <c r="AC27" i="8"/>
  <c r="AB27" i="8"/>
  <c r="C27" i="8" s="1"/>
  <c r="C26" i="8" s="1"/>
  <c r="AA27" i="8"/>
  <c r="AE24" i="8"/>
  <c r="AD24" i="8"/>
  <c r="C25" i="8" s="1"/>
  <c r="D25" i="8" s="1"/>
  <c r="AC24" i="8"/>
  <c r="AB24" i="8"/>
  <c r="C24" i="8" s="1"/>
  <c r="C23" i="8" s="1"/>
  <c r="AA24" i="8"/>
  <c r="AE21" i="8"/>
  <c r="AD21" i="8"/>
  <c r="C22" i="8" s="1"/>
  <c r="AC21" i="8"/>
  <c r="AB21" i="8"/>
  <c r="C21" i="8" s="1"/>
  <c r="C20" i="8" s="1"/>
  <c r="AA21" i="8"/>
  <c r="AE18" i="8"/>
  <c r="AD18" i="8"/>
  <c r="C19" i="8" s="1"/>
  <c r="D19" i="8" s="1"/>
  <c r="AC18" i="8"/>
  <c r="AB18" i="8"/>
  <c r="C18" i="8" s="1"/>
  <c r="C17" i="8" s="1"/>
  <c r="AA18" i="8"/>
  <c r="AE15" i="8"/>
  <c r="AD15" i="8"/>
  <c r="C16" i="8" s="1"/>
  <c r="D16" i="8" s="1"/>
  <c r="AC15" i="8"/>
  <c r="AB15" i="8"/>
  <c r="C15" i="8" s="1"/>
  <c r="AA15" i="8"/>
  <c r="AE12" i="8"/>
  <c r="AD12" i="8"/>
  <c r="C13" i="8" s="1"/>
  <c r="D13" i="8" s="1"/>
  <c r="AC12" i="8"/>
  <c r="AB12" i="8"/>
  <c r="C12" i="8" s="1"/>
  <c r="AA12" i="8"/>
  <c r="AE9" i="8"/>
  <c r="AD9" i="8"/>
  <c r="C10" i="8" s="1"/>
  <c r="AC9" i="8"/>
  <c r="AB9" i="8"/>
  <c r="C9" i="8" s="1"/>
  <c r="AA9" i="8"/>
  <c r="AE6" i="8"/>
  <c r="AD6" i="8"/>
  <c r="AC6" i="8"/>
  <c r="AB6" i="8"/>
  <c r="AK7" i="5"/>
  <c r="AG7" i="5"/>
  <c r="A8" i="8"/>
  <c r="A11" i="8"/>
  <c r="A14" i="8"/>
  <c r="A17" i="8"/>
  <c r="A20" i="8"/>
  <c r="A23" i="8"/>
  <c r="A26" i="8"/>
  <c r="A29" i="8"/>
  <c r="A32" i="8"/>
  <c r="A35" i="8"/>
  <c r="A38" i="8"/>
  <c r="A41" i="8"/>
  <c r="A44" i="8"/>
  <c r="A47" i="8"/>
  <c r="A50" i="8"/>
  <c r="V55" i="7"/>
  <c r="U55" i="7"/>
  <c r="T55" i="7"/>
  <c r="S55" i="7"/>
  <c r="R55" i="7"/>
  <c r="V54" i="7"/>
  <c r="U54" i="7"/>
  <c r="T54" i="7"/>
  <c r="S54" i="7"/>
  <c r="R54" i="7"/>
  <c r="V53" i="7"/>
  <c r="U53" i="7"/>
  <c r="T53" i="7"/>
  <c r="S53" i="7"/>
  <c r="AE102" i="7"/>
  <c r="AD102" i="7"/>
  <c r="C103" i="7" s="1"/>
  <c r="D103" i="7" s="1"/>
  <c r="AC102" i="7"/>
  <c r="AB102" i="7"/>
  <c r="C102" i="7" s="1"/>
  <c r="C101" i="7" s="1"/>
  <c r="AA102" i="7"/>
  <c r="AE99" i="7"/>
  <c r="AD99" i="7"/>
  <c r="C100" i="7" s="1"/>
  <c r="D100" i="7" s="1"/>
  <c r="AC99" i="7"/>
  <c r="AB99" i="7"/>
  <c r="C99" i="7" s="1"/>
  <c r="C98" i="7" s="1"/>
  <c r="AA99" i="7"/>
  <c r="AE96" i="7"/>
  <c r="AD96" i="7"/>
  <c r="C97" i="7" s="1"/>
  <c r="D97" i="7" s="1"/>
  <c r="AC96" i="7"/>
  <c r="AB96" i="7"/>
  <c r="C96" i="7" s="1"/>
  <c r="C95" i="7" s="1"/>
  <c r="AA96" i="7"/>
  <c r="AE93" i="7"/>
  <c r="AD93" i="7"/>
  <c r="C94" i="7" s="1"/>
  <c r="D94" i="7" s="1"/>
  <c r="AC93" i="7"/>
  <c r="AB93" i="7"/>
  <c r="C93" i="7" s="1"/>
  <c r="C92" i="7" s="1"/>
  <c r="AA93" i="7"/>
  <c r="AE90" i="7"/>
  <c r="AD90" i="7"/>
  <c r="C91" i="7" s="1"/>
  <c r="D91" i="7" s="1"/>
  <c r="AC90" i="7"/>
  <c r="AB90" i="7"/>
  <c r="C90" i="7" s="1"/>
  <c r="C89" i="7" s="1"/>
  <c r="AA90" i="7"/>
  <c r="AE87" i="7"/>
  <c r="AD87" i="7"/>
  <c r="C88" i="7" s="1"/>
  <c r="D88" i="7" s="1"/>
  <c r="AC87" i="7"/>
  <c r="AB87" i="7"/>
  <c r="C87" i="7" s="1"/>
  <c r="C86" i="7" s="1"/>
  <c r="AA87" i="7"/>
  <c r="AE84" i="7"/>
  <c r="AD84" i="7"/>
  <c r="C85" i="7" s="1"/>
  <c r="D85" i="7" s="1"/>
  <c r="AC84" i="7"/>
  <c r="AB84" i="7"/>
  <c r="C84" i="7" s="1"/>
  <c r="C83" i="7" s="1"/>
  <c r="AA84" i="7"/>
  <c r="AE81" i="7"/>
  <c r="AD81" i="7"/>
  <c r="C82" i="7" s="1"/>
  <c r="D82" i="7" s="1"/>
  <c r="AC81" i="7"/>
  <c r="AB81" i="7"/>
  <c r="C81" i="7" s="1"/>
  <c r="C80" i="7" s="1"/>
  <c r="AA81" i="7"/>
  <c r="AE78" i="7"/>
  <c r="AD78" i="7"/>
  <c r="C79" i="7" s="1"/>
  <c r="D79" i="7" s="1"/>
  <c r="AC78" i="7"/>
  <c r="AB78" i="7"/>
  <c r="C78" i="7" s="1"/>
  <c r="C77" i="7" s="1"/>
  <c r="AA78" i="7"/>
  <c r="AE75" i="7"/>
  <c r="AD75" i="7"/>
  <c r="C76" i="7" s="1"/>
  <c r="AC75" i="7"/>
  <c r="AB75" i="7"/>
  <c r="C75" i="7" s="1"/>
  <c r="C74" i="7" s="1"/>
  <c r="AA75" i="7"/>
  <c r="AE72" i="7"/>
  <c r="AD72" i="7"/>
  <c r="C73" i="7" s="1"/>
  <c r="AC72" i="7"/>
  <c r="AB72" i="7"/>
  <c r="C72" i="7" s="1"/>
  <c r="C71" i="7" s="1"/>
  <c r="AA72" i="7"/>
  <c r="AE69" i="7"/>
  <c r="AD69" i="7"/>
  <c r="C70" i="7" s="1"/>
  <c r="D70" i="7" s="1"/>
  <c r="AC69" i="7"/>
  <c r="AB69" i="7"/>
  <c r="C69" i="7" s="1"/>
  <c r="C68" i="7" s="1"/>
  <c r="AA69" i="7"/>
  <c r="AE66" i="7"/>
  <c r="AD66" i="7"/>
  <c r="C67" i="7" s="1"/>
  <c r="D67" i="7" s="1"/>
  <c r="AC66" i="7"/>
  <c r="AB66" i="7"/>
  <c r="C66" i="7" s="1"/>
  <c r="AA66" i="7"/>
  <c r="AE63" i="7"/>
  <c r="AD63" i="7"/>
  <c r="C64" i="7" s="1"/>
  <c r="AC63" i="7"/>
  <c r="AB63" i="7"/>
  <c r="C63" i="7" s="1"/>
  <c r="AA63" i="7"/>
  <c r="AE60" i="7"/>
  <c r="AD60" i="7"/>
  <c r="C61" i="7" s="1"/>
  <c r="AC60" i="7"/>
  <c r="AB60" i="7"/>
  <c r="C60" i="7" s="1"/>
  <c r="AA60" i="7"/>
  <c r="AE57" i="7"/>
  <c r="AD57" i="7"/>
  <c r="C58" i="7" s="1"/>
  <c r="D58" i="7" s="1"/>
  <c r="AC57" i="7"/>
  <c r="AB57" i="7"/>
  <c r="C57" i="7" s="1"/>
  <c r="AA57" i="7"/>
  <c r="AE51" i="7"/>
  <c r="AD51" i="7"/>
  <c r="C52" i="7" s="1"/>
  <c r="D52" i="7" s="1"/>
  <c r="AC51" i="7"/>
  <c r="AB51" i="7"/>
  <c r="C51" i="7" s="1"/>
  <c r="AA51" i="7"/>
  <c r="AE48" i="7"/>
  <c r="AD48" i="7"/>
  <c r="C49" i="7" s="1"/>
  <c r="AC48" i="7"/>
  <c r="AB48" i="7"/>
  <c r="C48" i="7" s="1"/>
  <c r="AA48" i="7"/>
  <c r="AE45" i="7"/>
  <c r="AD45" i="7"/>
  <c r="C46" i="7" s="1"/>
  <c r="AC45" i="7"/>
  <c r="AB45" i="7"/>
  <c r="C45" i="7" s="1"/>
  <c r="AA45" i="7"/>
  <c r="AE42" i="7"/>
  <c r="AD42" i="7"/>
  <c r="C43" i="7" s="1"/>
  <c r="AC42" i="7"/>
  <c r="AB42" i="7"/>
  <c r="C42" i="7" s="1"/>
  <c r="AA42" i="7"/>
  <c r="AE39" i="7"/>
  <c r="AD39" i="7"/>
  <c r="C40" i="7" s="1"/>
  <c r="AC39" i="7"/>
  <c r="AB39" i="7"/>
  <c r="C39" i="7" s="1"/>
  <c r="AA39" i="7"/>
  <c r="AE36" i="7"/>
  <c r="AD36" i="7"/>
  <c r="C37" i="7" s="1"/>
  <c r="AC36" i="7"/>
  <c r="AB36" i="7"/>
  <c r="C36" i="7" s="1"/>
  <c r="AA36" i="7"/>
  <c r="AE33" i="7"/>
  <c r="AD33" i="7"/>
  <c r="C34" i="7" s="1"/>
  <c r="AC33" i="7"/>
  <c r="AB33" i="7"/>
  <c r="C33" i="7" s="1"/>
  <c r="AA33" i="7"/>
  <c r="AE30" i="7"/>
  <c r="AD30" i="7"/>
  <c r="C31" i="7" s="1"/>
  <c r="AC30" i="7"/>
  <c r="AB30" i="7"/>
  <c r="C30" i="7" s="1"/>
  <c r="AA30" i="7"/>
  <c r="AE27" i="7"/>
  <c r="AD27" i="7"/>
  <c r="C28" i="7" s="1"/>
  <c r="AC27" i="7"/>
  <c r="AB27" i="7"/>
  <c r="C27" i="7" s="1"/>
  <c r="AA27" i="7"/>
  <c r="AE24" i="7"/>
  <c r="AD24" i="7"/>
  <c r="C25" i="7" s="1"/>
  <c r="AC24" i="7"/>
  <c r="AB24" i="7"/>
  <c r="C24" i="7" s="1"/>
  <c r="AA24" i="7"/>
  <c r="AE21" i="7"/>
  <c r="AD21" i="7"/>
  <c r="C22" i="7" s="1"/>
  <c r="D22" i="7" s="1"/>
  <c r="AC21" i="7"/>
  <c r="AB21" i="7"/>
  <c r="C21" i="7" s="1"/>
  <c r="AA21" i="7"/>
  <c r="AE18" i="7"/>
  <c r="AD18" i="7"/>
  <c r="C19" i="7" s="1"/>
  <c r="AC18" i="7"/>
  <c r="AB18" i="7"/>
  <c r="C18" i="7" s="1"/>
  <c r="AA18" i="7"/>
  <c r="AE15" i="7"/>
  <c r="AD15" i="7"/>
  <c r="C16" i="7" s="1"/>
  <c r="AC15" i="7"/>
  <c r="AB15" i="7"/>
  <c r="C15" i="7" s="1"/>
  <c r="AA15" i="7"/>
  <c r="AE12" i="7"/>
  <c r="AD12" i="7"/>
  <c r="C13" i="7" s="1"/>
  <c r="AC12" i="7"/>
  <c r="AB12" i="7"/>
  <c r="C12" i="7" s="1"/>
  <c r="AA12" i="7"/>
  <c r="AE9" i="7"/>
  <c r="AC9" i="7"/>
  <c r="AA6" i="7"/>
  <c r="AB6" i="7"/>
  <c r="C6" i="7" s="1"/>
  <c r="AC6" i="7"/>
  <c r="AD6" i="7"/>
  <c r="AE6" i="7"/>
  <c r="H8" i="13" l="1"/>
  <c r="C3" i="51"/>
  <c r="N10" i="10"/>
  <c r="C50" i="7"/>
  <c r="C14" i="8"/>
  <c r="R15" i="8"/>
  <c r="C11" i="8"/>
  <c r="R12" i="8"/>
  <c r="C8" i="8"/>
  <c r="R9" i="8"/>
  <c r="B57" i="7"/>
  <c r="B56" i="7" s="1"/>
  <c r="C59" i="7"/>
  <c r="C65" i="7"/>
  <c r="C56" i="7"/>
  <c r="C62" i="7"/>
  <c r="C17" i="7"/>
  <c r="C41" i="7"/>
  <c r="K42" i="7"/>
  <c r="Y42" i="7" s="1"/>
  <c r="C5" i="7"/>
  <c r="C32" i="7"/>
  <c r="K33" i="7"/>
  <c r="Y33" i="7" s="1"/>
  <c r="C23" i="7"/>
  <c r="C14" i="7"/>
  <c r="C29" i="7"/>
  <c r="C20" i="7"/>
  <c r="C44" i="7"/>
  <c r="C38" i="7"/>
  <c r="K39" i="7"/>
  <c r="Y39" i="7" s="1"/>
  <c r="C11" i="7"/>
  <c r="C35" i="7"/>
  <c r="C47" i="7"/>
  <c r="K48" i="7"/>
  <c r="Y48" i="7" s="1"/>
  <c r="C26" i="7"/>
  <c r="D22" i="8"/>
  <c r="D10" i="8"/>
  <c r="R10" i="8"/>
  <c r="D64" i="7"/>
  <c r="D73" i="7"/>
  <c r="D76" i="7"/>
  <c r="D61" i="7"/>
  <c r="D13" i="7"/>
  <c r="D37" i="7"/>
  <c r="N37" i="7"/>
  <c r="Y37" i="7" s="1"/>
  <c r="D28" i="7"/>
  <c r="D19" i="7"/>
  <c r="D43" i="7"/>
  <c r="N43" i="7"/>
  <c r="Y43" i="7" s="1"/>
  <c r="D34" i="7"/>
  <c r="K34" i="7"/>
  <c r="D25" i="7"/>
  <c r="D49" i="7"/>
  <c r="N49" i="7"/>
  <c r="Y49" i="7" s="1"/>
  <c r="D16" i="7"/>
  <c r="D40" i="7"/>
  <c r="N40" i="7"/>
  <c r="Y40" i="7" s="1"/>
  <c r="D31" i="7"/>
  <c r="D46" i="7"/>
  <c r="AL29" i="8"/>
  <c r="D6" i="11"/>
  <c r="M15" i="11"/>
  <c r="C5" i="11"/>
  <c r="AH14" i="5"/>
  <c r="AM12" i="5"/>
  <c r="AH15" i="5"/>
  <c r="AM16" i="5"/>
  <c r="AM14" i="5"/>
  <c r="AM13" i="5"/>
  <c r="AH16" i="5"/>
  <c r="AN10" i="5"/>
  <c r="AN11" i="5"/>
  <c r="H9" i="13"/>
  <c r="J15" i="14"/>
  <c r="G15" i="14"/>
  <c r="AH8" i="5"/>
  <c r="AH7" i="5"/>
  <c r="AH13" i="5"/>
  <c r="AN8" i="5"/>
  <c r="AN9" i="5"/>
  <c r="AN7" i="5"/>
  <c r="R31" i="8"/>
  <c r="T30" i="8"/>
  <c r="U30" i="8" s="1"/>
  <c r="U31" i="8"/>
  <c r="T31" i="8"/>
  <c r="R30" i="8"/>
  <c r="S52" i="8"/>
  <c r="W50" i="8"/>
  <c r="R52" i="8"/>
  <c r="V50" i="8"/>
  <c r="W51" i="8"/>
  <c r="U50" i="8"/>
  <c r="V51" i="8"/>
  <c r="T50" i="8"/>
  <c r="W52" i="8"/>
  <c r="U51" i="8"/>
  <c r="V52" i="8"/>
  <c r="T51" i="8"/>
  <c r="U52" i="8"/>
  <c r="T52" i="8"/>
  <c r="R51" i="8"/>
  <c r="R28" i="8"/>
  <c r="T27" i="8"/>
  <c r="U27" i="8" s="1"/>
  <c r="T28" i="8"/>
  <c r="U28" i="8" s="1"/>
  <c r="R27" i="8"/>
  <c r="S49" i="8"/>
  <c r="W47" i="8"/>
  <c r="R49" i="8"/>
  <c r="V47" i="8"/>
  <c r="W48" i="8"/>
  <c r="U47" i="8"/>
  <c r="V48" i="8"/>
  <c r="T47" i="8"/>
  <c r="W49" i="8"/>
  <c r="U48" i="8"/>
  <c r="V49" i="8"/>
  <c r="T48" i="8"/>
  <c r="U49" i="8"/>
  <c r="T49" i="8"/>
  <c r="R48" i="8"/>
  <c r="R25" i="8"/>
  <c r="S25" i="8" s="1"/>
  <c r="T24" i="8"/>
  <c r="U24" i="8" s="1"/>
  <c r="R24" i="8"/>
  <c r="T25" i="8"/>
  <c r="U25" i="8" s="1"/>
  <c r="S46" i="8"/>
  <c r="W44" i="8"/>
  <c r="R46" i="8"/>
  <c r="V44" i="8"/>
  <c r="W45" i="8"/>
  <c r="U44" i="8"/>
  <c r="V45" i="8"/>
  <c r="T44" i="8"/>
  <c r="W46" i="8"/>
  <c r="U45" i="8"/>
  <c r="V46" i="8"/>
  <c r="T45" i="8"/>
  <c r="U46" i="8"/>
  <c r="T46" i="8"/>
  <c r="R45" i="8"/>
  <c r="S43" i="8"/>
  <c r="W41" i="8"/>
  <c r="R43" i="8"/>
  <c r="V41" i="8"/>
  <c r="W42" i="8"/>
  <c r="U41" i="8"/>
  <c r="V42" i="8"/>
  <c r="T41" i="8"/>
  <c r="W43" i="8"/>
  <c r="U42" i="8"/>
  <c r="V43" i="8"/>
  <c r="T42" i="8"/>
  <c r="U43" i="8"/>
  <c r="T43" i="8"/>
  <c r="R42" i="8"/>
  <c r="S40" i="8"/>
  <c r="W38" i="8"/>
  <c r="R40" i="8"/>
  <c r="V38" i="8"/>
  <c r="W39" i="8"/>
  <c r="U38" i="8"/>
  <c r="V39" i="8"/>
  <c r="T38" i="8"/>
  <c r="W40" i="8"/>
  <c r="U39" i="8"/>
  <c r="V40" i="8"/>
  <c r="T39" i="8"/>
  <c r="U40" i="8"/>
  <c r="T40" i="8"/>
  <c r="R39" i="8"/>
  <c r="S37" i="8"/>
  <c r="W35" i="8"/>
  <c r="R37" i="8"/>
  <c r="V35" i="8"/>
  <c r="W36" i="8"/>
  <c r="U35" i="8"/>
  <c r="V36" i="8"/>
  <c r="T35" i="8"/>
  <c r="W37" i="8"/>
  <c r="U36" i="8"/>
  <c r="V37" i="8"/>
  <c r="T36" i="8"/>
  <c r="U37" i="8"/>
  <c r="T37" i="8"/>
  <c r="R36" i="8"/>
  <c r="S34" i="8"/>
  <c r="R34" i="8"/>
  <c r="T33" i="8"/>
  <c r="U33" i="8" s="1"/>
  <c r="U34" i="8"/>
  <c r="T34" i="8"/>
  <c r="R33" i="8"/>
  <c r="R22" i="8"/>
  <c r="S22" i="8" s="1"/>
  <c r="T22" i="8"/>
  <c r="U22" i="8" s="1"/>
  <c r="T21" i="8"/>
  <c r="U21" i="8" s="1"/>
  <c r="R21" i="8"/>
  <c r="T18" i="8"/>
  <c r="U18" i="8" s="1"/>
  <c r="R19" i="8"/>
  <c r="S19" i="8" s="1"/>
  <c r="R18" i="8"/>
  <c r="T19" i="8"/>
  <c r="U19" i="8" s="1"/>
  <c r="R16" i="8"/>
  <c r="S16" i="8" s="1"/>
  <c r="R13" i="8"/>
  <c r="S13" i="8" s="1"/>
  <c r="AH12" i="5"/>
  <c r="AM11" i="5"/>
  <c r="AH11" i="5"/>
  <c r="D45" i="8"/>
  <c r="S48" i="8" s="1"/>
  <c r="D21" i="8"/>
  <c r="D51" i="8"/>
  <c r="D42" i="8"/>
  <c r="S45" i="8" s="1"/>
  <c r="D39" i="8"/>
  <c r="S42" i="8" s="1"/>
  <c r="D48" i="8"/>
  <c r="S51" i="8" s="1"/>
  <c r="D36" i="8"/>
  <c r="S39" i="8" s="1"/>
  <c r="D33" i="8"/>
  <c r="S36" i="8" s="1"/>
  <c r="D27" i="8"/>
  <c r="S30" i="8" s="1"/>
  <c r="D30" i="8"/>
  <c r="S33" i="8" s="1"/>
  <c r="AH9" i="5"/>
  <c r="AL8" i="8"/>
  <c r="T10" i="8" s="1"/>
  <c r="A6" i="8"/>
  <c r="AL11" i="8"/>
  <c r="T12" i="8" s="1"/>
  <c r="U12" i="8" s="1"/>
  <c r="AM8" i="5"/>
  <c r="A85" i="7"/>
  <c r="A34" i="7"/>
  <c r="A57" i="7"/>
  <c r="A21" i="7"/>
  <c r="B21" i="7"/>
  <c r="B20" i="7" s="1"/>
  <c r="A25" i="7"/>
  <c r="B45" i="7"/>
  <c r="B72" i="7"/>
  <c r="B71" i="7" s="1"/>
  <c r="A96" i="7"/>
  <c r="B96" i="7"/>
  <c r="B95" i="7" s="1"/>
  <c r="A100" i="7"/>
  <c r="B30" i="8"/>
  <c r="B29" i="8" s="1"/>
  <c r="A30" i="8"/>
  <c r="A34" i="8"/>
  <c r="B39" i="7"/>
  <c r="A70" i="7"/>
  <c r="A61" i="7"/>
  <c r="A19" i="8"/>
  <c r="A39" i="8"/>
  <c r="B39" i="8"/>
  <c r="B38" i="8" s="1"/>
  <c r="B36" i="7"/>
  <c r="A63" i="7"/>
  <c r="B63" i="7"/>
  <c r="B62" i="7" s="1"/>
  <c r="A67" i="7"/>
  <c r="B87" i="7"/>
  <c r="B86" i="7" s="1"/>
  <c r="A91" i="7"/>
  <c r="B21" i="8"/>
  <c r="B20" i="8" s="1"/>
  <c r="A21" i="8"/>
  <c r="A25" i="8"/>
  <c r="A45" i="8"/>
  <c r="B45" i="8"/>
  <c r="B44" i="8" s="1"/>
  <c r="A49" i="8"/>
  <c r="B30" i="7"/>
  <c r="A30" i="7"/>
  <c r="A15" i="8"/>
  <c r="B15" i="8"/>
  <c r="A43" i="8"/>
  <c r="A27" i="7"/>
  <c r="B27" i="7"/>
  <c r="A31" i="7"/>
  <c r="B51" i="7"/>
  <c r="A58" i="7"/>
  <c r="B78" i="7"/>
  <c r="B77" i="7" s="1"/>
  <c r="A82" i="7"/>
  <c r="A102" i="7"/>
  <c r="B102" i="7"/>
  <c r="B101" i="7" s="1"/>
  <c r="A16" i="8"/>
  <c r="A36" i="8"/>
  <c r="B36" i="8"/>
  <c r="B35" i="8" s="1"/>
  <c r="A40" i="8"/>
  <c r="A66" i="7"/>
  <c r="B66" i="7"/>
  <c r="B65" i="7" s="1"/>
  <c r="A18" i="7"/>
  <c r="B18" i="7"/>
  <c r="A22" i="7"/>
  <c r="B42" i="7"/>
  <c r="B41" i="7" s="1"/>
  <c r="B69" i="7"/>
  <c r="B68" i="7" s="1"/>
  <c r="A69" i="7"/>
  <c r="A93" i="7"/>
  <c r="B93" i="7"/>
  <c r="B92" i="7" s="1"/>
  <c r="A97" i="7"/>
  <c r="A7" i="8"/>
  <c r="C7" i="8"/>
  <c r="D7" i="8" s="1"/>
  <c r="A27" i="8"/>
  <c r="B27" i="8"/>
  <c r="B26" i="8" s="1"/>
  <c r="A31" i="8"/>
  <c r="A51" i="8"/>
  <c r="B51" i="8"/>
  <c r="B50" i="8" s="1"/>
  <c r="A19" i="7"/>
  <c r="A33" i="7"/>
  <c r="B33" i="7"/>
  <c r="B32" i="7" s="1"/>
  <c r="B60" i="7"/>
  <c r="B59" i="7" s="1"/>
  <c r="A60" i="7"/>
  <c r="A64" i="7"/>
  <c r="A84" i="7"/>
  <c r="B84" i="7"/>
  <c r="B83" i="7" s="1"/>
  <c r="A88" i="7"/>
  <c r="A18" i="8"/>
  <c r="B18" i="8"/>
  <c r="B17" i="8" s="1"/>
  <c r="A22" i="8"/>
  <c r="B42" i="8"/>
  <c r="B41" i="8" s="1"/>
  <c r="A42" i="8"/>
  <c r="A46" i="8"/>
  <c r="A94" i="7"/>
  <c r="B81" i="7"/>
  <c r="B80" i="7" s="1"/>
  <c r="B24" i="7"/>
  <c r="A24" i="7"/>
  <c r="A28" i="7"/>
  <c r="B48" i="7"/>
  <c r="B75" i="7"/>
  <c r="B74" i="7" s="1"/>
  <c r="A79" i="7"/>
  <c r="B99" i="7"/>
  <c r="B98" i="7" s="1"/>
  <c r="A99" i="7"/>
  <c r="A103" i="7"/>
  <c r="B33" i="8"/>
  <c r="B32" i="8" s="1"/>
  <c r="A33" i="8"/>
  <c r="A37" i="8"/>
  <c r="A90" i="7"/>
  <c r="B90" i="7"/>
  <c r="B89" i="7" s="1"/>
  <c r="A24" i="8"/>
  <c r="B24" i="8"/>
  <c r="B23" i="8" s="1"/>
  <c r="A28" i="8"/>
  <c r="B48" i="8"/>
  <c r="B47" i="8" s="1"/>
  <c r="A48" i="8"/>
  <c r="A52" i="8"/>
  <c r="AL14" i="8"/>
  <c r="T16" i="8" s="1"/>
  <c r="U16" i="8" s="1"/>
  <c r="AL5" i="8"/>
  <c r="A7" i="7"/>
  <c r="A43" i="7" s="1"/>
  <c r="C7" i="7"/>
  <c r="A16" i="7"/>
  <c r="A13" i="7"/>
  <c r="A6" i="7"/>
  <c r="A75" i="7" s="1"/>
  <c r="B6" i="7"/>
  <c r="B15" i="7"/>
  <c r="A15" i="7"/>
  <c r="B12" i="7"/>
  <c r="A12" i="7"/>
  <c r="A10" i="8"/>
  <c r="B12" i="8"/>
  <c r="A12" i="8"/>
  <c r="A13" i="8"/>
  <c r="A9" i="8"/>
  <c r="B9" i="8"/>
  <c r="C6" i="8"/>
  <c r="E118" i="7"/>
  <c r="E119" i="7" s="1"/>
  <c r="D24" i="8"/>
  <c r="S27" i="8" s="1"/>
  <c r="D18" i="8"/>
  <c r="AH10" i="5"/>
  <c r="AM7" i="5"/>
  <c r="S12" i="11"/>
  <c r="K114" i="7" l="1"/>
  <c r="Y34" i="7"/>
  <c r="Y4" i="7" s="1"/>
  <c r="S3" i="7" s="1"/>
  <c r="B8" i="8"/>
  <c r="B11" i="8"/>
  <c r="B14" i="8"/>
  <c r="B26" i="7"/>
  <c r="B44" i="7"/>
  <c r="B23" i="7"/>
  <c r="B17" i="7"/>
  <c r="B11" i="7"/>
  <c r="B35" i="7"/>
  <c r="B14" i="7"/>
  <c r="B5" i="7"/>
  <c r="B47" i="7"/>
  <c r="B50" i="7"/>
  <c r="B29" i="7"/>
  <c r="B38" i="7"/>
  <c r="N115" i="7"/>
  <c r="C5" i="8"/>
  <c r="S24" i="8"/>
  <c r="A73" i="7"/>
  <c r="A76" i="7"/>
  <c r="D7" i="7"/>
  <c r="N114" i="7"/>
  <c r="A46" i="7"/>
  <c r="A49" i="7"/>
  <c r="A45" i="7"/>
  <c r="A52" i="7"/>
  <c r="S31" i="8"/>
  <c r="S28" i="8"/>
  <c r="A40" i="7"/>
  <c r="A37" i="7"/>
  <c r="A78" i="7"/>
  <c r="A87" i="7"/>
  <c r="A81" i="7"/>
  <c r="A36" i="7"/>
  <c r="A72" i="7"/>
  <c r="A51" i="7"/>
  <c r="A42" i="7"/>
  <c r="A48" i="7"/>
  <c r="A39" i="7"/>
  <c r="T13" i="8"/>
  <c r="U13" i="8" s="1"/>
  <c r="S21" i="8"/>
  <c r="T9" i="8"/>
  <c r="T15" i="8"/>
  <c r="U15" i="8" s="1"/>
  <c r="O14" i="11"/>
  <c r="N17" i="12" l="1"/>
  <c r="N16" i="12"/>
  <c r="K17" i="12"/>
  <c r="K16" i="12"/>
  <c r="H17" i="12"/>
  <c r="H16" i="12"/>
  <c r="E17" i="12"/>
  <c r="E16" i="12"/>
  <c r="B16" i="12"/>
  <c r="B17" i="12"/>
  <c r="B5" i="12" l="1"/>
  <c r="N5" i="12"/>
  <c r="K5" i="12"/>
  <c r="H5" i="12"/>
  <c r="E5" i="12"/>
  <c r="AB1" i="1" l="1"/>
  <c r="J16" i="15"/>
  <c r="B27" i="15" l="1"/>
  <c r="G9" i="13" l="1"/>
  <c r="I6" i="12" l="1"/>
  <c r="I5" i="12" s="1"/>
  <c r="C6" i="12"/>
  <c r="C5" i="12" l="1"/>
  <c r="C47" i="15" l="1"/>
  <c r="F5" i="12"/>
  <c r="G21" i="13" l="1"/>
  <c r="G8" i="13" s="1"/>
  <c r="G10" i="13" l="1"/>
  <c r="C24" i="20" l="1"/>
  <c r="J20" i="16" l="1"/>
  <c r="C12" i="15" l="1"/>
  <c r="C8" i="13"/>
  <c r="L6" i="12"/>
  <c r="L5" i="12" s="1"/>
  <c r="O6" i="12"/>
  <c r="O5" i="12" s="1"/>
  <c r="O1" i="12"/>
  <c r="K45" i="16" l="1"/>
  <c r="J8" i="39" l="1"/>
  <c r="I8" i="39" s="1"/>
  <c r="G4" i="10" l="1"/>
  <c r="AN23" i="6" l="1"/>
  <c r="AM23" i="6"/>
  <c r="AK23" i="6"/>
  <c r="AH23" i="6"/>
  <c r="AL51" i="9" s="1"/>
  <c r="AF23" i="6"/>
  <c r="AN22" i="6"/>
  <c r="AK22" i="6"/>
  <c r="AH22" i="6" s="1"/>
  <c r="AL48" i="9" s="1"/>
  <c r="AF22" i="6"/>
  <c r="AN21" i="6"/>
  <c r="AK21" i="6"/>
  <c r="AF21" i="6"/>
  <c r="AN20" i="6"/>
  <c r="AK20" i="6"/>
  <c r="AH20" i="6" s="1"/>
  <c r="AL42" i="9" s="1"/>
  <c r="AF20" i="6"/>
  <c r="AN19" i="6"/>
  <c r="AK19" i="6"/>
  <c r="AM19" i="6" s="1"/>
  <c r="AF19" i="6"/>
  <c r="AK18" i="6"/>
  <c r="AL38" i="9" s="1"/>
  <c r="AF18" i="6"/>
  <c r="AK17" i="6"/>
  <c r="AL35" i="9" s="1"/>
  <c r="AF17" i="6"/>
  <c r="AK16" i="6"/>
  <c r="AL32" i="9" s="1"/>
  <c r="AF16" i="6"/>
  <c r="AN15" i="6"/>
  <c r="AK15" i="6"/>
  <c r="AL29" i="9" s="1"/>
  <c r="AF15" i="6"/>
  <c r="AK14" i="6"/>
  <c r="AL26" i="9" s="1"/>
  <c r="AF14" i="6"/>
  <c r="AK13" i="6"/>
  <c r="AN13" i="6" s="1"/>
  <c r="AF13" i="6"/>
  <c r="AK12" i="6"/>
  <c r="AN12" i="6" s="1"/>
  <c r="AF12" i="6"/>
  <c r="AK11" i="6"/>
  <c r="AL11" i="6" s="1"/>
  <c r="AF11" i="6"/>
  <c r="AK10" i="6"/>
  <c r="AF10" i="6"/>
  <c r="AK9" i="6"/>
  <c r="AF9" i="6"/>
  <c r="AK8" i="6"/>
  <c r="AF8" i="6"/>
  <c r="BJ8" i="6"/>
  <c r="BI8" i="6"/>
  <c r="BH8" i="6"/>
  <c r="BG8" i="6"/>
  <c r="BF8" i="6"/>
  <c r="BI7" i="6"/>
  <c r="BH7" i="6"/>
  <c r="BG7" i="6"/>
  <c r="BF7" i="6"/>
  <c r="BJ7" i="6"/>
  <c r="BJ8" i="5"/>
  <c r="BI8" i="5"/>
  <c r="BH8" i="5"/>
  <c r="BG8" i="5"/>
  <c r="BF8" i="5"/>
  <c r="BF7" i="5"/>
  <c r="BG7" i="5"/>
  <c r="BH7" i="5"/>
  <c r="BI7" i="5"/>
  <c r="BJ7" i="5"/>
  <c r="AA194" i="59"/>
  <c r="J193" i="59" s="1"/>
  <c r="AA173" i="59"/>
  <c r="J172" i="59" s="1"/>
  <c r="AA152" i="59"/>
  <c r="AA131" i="59"/>
  <c r="AA88" i="59"/>
  <c r="AA66" i="59"/>
  <c r="AA45" i="59"/>
  <c r="AA24" i="59"/>
  <c r="AA172" i="59" l="1"/>
  <c r="J130" i="59"/>
  <c r="AA87" i="59"/>
  <c r="J44" i="59"/>
  <c r="J65" i="59"/>
  <c r="AA109" i="59"/>
  <c r="J151" i="59"/>
  <c r="AA193" i="59"/>
  <c r="J23" i="59"/>
  <c r="AA65" i="59"/>
  <c r="J87" i="59"/>
  <c r="AA130" i="59"/>
  <c r="AA110" i="59"/>
  <c r="J109" i="59" s="1"/>
  <c r="N8" i="29"/>
  <c r="N7" i="29"/>
  <c r="AN16" i="6"/>
  <c r="AN14" i="6"/>
  <c r="AM21" i="6"/>
  <c r="AH21" i="6"/>
  <c r="AL45" i="9" s="1"/>
  <c r="AM22" i="6"/>
  <c r="AN18" i="6"/>
  <c r="AN17" i="6"/>
  <c r="AB173" i="59"/>
  <c r="I174" i="59" s="1"/>
  <c r="AB24" i="59"/>
  <c r="AB45" i="59"/>
  <c r="AB194" i="59"/>
  <c r="I195" i="59" s="1"/>
  <c r="AB131" i="59"/>
  <c r="AB152" i="59"/>
  <c r="AB88" i="59"/>
  <c r="AB66" i="59"/>
  <c r="AE152" i="59"/>
  <c r="AE193" i="59" s="1"/>
  <c r="AE173" i="59"/>
  <c r="AE194" i="59"/>
  <c r="AM20" i="6"/>
  <c r="AH15" i="6"/>
  <c r="AM16" i="6"/>
  <c r="AH19" i="6"/>
  <c r="AM17" i="6"/>
  <c r="AH14" i="6"/>
  <c r="AH18" i="6"/>
  <c r="AM15" i="6"/>
  <c r="AH17" i="6"/>
  <c r="AM14" i="6"/>
  <c r="AM18" i="6"/>
  <c r="AH16" i="6"/>
  <c r="AD194" i="59"/>
  <c r="K193" i="59" s="1"/>
  <c r="X194" i="59"/>
  <c r="I193" i="59" s="1"/>
  <c r="AD173" i="59"/>
  <c r="K172" i="59" s="1"/>
  <c r="X173" i="59"/>
  <c r="I172" i="59" s="1"/>
  <c r="AD152" i="59"/>
  <c r="K151" i="59" s="1"/>
  <c r="X152" i="59"/>
  <c r="I151" i="59" s="1"/>
  <c r="AD131" i="59"/>
  <c r="K130" i="59" s="1"/>
  <c r="X131" i="59"/>
  <c r="I130" i="59" s="1"/>
  <c r="AE131" i="59"/>
  <c r="AE172" i="59" s="1"/>
  <c r="AE88" i="59"/>
  <c r="AE130" i="59" s="1"/>
  <c r="X88" i="59"/>
  <c r="I87" i="59" s="1"/>
  <c r="AD88" i="59"/>
  <c r="K87" i="59" s="1"/>
  <c r="AH9" i="6"/>
  <c r="AL11" i="9"/>
  <c r="AM10" i="6"/>
  <c r="AL14" i="9"/>
  <c r="AL23" i="9"/>
  <c r="AN11" i="6"/>
  <c r="AL17" i="9"/>
  <c r="AM8" i="6"/>
  <c r="AL8" i="9"/>
  <c r="AL20" i="9"/>
  <c r="AD66" i="59"/>
  <c r="K65" i="59" s="1"/>
  <c r="X66" i="59"/>
  <c r="I65" i="59" s="1"/>
  <c r="AE66" i="59"/>
  <c r="AE109" i="59" s="1"/>
  <c r="AD45" i="59"/>
  <c r="K44" i="59" s="1"/>
  <c r="AE45" i="59"/>
  <c r="AE87" i="59" s="1"/>
  <c r="X45" i="59"/>
  <c r="I44" i="59" s="1"/>
  <c r="X24" i="59"/>
  <c r="I23" i="59" s="1"/>
  <c r="AE24" i="59"/>
  <c r="AE65" i="59" s="1"/>
  <c r="AD24" i="59"/>
  <c r="K23" i="59" s="1"/>
  <c r="AM12" i="6"/>
  <c r="AH13" i="6"/>
  <c r="AM13" i="6"/>
  <c r="AH12" i="6"/>
  <c r="AN10" i="6"/>
  <c r="AM9" i="6"/>
  <c r="AH8" i="6"/>
  <c r="AN9" i="6"/>
  <c r="AH11" i="6"/>
  <c r="AN8" i="6"/>
  <c r="AH10" i="6"/>
  <c r="AM11" i="6"/>
  <c r="AB87" i="59" l="1"/>
  <c r="I46" i="59"/>
  <c r="AB65" i="59"/>
  <c r="I25" i="59"/>
  <c r="I89" i="59"/>
  <c r="AB130" i="59"/>
  <c r="AB193" i="59"/>
  <c r="I153" i="59"/>
  <c r="I67" i="59"/>
  <c r="AB109" i="59"/>
  <c r="AB172" i="59"/>
  <c r="I132" i="59"/>
  <c r="AD109" i="59"/>
  <c r="AD193" i="59"/>
  <c r="X65" i="59"/>
  <c r="X87" i="59"/>
  <c r="X193" i="59"/>
  <c r="AD172" i="59"/>
  <c r="AD87" i="59"/>
  <c r="X172" i="59"/>
  <c r="AD130" i="59"/>
  <c r="AD65" i="59"/>
  <c r="X109" i="59"/>
  <c r="X130" i="59"/>
  <c r="AA151" i="59"/>
  <c r="AE110" i="59"/>
  <c r="AE151" i="59" s="1"/>
  <c r="AD110" i="59"/>
  <c r="K109" i="59" s="1"/>
  <c r="AB110" i="59"/>
  <c r="I111" i="59" s="1"/>
  <c r="X110" i="59"/>
  <c r="I109" i="59" s="1"/>
  <c r="B26" i="15"/>
  <c r="AB151" i="59" l="1"/>
  <c r="X151" i="59"/>
  <c r="AD151" i="59"/>
  <c r="E25" i="15"/>
  <c r="C20" i="15"/>
  <c r="D12" i="8" l="1"/>
  <c r="D9" i="8"/>
  <c r="D15" i="8"/>
  <c r="B24" i="5"/>
  <c r="I5" i="5" s="1"/>
  <c r="S18" i="8" l="1"/>
  <c r="S15" i="8"/>
  <c r="S12" i="8"/>
  <c r="O23" i="39" l="1"/>
  <c r="F13" i="29" l="1"/>
  <c r="H13" i="29"/>
  <c r="T2" i="22"/>
  <c r="H10" i="19"/>
  <c r="S10" i="19"/>
  <c r="D2" i="16"/>
  <c r="B5" i="16" s="1"/>
  <c r="E1" i="11"/>
  <c r="A42" i="16" l="1"/>
  <c r="A45" i="16"/>
  <c r="A43" i="16"/>
  <c r="G14" i="29"/>
  <c r="Z74" i="22"/>
  <c r="AA120" i="22"/>
  <c r="Z7" i="22" s="1"/>
  <c r="J3" i="6"/>
  <c r="N3" i="6" s="1"/>
  <c r="AJ4" i="5" l="1"/>
  <c r="AJ4" i="6" s="1"/>
  <c r="AL10" i="6" s="1"/>
  <c r="Z38" i="2"/>
  <c r="Z39" i="2" s="1"/>
  <c r="X37" i="2"/>
  <c r="O41" i="2" l="1"/>
  <c r="O59" i="2"/>
  <c r="O57" i="2" s="1"/>
  <c r="K27" i="57"/>
  <c r="O23" i="2"/>
  <c r="O39" i="2"/>
  <c r="AL8" i="6"/>
  <c r="AL9" i="6"/>
  <c r="X38" i="2"/>
  <c r="W42" i="2"/>
  <c r="H10" i="29"/>
  <c r="N30" i="39"/>
  <c r="K45" i="57" l="1"/>
  <c r="K32" i="57" s="1"/>
  <c r="G10" i="29" s="1"/>
  <c r="Y42" i="2"/>
  <c r="AA42" i="2" s="1"/>
  <c r="AC42" i="2" s="1"/>
  <c r="X40" i="2"/>
  <c r="G11" i="29" l="1"/>
  <c r="D134" i="7"/>
  <c r="D133" i="7"/>
  <c r="D61" i="9"/>
  <c r="D61" i="8"/>
  <c r="C43" i="2" l="1"/>
  <c r="C13" i="29" l="1"/>
  <c r="K7" i="16" l="1"/>
  <c r="A118" i="22"/>
  <c r="A6" i="24" s="1"/>
  <c r="A72" i="22"/>
  <c r="U72" i="22" l="1"/>
  <c r="B72" i="22"/>
  <c r="V118" i="22"/>
  <c r="A8" i="22"/>
  <c r="D7" i="13"/>
  <c r="V8" i="22" l="1"/>
  <c r="U3" i="2"/>
  <c r="B4" i="17" l="1"/>
  <c r="M16" i="39" l="1"/>
  <c r="AB1" i="3" s="1"/>
  <c r="AC1" i="3" s="1"/>
  <c r="AB2" i="3" s="1"/>
  <c r="U2" i="2" l="1"/>
  <c r="V2" i="2" s="1"/>
  <c r="AA1" i="1"/>
  <c r="P30" i="39"/>
  <c r="N31" i="39"/>
  <c r="P31" i="39" s="1"/>
  <c r="E50" i="57" l="1"/>
  <c r="H1" i="57" s="1"/>
  <c r="N29" i="39"/>
  <c r="AA2" i="1"/>
  <c r="B5" i="21" l="1"/>
  <c r="B6" i="21"/>
  <c r="H50" i="16"/>
  <c r="H51" i="16" s="1"/>
  <c r="C17" i="14"/>
  <c r="H4" i="14" s="1"/>
  <c r="Q29" i="39"/>
  <c r="E50" i="16"/>
  <c r="R50" i="8"/>
  <c r="R47" i="8"/>
  <c r="R44" i="8"/>
  <c r="R41" i="8"/>
  <c r="R38" i="8"/>
  <c r="R35" i="8"/>
  <c r="E5" i="8"/>
  <c r="R53" i="7"/>
  <c r="B8" i="20"/>
  <c r="B7" i="21" s="1"/>
  <c r="P29" i="39"/>
  <c r="K2" i="39"/>
  <c r="K1" i="39" s="1"/>
  <c r="AA6" i="21" l="1"/>
  <c r="B4" i="21"/>
  <c r="AB6" i="21"/>
  <c r="AD6" i="21"/>
  <c r="AA5" i="21"/>
  <c r="C7" i="20"/>
  <c r="C6" i="20"/>
  <c r="H55" i="16"/>
  <c r="H57" i="16"/>
  <c r="B17" i="14"/>
  <c r="J5" i="14"/>
  <c r="E8" i="14"/>
  <c r="C18" i="14"/>
  <c r="C19" i="14" s="1"/>
  <c r="B19" i="14" s="1"/>
  <c r="L5" i="30"/>
  <c r="L4" i="30"/>
  <c r="L6" i="30"/>
  <c r="B16" i="14"/>
  <c r="AB46" i="21"/>
  <c r="AC46" i="21" s="1"/>
  <c r="B23" i="21" l="1"/>
  <c r="AB23" i="21" s="1"/>
  <c r="AA4" i="21"/>
  <c r="C20" i="14"/>
  <c r="B20" i="14" s="1"/>
  <c r="M6" i="30"/>
  <c r="K6" i="30" s="1"/>
  <c r="I6" i="30" s="1"/>
  <c r="M4" i="30"/>
  <c r="AP51" i="56"/>
  <c r="BA51" i="56"/>
  <c r="BA43" i="56"/>
  <c r="AP43" i="56"/>
  <c r="AP59" i="56"/>
  <c r="BL32" i="56" s="1"/>
  <c r="BO51" i="56" s="1"/>
  <c r="BA59" i="56"/>
  <c r="BP51" i="56" s="1"/>
  <c r="AP57" i="56"/>
  <c r="BL30" i="56" s="1"/>
  <c r="BO48" i="56" s="1"/>
  <c r="BR48" i="56" s="1"/>
  <c r="BA57" i="56"/>
  <c r="BO30" i="56" s="1"/>
  <c r="D58" i="56"/>
  <c r="AC54" i="56" s="1"/>
  <c r="AP58" i="56"/>
  <c r="C19" i="51"/>
  <c r="O43" i="56"/>
  <c r="D43" i="56"/>
  <c r="O59" i="56"/>
  <c r="D59" i="56"/>
  <c r="Z32" i="56" s="1"/>
  <c r="AC51" i="56" s="1"/>
  <c r="O52" i="56"/>
  <c r="D52" i="56"/>
  <c r="D50" i="56"/>
  <c r="O50" i="56"/>
  <c r="O57" i="56"/>
  <c r="D57" i="56"/>
  <c r="Z30" i="56" s="1"/>
  <c r="AC48" i="56" s="1"/>
  <c r="D51" i="56"/>
  <c r="O51" i="56"/>
  <c r="BB23" i="6"/>
  <c r="BA23" i="6"/>
  <c r="AZ23" i="6"/>
  <c r="AY23" i="6"/>
  <c r="AX23" i="6"/>
  <c r="AW23" i="6"/>
  <c r="AV23" i="6"/>
  <c r="AU23" i="6"/>
  <c r="AT23" i="6"/>
  <c r="AS23" i="6"/>
  <c r="AR23" i="6"/>
  <c r="AQ23" i="6"/>
  <c r="BB22" i="6"/>
  <c r="BA22" i="6"/>
  <c r="AZ22" i="6"/>
  <c r="AY22" i="6"/>
  <c r="AX22" i="6"/>
  <c r="AW22" i="6"/>
  <c r="AV22" i="6"/>
  <c r="AU22" i="6"/>
  <c r="AT22" i="6"/>
  <c r="AS22" i="6"/>
  <c r="AR22" i="6"/>
  <c r="AQ22" i="6"/>
  <c r="BB21" i="6"/>
  <c r="BA21" i="6"/>
  <c r="AZ21" i="6"/>
  <c r="AY21" i="6"/>
  <c r="AX21" i="6"/>
  <c r="AW21" i="6"/>
  <c r="AV21" i="6"/>
  <c r="AU21" i="6"/>
  <c r="AT21" i="6"/>
  <c r="AS21" i="6"/>
  <c r="AR21" i="6"/>
  <c r="AQ21" i="6"/>
  <c r="BB20" i="6"/>
  <c r="BA20" i="6"/>
  <c r="AZ20" i="6"/>
  <c r="AY20" i="6"/>
  <c r="AX20" i="6"/>
  <c r="AW20" i="6"/>
  <c r="AV20" i="6"/>
  <c r="AU20" i="6"/>
  <c r="AT20" i="6"/>
  <c r="AS20" i="6"/>
  <c r="AR20" i="6"/>
  <c r="AQ20" i="6"/>
  <c r="BB19" i="6"/>
  <c r="BA19" i="6"/>
  <c r="AZ19" i="6"/>
  <c r="AY19" i="6"/>
  <c r="AX19" i="6"/>
  <c r="AW19" i="6"/>
  <c r="AV19" i="6"/>
  <c r="AU19" i="6"/>
  <c r="AT19" i="6"/>
  <c r="AS19" i="6"/>
  <c r="AR19" i="6"/>
  <c r="AQ19" i="6"/>
  <c r="BB18" i="6"/>
  <c r="BA18" i="6"/>
  <c r="AZ18" i="6"/>
  <c r="AY18" i="6"/>
  <c r="AX18" i="6"/>
  <c r="AW18" i="6"/>
  <c r="AV18" i="6"/>
  <c r="AU18" i="6"/>
  <c r="AT18" i="6"/>
  <c r="AS18" i="6"/>
  <c r="AR18" i="6"/>
  <c r="AQ18" i="6"/>
  <c r="BB17" i="6"/>
  <c r="BA17" i="6"/>
  <c r="AZ17" i="6"/>
  <c r="AY17" i="6"/>
  <c r="AX17" i="6"/>
  <c r="AW17" i="6"/>
  <c r="AV17" i="6"/>
  <c r="AU17" i="6"/>
  <c r="AT17" i="6"/>
  <c r="AS17" i="6"/>
  <c r="AR17" i="6"/>
  <c r="AQ17" i="6"/>
  <c r="BB16" i="6"/>
  <c r="BA16" i="6"/>
  <c r="AZ16" i="6"/>
  <c r="AY16" i="6"/>
  <c r="AX16" i="6"/>
  <c r="AW16" i="6"/>
  <c r="AV16" i="6"/>
  <c r="AU16" i="6"/>
  <c r="AT16" i="6"/>
  <c r="AS16" i="6"/>
  <c r="AR16" i="6"/>
  <c r="AQ16" i="6"/>
  <c r="BB15" i="6"/>
  <c r="BA15" i="6"/>
  <c r="AZ15" i="6"/>
  <c r="AY15" i="6"/>
  <c r="AX15" i="6"/>
  <c r="AW15" i="6"/>
  <c r="AV15" i="6"/>
  <c r="AU15" i="6"/>
  <c r="AT15" i="6"/>
  <c r="AS15" i="6"/>
  <c r="AR15" i="6"/>
  <c r="AQ15" i="6"/>
  <c r="BB14" i="6"/>
  <c r="BA14" i="6"/>
  <c r="AZ14" i="6"/>
  <c r="AY14" i="6"/>
  <c r="AX14" i="6"/>
  <c r="AW14" i="6"/>
  <c r="AV14" i="6"/>
  <c r="AU14" i="6"/>
  <c r="AT14" i="6"/>
  <c r="AS14" i="6"/>
  <c r="AR14" i="6"/>
  <c r="AQ14" i="6"/>
  <c r="BB13" i="6"/>
  <c r="BA13" i="6"/>
  <c r="AZ13" i="6"/>
  <c r="AY13" i="6"/>
  <c r="AX13" i="6"/>
  <c r="AW13" i="6"/>
  <c r="AV13" i="6"/>
  <c r="AU13" i="6"/>
  <c r="AT13" i="6"/>
  <c r="AS13" i="6"/>
  <c r="AR13" i="6"/>
  <c r="AQ13" i="6"/>
  <c r="BB12" i="6"/>
  <c r="BA12" i="6"/>
  <c r="AZ12" i="6"/>
  <c r="AY12" i="6"/>
  <c r="AX12" i="6"/>
  <c r="AW12" i="6"/>
  <c r="AV12" i="6"/>
  <c r="AU12" i="6"/>
  <c r="AT12" i="6"/>
  <c r="AS12" i="6"/>
  <c r="AR12" i="6"/>
  <c r="AQ12" i="6"/>
  <c r="BB11" i="6"/>
  <c r="BA11" i="6"/>
  <c r="AZ11" i="6"/>
  <c r="AY11" i="6"/>
  <c r="AX11" i="6"/>
  <c r="AW11" i="6"/>
  <c r="AV11" i="6"/>
  <c r="AU11" i="6"/>
  <c r="AT11" i="6"/>
  <c r="AS11" i="6"/>
  <c r="AR11" i="6"/>
  <c r="AQ11" i="6"/>
  <c r="BB10" i="6"/>
  <c r="BA10" i="6"/>
  <c r="AZ10" i="6"/>
  <c r="AY10" i="6"/>
  <c r="AX10" i="6"/>
  <c r="AW10" i="6"/>
  <c r="AV10" i="6"/>
  <c r="AU10" i="6"/>
  <c r="AT10" i="6"/>
  <c r="AS10" i="6"/>
  <c r="AR10" i="6"/>
  <c r="AQ10" i="6"/>
  <c r="BB9" i="6"/>
  <c r="BA9" i="6"/>
  <c r="AZ9" i="6"/>
  <c r="AY9" i="6"/>
  <c r="AX9" i="6"/>
  <c r="AW9" i="6"/>
  <c r="AV9" i="6"/>
  <c r="AU9" i="6"/>
  <c r="AT9" i="6"/>
  <c r="AS9" i="6"/>
  <c r="AR9" i="6"/>
  <c r="AQ9" i="6"/>
  <c r="BB8" i="6"/>
  <c r="BA8" i="6"/>
  <c r="AZ8" i="6"/>
  <c r="AY8" i="6"/>
  <c r="AX8" i="6"/>
  <c r="AW8" i="6"/>
  <c r="AV8" i="6"/>
  <c r="AU8" i="6"/>
  <c r="AT8" i="6"/>
  <c r="AS8" i="6"/>
  <c r="AR8" i="6"/>
  <c r="AQ8" i="6"/>
  <c r="BB7" i="6"/>
  <c r="BA7" i="6"/>
  <c r="AZ7" i="6"/>
  <c r="AY7" i="6"/>
  <c r="AX7" i="6"/>
  <c r="AW7" i="6"/>
  <c r="AV7" i="6"/>
  <c r="AU7" i="6"/>
  <c r="AT7" i="6"/>
  <c r="AS7" i="6"/>
  <c r="AR7" i="6"/>
  <c r="AQ7" i="6"/>
  <c r="BB23" i="5"/>
  <c r="BA23" i="5"/>
  <c r="AZ23" i="5"/>
  <c r="AY23" i="5"/>
  <c r="AX23" i="5"/>
  <c r="AW23" i="5"/>
  <c r="AV23" i="5"/>
  <c r="AU23" i="5"/>
  <c r="AT23" i="5"/>
  <c r="AS23" i="5"/>
  <c r="AR23" i="5"/>
  <c r="AQ23" i="5"/>
  <c r="BB22" i="5"/>
  <c r="BA22" i="5"/>
  <c r="AZ22" i="5"/>
  <c r="AY22" i="5"/>
  <c r="AX22" i="5"/>
  <c r="AW22" i="5"/>
  <c r="AV22" i="5"/>
  <c r="AU22" i="5"/>
  <c r="AT22" i="5"/>
  <c r="AS22" i="5"/>
  <c r="AR22" i="5"/>
  <c r="AQ22" i="5"/>
  <c r="BB21" i="5"/>
  <c r="BA21" i="5"/>
  <c r="AZ21" i="5"/>
  <c r="AY21" i="5"/>
  <c r="AX21" i="5"/>
  <c r="AW21" i="5"/>
  <c r="AV21" i="5"/>
  <c r="AU21" i="5"/>
  <c r="AT21" i="5"/>
  <c r="AS21" i="5"/>
  <c r="AR21" i="5"/>
  <c r="AQ21" i="5"/>
  <c r="BB20" i="5"/>
  <c r="BA20" i="5"/>
  <c r="AZ20" i="5"/>
  <c r="AY20" i="5"/>
  <c r="AX20" i="5"/>
  <c r="AW20" i="5"/>
  <c r="AV20" i="5"/>
  <c r="AU20" i="5"/>
  <c r="AT20" i="5"/>
  <c r="AS20" i="5"/>
  <c r="AR20" i="5"/>
  <c r="AQ20" i="5"/>
  <c r="BB19" i="5"/>
  <c r="BA19" i="5"/>
  <c r="AZ19" i="5"/>
  <c r="AY19" i="5"/>
  <c r="AX19" i="5"/>
  <c r="AW19" i="5"/>
  <c r="AV19" i="5"/>
  <c r="AU19" i="5"/>
  <c r="AT19" i="5"/>
  <c r="AS19" i="5"/>
  <c r="AR19" i="5"/>
  <c r="AQ19" i="5"/>
  <c r="BB18" i="5"/>
  <c r="BA18" i="5"/>
  <c r="AZ18" i="5"/>
  <c r="AY18" i="5"/>
  <c r="AX18" i="5"/>
  <c r="AW18" i="5"/>
  <c r="AV18" i="5"/>
  <c r="AU18" i="5"/>
  <c r="AT18" i="5"/>
  <c r="AS18" i="5"/>
  <c r="AR18" i="5"/>
  <c r="AQ18" i="5"/>
  <c r="BB17" i="5"/>
  <c r="BA17" i="5"/>
  <c r="AZ17" i="5"/>
  <c r="AY17" i="5"/>
  <c r="AX17" i="5"/>
  <c r="AW17" i="5"/>
  <c r="AV17" i="5"/>
  <c r="AU17" i="5"/>
  <c r="AT17" i="5"/>
  <c r="AS17" i="5"/>
  <c r="AR17" i="5"/>
  <c r="AQ17" i="5"/>
  <c r="BB16" i="5"/>
  <c r="BA16" i="5"/>
  <c r="AZ16" i="5"/>
  <c r="AY16" i="5"/>
  <c r="AX16" i="5"/>
  <c r="AW16" i="5"/>
  <c r="AV16" i="5"/>
  <c r="AU16" i="5"/>
  <c r="AT16" i="5"/>
  <c r="AS16" i="5"/>
  <c r="AR16" i="5"/>
  <c r="AQ16" i="5"/>
  <c r="BB15" i="5"/>
  <c r="BA15" i="5"/>
  <c r="AZ15" i="5"/>
  <c r="AY15" i="5"/>
  <c r="AX15" i="5"/>
  <c r="AW15" i="5"/>
  <c r="AV15" i="5"/>
  <c r="AU15" i="5"/>
  <c r="AT15" i="5"/>
  <c r="AS15" i="5"/>
  <c r="AR15" i="5"/>
  <c r="AQ15" i="5"/>
  <c r="BB14" i="5"/>
  <c r="BA14" i="5"/>
  <c r="AZ14" i="5"/>
  <c r="AY14" i="5"/>
  <c r="AX14" i="5"/>
  <c r="AW14" i="5"/>
  <c r="AV14" i="5"/>
  <c r="AU14" i="5"/>
  <c r="AT14" i="5"/>
  <c r="AS14" i="5"/>
  <c r="AR14" i="5"/>
  <c r="AQ14" i="5"/>
  <c r="BB13" i="5"/>
  <c r="BA13" i="5"/>
  <c r="AZ13" i="5"/>
  <c r="AY13" i="5"/>
  <c r="AX13" i="5"/>
  <c r="AW13" i="5"/>
  <c r="AV13" i="5"/>
  <c r="AU13" i="5"/>
  <c r="AT13" i="5"/>
  <c r="AS13" i="5"/>
  <c r="AR13" i="5"/>
  <c r="AQ13" i="5"/>
  <c r="BB12" i="5"/>
  <c r="BA12" i="5"/>
  <c r="AZ12" i="5"/>
  <c r="AY12" i="5"/>
  <c r="AX12" i="5"/>
  <c r="AW12" i="5"/>
  <c r="AV12" i="5"/>
  <c r="AU12" i="5"/>
  <c r="AT12" i="5"/>
  <c r="AS12" i="5"/>
  <c r="AR12" i="5"/>
  <c r="AQ12" i="5"/>
  <c r="BB11" i="5"/>
  <c r="BA11" i="5"/>
  <c r="AZ11" i="5"/>
  <c r="AY11" i="5"/>
  <c r="AX11" i="5"/>
  <c r="AW11" i="5"/>
  <c r="AV11" i="5"/>
  <c r="AU11" i="5"/>
  <c r="AT11" i="5"/>
  <c r="AS11" i="5"/>
  <c r="AR11" i="5"/>
  <c r="AQ11" i="5"/>
  <c r="BB10" i="5"/>
  <c r="BA10" i="5"/>
  <c r="AZ10" i="5"/>
  <c r="AY10" i="5"/>
  <c r="AX10" i="5"/>
  <c r="AW10" i="5"/>
  <c r="AV10" i="5"/>
  <c r="AU10" i="5"/>
  <c r="AT10" i="5"/>
  <c r="AS10" i="5"/>
  <c r="AR10" i="5"/>
  <c r="AQ10" i="5"/>
  <c r="BB9" i="5"/>
  <c r="BA9" i="5"/>
  <c r="AZ9" i="5"/>
  <c r="AY9" i="5"/>
  <c r="AX9" i="5"/>
  <c r="AW9" i="5"/>
  <c r="AV9" i="5"/>
  <c r="AU9" i="5"/>
  <c r="AT9" i="5"/>
  <c r="AS9" i="5"/>
  <c r="AR9" i="5"/>
  <c r="AQ9" i="5"/>
  <c r="BB8" i="5"/>
  <c r="BA8" i="5"/>
  <c r="AZ8" i="5"/>
  <c r="AY8" i="5"/>
  <c r="AX8" i="5"/>
  <c r="AW8" i="5"/>
  <c r="AV8" i="5"/>
  <c r="AU8" i="5"/>
  <c r="AT8" i="5"/>
  <c r="AS8" i="5"/>
  <c r="AR8" i="5"/>
  <c r="AQ8" i="5"/>
  <c r="BB7" i="5"/>
  <c r="BA7" i="5"/>
  <c r="AZ7" i="5"/>
  <c r="AY7" i="5"/>
  <c r="AX7" i="5"/>
  <c r="AW7" i="5"/>
  <c r="AV7" i="5"/>
  <c r="AU7" i="5"/>
  <c r="AT7" i="5"/>
  <c r="AS7" i="5"/>
  <c r="AR7" i="5"/>
  <c r="AQ7" i="5"/>
  <c r="B25" i="21" l="1"/>
  <c r="G19" i="51"/>
  <c r="P19" i="51" s="1"/>
  <c r="R19" i="51" s="1"/>
  <c r="M5" i="30"/>
  <c r="K5" i="30" s="1"/>
  <c r="I5" i="30" s="1"/>
  <c r="K4" i="30"/>
  <c r="I4" i="30" s="1"/>
  <c r="BO32" i="56"/>
  <c r="Z31" i="56"/>
  <c r="D20" i="56"/>
  <c r="BP48" i="56"/>
  <c r="AP20" i="56"/>
  <c r="BO54" i="56"/>
  <c r="BL31" i="56"/>
  <c r="AD51" i="56"/>
  <c r="AC32" i="56"/>
  <c r="AD48" i="56"/>
  <c r="AG48" i="56" s="1"/>
  <c r="AC30" i="56"/>
  <c r="G26" i="51"/>
  <c r="C26" i="51"/>
  <c r="C28" i="51"/>
  <c r="G28" i="51"/>
  <c r="C35" i="51"/>
  <c r="G35" i="51"/>
  <c r="G27" i="51"/>
  <c r="C27" i="51"/>
  <c r="AP23" i="6"/>
  <c r="AK7" i="6"/>
  <c r="AF7" i="6"/>
  <c r="F28" i="51" l="1"/>
  <c r="F27" i="51"/>
  <c r="F26" i="51"/>
  <c r="F19" i="51"/>
  <c r="F36" i="51"/>
  <c r="P35" i="51"/>
  <c r="R35" i="51" s="1"/>
  <c r="F35" i="51"/>
  <c r="F4" i="30"/>
  <c r="M3" i="30"/>
  <c r="G33" i="51"/>
  <c r="C33" i="51"/>
  <c r="G34" i="51"/>
  <c r="C34" i="51"/>
  <c r="P28" i="51"/>
  <c r="R28" i="51" s="1"/>
  <c r="P27" i="51"/>
  <c r="R27" i="51" s="1"/>
  <c r="P26" i="51"/>
  <c r="Q26" i="51" s="1"/>
  <c r="I26" i="51"/>
  <c r="AL5" i="9"/>
  <c r="T7" i="9" s="1"/>
  <c r="AL7" i="6"/>
  <c r="AB3" i="59"/>
  <c r="I4" i="59" s="1"/>
  <c r="AD7" i="21"/>
  <c r="AB7" i="21"/>
  <c r="AE3" i="59"/>
  <c r="AD3" i="59"/>
  <c r="K2" i="59" s="1"/>
  <c r="X3" i="59"/>
  <c r="I2" i="59" s="1"/>
  <c r="AM7" i="6"/>
  <c r="AH7" i="6"/>
  <c r="AN7" i="6"/>
  <c r="R26" i="51" l="1"/>
  <c r="P34" i="51"/>
  <c r="R34" i="51" s="1"/>
  <c r="F34" i="51"/>
  <c r="P33" i="51"/>
  <c r="R33" i="51" s="1"/>
  <c r="F33" i="51"/>
  <c r="T6" i="9"/>
  <c r="Q50" i="9" l="1"/>
  <c r="P50" i="9"/>
  <c r="O50" i="9"/>
  <c r="N50" i="9"/>
  <c r="M50" i="9"/>
  <c r="K50" i="9"/>
  <c r="K47" i="9"/>
  <c r="J50" i="9"/>
  <c r="J47" i="9"/>
  <c r="I50" i="9"/>
  <c r="I47" i="9"/>
  <c r="H50" i="9"/>
  <c r="H47" i="9"/>
  <c r="H41" i="9"/>
  <c r="H35" i="9"/>
  <c r="G50" i="9"/>
  <c r="G47" i="9"/>
  <c r="G41" i="9"/>
  <c r="G35" i="9"/>
  <c r="F50" i="9"/>
  <c r="F47" i="9"/>
  <c r="F41" i="9"/>
  <c r="F35" i="9"/>
  <c r="AK50" i="8"/>
  <c r="Q50" i="8" s="1"/>
  <c r="AK47" i="8"/>
  <c r="Q47" i="8" s="1"/>
  <c r="AK44" i="8"/>
  <c r="Q44" i="8" s="1"/>
  <c r="AK41" i="8"/>
  <c r="Q41" i="8" s="1"/>
  <c r="AK38" i="8"/>
  <c r="Q38" i="8" s="1"/>
  <c r="AK35" i="8"/>
  <c r="Q35" i="8" s="1"/>
  <c r="AK32" i="8"/>
  <c r="Q32" i="8" s="1"/>
  <c r="AK29" i="8"/>
  <c r="Q29" i="8" s="1"/>
  <c r="AK26" i="8"/>
  <c r="Q26" i="8" s="1"/>
  <c r="AJ50" i="8"/>
  <c r="P50" i="8" s="1"/>
  <c r="AJ47" i="8"/>
  <c r="P47" i="8" s="1"/>
  <c r="AJ44" i="8"/>
  <c r="P44" i="8" s="1"/>
  <c r="AJ41" i="8"/>
  <c r="P41" i="8" s="1"/>
  <c r="AJ38" i="8"/>
  <c r="P38" i="8" s="1"/>
  <c r="AJ35" i="8"/>
  <c r="P35" i="8" s="1"/>
  <c r="AJ32" i="8"/>
  <c r="P32" i="8" s="1"/>
  <c r="AJ29" i="8"/>
  <c r="P29" i="8" s="1"/>
  <c r="AJ26" i="8"/>
  <c r="P26" i="8" s="1"/>
  <c r="AI50" i="8"/>
  <c r="O50" i="8" s="1"/>
  <c r="AI47" i="8"/>
  <c r="O47" i="8" s="1"/>
  <c r="AI44" i="8"/>
  <c r="O44" i="8" s="1"/>
  <c r="AI41" i="8"/>
  <c r="O41" i="8" s="1"/>
  <c r="AI38" i="8"/>
  <c r="O38" i="8" s="1"/>
  <c r="AI35" i="8"/>
  <c r="O35" i="8" s="1"/>
  <c r="AI32" i="8"/>
  <c r="O32" i="8" s="1"/>
  <c r="AI29" i="8"/>
  <c r="O29" i="8" s="1"/>
  <c r="AI26" i="8"/>
  <c r="O26" i="8" s="1"/>
  <c r="AH50" i="8"/>
  <c r="N50" i="8" s="1"/>
  <c r="AH47" i="8"/>
  <c r="N47" i="8" s="1"/>
  <c r="AH44" i="8"/>
  <c r="N44" i="8" s="1"/>
  <c r="AH41" i="8"/>
  <c r="N41" i="8" s="1"/>
  <c r="AH38" i="8"/>
  <c r="N38" i="8" s="1"/>
  <c r="AH35" i="8"/>
  <c r="N35" i="8" s="1"/>
  <c r="AH32" i="8"/>
  <c r="N32" i="8" s="1"/>
  <c r="AH29" i="8"/>
  <c r="N29" i="8" s="1"/>
  <c r="AH26" i="8"/>
  <c r="N26" i="8" s="1"/>
  <c r="AG50" i="8"/>
  <c r="M50" i="8" s="1"/>
  <c r="AG47" i="8"/>
  <c r="M47" i="8" s="1"/>
  <c r="AG44" i="8"/>
  <c r="M44" i="8" s="1"/>
  <c r="AG41" i="8"/>
  <c r="M41" i="8" s="1"/>
  <c r="AG38" i="8"/>
  <c r="M38" i="8" s="1"/>
  <c r="AG35" i="8"/>
  <c r="M35" i="8" s="1"/>
  <c r="AG32" i="8"/>
  <c r="M32" i="8" s="1"/>
  <c r="AG29" i="8"/>
  <c r="M29" i="8" s="1"/>
  <c r="AG26" i="8"/>
  <c r="M26" i="8" s="1"/>
  <c r="AF50" i="8"/>
  <c r="L50" i="8" s="1"/>
  <c r="AF47" i="8"/>
  <c r="L47" i="8" s="1"/>
  <c r="AF44" i="8"/>
  <c r="L44" i="8" s="1"/>
  <c r="AF41" i="8"/>
  <c r="L41" i="8" s="1"/>
  <c r="AF38" i="8"/>
  <c r="L38" i="8" s="1"/>
  <c r="AF35" i="8"/>
  <c r="L35" i="8" s="1"/>
  <c r="AF32" i="8"/>
  <c r="L32" i="8" s="1"/>
  <c r="AF29" i="8"/>
  <c r="L29" i="8" s="1"/>
  <c r="AF26" i="8"/>
  <c r="L26" i="8" s="1"/>
  <c r="AE50" i="8"/>
  <c r="K50" i="8" s="1"/>
  <c r="AE47" i="8"/>
  <c r="K47" i="8" s="1"/>
  <c r="AE44" i="8"/>
  <c r="K44" i="8" s="1"/>
  <c r="AE41" i="8"/>
  <c r="K41" i="8" s="1"/>
  <c r="AE38" i="8"/>
  <c r="K38" i="8" s="1"/>
  <c r="AE35" i="8"/>
  <c r="K35" i="8" s="1"/>
  <c r="AE32" i="8"/>
  <c r="K32" i="8" s="1"/>
  <c r="AE29" i="8"/>
  <c r="K29" i="8" s="1"/>
  <c r="AE26" i="8"/>
  <c r="K26" i="8" s="1"/>
  <c r="AD50" i="8"/>
  <c r="J50" i="8" s="1"/>
  <c r="AD47" i="8"/>
  <c r="J47" i="8" s="1"/>
  <c r="AD44" i="8"/>
  <c r="J44" i="8" s="1"/>
  <c r="AD41" i="8"/>
  <c r="J41" i="8" s="1"/>
  <c r="AD38" i="8"/>
  <c r="J38" i="8" s="1"/>
  <c r="AD35" i="8"/>
  <c r="J35" i="8" s="1"/>
  <c r="AD32" i="8"/>
  <c r="J32" i="8" s="1"/>
  <c r="AD29" i="8"/>
  <c r="J29" i="8" s="1"/>
  <c r="AD26" i="8"/>
  <c r="J26" i="8" s="1"/>
  <c r="AC50" i="8"/>
  <c r="I50" i="8" s="1"/>
  <c r="AC47" i="8"/>
  <c r="I47" i="8" s="1"/>
  <c r="AC44" i="8"/>
  <c r="I44" i="8" s="1"/>
  <c r="AC41" i="8"/>
  <c r="I41" i="8" s="1"/>
  <c r="AC38" i="8"/>
  <c r="I38" i="8" s="1"/>
  <c r="AC35" i="8"/>
  <c r="I35" i="8" s="1"/>
  <c r="AC32" i="8"/>
  <c r="I32" i="8" s="1"/>
  <c r="AC29" i="8"/>
  <c r="I29" i="8" s="1"/>
  <c r="AC26" i="8"/>
  <c r="I26" i="8" s="1"/>
  <c r="AB50" i="8"/>
  <c r="H50" i="8" s="1"/>
  <c r="AB47" i="8"/>
  <c r="H47" i="8" s="1"/>
  <c r="AB44" i="8"/>
  <c r="H44" i="8" s="1"/>
  <c r="AB41" i="8"/>
  <c r="H41" i="8" s="1"/>
  <c r="AB38" i="8"/>
  <c r="H38" i="8" s="1"/>
  <c r="AB35" i="8"/>
  <c r="H35" i="8" s="1"/>
  <c r="AB32" i="8"/>
  <c r="H32" i="8" s="1"/>
  <c r="AB29" i="8"/>
  <c r="H29" i="8" s="1"/>
  <c r="AB26" i="8"/>
  <c r="H26" i="8" s="1"/>
  <c r="AA50" i="8"/>
  <c r="G50" i="8" s="1"/>
  <c r="AA47" i="8"/>
  <c r="G47" i="8" s="1"/>
  <c r="AA44" i="8"/>
  <c r="G44" i="8" s="1"/>
  <c r="AA41" i="8"/>
  <c r="G41" i="8" s="1"/>
  <c r="AA38" i="8"/>
  <c r="G38" i="8" s="1"/>
  <c r="AA35" i="8"/>
  <c r="G35" i="8" s="1"/>
  <c r="AA32" i="8"/>
  <c r="G32" i="8" s="1"/>
  <c r="AA29" i="8"/>
  <c r="G29" i="8" s="1"/>
  <c r="AA26" i="8"/>
  <c r="G26" i="8" s="1"/>
  <c r="Z50" i="8"/>
  <c r="F50" i="8" s="1"/>
  <c r="Z47" i="8"/>
  <c r="F47" i="8" s="1"/>
  <c r="Z44" i="8"/>
  <c r="F44" i="8" s="1"/>
  <c r="Z41" i="8"/>
  <c r="F41" i="8" s="1"/>
  <c r="Z38" i="8"/>
  <c r="F38" i="8" s="1"/>
  <c r="Z35" i="8"/>
  <c r="F35" i="8" s="1"/>
  <c r="Z32" i="8"/>
  <c r="F32" i="8" s="1"/>
  <c r="Z29" i="8"/>
  <c r="F29" i="8" s="1"/>
  <c r="R29" i="8" s="1"/>
  <c r="T29" i="8" s="1"/>
  <c r="Z26" i="8"/>
  <c r="F26" i="8" s="1"/>
  <c r="R32" i="8" l="1"/>
  <c r="T32" i="8" s="1"/>
  <c r="V32" i="8" s="1"/>
  <c r="R26" i="8"/>
  <c r="T26" i="8" s="1"/>
  <c r="U29" i="8"/>
  <c r="V29" i="8"/>
  <c r="AP22" i="6"/>
  <c r="AF50" i="9" s="1"/>
  <c r="L50" i="9" s="1"/>
  <c r="AP21" i="6"/>
  <c r="AP20" i="6"/>
  <c r="AP19" i="6"/>
  <c r="AP18" i="6"/>
  <c r="AP17" i="6"/>
  <c r="AP16" i="6"/>
  <c r="AP15" i="6"/>
  <c r="AP14" i="6"/>
  <c r="AP13" i="6"/>
  <c r="AP12" i="6"/>
  <c r="AP11" i="6"/>
  <c r="AA17" i="9" s="1"/>
  <c r="AP10" i="6"/>
  <c r="AK14" i="9" s="1"/>
  <c r="AP9" i="6"/>
  <c r="E50" i="8"/>
  <c r="E47" i="8"/>
  <c r="E44" i="8"/>
  <c r="E41" i="8"/>
  <c r="E38" i="8"/>
  <c r="E35" i="8"/>
  <c r="E32" i="8"/>
  <c r="E29" i="8"/>
  <c r="E26" i="8"/>
  <c r="E23" i="8"/>
  <c r="E20" i="8"/>
  <c r="E17" i="8"/>
  <c r="E14" i="8"/>
  <c r="E11" i="8"/>
  <c r="E8" i="8"/>
  <c r="L3" i="5"/>
  <c r="AB17" i="9" l="1"/>
  <c r="Z17" i="9"/>
  <c r="AF47" i="9"/>
  <c r="L47" i="9" s="1"/>
  <c r="AG32" i="9"/>
  <c r="M32" i="9" s="1"/>
  <c r="AF32" i="9"/>
  <c r="U32" i="8"/>
  <c r="AJ20" i="9"/>
  <c r="AI20" i="9"/>
  <c r="O20" i="9" s="1"/>
  <c r="AH20" i="9"/>
  <c r="N20" i="9" s="1"/>
  <c r="AK20" i="9"/>
  <c r="Q20" i="9" s="1"/>
  <c r="W32" i="8"/>
  <c r="V33" i="8"/>
  <c r="W33" i="8" s="1"/>
  <c r="V30" i="8"/>
  <c r="W30" i="8" s="1"/>
  <c r="W29" i="8"/>
  <c r="V26" i="8"/>
  <c r="U26" i="8"/>
  <c r="AB29" i="9"/>
  <c r="H29" i="9" s="1"/>
  <c r="AA29" i="9"/>
  <c r="G29" i="9" s="1"/>
  <c r="Z29" i="9"/>
  <c r="F29" i="9" s="1"/>
  <c r="AG20" i="9"/>
  <c r="M20" i="9" s="1"/>
  <c r="AF20" i="9"/>
  <c r="L20" i="9" s="1"/>
  <c r="AE20" i="9"/>
  <c r="K20" i="9" s="1"/>
  <c r="AD20" i="9"/>
  <c r="J20" i="9" s="1"/>
  <c r="AK32" i="9"/>
  <c r="Q32" i="9" s="1"/>
  <c r="AJ32" i="9"/>
  <c r="P32" i="9" s="1"/>
  <c r="AI32" i="9"/>
  <c r="O32" i="9" s="1"/>
  <c r="AH32" i="9"/>
  <c r="N32" i="9" s="1"/>
  <c r="AE26" i="9"/>
  <c r="AG26" i="9"/>
  <c r="M26" i="9" s="1"/>
  <c r="AF26" i="9"/>
  <c r="AD26" i="9"/>
  <c r="AE11" i="9"/>
  <c r="K11" i="9" s="1"/>
  <c r="AF11" i="9"/>
  <c r="L11" i="9" s="1"/>
  <c r="AC11" i="9"/>
  <c r="I11" i="9" s="1"/>
  <c r="AD11" i="9"/>
  <c r="J11" i="9" s="1"/>
  <c r="AI14" i="9"/>
  <c r="O14" i="9" s="1"/>
  <c r="AJ14" i="9"/>
  <c r="P14" i="9" s="1"/>
  <c r="AG14" i="9"/>
  <c r="M14" i="9" s="1"/>
  <c r="AH14" i="9"/>
  <c r="AE14" i="9"/>
  <c r="K14" i="9" s="1"/>
  <c r="AF14" i="9"/>
  <c r="L14" i="9" s="1"/>
  <c r="AC14" i="9"/>
  <c r="I14" i="9" s="1"/>
  <c r="AD14" i="9"/>
  <c r="J14" i="9" s="1"/>
  <c r="AA32" i="9"/>
  <c r="Z32" i="9"/>
  <c r="F32" i="9" s="1"/>
  <c r="AB32" i="9"/>
  <c r="H32" i="9" s="1"/>
  <c r="AC32" i="9"/>
  <c r="I32" i="9" s="1"/>
  <c r="AB11" i="9"/>
  <c r="H11" i="9" s="1"/>
  <c r="AA11" i="9"/>
  <c r="G11" i="9" s="1"/>
  <c r="Z11" i="9"/>
  <c r="F11" i="9" s="1"/>
  <c r="AH35" i="9"/>
  <c r="AJ35" i="9"/>
  <c r="P35" i="9" s="1"/>
  <c r="AG35" i="9"/>
  <c r="M35" i="9" s="1"/>
  <c r="AF35" i="9"/>
  <c r="L35" i="9" s="1"/>
  <c r="AE35" i="9"/>
  <c r="K35" i="9" s="1"/>
  <c r="AD35" i="9"/>
  <c r="J35" i="9" s="1"/>
  <c r="AK35" i="9"/>
  <c r="Q35" i="9" s="1"/>
  <c r="AC35" i="9"/>
  <c r="I35" i="9" s="1"/>
  <c r="AI35" i="9"/>
  <c r="AB14" i="9"/>
  <c r="H14" i="9" s="1"/>
  <c r="Z14" i="9"/>
  <c r="F14" i="9" s="1"/>
  <c r="AA14" i="9"/>
  <c r="G14" i="9" s="1"/>
  <c r="AG38" i="9"/>
  <c r="M38" i="9" s="1"/>
  <c r="AI38" i="9"/>
  <c r="O38" i="9" s="1"/>
  <c r="AF38" i="9"/>
  <c r="L38" i="9" s="1"/>
  <c r="AE38" i="9"/>
  <c r="K38" i="9" s="1"/>
  <c r="AD38" i="9"/>
  <c r="AK38" i="9"/>
  <c r="Q38" i="9" s="1"/>
  <c r="AC38" i="9"/>
  <c r="I38" i="9" s="1"/>
  <c r="AJ38" i="9"/>
  <c r="AH38" i="9"/>
  <c r="N38" i="9" s="1"/>
  <c r="AF17" i="9"/>
  <c r="L17" i="9" s="1"/>
  <c r="AE17" i="9"/>
  <c r="K17" i="9" s="1"/>
  <c r="AK17" i="9"/>
  <c r="Q17" i="9" s="1"/>
  <c r="AH17" i="9"/>
  <c r="N17" i="9" s="1"/>
  <c r="AD17" i="9"/>
  <c r="J17" i="9" s="1"/>
  <c r="AC17" i="9"/>
  <c r="I17" i="9" s="1"/>
  <c r="AJ17" i="9"/>
  <c r="P17" i="9" s="1"/>
  <c r="AI17" i="9"/>
  <c r="O17" i="9" s="1"/>
  <c r="AG17" i="9"/>
  <c r="M17" i="9" s="1"/>
  <c r="AF41" i="9"/>
  <c r="L41" i="9" s="1"/>
  <c r="AH41" i="9"/>
  <c r="N41" i="9" s="1"/>
  <c r="AG41" i="9"/>
  <c r="AE41" i="9"/>
  <c r="K41" i="9" s="1"/>
  <c r="AD41" i="9"/>
  <c r="J41" i="9" s="1"/>
  <c r="AK41" i="9"/>
  <c r="AC41" i="9"/>
  <c r="I41" i="9" s="1"/>
  <c r="AJ41" i="9"/>
  <c r="P41" i="9" s="1"/>
  <c r="AI41" i="9"/>
  <c r="O41" i="9" s="1"/>
  <c r="AC20" i="9"/>
  <c r="I20" i="9" s="1"/>
  <c r="AB20" i="9"/>
  <c r="H20" i="9" s="1"/>
  <c r="AA20" i="9"/>
  <c r="G20" i="9" s="1"/>
  <c r="Z20" i="9"/>
  <c r="F20" i="9" s="1"/>
  <c r="AE44" i="9"/>
  <c r="AG44" i="9"/>
  <c r="M44" i="9" s="1"/>
  <c r="AF44" i="9"/>
  <c r="L44" i="9" s="1"/>
  <c r="AD44" i="9"/>
  <c r="J44" i="9" s="1"/>
  <c r="AK44" i="9"/>
  <c r="Q44" i="9" s="1"/>
  <c r="AC44" i="9"/>
  <c r="I44" i="9" s="1"/>
  <c r="AJ44" i="9"/>
  <c r="P44" i="9" s="1"/>
  <c r="AI44" i="9"/>
  <c r="O44" i="9" s="1"/>
  <c r="AH44" i="9"/>
  <c r="N44" i="9" s="1"/>
  <c r="AD23" i="9"/>
  <c r="J23" i="9" s="1"/>
  <c r="AK23" i="9"/>
  <c r="Q23" i="9" s="1"/>
  <c r="AC23" i="9"/>
  <c r="I23" i="9" s="1"/>
  <c r="AF23" i="9"/>
  <c r="L23" i="9" s="1"/>
  <c r="AJ23" i="9"/>
  <c r="P23" i="9" s="1"/>
  <c r="AI23" i="9"/>
  <c r="O23" i="9" s="1"/>
  <c r="AH23" i="9"/>
  <c r="AG23" i="9"/>
  <c r="M23" i="9" s="1"/>
  <c r="AE23" i="9"/>
  <c r="K23" i="9" s="1"/>
  <c r="AJ29" i="9"/>
  <c r="P29" i="9" s="1"/>
  <c r="AI29" i="9"/>
  <c r="O29" i="9" s="1"/>
  <c r="AH29" i="9"/>
  <c r="N29" i="9" s="1"/>
  <c r="AG29" i="9"/>
  <c r="M29" i="9" s="1"/>
  <c r="AD29" i="9"/>
  <c r="J29" i="9" s="1"/>
  <c r="AF29" i="9"/>
  <c r="L29" i="9" s="1"/>
  <c r="AE29" i="9"/>
  <c r="K29" i="9" s="1"/>
  <c r="AK29" i="9"/>
  <c r="Q29" i="9" s="1"/>
  <c r="AC29" i="9"/>
  <c r="I29" i="9" s="1"/>
  <c r="AC26" i="9"/>
  <c r="I26" i="9" s="1"/>
  <c r="AB26" i="9"/>
  <c r="H26" i="9" s="1"/>
  <c r="AA26" i="9"/>
  <c r="G26" i="9" s="1"/>
  <c r="Z26" i="9"/>
  <c r="F26" i="9" s="1"/>
  <c r="AH11" i="9"/>
  <c r="N11" i="9" s="1"/>
  <c r="AG11" i="9"/>
  <c r="M11" i="9" s="1"/>
  <c r="AI11" i="9"/>
  <c r="O11" i="9" s="1"/>
  <c r="AJ11" i="9"/>
  <c r="P11" i="9" s="1"/>
  <c r="AK11" i="9"/>
  <c r="Q11" i="9" s="1"/>
  <c r="AG23" i="8"/>
  <c r="M23" i="8" s="1"/>
  <c r="AD23" i="8"/>
  <c r="J23" i="8" s="1"/>
  <c r="AK23" i="8"/>
  <c r="Q23" i="8" s="1"/>
  <c r="AC23" i="8"/>
  <c r="I23" i="8" s="1"/>
  <c r="AF23" i="8"/>
  <c r="L23" i="8" s="1"/>
  <c r="Z23" i="8"/>
  <c r="F23" i="8" s="1"/>
  <c r="AJ23" i="8"/>
  <c r="P23" i="8" s="1"/>
  <c r="AB23" i="8"/>
  <c r="H23" i="8" s="1"/>
  <c r="AE23" i="8"/>
  <c r="K23" i="8" s="1"/>
  <c r="AH23" i="8"/>
  <c r="N23" i="8" s="1"/>
  <c r="AI23" i="8"/>
  <c r="O23" i="8" s="1"/>
  <c r="AA23" i="8"/>
  <c r="G23" i="8" s="1"/>
  <c r="F23" i="9"/>
  <c r="G23" i="9"/>
  <c r="H23" i="9"/>
  <c r="O26" i="9"/>
  <c r="N26" i="9"/>
  <c r="Q26" i="9"/>
  <c r="P26" i="9"/>
  <c r="P20" i="9"/>
  <c r="G17" i="9"/>
  <c r="H17" i="9"/>
  <c r="F17" i="9"/>
  <c r="Q14" i="9"/>
  <c r="P38" i="9"/>
  <c r="AJ20" i="8"/>
  <c r="P20" i="8" s="1"/>
  <c r="AF20" i="8"/>
  <c r="L20" i="8" s="1"/>
  <c r="AB20" i="8"/>
  <c r="H20" i="8" s="1"/>
  <c r="AC20" i="8"/>
  <c r="I20" i="8" s="1"/>
  <c r="AI20" i="8"/>
  <c r="O20" i="8" s="1"/>
  <c r="AA20" i="8"/>
  <c r="G20" i="8" s="1"/>
  <c r="AK20" i="8"/>
  <c r="Q20" i="8" s="1"/>
  <c r="AG20" i="8"/>
  <c r="M20" i="8" s="1"/>
  <c r="AH20" i="8"/>
  <c r="N20" i="8" s="1"/>
  <c r="AD20" i="8"/>
  <c r="J20" i="8" s="1"/>
  <c r="Z20" i="8"/>
  <c r="F20" i="8" s="1"/>
  <c r="AE20" i="8"/>
  <c r="K20" i="8" s="1"/>
  <c r="AF17" i="8"/>
  <c r="L17" i="8" s="1"/>
  <c r="AB17" i="8"/>
  <c r="H17" i="8" s="1"/>
  <c r="AA17" i="8"/>
  <c r="G17" i="8" s="1"/>
  <c r="AH17" i="8"/>
  <c r="AK17" i="8"/>
  <c r="Q17" i="8" s="1"/>
  <c r="AJ17" i="8"/>
  <c r="P17" i="8" s="1"/>
  <c r="AI17" i="8"/>
  <c r="O17" i="8" s="1"/>
  <c r="AG17" i="8"/>
  <c r="M17" i="8" s="1"/>
  <c r="AE17" i="8"/>
  <c r="K17" i="8" s="1"/>
  <c r="AD17" i="8"/>
  <c r="J17" i="8" s="1"/>
  <c r="AC17" i="8"/>
  <c r="I17" i="8" s="1"/>
  <c r="Z17" i="8"/>
  <c r="F17" i="8" s="1"/>
  <c r="H44" i="9"/>
  <c r="K44" i="9"/>
  <c r="G44" i="9"/>
  <c r="F44" i="9"/>
  <c r="Q41" i="9"/>
  <c r="M41" i="9"/>
  <c r="N47" i="9"/>
  <c r="Q47" i="9"/>
  <c r="M47" i="9"/>
  <c r="P47" i="9"/>
  <c r="O47" i="9"/>
  <c r="N35" i="9"/>
  <c r="O35" i="9"/>
  <c r="K32" i="9"/>
  <c r="G32" i="9"/>
  <c r="J32" i="9"/>
  <c r="L32" i="9"/>
  <c r="J38" i="9"/>
  <c r="F38" i="9"/>
  <c r="H38" i="9"/>
  <c r="G38" i="9"/>
  <c r="J26" i="9"/>
  <c r="L26" i="9"/>
  <c r="K26" i="9"/>
  <c r="AH14" i="8"/>
  <c r="Z14" i="8"/>
  <c r="F14" i="8" s="1"/>
  <c r="AK14" i="8"/>
  <c r="Q14" i="8" s="1"/>
  <c r="AG14" i="8"/>
  <c r="M14" i="8" s="1"/>
  <c r="AC14" i="8"/>
  <c r="I14" i="8" s="1"/>
  <c r="AJ14" i="8"/>
  <c r="P14" i="8" s="1"/>
  <c r="AF14" i="8"/>
  <c r="L14" i="8" s="1"/>
  <c r="AB14" i="8"/>
  <c r="H14" i="8" s="1"/>
  <c r="AI14" i="8"/>
  <c r="O14" i="8" s="1"/>
  <c r="AE14" i="8"/>
  <c r="K14" i="8" s="1"/>
  <c r="AA14" i="8"/>
  <c r="G14" i="8" s="1"/>
  <c r="AD14" i="8"/>
  <c r="J14" i="8" s="1"/>
  <c r="AJ11" i="8"/>
  <c r="P11" i="8" s="1"/>
  <c r="AH11" i="8"/>
  <c r="AF11" i="8"/>
  <c r="L11" i="8" s="1"/>
  <c r="AD11" i="8"/>
  <c r="J11" i="8" s="1"/>
  <c r="AB11" i="8"/>
  <c r="H11" i="8" s="1"/>
  <c r="Z11" i="8"/>
  <c r="F11" i="8" s="1"/>
  <c r="AK11" i="8"/>
  <c r="Q11" i="8" s="1"/>
  <c r="AI11" i="8"/>
  <c r="O11" i="8" s="1"/>
  <c r="AG11" i="8"/>
  <c r="M11" i="8" s="1"/>
  <c r="AE11" i="8"/>
  <c r="K11" i="8" s="1"/>
  <c r="AC11" i="8"/>
  <c r="I11" i="8" s="1"/>
  <c r="AA11" i="8"/>
  <c r="G11" i="8" s="1"/>
  <c r="AH8" i="8"/>
  <c r="AD8" i="8"/>
  <c r="Z8" i="8"/>
  <c r="F8" i="8" s="1"/>
  <c r="AA8" i="8"/>
  <c r="G8" i="8" s="1"/>
  <c r="AK8" i="8"/>
  <c r="Q8" i="8" s="1"/>
  <c r="AC8" i="8"/>
  <c r="I8" i="8" s="1"/>
  <c r="AI8" i="8"/>
  <c r="O8" i="8" s="1"/>
  <c r="AE8" i="8"/>
  <c r="K8" i="8" s="1"/>
  <c r="AJ8" i="8"/>
  <c r="P8" i="8" s="1"/>
  <c r="AF8" i="8"/>
  <c r="L8" i="8" s="1"/>
  <c r="AB8" i="8"/>
  <c r="H8" i="8" s="1"/>
  <c r="AG8" i="8"/>
  <c r="M8" i="8" s="1"/>
  <c r="AP8" i="6"/>
  <c r="W26" i="8" l="1"/>
  <c r="V27" i="8"/>
  <c r="W27" i="8" s="1"/>
  <c r="V31" i="8"/>
  <c r="W31" i="8" s="1"/>
  <c r="V34" i="8"/>
  <c r="W34" i="8" s="1"/>
  <c r="J8" i="8"/>
  <c r="AD3" i="8"/>
  <c r="R23" i="8"/>
  <c r="T23" i="8" s="1"/>
  <c r="R20" i="8"/>
  <c r="T20" i="8" s="1"/>
  <c r="AI8" i="9"/>
  <c r="O8" i="9" s="1"/>
  <c r="AA8" i="9"/>
  <c r="G8" i="9" s="1"/>
  <c r="AK8" i="9"/>
  <c r="Q8" i="9" s="1"/>
  <c r="AH8" i="9"/>
  <c r="Z8" i="9"/>
  <c r="F8" i="9" s="1"/>
  <c r="AG8" i="9"/>
  <c r="M8" i="9" s="1"/>
  <c r="AF8" i="9"/>
  <c r="L8" i="9" s="1"/>
  <c r="AJ8" i="9"/>
  <c r="P8" i="9" s="1"/>
  <c r="AE8" i="9"/>
  <c r="K8" i="9" s="1"/>
  <c r="AC8" i="9"/>
  <c r="I8" i="9" s="1"/>
  <c r="AD8" i="9"/>
  <c r="AB8" i="9"/>
  <c r="H8" i="9" s="1"/>
  <c r="V28" i="8" l="1"/>
  <c r="W28" i="8" s="1"/>
  <c r="J8" i="9"/>
  <c r="AD3" i="9"/>
  <c r="V23" i="8"/>
  <c r="U23" i="8"/>
  <c r="U20" i="8"/>
  <c r="V20" i="8"/>
  <c r="AF62" i="7"/>
  <c r="L62" i="7" s="1"/>
  <c r="AG59" i="7"/>
  <c r="M59" i="7" s="1"/>
  <c r="AJ56" i="7"/>
  <c r="P56" i="7" s="1"/>
  <c r="AH44" i="7"/>
  <c r="AK41" i="7"/>
  <c r="Q41" i="7" s="1"/>
  <c r="AD38" i="7"/>
  <c r="J38" i="7" s="1"/>
  <c r="AK35" i="7"/>
  <c r="Q35" i="7" s="1"/>
  <c r="AE32" i="7"/>
  <c r="K32" i="7" s="1"/>
  <c r="AK29" i="7"/>
  <c r="Q29" i="7" s="1"/>
  <c r="AJ26" i="7"/>
  <c r="P26" i="7" s="1"/>
  <c r="AK23" i="7"/>
  <c r="Q23" i="7" s="1"/>
  <c r="AH20" i="7"/>
  <c r="J8" i="6"/>
  <c r="J7" i="6"/>
  <c r="W8" i="5"/>
  <c r="L24" i="20"/>
  <c r="B26" i="20"/>
  <c r="AK101" i="7"/>
  <c r="Q101" i="7" s="1"/>
  <c r="AK98" i="7"/>
  <c r="Q98" i="7" s="1"/>
  <c r="AK95" i="7"/>
  <c r="Q95" i="7" s="1"/>
  <c r="AK92" i="7"/>
  <c r="Q92" i="7" s="1"/>
  <c r="AK89" i="7"/>
  <c r="Q89" i="7" s="1"/>
  <c r="AK86" i="7"/>
  <c r="Q86" i="7" s="1"/>
  <c r="AK83" i="7"/>
  <c r="Q83" i="7" s="1"/>
  <c r="AK80" i="7"/>
  <c r="Q80" i="7" s="1"/>
  <c r="AK77" i="7"/>
  <c r="Q77" i="7" s="1"/>
  <c r="AK74" i="7"/>
  <c r="Q74" i="7" s="1"/>
  <c r="AK71" i="7"/>
  <c r="Q71" i="7" s="1"/>
  <c r="AK68" i="7"/>
  <c r="Q68" i="7" s="1"/>
  <c r="AK65" i="7"/>
  <c r="Q65" i="7" s="1"/>
  <c r="AK50" i="7"/>
  <c r="Q50" i="7" s="1"/>
  <c r="AK47" i="7"/>
  <c r="Q47" i="7" s="1"/>
  <c r="AK44" i="7"/>
  <c r="Q44" i="7" s="1"/>
  <c r="AJ101" i="7"/>
  <c r="P101" i="7" s="1"/>
  <c r="AJ98" i="7"/>
  <c r="P98" i="7" s="1"/>
  <c r="AJ95" i="7"/>
  <c r="P95" i="7" s="1"/>
  <c r="AJ92" i="7"/>
  <c r="P92" i="7" s="1"/>
  <c r="AJ89" i="7"/>
  <c r="P89" i="7" s="1"/>
  <c r="AJ86" i="7"/>
  <c r="P86" i="7" s="1"/>
  <c r="AJ83" i="7"/>
  <c r="P83" i="7" s="1"/>
  <c r="AJ80" i="7"/>
  <c r="P80" i="7" s="1"/>
  <c r="AJ77" i="7"/>
  <c r="P77" i="7" s="1"/>
  <c r="AJ74" i="7"/>
  <c r="P74" i="7" s="1"/>
  <c r="AJ71" i="7"/>
  <c r="P71" i="7" s="1"/>
  <c r="AJ68" i="7"/>
  <c r="P68" i="7" s="1"/>
  <c r="AJ65" i="7"/>
  <c r="P65" i="7" s="1"/>
  <c r="AJ62" i="7"/>
  <c r="P62" i="7" s="1"/>
  <c r="AJ50" i="7"/>
  <c r="P50" i="7" s="1"/>
  <c r="AJ47" i="7"/>
  <c r="P47" i="7" s="1"/>
  <c r="AJ38" i="7"/>
  <c r="P38" i="7" s="1"/>
  <c r="AJ35" i="7"/>
  <c r="P35" i="7" s="1"/>
  <c r="AI101" i="7"/>
  <c r="O101" i="7" s="1"/>
  <c r="AI98" i="7"/>
  <c r="O98" i="7" s="1"/>
  <c r="AI95" i="7"/>
  <c r="O95" i="7" s="1"/>
  <c r="AI92" i="7"/>
  <c r="O92" i="7" s="1"/>
  <c r="AI89" i="7"/>
  <c r="O89" i="7" s="1"/>
  <c r="AI86" i="7"/>
  <c r="O86" i="7" s="1"/>
  <c r="AI83" i="7"/>
  <c r="O83" i="7" s="1"/>
  <c r="AI80" i="7"/>
  <c r="O80" i="7" s="1"/>
  <c r="AI77" i="7"/>
  <c r="O77" i="7" s="1"/>
  <c r="AI74" i="7"/>
  <c r="O74" i="7" s="1"/>
  <c r="AI71" i="7"/>
  <c r="O71" i="7" s="1"/>
  <c r="AI68" i="7"/>
  <c r="O68" i="7" s="1"/>
  <c r="AI65" i="7"/>
  <c r="O65" i="7" s="1"/>
  <c r="AI62" i="7"/>
  <c r="O62" i="7" s="1"/>
  <c r="AI50" i="7"/>
  <c r="O50" i="7" s="1"/>
  <c r="AI47" i="7"/>
  <c r="O47" i="7" s="1"/>
  <c r="AI44" i="7"/>
  <c r="O44" i="7" s="1"/>
  <c r="AI38" i="7"/>
  <c r="O38" i="7" s="1"/>
  <c r="AH101" i="7"/>
  <c r="N101" i="7" s="1"/>
  <c r="AH98" i="7"/>
  <c r="N98" i="7" s="1"/>
  <c r="AH95" i="7"/>
  <c r="N95" i="7" s="1"/>
  <c r="AH92" i="7"/>
  <c r="N92" i="7" s="1"/>
  <c r="AH89" i="7"/>
  <c r="N89" i="7" s="1"/>
  <c r="AH86" i="7"/>
  <c r="N86" i="7" s="1"/>
  <c r="AH83" i="7"/>
  <c r="N83" i="7" s="1"/>
  <c r="AH80" i="7"/>
  <c r="N80" i="7" s="1"/>
  <c r="AH77" i="7"/>
  <c r="N77" i="7" s="1"/>
  <c r="AH74" i="7"/>
  <c r="N74" i="7" s="1"/>
  <c r="AH71" i="7"/>
  <c r="N71" i="7" s="1"/>
  <c r="AH68" i="7"/>
  <c r="N68" i="7" s="1"/>
  <c r="AH65" i="7"/>
  <c r="N65" i="7" s="1"/>
  <c r="AH50" i="7"/>
  <c r="AH47" i="7"/>
  <c r="AH38" i="7"/>
  <c r="N38" i="7" s="1"/>
  <c r="AG101" i="7"/>
  <c r="M101" i="7" s="1"/>
  <c r="AG98" i="7"/>
  <c r="M98" i="7" s="1"/>
  <c r="AG95" i="7"/>
  <c r="M95" i="7" s="1"/>
  <c r="AG92" i="7"/>
  <c r="M92" i="7" s="1"/>
  <c r="AG89" i="7"/>
  <c r="M89" i="7" s="1"/>
  <c r="AG86" i="7"/>
  <c r="M86" i="7" s="1"/>
  <c r="AG83" i="7"/>
  <c r="M83" i="7" s="1"/>
  <c r="AG80" i="7"/>
  <c r="M80" i="7" s="1"/>
  <c r="AG77" i="7"/>
  <c r="M77" i="7" s="1"/>
  <c r="AG74" i="7"/>
  <c r="M74" i="7" s="1"/>
  <c r="AG71" i="7"/>
  <c r="M71" i="7" s="1"/>
  <c r="AG68" i="7"/>
  <c r="M68" i="7" s="1"/>
  <c r="AG65" i="7"/>
  <c r="M65" i="7" s="1"/>
  <c r="AG50" i="7"/>
  <c r="M50" i="7" s="1"/>
  <c r="AG47" i="7"/>
  <c r="M47" i="7" s="1"/>
  <c r="AG44" i="7"/>
  <c r="M44" i="7" s="1"/>
  <c r="AG38" i="7"/>
  <c r="M38" i="7" s="1"/>
  <c r="AG35" i="7"/>
  <c r="M35" i="7" s="1"/>
  <c r="AF101" i="7"/>
  <c r="L101" i="7" s="1"/>
  <c r="AF98" i="7"/>
  <c r="L98" i="7" s="1"/>
  <c r="AF95" i="7"/>
  <c r="L95" i="7" s="1"/>
  <c r="AF92" i="7"/>
  <c r="L92" i="7" s="1"/>
  <c r="AF89" i="7"/>
  <c r="L89" i="7" s="1"/>
  <c r="AF86" i="7"/>
  <c r="L86" i="7" s="1"/>
  <c r="AF83" i="7"/>
  <c r="L83" i="7" s="1"/>
  <c r="AF80" i="7"/>
  <c r="L80" i="7" s="1"/>
  <c r="AF77" i="7"/>
  <c r="L77" i="7" s="1"/>
  <c r="AF74" i="7"/>
  <c r="L74" i="7" s="1"/>
  <c r="AF71" i="7"/>
  <c r="L71" i="7" s="1"/>
  <c r="AF68" i="7"/>
  <c r="L68" i="7" s="1"/>
  <c r="AF65" i="7"/>
  <c r="L65" i="7" s="1"/>
  <c r="AF50" i="7"/>
  <c r="L50" i="7" s="1"/>
  <c r="AF47" i="7"/>
  <c r="L47" i="7" s="1"/>
  <c r="AF38" i="7"/>
  <c r="L38" i="7" s="1"/>
  <c r="AE101" i="7"/>
  <c r="K101" i="7" s="1"/>
  <c r="AE98" i="7"/>
  <c r="K98" i="7" s="1"/>
  <c r="AE95" i="7"/>
  <c r="K95" i="7" s="1"/>
  <c r="AE92" i="7"/>
  <c r="K92" i="7" s="1"/>
  <c r="AE89" i="7"/>
  <c r="K89" i="7" s="1"/>
  <c r="AE86" i="7"/>
  <c r="K86" i="7" s="1"/>
  <c r="AE83" i="7"/>
  <c r="K83" i="7" s="1"/>
  <c r="AE80" i="7"/>
  <c r="K80" i="7" s="1"/>
  <c r="AE77" i="7"/>
  <c r="K77" i="7" s="1"/>
  <c r="AE74" i="7"/>
  <c r="K74" i="7" s="1"/>
  <c r="AE71" i="7"/>
  <c r="K71" i="7" s="1"/>
  <c r="AE68" i="7"/>
  <c r="K68" i="7" s="1"/>
  <c r="AE65" i="7"/>
  <c r="K65" i="7" s="1"/>
  <c r="AE62" i="7"/>
  <c r="K62" i="7" s="1"/>
  <c r="AE50" i="7"/>
  <c r="K50" i="7" s="1"/>
  <c r="AE47" i="7"/>
  <c r="K47" i="7" s="1"/>
  <c r="AE35" i="7"/>
  <c r="K35" i="7" s="1"/>
  <c r="AE26" i="7"/>
  <c r="K26" i="7" s="1"/>
  <c r="AD101" i="7"/>
  <c r="J101" i="7" s="1"/>
  <c r="AD98" i="7"/>
  <c r="J98" i="7" s="1"/>
  <c r="AD95" i="7"/>
  <c r="J95" i="7" s="1"/>
  <c r="AD92" i="7"/>
  <c r="J92" i="7" s="1"/>
  <c r="AD89" i="7"/>
  <c r="J89" i="7" s="1"/>
  <c r="AD86" i="7"/>
  <c r="J86" i="7" s="1"/>
  <c r="AD83" i="7"/>
  <c r="J83" i="7" s="1"/>
  <c r="AD80" i="7"/>
  <c r="J80" i="7" s="1"/>
  <c r="AD77" i="7"/>
  <c r="J77" i="7" s="1"/>
  <c r="AD74" i="7"/>
  <c r="J74" i="7" s="1"/>
  <c r="AD71" i="7"/>
  <c r="J71" i="7" s="1"/>
  <c r="AD68" i="7"/>
  <c r="J68" i="7" s="1"/>
  <c r="AD65" i="7"/>
  <c r="J65" i="7" s="1"/>
  <c r="AD62" i="7"/>
  <c r="J62" i="7" s="1"/>
  <c r="AD50" i="7"/>
  <c r="J50" i="7" s="1"/>
  <c r="AD47" i="7"/>
  <c r="J47" i="7" s="1"/>
  <c r="AD44" i="7"/>
  <c r="J44" i="7" s="1"/>
  <c r="AD35" i="7"/>
  <c r="J35" i="7" s="1"/>
  <c r="AD26" i="7"/>
  <c r="J26" i="7" s="1"/>
  <c r="AC101" i="7"/>
  <c r="I101" i="7" s="1"/>
  <c r="AC98" i="7"/>
  <c r="I98" i="7" s="1"/>
  <c r="AC95" i="7"/>
  <c r="I95" i="7" s="1"/>
  <c r="AC92" i="7"/>
  <c r="I92" i="7" s="1"/>
  <c r="AC89" i="7"/>
  <c r="I89" i="7" s="1"/>
  <c r="AC86" i="7"/>
  <c r="I86" i="7" s="1"/>
  <c r="AC83" i="7"/>
  <c r="I83" i="7" s="1"/>
  <c r="AC80" i="7"/>
  <c r="I80" i="7" s="1"/>
  <c r="AC77" i="7"/>
  <c r="I77" i="7" s="1"/>
  <c r="AC74" i="7"/>
  <c r="I74" i="7" s="1"/>
  <c r="AC71" i="7"/>
  <c r="I71" i="7" s="1"/>
  <c r="AC68" i="7"/>
  <c r="I68" i="7" s="1"/>
  <c r="AC65" i="7"/>
  <c r="I65" i="7" s="1"/>
  <c r="AC62" i="7"/>
  <c r="I62" i="7" s="1"/>
  <c r="AC50" i="7"/>
  <c r="I50" i="7" s="1"/>
  <c r="AC47" i="7"/>
  <c r="I47" i="7" s="1"/>
  <c r="AC44" i="7"/>
  <c r="I44" i="7" s="1"/>
  <c r="AC35" i="7"/>
  <c r="I35" i="7" s="1"/>
  <c r="AC32" i="7"/>
  <c r="I32" i="7" s="1"/>
  <c r="AC26" i="7"/>
  <c r="I26" i="7" s="1"/>
  <c r="AB101" i="7"/>
  <c r="H101" i="7" s="1"/>
  <c r="AB98" i="7"/>
  <c r="H98" i="7" s="1"/>
  <c r="AB95" i="7"/>
  <c r="H95" i="7" s="1"/>
  <c r="AB92" i="7"/>
  <c r="H92" i="7" s="1"/>
  <c r="AB89" i="7"/>
  <c r="H89" i="7" s="1"/>
  <c r="AB86" i="7"/>
  <c r="H86" i="7" s="1"/>
  <c r="AB83" i="7"/>
  <c r="H83" i="7" s="1"/>
  <c r="AB80" i="7"/>
  <c r="H80" i="7" s="1"/>
  <c r="AB77" i="7"/>
  <c r="H77" i="7" s="1"/>
  <c r="AB74" i="7"/>
  <c r="H74" i="7" s="1"/>
  <c r="AB71" i="7"/>
  <c r="H71" i="7" s="1"/>
  <c r="AB68" i="7"/>
  <c r="H68" i="7" s="1"/>
  <c r="AB65" i="7"/>
  <c r="H65" i="7" s="1"/>
  <c r="AB62" i="7"/>
  <c r="H62" i="7" s="1"/>
  <c r="AB59" i="7"/>
  <c r="H59" i="7" s="1"/>
  <c r="AB50" i="7"/>
  <c r="H50" i="7" s="1"/>
  <c r="AB47" i="7"/>
  <c r="H47" i="7" s="1"/>
  <c r="AB44" i="7"/>
  <c r="H44" i="7" s="1"/>
  <c r="AB35" i="7"/>
  <c r="H35" i="7" s="1"/>
  <c r="AB26" i="7"/>
  <c r="H26" i="7" s="1"/>
  <c r="AA101" i="7"/>
  <c r="G101" i="7" s="1"/>
  <c r="AA98" i="7"/>
  <c r="G98" i="7" s="1"/>
  <c r="AA95" i="7"/>
  <c r="G95" i="7" s="1"/>
  <c r="AA92" i="7"/>
  <c r="G92" i="7" s="1"/>
  <c r="AA89" i="7"/>
  <c r="G89" i="7" s="1"/>
  <c r="AA86" i="7"/>
  <c r="G86" i="7" s="1"/>
  <c r="AA83" i="7"/>
  <c r="G83" i="7" s="1"/>
  <c r="AA80" i="7"/>
  <c r="G80" i="7" s="1"/>
  <c r="AA77" i="7"/>
  <c r="G77" i="7" s="1"/>
  <c r="AA74" i="7"/>
  <c r="G74" i="7" s="1"/>
  <c r="AA71" i="7"/>
  <c r="G71" i="7" s="1"/>
  <c r="AA68" i="7"/>
  <c r="G68" i="7" s="1"/>
  <c r="AA65" i="7"/>
  <c r="G65" i="7" s="1"/>
  <c r="AA62" i="7"/>
  <c r="G62" i="7" s="1"/>
  <c r="AA50" i="7"/>
  <c r="G50" i="7" s="1"/>
  <c r="AA47" i="7"/>
  <c r="G47" i="7" s="1"/>
  <c r="AA44" i="7"/>
  <c r="G44" i="7" s="1"/>
  <c r="AA35" i="7"/>
  <c r="G35" i="7" s="1"/>
  <c r="AA26" i="7"/>
  <c r="G26" i="7" s="1"/>
  <c r="Z101" i="7"/>
  <c r="F101" i="7" s="1"/>
  <c r="Z98" i="7"/>
  <c r="F98" i="7" s="1"/>
  <c r="Z95" i="7"/>
  <c r="F95" i="7" s="1"/>
  <c r="Z92" i="7"/>
  <c r="F92" i="7" s="1"/>
  <c r="Z89" i="7"/>
  <c r="F89" i="7" s="1"/>
  <c r="Z86" i="7"/>
  <c r="F86" i="7" s="1"/>
  <c r="Z83" i="7"/>
  <c r="F83" i="7" s="1"/>
  <c r="Z80" i="7"/>
  <c r="F80" i="7" s="1"/>
  <c r="Z77" i="7"/>
  <c r="F77" i="7" s="1"/>
  <c r="Z74" i="7"/>
  <c r="F74" i="7" s="1"/>
  <c r="Z71" i="7"/>
  <c r="F71" i="7" s="1"/>
  <c r="Z68" i="7"/>
  <c r="F68" i="7" s="1"/>
  <c r="Z65" i="7"/>
  <c r="F65" i="7" s="1"/>
  <c r="Z62" i="7"/>
  <c r="F62" i="7" s="1"/>
  <c r="Z50" i="7"/>
  <c r="F50" i="7" s="1"/>
  <c r="Z47" i="7"/>
  <c r="F47" i="7" s="1"/>
  <c r="Z44" i="7"/>
  <c r="F44" i="7" s="1"/>
  <c r="Z35" i="7"/>
  <c r="F35" i="7" s="1"/>
  <c r="Z32" i="7"/>
  <c r="F32" i="7" s="1"/>
  <c r="Z26" i="7"/>
  <c r="F26" i="7" s="1"/>
  <c r="W23" i="5"/>
  <c r="W22" i="5"/>
  <c r="W21" i="5"/>
  <c r="W20" i="5"/>
  <c r="W19" i="5"/>
  <c r="W18" i="5"/>
  <c r="W17" i="5"/>
  <c r="W16" i="5"/>
  <c r="W15" i="5"/>
  <c r="W14" i="5"/>
  <c r="W13" i="5"/>
  <c r="W12" i="5"/>
  <c r="W11" i="5"/>
  <c r="W10" i="5"/>
  <c r="W9" i="5"/>
  <c r="D13" i="17"/>
  <c r="A101" i="7"/>
  <c r="AM71" i="7" s="1"/>
  <c r="A98" i="7"/>
  <c r="A95" i="7"/>
  <c r="A92" i="7"/>
  <c r="A89" i="7"/>
  <c r="A86" i="7"/>
  <c r="A83" i="7"/>
  <c r="A80" i="7"/>
  <c r="A77" i="7"/>
  <c r="A74" i="7"/>
  <c r="A71" i="7"/>
  <c r="A68" i="7"/>
  <c r="A65" i="7"/>
  <c r="A62" i="7"/>
  <c r="A59" i="7"/>
  <c r="A56" i="7"/>
  <c r="AL50" i="7"/>
  <c r="AL47" i="7"/>
  <c r="AL44" i="7"/>
  <c r="AL41" i="7"/>
  <c r="AL38" i="7"/>
  <c r="AL35" i="7"/>
  <c r="AL32" i="7"/>
  <c r="AL29" i="7"/>
  <c r="A50" i="7"/>
  <c r="A47" i="7"/>
  <c r="A44" i="7"/>
  <c r="A41" i="7"/>
  <c r="A38" i="7"/>
  <c r="A35" i="7"/>
  <c r="A32" i="7"/>
  <c r="A29" i="7"/>
  <c r="A26" i="7"/>
  <c r="A23" i="7"/>
  <c r="A20" i="7"/>
  <c r="A17" i="7"/>
  <c r="A14" i="7"/>
  <c r="A11" i="7"/>
  <c r="A8" i="7"/>
  <c r="A5" i="7"/>
  <c r="R6" i="7" s="1"/>
  <c r="Q107" i="7"/>
  <c r="P107" i="7"/>
  <c r="O107" i="7"/>
  <c r="N107" i="7"/>
  <c r="M107" i="7"/>
  <c r="L107" i="7"/>
  <c r="K107" i="7"/>
  <c r="J107" i="7"/>
  <c r="I107" i="7"/>
  <c r="H107" i="7"/>
  <c r="G107" i="7"/>
  <c r="F107" i="7"/>
  <c r="AL92" i="7"/>
  <c r="AL89" i="7"/>
  <c r="AL80" i="7"/>
  <c r="AL74" i="7"/>
  <c r="AL71" i="7"/>
  <c r="AL65" i="7"/>
  <c r="AL56" i="7"/>
  <c r="AL86" i="7"/>
  <c r="AL95" i="7"/>
  <c r="AL101" i="7"/>
  <c r="AL59" i="7"/>
  <c r="AL62" i="7"/>
  <c r="AL68" i="7"/>
  <c r="AL77" i="7"/>
  <c r="AL83" i="7"/>
  <c r="AL98" i="7"/>
  <c r="H37" i="2"/>
  <c r="H55" i="2" s="1"/>
  <c r="G37" i="2"/>
  <c r="G55" i="2" s="1"/>
  <c r="F37" i="2"/>
  <c r="F55" i="2" s="1"/>
  <c r="E37" i="2"/>
  <c r="E55" i="2" s="1"/>
  <c r="D37" i="2"/>
  <c r="D55" i="2" s="1"/>
  <c r="C37" i="2"/>
  <c r="C55" i="2" s="1"/>
  <c r="AB20" i="7"/>
  <c r="H20" i="7" s="1"/>
  <c r="AL14" i="7"/>
  <c r="AL11" i="7"/>
  <c r="AL8" i="7"/>
  <c r="AF14" i="7"/>
  <c r="L14" i="7" s="1"/>
  <c r="AL20" i="7"/>
  <c r="AL26" i="7"/>
  <c r="AL23" i="7"/>
  <c r="AJ8" i="7"/>
  <c r="P8" i="7" s="1"/>
  <c r="AG20" i="7"/>
  <c r="M20" i="7" s="1"/>
  <c r="X6" i="8"/>
  <c r="H6" i="6"/>
  <c r="A50" i="9"/>
  <c r="A47" i="9"/>
  <c r="A44" i="9"/>
  <c r="A41" i="9"/>
  <c r="J18" i="6"/>
  <c r="J17" i="6"/>
  <c r="J16" i="6"/>
  <c r="J15" i="6"/>
  <c r="J14" i="6"/>
  <c r="J13" i="6"/>
  <c r="J12" i="6"/>
  <c r="J11" i="6"/>
  <c r="J10" i="6"/>
  <c r="J9" i="6"/>
  <c r="C4" i="6"/>
  <c r="AD23" i="5"/>
  <c r="J23" i="5" s="1"/>
  <c r="AD22" i="5"/>
  <c r="J22" i="5" s="1"/>
  <c r="AD21" i="5"/>
  <c r="J21" i="5" s="1"/>
  <c r="AD20" i="5"/>
  <c r="J20" i="5" s="1"/>
  <c r="AD19" i="5"/>
  <c r="J19" i="5" s="1"/>
  <c r="AD18" i="5"/>
  <c r="J18" i="5" s="1"/>
  <c r="AD17" i="5"/>
  <c r="J17" i="5" s="1"/>
  <c r="AD16" i="5"/>
  <c r="AD15" i="5"/>
  <c r="AD14" i="5"/>
  <c r="AD13" i="5"/>
  <c r="AD12" i="5"/>
  <c r="AD11" i="5"/>
  <c r="AD10" i="5"/>
  <c r="AD9" i="5"/>
  <c r="AD8" i="5"/>
  <c r="AD7" i="5"/>
  <c r="E16" i="11"/>
  <c r="A29" i="9"/>
  <c r="C1" i="17"/>
  <c r="C25" i="16"/>
  <c r="F25" i="16"/>
  <c r="C26" i="16"/>
  <c r="F26" i="16"/>
  <c r="C27" i="16"/>
  <c r="F27" i="16"/>
  <c r="C28" i="16"/>
  <c r="F28" i="16"/>
  <c r="C29" i="16"/>
  <c r="F29" i="16"/>
  <c r="C30" i="16"/>
  <c r="F30" i="16"/>
  <c r="C31" i="16"/>
  <c r="F31" i="16"/>
  <c r="C32" i="16"/>
  <c r="F32" i="16"/>
  <c r="C33" i="16"/>
  <c r="F33" i="16"/>
  <c r="B34" i="16"/>
  <c r="B38" i="16" s="1"/>
  <c r="E34" i="16"/>
  <c r="F34" i="16" s="1"/>
  <c r="C36" i="16"/>
  <c r="F36" i="16"/>
  <c r="J1" i="13"/>
  <c r="X10" i="12"/>
  <c r="D1" i="11"/>
  <c r="A8" i="9"/>
  <c r="A11" i="9"/>
  <c r="A14" i="9"/>
  <c r="A17" i="9"/>
  <c r="A20" i="9"/>
  <c r="A23" i="9"/>
  <c r="A26" i="9"/>
  <c r="A32" i="9"/>
  <c r="A35" i="9"/>
  <c r="A38" i="9"/>
  <c r="A5" i="8"/>
  <c r="C34" i="2"/>
  <c r="C52" i="2" s="1"/>
  <c r="R10" i="21"/>
  <c r="L53" i="22" l="1"/>
  <c r="L99" i="22"/>
  <c r="L101" i="22" s="1"/>
  <c r="F4" i="7"/>
  <c r="L6" i="16"/>
  <c r="EJ10" i="47"/>
  <c r="EK10" i="47"/>
  <c r="EC10" i="47"/>
  <c r="EI10" i="47"/>
  <c r="EH10" i="47"/>
  <c r="EF10" i="47"/>
  <c r="ED10" i="47"/>
  <c r="B19" i="16"/>
  <c r="D64" i="16" s="1"/>
  <c r="B64" i="16" s="1"/>
  <c r="AC3" i="59"/>
  <c r="J4" i="59" s="1"/>
  <c r="J14" i="5"/>
  <c r="AF14" i="5"/>
  <c r="AI14" i="5" s="1"/>
  <c r="AJ14" i="5" s="1"/>
  <c r="J15" i="5"/>
  <c r="AF15" i="5"/>
  <c r="AI15" i="5" s="1"/>
  <c r="AJ15" i="5" s="1"/>
  <c r="J16" i="5"/>
  <c r="AF16" i="5"/>
  <c r="AI16" i="5" s="1"/>
  <c r="AJ16" i="5" s="1"/>
  <c r="L19" i="2"/>
  <c r="J13" i="5"/>
  <c r="AF13" i="5"/>
  <c r="AI13" i="5" s="1"/>
  <c r="AJ13" i="5" s="1"/>
  <c r="W23" i="8"/>
  <c r="V24" i="8"/>
  <c r="W24" i="8" s="1"/>
  <c r="V21" i="8"/>
  <c r="W21" i="8" s="1"/>
  <c r="W20" i="8"/>
  <c r="AF9" i="5"/>
  <c r="J9" i="5"/>
  <c r="AC194" i="59"/>
  <c r="J195" i="59" s="1"/>
  <c r="AF10" i="5"/>
  <c r="J10" i="5"/>
  <c r="AC152" i="59"/>
  <c r="AF11" i="5"/>
  <c r="J11" i="5"/>
  <c r="AF12" i="5"/>
  <c r="J12" i="5"/>
  <c r="AF7" i="5"/>
  <c r="J7" i="5"/>
  <c r="AF8" i="5"/>
  <c r="J8" i="5"/>
  <c r="AC131" i="59"/>
  <c r="T48" i="9"/>
  <c r="U48" i="9" s="1"/>
  <c r="T49" i="9"/>
  <c r="R49" i="9"/>
  <c r="U49" i="9"/>
  <c r="R48" i="9"/>
  <c r="R47" i="9"/>
  <c r="X47" i="9" s="1"/>
  <c r="X48" i="9" s="1"/>
  <c r="T51" i="9"/>
  <c r="U51" i="9" s="1"/>
  <c r="T52" i="9"/>
  <c r="U52" i="9" s="1"/>
  <c r="R51" i="9"/>
  <c r="R52" i="9"/>
  <c r="R50" i="9"/>
  <c r="X50" i="9" s="1"/>
  <c r="X51" i="9" s="1"/>
  <c r="T58" i="7"/>
  <c r="U58" i="7" s="1"/>
  <c r="R57" i="7"/>
  <c r="S57" i="7" s="1"/>
  <c r="R58" i="7"/>
  <c r="T57" i="7"/>
  <c r="U57" i="7" s="1"/>
  <c r="T82" i="7"/>
  <c r="U82" i="7" s="1"/>
  <c r="R81" i="7"/>
  <c r="S81" i="7" s="1"/>
  <c r="R82" i="7"/>
  <c r="T81" i="7"/>
  <c r="U81" i="7" s="1"/>
  <c r="R80" i="7"/>
  <c r="X80" i="7" s="1"/>
  <c r="T61" i="7"/>
  <c r="U61" i="7" s="1"/>
  <c r="R60" i="7"/>
  <c r="S60" i="7" s="1"/>
  <c r="R61" i="7"/>
  <c r="T60" i="7"/>
  <c r="U60" i="7" s="1"/>
  <c r="T85" i="7"/>
  <c r="U85" i="7" s="1"/>
  <c r="R84" i="7"/>
  <c r="S84" i="7" s="1"/>
  <c r="R85" i="7"/>
  <c r="S85" i="7" s="1"/>
  <c r="T84" i="7"/>
  <c r="U84" i="7" s="1"/>
  <c r="R83" i="7"/>
  <c r="X83" i="7" s="1"/>
  <c r="AO65" i="7" s="1"/>
  <c r="T79" i="7"/>
  <c r="U79" i="7" s="1"/>
  <c r="R78" i="7"/>
  <c r="S78" i="7" s="1"/>
  <c r="R79" i="7"/>
  <c r="S79" i="7" s="1"/>
  <c r="T78" i="7"/>
  <c r="U78" i="7" s="1"/>
  <c r="R77" i="7"/>
  <c r="T77" i="7" s="1"/>
  <c r="T64" i="7"/>
  <c r="U64" i="7" s="1"/>
  <c r="R63" i="7"/>
  <c r="S63" i="7" s="1"/>
  <c r="R64" i="7"/>
  <c r="T63" i="7"/>
  <c r="U63" i="7" s="1"/>
  <c r="T88" i="7"/>
  <c r="U88" i="7" s="1"/>
  <c r="R87" i="7"/>
  <c r="S87" i="7" s="1"/>
  <c r="R88" i="7"/>
  <c r="S88" i="7" s="1"/>
  <c r="T87" i="7"/>
  <c r="U87" i="7" s="1"/>
  <c r="R86" i="7"/>
  <c r="T67" i="7"/>
  <c r="U67" i="7" s="1"/>
  <c r="R66" i="7"/>
  <c r="S66" i="7" s="1"/>
  <c r="R67" i="7"/>
  <c r="S67" i="7" s="1"/>
  <c r="T66" i="7"/>
  <c r="U66" i="7" s="1"/>
  <c r="R65" i="7"/>
  <c r="X65" i="7" s="1"/>
  <c r="T91" i="7"/>
  <c r="U91" i="7" s="1"/>
  <c r="R90" i="7"/>
  <c r="S90" i="7" s="1"/>
  <c r="R91" i="7"/>
  <c r="T90" i="7"/>
  <c r="U90" i="7" s="1"/>
  <c r="R89" i="7"/>
  <c r="X89" i="7" s="1"/>
  <c r="AO67" i="7" s="1"/>
  <c r="T52" i="7"/>
  <c r="U52" i="7" s="1"/>
  <c r="R51" i="7"/>
  <c r="S51" i="7" s="1"/>
  <c r="R52" i="7"/>
  <c r="T51" i="7"/>
  <c r="U51" i="7" s="1"/>
  <c r="T70" i="7"/>
  <c r="U70" i="7" s="1"/>
  <c r="R69" i="7"/>
  <c r="S69" i="7" s="1"/>
  <c r="R70" i="7"/>
  <c r="S70" i="7" s="1"/>
  <c r="T69" i="7"/>
  <c r="U69" i="7" s="1"/>
  <c r="R68" i="7"/>
  <c r="T94" i="7"/>
  <c r="U94" i="7" s="1"/>
  <c r="R93" i="7"/>
  <c r="T92" i="7" s="1"/>
  <c r="R94" i="7"/>
  <c r="S94" i="7" s="1"/>
  <c r="T93" i="7"/>
  <c r="U93" i="7" s="1"/>
  <c r="R92" i="7"/>
  <c r="T73" i="7"/>
  <c r="U73" i="7" s="1"/>
  <c r="R72" i="7"/>
  <c r="S72" i="7" s="1"/>
  <c r="R73" i="7"/>
  <c r="S73" i="7" s="1"/>
  <c r="T72" i="7"/>
  <c r="U72" i="7" s="1"/>
  <c r="R71" i="7"/>
  <c r="U97" i="7"/>
  <c r="T97" i="7"/>
  <c r="R96" i="7"/>
  <c r="S96" i="7" s="1"/>
  <c r="R97" i="7"/>
  <c r="T95" i="7" s="1"/>
  <c r="T96" i="7"/>
  <c r="U96" i="7" s="1"/>
  <c r="R95" i="7"/>
  <c r="T103" i="7"/>
  <c r="U103" i="7" s="1"/>
  <c r="R102" i="7"/>
  <c r="S102" i="7" s="1"/>
  <c r="R103" i="7"/>
  <c r="T102" i="7"/>
  <c r="U102" i="7" s="1"/>
  <c r="R101" i="7"/>
  <c r="X101" i="7" s="1"/>
  <c r="T49" i="7"/>
  <c r="U49" i="7" s="1"/>
  <c r="R48" i="7"/>
  <c r="S48" i="7" s="1"/>
  <c r="R49" i="7"/>
  <c r="S49" i="7" s="1"/>
  <c r="T48" i="7"/>
  <c r="U48" i="7" s="1"/>
  <c r="T76" i="7"/>
  <c r="U76" i="7" s="1"/>
  <c r="R75" i="7"/>
  <c r="S75" i="7" s="1"/>
  <c r="R76" i="7"/>
  <c r="S76" i="7" s="1"/>
  <c r="T75" i="7"/>
  <c r="U75" i="7" s="1"/>
  <c r="R74" i="7"/>
  <c r="T100" i="7"/>
  <c r="U100" i="7" s="1"/>
  <c r="R99" i="7"/>
  <c r="S99" i="7" s="1"/>
  <c r="S100" i="7"/>
  <c r="R100" i="7"/>
  <c r="U99" i="7"/>
  <c r="T99" i="7"/>
  <c r="R98" i="7"/>
  <c r="T98" i="7" s="1"/>
  <c r="R30" i="9"/>
  <c r="T31" i="9"/>
  <c r="U31" i="9" s="1"/>
  <c r="R31" i="9"/>
  <c r="S31" i="9" s="1"/>
  <c r="T30" i="9"/>
  <c r="U30" i="9" s="1"/>
  <c r="R29" i="9"/>
  <c r="T18" i="9"/>
  <c r="U18" i="9" s="1"/>
  <c r="R18" i="9"/>
  <c r="T19" i="9"/>
  <c r="U19" i="9" s="1"/>
  <c r="R19" i="9"/>
  <c r="S19" i="9" s="1"/>
  <c r="R17" i="9"/>
  <c r="T16" i="9"/>
  <c r="U16" i="9" s="1"/>
  <c r="T15" i="9"/>
  <c r="U15" i="9" s="1"/>
  <c r="R16" i="9"/>
  <c r="S16" i="9" s="1"/>
  <c r="R15" i="9"/>
  <c r="S15" i="9" s="1"/>
  <c r="R42" i="9"/>
  <c r="R43" i="9"/>
  <c r="T43" i="9"/>
  <c r="U43" i="9" s="1"/>
  <c r="T42" i="9"/>
  <c r="U42" i="9" s="1"/>
  <c r="S43" i="9"/>
  <c r="R41" i="9"/>
  <c r="T13" i="9"/>
  <c r="U13" i="9" s="1"/>
  <c r="R13" i="9"/>
  <c r="S13" i="9" s="1"/>
  <c r="T12" i="9"/>
  <c r="U12" i="9" s="1"/>
  <c r="R12" i="9"/>
  <c r="R11" i="9"/>
  <c r="R36" i="9"/>
  <c r="R37" i="9"/>
  <c r="S37" i="9" s="1"/>
  <c r="T36" i="9"/>
  <c r="U36" i="9" s="1"/>
  <c r="T37" i="9"/>
  <c r="U37" i="9" s="1"/>
  <c r="R35" i="9"/>
  <c r="R34" i="9"/>
  <c r="S34" i="9" s="1"/>
  <c r="T33" i="9"/>
  <c r="U33" i="9" s="1"/>
  <c r="R33" i="9"/>
  <c r="T34" i="9"/>
  <c r="U34" i="9" s="1"/>
  <c r="R32" i="9"/>
  <c r="T45" i="9"/>
  <c r="U45" i="9" s="1"/>
  <c r="R45" i="9"/>
  <c r="T46" i="9"/>
  <c r="U46" i="9" s="1"/>
  <c r="R46" i="9"/>
  <c r="S46" i="9" s="1"/>
  <c r="R44" i="9"/>
  <c r="T28" i="9"/>
  <c r="U28" i="9" s="1"/>
  <c r="T27" i="9"/>
  <c r="U27" i="9" s="1"/>
  <c r="R28" i="9"/>
  <c r="S28" i="9" s="1"/>
  <c r="R27" i="9"/>
  <c r="R26" i="9"/>
  <c r="T40" i="9"/>
  <c r="U40" i="9" s="1"/>
  <c r="R40" i="9"/>
  <c r="S40" i="9" s="1"/>
  <c r="T39" i="9"/>
  <c r="U39" i="9" s="1"/>
  <c r="R39" i="9"/>
  <c r="R38" i="9"/>
  <c r="T25" i="9"/>
  <c r="U25" i="9" s="1"/>
  <c r="S25" i="9"/>
  <c r="R25" i="9"/>
  <c r="T24" i="9"/>
  <c r="U24" i="9" s="1"/>
  <c r="R24" i="9"/>
  <c r="S24" i="9" s="1"/>
  <c r="T9" i="9"/>
  <c r="U9" i="9" s="1"/>
  <c r="R10" i="9"/>
  <c r="S10" i="9" s="1"/>
  <c r="R9" i="9"/>
  <c r="S9" i="9" s="1"/>
  <c r="T10" i="9"/>
  <c r="U10" i="9" s="1"/>
  <c r="R22" i="9"/>
  <c r="S22" i="9" s="1"/>
  <c r="T21" i="9"/>
  <c r="U21" i="9" s="1"/>
  <c r="R21" i="9"/>
  <c r="T22" i="9"/>
  <c r="U22" i="9" s="1"/>
  <c r="R20" i="9"/>
  <c r="R7" i="8"/>
  <c r="T7" i="8"/>
  <c r="T6" i="8"/>
  <c r="R6" i="8"/>
  <c r="T30" i="7"/>
  <c r="U30" i="7" s="1"/>
  <c r="T31" i="7"/>
  <c r="U31" i="7" s="1"/>
  <c r="R31" i="7"/>
  <c r="S31" i="7" s="1"/>
  <c r="R30" i="7"/>
  <c r="S30" i="7" s="1"/>
  <c r="T10" i="7"/>
  <c r="T9" i="7"/>
  <c r="R10" i="7"/>
  <c r="S10" i="7" s="1"/>
  <c r="R9" i="7"/>
  <c r="S9" i="7" s="1"/>
  <c r="R34" i="7"/>
  <c r="S34" i="7" s="1"/>
  <c r="T33" i="7"/>
  <c r="U33" i="7" s="1"/>
  <c r="R33" i="7"/>
  <c r="S33" i="7" s="1"/>
  <c r="T34" i="7"/>
  <c r="U34" i="7" s="1"/>
  <c r="T12" i="7"/>
  <c r="U12" i="7" s="1"/>
  <c r="T13" i="7"/>
  <c r="U13" i="7" s="1"/>
  <c r="R12" i="7"/>
  <c r="S12" i="7" s="1"/>
  <c r="R13" i="7"/>
  <c r="S13" i="7" s="1"/>
  <c r="T37" i="7"/>
  <c r="U37" i="7" s="1"/>
  <c r="R37" i="7"/>
  <c r="S37" i="7" s="1"/>
  <c r="T36" i="7"/>
  <c r="U36" i="7" s="1"/>
  <c r="R36" i="7"/>
  <c r="S36" i="7" s="1"/>
  <c r="R16" i="7"/>
  <c r="S16" i="7" s="1"/>
  <c r="R15" i="7"/>
  <c r="S15" i="7" s="1"/>
  <c r="T16" i="7"/>
  <c r="U16" i="7" s="1"/>
  <c r="T15" i="7"/>
  <c r="U15" i="7" s="1"/>
  <c r="T40" i="7"/>
  <c r="U40" i="7" s="1"/>
  <c r="R40" i="7"/>
  <c r="S40" i="7" s="1"/>
  <c r="T39" i="7"/>
  <c r="U39" i="7" s="1"/>
  <c r="R39" i="7"/>
  <c r="S39" i="7" s="1"/>
  <c r="R19" i="7"/>
  <c r="S19" i="7" s="1"/>
  <c r="R18" i="7"/>
  <c r="S18" i="7" s="1"/>
  <c r="R43" i="7"/>
  <c r="S43" i="7" s="1"/>
  <c r="R42" i="7"/>
  <c r="S42" i="7" s="1"/>
  <c r="T43" i="7"/>
  <c r="U43" i="7" s="1"/>
  <c r="T42" i="7"/>
  <c r="U42" i="7" s="1"/>
  <c r="T21" i="7"/>
  <c r="U21" i="7" s="1"/>
  <c r="R21" i="7"/>
  <c r="S21" i="7" s="1"/>
  <c r="T22" i="7"/>
  <c r="U22" i="7" s="1"/>
  <c r="R22" i="7"/>
  <c r="S22" i="7" s="1"/>
  <c r="T46" i="7"/>
  <c r="U46" i="7" s="1"/>
  <c r="T45" i="7"/>
  <c r="U45" i="7" s="1"/>
  <c r="R46" i="7"/>
  <c r="S46" i="7" s="1"/>
  <c r="R45" i="7"/>
  <c r="S45" i="7" s="1"/>
  <c r="T28" i="7"/>
  <c r="U28" i="7" s="1"/>
  <c r="R28" i="7"/>
  <c r="S28" i="7" s="1"/>
  <c r="R27" i="7"/>
  <c r="S27" i="7" s="1"/>
  <c r="T27" i="7"/>
  <c r="U27" i="7" s="1"/>
  <c r="T25" i="7"/>
  <c r="U25" i="7" s="1"/>
  <c r="T24" i="7"/>
  <c r="U24" i="7" s="1"/>
  <c r="R24" i="7"/>
  <c r="S24" i="7" s="1"/>
  <c r="R25" i="7"/>
  <c r="S25" i="7" s="1"/>
  <c r="AF35" i="7"/>
  <c r="L35" i="7" s="1"/>
  <c r="AH35" i="7"/>
  <c r="AI35" i="7"/>
  <c r="O35" i="7" s="1"/>
  <c r="R7" i="7"/>
  <c r="D15" i="7"/>
  <c r="D18" i="9"/>
  <c r="D15" i="9"/>
  <c r="F38" i="16"/>
  <c r="D42" i="9"/>
  <c r="D45" i="9"/>
  <c r="D39" i="9"/>
  <c r="D36" i="9"/>
  <c r="D9" i="9"/>
  <c r="D48" i="9"/>
  <c r="D21" i="9"/>
  <c r="D12" i="9"/>
  <c r="D33" i="9"/>
  <c r="D6" i="9"/>
  <c r="D51" i="9"/>
  <c r="D27" i="9"/>
  <c r="D30" i="9"/>
  <c r="D24" i="9"/>
  <c r="AM58" i="7"/>
  <c r="AM63" i="7"/>
  <c r="X92" i="7"/>
  <c r="AO68" i="7" s="1"/>
  <c r="AM5" i="7"/>
  <c r="AB32" i="7"/>
  <c r="H32" i="7" s="1"/>
  <c r="AD32" i="7"/>
  <c r="J32" i="7" s="1"/>
  <c r="AA32" i="7"/>
  <c r="G32" i="7" s="1"/>
  <c r="AK62" i="7"/>
  <c r="Q62" i="7" s="1"/>
  <c r="AG62" i="7"/>
  <c r="M62" i="7" s="1"/>
  <c r="AH62" i="7"/>
  <c r="AJ59" i="7"/>
  <c r="P59" i="7" s="1"/>
  <c r="P106" i="7" s="1"/>
  <c r="P108" i="7" s="1"/>
  <c r="P109" i="7" s="1"/>
  <c r="AE59" i="7"/>
  <c r="K59" i="7" s="1"/>
  <c r="AC59" i="7"/>
  <c r="I59" i="7" s="1"/>
  <c r="Z59" i="7"/>
  <c r="F59" i="7" s="1"/>
  <c r="AF59" i="7"/>
  <c r="L59" i="7" s="1"/>
  <c r="AH59" i="7"/>
  <c r="AK59" i="7"/>
  <c r="Q59" i="7" s="1"/>
  <c r="AD59" i="7"/>
  <c r="J59" i="7" s="1"/>
  <c r="AA59" i="7"/>
  <c r="G59" i="7" s="1"/>
  <c r="AI59" i="7"/>
  <c r="O59" i="7" s="1"/>
  <c r="AB56" i="7"/>
  <c r="H56" i="7" s="1"/>
  <c r="H106" i="7" s="1"/>
  <c r="H108" i="7" s="1"/>
  <c r="H109" i="7" s="1"/>
  <c r="H110" i="7" s="1"/>
  <c r="AE56" i="7"/>
  <c r="K56" i="7" s="1"/>
  <c r="AG56" i="7"/>
  <c r="M56" i="7" s="1"/>
  <c r="AK56" i="7"/>
  <c r="Q56" i="7" s="1"/>
  <c r="AA56" i="7"/>
  <c r="G56" i="7" s="1"/>
  <c r="AI56" i="7"/>
  <c r="O56" i="7" s="1"/>
  <c r="Z56" i="7"/>
  <c r="F56" i="7" s="1"/>
  <c r="AD56" i="7"/>
  <c r="J56" i="7" s="1"/>
  <c r="AF56" i="7"/>
  <c r="L56" i="7" s="1"/>
  <c r="AH56" i="7"/>
  <c r="AC56" i="7"/>
  <c r="I56" i="7" s="1"/>
  <c r="AK38" i="7"/>
  <c r="Q38" i="7" s="1"/>
  <c r="AC38" i="7"/>
  <c r="I38" i="7" s="1"/>
  <c r="AA38" i="7"/>
  <c r="G38" i="7" s="1"/>
  <c r="Z38" i="7"/>
  <c r="F38" i="7" s="1"/>
  <c r="AE38" i="7"/>
  <c r="K38" i="7" s="1"/>
  <c r="AB38" i="7"/>
  <c r="H38" i="7" s="1"/>
  <c r="AK26" i="7"/>
  <c r="Q26" i="7" s="1"/>
  <c r="Z23" i="7"/>
  <c r="F23" i="7" s="1"/>
  <c r="AA23" i="7"/>
  <c r="G23" i="7" s="1"/>
  <c r="AB23" i="7"/>
  <c r="H23" i="7" s="1"/>
  <c r="AC23" i="7"/>
  <c r="I23" i="7" s="1"/>
  <c r="AD23" i="7"/>
  <c r="J23" i="7" s="1"/>
  <c r="AE23" i="7"/>
  <c r="K23" i="7" s="1"/>
  <c r="AC20" i="7"/>
  <c r="I20" i="7" s="1"/>
  <c r="D51" i="7"/>
  <c r="X93" i="7"/>
  <c r="AM67" i="7"/>
  <c r="D42" i="7"/>
  <c r="D45" i="7"/>
  <c r="D48" i="7"/>
  <c r="X98" i="7"/>
  <c r="AO70" i="7" s="1"/>
  <c r="X99" i="7"/>
  <c r="AG23" i="7"/>
  <c r="M23" i="7" s="1"/>
  <c r="AI23" i="7"/>
  <c r="O23" i="7" s="1"/>
  <c r="AF23" i="7"/>
  <c r="L23" i="7" s="1"/>
  <c r="AJ20" i="7"/>
  <c r="P20" i="7" s="1"/>
  <c r="D39" i="7"/>
  <c r="D27" i="7"/>
  <c r="D30" i="7"/>
  <c r="D33" i="7"/>
  <c r="D36" i="7"/>
  <c r="X41" i="8"/>
  <c r="X42" i="8" s="1"/>
  <c r="D66" i="7"/>
  <c r="D90" i="7"/>
  <c r="D69" i="7"/>
  <c r="D93" i="7"/>
  <c r="D72" i="7"/>
  <c r="D96" i="7"/>
  <c r="D75" i="7"/>
  <c r="D99" i="7"/>
  <c r="D78" i="7"/>
  <c r="D102" i="7"/>
  <c r="D57" i="7"/>
  <c r="D81" i="7"/>
  <c r="D60" i="7"/>
  <c r="D84" i="7"/>
  <c r="D63" i="7"/>
  <c r="D87" i="7"/>
  <c r="D18" i="7"/>
  <c r="AM10" i="7"/>
  <c r="D24" i="7"/>
  <c r="G4" i="6"/>
  <c r="AF4" i="6" s="1"/>
  <c r="AM8" i="7"/>
  <c r="D12" i="7"/>
  <c r="AM6" i="7"/>
  <c r="X38" i="8"/>
  <c r="X39" i="8" s="1"/>
  <c r="X44" i="8"/>
  <c r="X45" i="8" s="1"/>
  <c r="AM70" i="7"/>
  <c r="AM61" i="7"/>
  <c r="AM64" i="7"/>
  <c r="AM68" i="7"/>
  <c r="AM18" i="7"/>
  <c r="AM57" i="7"/>
  <c r="AM16" i="7"/>
  <c r="E38" i="16"/>
  <c r="AF32" i="7"/>
  <c r="L32" i="7" s="1"/>
  <c r="X35" i="8"/>
  <c r="X36" i="8" s="1"/>
  <c r="X95" i="7"/>
  <c r="AO69" i="7" s="1"/>
  <c r="X29" i="8"/>
  <c r="X30" i="8" s="1"/>
  <c r="AM56" i="7"/>
  <c r="AM66" i="7"/>
  <c r="AM20" i="7"/>
  <c r="AM65" i="7"/>
  <c r="AM62" i="7"/>
  <c r="AM60" i="7"/>
  <c r="AM59" i="7"/>
  <c r="AM69" i="7"/>
  <c r="X20" i="8"/>
  <c r="X21" i="8" s="1"/>
  <c r="X23" i="8"/>
  <c r="X24" i="8" s="1"/>
  <c r="X26" i="8"/>
  <c r="X27" i="8" s="1"/>
  <c r="X47" i="8"/>
  <c r="X48" i="8" s="1"/>
  <c r="X32" i="8"/>
  <c r="X33" i="8" s="1"/>
  <c r="X50" i="8"/>
  <c r="X51" i="8" s="1"/>
  <c r="AF26" i="7"/>
  <c r="L26" i="7" s="1"/>
  <c r="AG26" i="7"/>
  <c r="M26" i="7" s="1"/>
  <c r="AM13" i="7"/>
  <c r="AJ23" i="7"/>
  <c r="P23" i="7" s="1"/>
  <c r="AH23" i="7"/>
  <c r="AI26" i="7"/>
  <c r="O26" i="7" s="1"/>
  <c r="AH26" i="7"/>
  <c r="AM11" i="7"/>
  <c r="AM19" i="7"/>
  <c r="AE44" i="7"/>
  <c r="K44" i="7" s="1"/>
  <c r="AF44" i="7"/>
  <c r="L44" i="7" s="1"/>
  <c r="AJ44" i="7"/>
  <c r="P44" i="7" s="1"/>
  <c r="AB29" i="7"/>
  <c r="H29" i="7" s="1"/>
  <c r="AB41" i="7"/>
  <c r="H41" i="7" s="1"/>
  <c r="Z41" i="7"/>
  <c r="F41" i="7" s="1"/>
  <c r="AC41" i="7"/>
  <c r="I41" i="7" s="1"/>
  <c r="AF41" i="7"/>
  <c r="L41" i="7" s="1"/>
  <c r="AG41" i="7"/>
  <c r="M41" i="7" s="1"/>
  <c r="AA41" i="7"/>
  <c r="G41" i="7" s="1"/>
  <c r="Z29" i="7"/>
  <c r="F29" i="7" s="1"/>
  <c r="AF29" i="7"/>
  <c r="L29" i="7" s="1"/>
  <c r="U9" i="8"/>
  <c r="S10" i="8"/>
  <c r="AH41" i="7"/>
  <c r="AI41" i="7"/>
  <c r="O41" i="7" s="1"/>
  <c r="AD29" i="7"/>
  <c r="J29" i="7" s="1"/>
  <c r="AD41" i="7"/>
  <c r="J41" i="7" s="1"/>
  <c r="AE41" i="7"/>
  <c r="K41" i="7" s="1"/>
  <c r="AH29" i="7"/>
  <c r="AJ41" i="7"/>
  <c r="P41" i="7" s="1"/>
  <c r="AJ29" i="7"/>
  <c r="P29" i="7" s="1"/>
  <c r="AM17" i="7"/>
  <c r="AM15" i="7"/>
  <c r="C34" i="16"/>
  <c r="AK32" i="7"/>
  <c r="Q32" i="7" s="1"/>
  <c r="AI32" i="7"/>
  <c r="O32" i="7" s="1"/>
  <c r="AG32" i="7"/>
  <c r="M32" i="7" s="1"/>
  <c r="AJ32" i="7"/>
  <c r="P32" i="7" s="1"/>
  <c r="AH32" i="7"/>
  <c r="AM14" i="7"/>
  <c r="AA29" i="7"/>
  <c r="G29" i="7" s="1"/>
  <c r="AC29" i="7"/>
  <c r="I29" i="7" s="1"/>
  <c r="AE29" i="7"/>
  <c r="K29" i="7" s="1"/>
  <c r="AG29" i="7"/>
  <c r="M29" i="7" s="1"/>
  <c r="AI29" i="7"/>
  <c r="O29" i="7" s="1"/>
  <c r="AF20" i="7"/>
  <c r="L20" i="7" s="1"/>
  <c r="Z20" i="7"/>
  <c r="F20" i="7" s="1"/>
  <c r="AD20" i="7"/>
  <c r="J20" i="7" s="1"/>
  <c r="AK20" i="7"/>
  <c r="Q20" i="7" s="1"/>
  <c r="AA20" i="7"/>
  <c r="G20" i="7" s="1"/>
  <c r="AE20" i="7"/>
  <c r="K20" i="7" s="1"/>
  <c r="J10" i="16"/>
  <c r="F4" i="5"/>
  <c r="AF4" i="5" s="1"/>
  <c r="AM12" i="7"/>
  <c r="AA8" i="7"/>
  <c r="G8" i="7" s="1"/>
  <c r="AK8" i="7"/>
  <c r="Q8" i="7" s="1"/>
  <c r="AI20" i="7"/>
  <c r="O20" i="7" s="1"/>
  <c r="D21" i="7"/>
  <c r="AE14" i="7"/>
  <c r="K14" i="7" s="1"/>
  <c r="AK14" i="7"/>
  <c r="Q14" i="7" s="1"/>
  <c r="AC8" i="7"/>
  <c r="I8" i="7" s="1"/>
  <c r="AG8" i="7"/>
  <c r="M8" i="7" s="1"/>
  <c r="AE8" i="7"/>
  <c r="K8" i="7" s="1"/>
  <c r="C16" i="2"/>
  <c r="B25" i="57" s="1"/>
  <c r="C4" i="5"/>
  <c r="AL4" i="6"/>
  <c r="K9" i="29" s="1"/>
  <c r="D6" i="8"/>
  <c r="AI8" i="7"/>
  <c r="O8" i="7" s="1"/>
  <c r="Z8" i="7"/>
  <c r="F8" i="7" s="1"/>
  <c r="AD8" i="7"/>
  <c r="J8" i="7" s="1"/>
  <c r="AH8" i="7"/>
  <c r="Z14" i="7"/>
  <c r="F14" i="7" s="1"/>
  <c r="AD14" i="7"/>
  <c r="J14" i="7" s="1"/>
  <c r="AH14" i="7"/>
  <c r="AA14" i="7"/>
  <c r="G14" i="7" s="1"/>
  <c r="C1" i="12"/>
  <c r="J1" i="14" s="1"/>
  <c r="AL17" i="7"/>
  <c r="T19" i="7" s="1"/>
  <c r="U19" i="7" s="1"/>
  <c r="AM9" i="7"/>
  <c r="AJ14" i="7"/>
  <c r="P14" i="7" s="1"/>
  <c r="AI14" i="7"/>
  <c r="O14" i="7" s="1"/>
  <c r="AG14" i="7"/>
  <c r="M14" i="7" s="1"/>
  <c r="AB14" i="7"/>
  <c r="H14" i="7" s="1"/>
  <c r="AC14" i="7"/>
  <c r="I14" i="7" s="1"/>
  <c r="AB8" i="7"/>
  <c r="H8" i="7" s="1"/>
  <c r="AF8" i="7"/>
  <c r="L8" i="7" s="1"/>
  <c r="AM7" i="7"/>
  <c r="D9" i="7"/>
  <c r="AL5" i="7"/>
  <c r="T7" i="7" s="1"/>
  <c r="D6" i="7"/>
  <c r="D34" i="2"/>
  <c r="D52" i="2" s="1"/>
  <c r="K6" i="5"/>
  <c r="K6" i="6"/>
  <c r="EL10" i="47" l="1"/>
  <c r="EE10" i="47"/>
  <c r="EM10" i="47"/>
  <c r="EB10" i="47"/>
  <c r="EG10" i="47"/>
  <c r="T101" i="7"/>
  <c r="V101" i="7" s="1"/>
  <c r="J132" i="59"/>
  <c r="AC172" i="59"/>
  <c r="AC193" i="59"/>
  <c r="J153" i="59"/>
  <c r="AC110" i="59"/>
  <c r="J111" i="59" s="1"/>
  <c r="F138" i="7"/>
  <c r="F139" i="7" s="1"/>
  <c r="F4" i="8"/>
  <c r="B69" i="16"/>
  <c r="B71" i="16"/>
  <c r="B67" i="16"/>
  <c r="U101" i="7"/>
  <c r="V92" i="7"/>
  <c r="U92" i="7"/>
  <c r="V98" i="7"/>
  <c r="U98" i="7"/>
  <c r="AO71" i="7"/>
  <c r="X102" i="7"/>
  <c r="V95" i="7"/>
  <c r="U95" i="7"/>
  <c r="S103" i="7"/>
  <c r="S97" i="7"/>
  <c r="S93" i="7"/>
  <c r="X96" i="7"/>
  <c r="O21" i="2"/>
  <c r="L20" i="2"/>
  <c r="L21" i="2" s="1"/>
  <c r="Z4" i="7"/>
  <c r="B10" i="10"/>
  <c r="B3" i="47" s="1"/>
  <c r="B48" i="47" s="1"/>
  <c r="A119" i="22"/>
  <c r="A73" i="22"/>
  <c r="L55" i="22"/>
  <c r="L5" i="22"/>
  <c r="L7" i="22" s="1"/>
  <c r="K6" i="29"/>
  <c r="J9" i="29"/>
  <c r="H4" i="7"/>
  <c r="H138" i="7" s="1"/>
  <c r="AC173" i="59"/>
  <c r="J174" i="59" s="1"/>
  <c r="AL8" i="5"/>
  <c r="AL7" i="5"/>
  <c r="AL10" i="5"/>
  <c r="AI9" i="5"/>
  <c r="AJ9" i="5" s="1"/>
  <c r="AL9" i="5"/>
  <c r="AI12" i="5"/>
  <c r="AJ12" i="5" s="1"/>
  <c r="AL12" i="5"/>
  <c r="AI11" i="5"/>
  <c r="AJ11" i="5" s="1"/>
  <c r="AL11" i="5"/>
  <c r="AC66" i="59"/>
  <c r="AC24" i="59"/>
  <c r="AC88" i="59"/>
  <c r="AC45" i="59"/>
  <c r="B61" i="16"/>
  <c r="B54" i="16"/>
  <c r="C5" i="20" s="1"/>
  <c r="B18" i="16"/>
  <c r="C72" i="22" s="1"/>
  <c r="M19" i="2"/>
  <c r="T71" i="7"/>
  <c r="V71" i="7" s="1"/>
  <c r="T50" i="9"/>
  <c r="V50" i="9" s="1"/>
  <c r="S52" i="9"/>
  <c r="T47" i="9"/>
  <c r="U47" i="9" s="1"/>
  <c r="S49" i="9"/>
  <c r="T44" i="9"/>
  <c r="T32" i="9"/>
  <c r="V32" i="9" s="1"/>
  <c r="W32" i="9" s="1"/>
  <c r="T35" i="9"/>
  <c r="T38" i="9"/>
  <c r="T41" i="9"/>
  <c r="T89" i="7"/>
  <c r="U89" i="7" s="1"/>
  <c r="X90" i="7"/>
  <c r="S91" i="7"/>
  <c r="T68" i="7"/>
  <c r="U68" i="7" s="1"/>
  <c r="T17" i="9"/>
  <c r="V17" i="9" s="1"/>
  <c r="W17" i="9" s="1"/>
  <c r="AI10" i="5"/>
  <c r="AJ10" i="5" s="1"/>
  <c r="AI8" i="5"/>
  <c r="AJ8" i="5" s="1"/>
  <c r="AI7" i="5"/>
  <c r="AJ7" i="5" s="1"/>
  <c r="V25" i="8"/>
  <c r="W25" i="8" s="1"/>
  <c r="T26" i="9"/>
  <c r="T29" i="9"/>
  <c r="T20" i="9"/>
  <c r="V22" i="8"/>
  <c r="W22" i="8" s="1"/>
  <c r="T86" i="7"/>
  <c r="V86" i="7" s="1"/>
  <c r="G106" i="7"/>
  <c r="G108" i="7" s="1"/>
  <c r="G109" i="7" s="1"/>
  <c r="G110" i="7" s="1"/>
  <c r="J106" i="7"/>
  <c r="J108" i="7" s="1"/>
  <c r="J109" i="7" s="1"/>
  <c r="J110" i="7" s="1"/>
  <c r="O106" i="7"/>
  <c r="O108" i="7" s="1"/>
  <c r="O109" i="7" s="1"/>
  <c r="O110" i="7" s="1"/>
  <c r="R38" i="7"/>
  <c r="T38" i="7" s="1"/>
  <c r="U38" i="7" s="1"/>
  <c r="X86" i="7"/>
  <c r="AO66" i="7" s="1"/>
  <c r="I106" i="7"/>
  <c r="I108" i="7" s="1"/>
  <c r="I109" i="7" s="1"/>
  <c r="I110" i="7" s="1"/>
  <c r="T80" i="7"/>
  <c r="U80" i="7" s="1"/>
  <c r="T74" i="7"/>
  <c r="U74" i="7" s="1"/>
  <c r="X17" i="9"/>
  <c r="X18" i="9" s="1"/>
  <c r="T11" i="9"/>
  <c r="T83" i="7"/>
  <c r="X84" i="7"/>
  <c r="AO64" i="7"/>
  <c r="X81" i="7"/>
  <c r="S82" i="7"/>
  <c r="X77" i="7"/>
  <c r="AO63" i="7" s="1"/>
  <c r="V77" i="7"/>
  <c r="U77" i="7"/>
  <c r="X74" i="7"/>
  <c r="AO62" i="7" s="1"/>
  <c r="U71" i="7"/>
  <c r="X71" i="7"/>
  <c r="X68" i="7"/>
  <c r="AO60" i="7" s="1"/>
  <c r="AO59" i="7"/>
  <c r="X66" i="7"/>
  <c r="T65" i="7"/>
  <c r="S64" i="7"/>
  <c r="S61" i="7"/>
  <c r="S58" i="7"/>
  <c r="S52" i="7"/>
  <c r="G8" i="11"/>
  <c r="H23" i="16"/>
  <c r="H6" i="16" s="1"/>
  <c r="M106" i="7"/>
  <c r="M108" i="7" s="1"/>
  <c r="M109" i="7" s="1"/>
  <c r="M110" i="7" s="1"/>
  <c r="F106" i="7"/>
  <c r="F108" i="7" s="1"/>
  <c r="F109" i="7" s="1"/>
  <c r="F110" i="7" s="1"/>
  <c r="T18" i="7"/>
  <c r="U18" i="7" s="1"/>
  <c r="X29" i="9"/>
  <c r="X30" i="9" s="1"/>
  <c r="X38" i="9"/>
  <c r="X39" i="9" s="1"/>
  <c r="X41" i="9"/>
  <c r="X42" i="9" s="1"/>
  <c r="X44" i="9"/>
  <c r="X45" i="9" s="1"/>
  <c r="X32" i="9"/>
  <c r="X33" i="9" s="1"/>
  <c r="X20" i="9"/>
  <c r="X21" i="9" s="1"/>
  <c r="X26" i="9"/>
  <c r="X27" i="9" s="1"/>
  <c r="X11" i="9"/>
  <c r="X12" i="9" s="1"/>
  <c r="X35" i="9"/>
  <c r="X36" i="9" s="1"/>
  <c r="U10" i="7"/>
  <c r="K106" i="7"/>
  <c r="K108" i="7" s="1"/>
  <c r="K109" i="7" s="1"/>
  <c r="T6" i="7"/>
  <c r="L106" i="7"/>
  <c r="L108" i="7" s="1"/>
  <c r="L109" i="7" s="1"/>
  <c r="L110" i="7" s="1"/>
  <c r="Q106" i="7"/>
  <c r="Q108" i="7" s="1"/>
  <c r="Q109" i="7" s="1"/>
  <c r="Q110" i="7" s="1"/>
  <c r="S9" i="8"/>
  <c r="U9" i="7"/>
  <c r="N15" i="11"/>
  <c r="R108" i="7"/>
  <c r="R121" i="7" s="1"/>
  <c r="T56" i="8"/>
  <c r="R56" i="8"/>
  <c r="R57" i="8"/>
  <c r="C38" i="16"/>
  <c r="U10" i="8"/>
  <c r="T107" i="7"/>
  <c r="R107" i="7"/>
  <c r="R120" i="7" s="1"/>
  <c r="R57" i="9"/>
  <c r="G2" i="20"/>
  <c r="E50" i="9"/>
  <c r="R56" i="9"/>
  <c r="P110" i="7"/>
  <c r="L6" i="6"/>
  <c r="G4" i="7"/>
  <c r="D5" i="7"/>
  <c r="AP7" i="6"/>
  <c r="E44" i="9"/>
  <c r="E47" i="9"/>
  <c r="E38" i="9"/>
  <c r="E41" i="9"/>
  <c r="E32" i="9"/>
  <c r="E35" i="9"/>
  <c r="E26" i="9"/>
  <c r="E29" i="9"/>
  <c r="E20" i="9"/>
  <c r="E23" i="9"/>
  <c r="N23" i="9" s="1"/>
  <c r="R23" i="9" s="1"/>
  <c r="T23" i="9" s="1"/>
  <c r="E14" i="9"/>
  <c r="N14" i="9" s="1"/>
  <c r="R14" i="9" s="1"/>
  <c r="T14" i="9" s="1"/>
  <c r="E17" i="9"/>
  <c r="E8" i="9"/>
  <c r="E11" i="9"/>
  <c r="T56" i="9"/>
  <c r="N14" i="8"/>
  <c r="R14" i="8" s="1"/>
  <c r="T14" i="8" s="1"/>
  <c r="N17" i="8"/>
  <c r="R17" i="8" s="1"/>
  <c r="T17" i="8" s="1"/>
  <c r="N8" i="8"/>
  <c r="R8" i="8" s="1"/>
  <c r="T8" i="8" s="1"/>
  <c r="V8" i="8" s="1"/>
  <c r="V9" i="8" s="1"/>
  <c r="V10" i="8" s="1"/>
  <c r="N11" i="8"/>
  <c r="R11" i="8" s="1"/>
  <c r="T11" i="8" s="1"/>
  <c r="D92" i="7"/>
  <c r="AN68" i="7" s="1"/>
  <c r="AI17" i="7"/>
  <c r="O17" i="7" s="1"/>
  <c r="AF17" i="7"/>
  <c r="L17" i="7" s="1"/>
  <c r="AA17" i="7"/>
  <c r="G17" i="7" s="1"/>
  <c r="AJ17" i="7"/>
  <c r="P17" i="7" s="1"/>
  <c r="AG17" i="7"/>
  <c r="M17" i="7" s="1"/>
  <c r="AC17" i="7"/>
  <c r="I17" i="7" s="1"/>
  <c r="AB17" i="7"/>
  <c r="H17" i="7" s="1"/>
  <c r="AK17" i="7"/>
  <c r="Q17" i="7" s="1"/>
  <c r="Z17" i="7"/>
  <c r="F17" i="7" s="1"/>
  <c r="AE17" i="7"/>
  <c r="K17" i="7" s="1"/>
  <c r="AH17" i="7"/>
  <c r="AD17" i="7"/>
  <c r="J17" i="7" s="1"/>
  <c r="X9" i="12"/>
  <c r="AF11" i="7"/>
  <c r="L11" i="7" s="1"/>
  <c r="AI11" i="7"/>
  <c r="O11" i="7" s="1"/>
  <c r="AG11" i="7"/>
  <c r="M11" i="7" s="1"/>
  <c r="AA11" i="7"/>
  <c r="G11" i="7" s="1"/>
  <c r="AE11" i="7"/>
  <c r="K11" i="7" s="1"/>
  <c r="AC11" i="7"/>
  <c r="I11" i="7" s="1"/>
  <c r="AK11" i="7"/>
  <c r="Q11" i="7" s="1"/>
  <c r="AB11" i="7"/>
  <c r="H11" i="7" s="1"/>
  <c r="AJ11" i="7"/>
  <c r="P11" i="7" s="1"/>
  <c r="AH11" i="7"/>
  <c r="Z11" i="7"/>
  <c r="F11" i="7" s="1"/>
  <c r="AD11" i="7"/>
  <c r="J11" i="7" s="1"/>
  <c r="D16" i="2"/>
  <c r="C25" i="57" s="1"/>
  <c r="L6" i="5"/>
  <c r="B42" i="20"/>
  <c r="B44" i="21" s="1"/>
  <c r="B20" i="20"/>
  <c r="B19" i="21" s="1"/>
  <c r="D56" i="7"/>
  <c r="B36" i="20"/>
  <c r="B38" i="21" s="1"/>
  <c r="AD38" i="21" s="1"/>
  <c r="B30" i="20"/>
  <c r="B32" i="21" s="1"/>
  <c r="AD32" i="21" s="1"/>
  <c r="D38" i="7"/>
  <c r="AN16" i="7" s="1"/>
  <c r="D29" i="7"/>
  <c r="B21" i="20"/>
  <c r="B32" i="20"/>
  <c r="B34" i="21" s="1"/>
  <c r="AD34" i="21" s="1"/>
  <c r="D98" i="7"/>
  <c r="AN70" i="7" s="1"/>
  <c r="D14" i="7"/>
  <c r="B16" i="20"/>
  <c r="B15" i="21" s="1"/>
  <c r="B40" i="20"/>
  <c r="B42" i="21" s="1"/>
  <c r="D11" i="7"/>
  <c r="B13" i="20"/>
  <c r="B12" i="21" s="1"/>
  <c r="AD12" i="21" s="1"/>
  <c r="D44" i="7"/>
  <c r="B39" i="20"/>
  <c r="B34" i="20"/>
  <c r="B36" i="21" s="1"/>
  <c r="AD36" i="21" s="1"/>
  <c r="D47" i="7"/>
  <c r="D32" i="7"/>
  <c r="D68" i="7"/>
  <c r="AP60" i="7" s="1"/>
  <c r="D83" i="7"/>
  <c r="AP65" i="7" s="1"/>
  <c r="D26" i="7"/>
  <c r="D95" i="7"/>
  <c r="AP69" i="7" s="1"/>
  <c r="D50" i="7"/>
  <c r="D89" i="7"/>
  <c r="AP67" i="7" s="1"/>
  <c r="D80" i="7"/>
  <c r="AN64" i="7" s="1"/>
  <c r="B37" i="20"/>
  <c r="B39" i="21" s="1"/>
  <c r="AD39" i="21" s="1"/>
  <c r="B9" i="20"/>
  <c r="B8" i="21" s="1"/>
  <c r="AD8" i="21" s="1"/>
  <c r="B10" i="20"/>
  <c r="B9" i="21" s="1"/>
  <c r="AD9" i="21" s="1"/>
  <c r="B35" i="20"/>
  <c r="B37" i="21" s="1"/>
  <c r="AD37" i="21" s="1"/>
  <c r="B33" i="20"/>
  <c r="B35" i="21" s="1"/>
  <c r="AD35" i="21" s="1"/>
  <c r="D23" i="7"/>
  <c r="D74" i="7"/>
  <c r="AP62" i="7" s="1"/>
  <c r="B11" i="20"/>
  <c r="B10" i="21" s="1"/>
  <c r="AD10" i="21" s="1"/>
  <c r="D8" i="7"/>
  <c r="D62" i="7"/>
  <c r="D41" i="7"/>
  <c r="B22" i="20"/>
  <c r="B23" i="20"/>
  <c r="B22" i="21" s="1"/>
  <c r="B28" i="20"/>
  <c r="B30" i="21" s="1"/>
  <c r="AD30" i="21" s="1"/>
  <c r="B14" i="20"/>
  <c r="B13" i="21" s="1"/>
  <c r="AD13" i="21" s="1"/>
  <c r="D17" i="7"/>
  <c r="B31" i="20"/>
  <c r="B33" i="21" s="1"/>
  <c r="AD33" i="21" s="1"/>
  <c r="D65" i="7"/>
  <c r="AN59" i="7" s="1"/>
  <c r="D59" i="7"/>
  <c r="B38" i="20"/>
  <c r="B40" i="21" s="1"/>
  <c r="AD40" i="21" s="1"/>
  <c r="B12" i="20"/>
  <c r="B11" i="21" s="1"/>
  <c r="AD11" i="21" s="1"/>
  <c r="B18" i="20"/>
  <c r="B17" i="21" s="1"/>
  <c r="B43" i="20"/>
  <c r="B45" i="21" s="1"/>
  <c r="B41" i="20"/>
  <c r="B43" i="21" s="1"/>
  <c r="D35" i="7"/>
  <c r="D86" i="7"/>
  <c r="AN66" i="7" s="1"/>
  <c r="B19" i="20"/>
  <c r="B18" i="21" s="1"/>
  <c r="D20" i="7"/>
  <c r="D71" i="7"/>
  <c r="AN61" i="7" s="1"/>
  <c r="D77" i="7"/>
  <c r="AP63" i="7" s="1"/>
  <c r="B29" i="20"/>
  <c r="B31" i="21" s="1"/>
  <c r="AD31" i="21" s="1"/>
  <c r="D101" i="7"/>
  <c r="AP71" i="7" s="1"/>
  <c r="B15" i="20"/>
  <c r="C8" i="20"/>
  <c r="B17" i="20"/>
  <c r="B16" i="21" s="1"/>
  <c r="Z194" i="59" l="1"/>
  <c r="D195" i="59" s="1"/>
  <c r="Y3" i="59"/>
  <c r="F4" i="59" s="1"/>
  <c r="W3" i="59"/>
  <c r="C4" i="59" s="1"/>
  <c r="Z3" i="59"/>
  <c r="D4" i="59" s="1"/>
  <c r="Y24" i="59"/>
  <c r="W24" i="59"/>
  <c r="Z66" i="59"/>
  <c r="D67" i="59" s="1"/>
  <c r="Z88" i="59"/>
  <c r="D89" i="59" s="1"/>
  <c r="Z152" i="59"/>
  <c r="D153" i="59" s="1"/>
  <c r="Z131" i="59"/>
  <c r="D132" i="59" s="1"/>
  <c r="Z45" i="59"/>
  <c r="D46" i="59" s="1"/>
  <c r="Z173" i="59"/>
  <c r="D174" i="59" s="1"/>
  <c r="A7" i="24"/>
  <c r="J67" i="59"/>
  <c r="AC109" i="59"/>
  <c r="J25" i="59"/>
  <c r="AC65" i="59"/>
  <c r="AC87" i="59"/>
  <c r="J46" i="59"/>
  <c r="J89" i="59"/>
  <c r="AC130" i="59"/>
  <c r="X118" i="22"/>
  <c r="AD4" i="21"/>
  <c r="AB4" i="21"/>
  <c r="L5" i="20"/>
  <c r="C4" i="21" s="1"/>
  <c r="L6" i="20"/>
  <c r="C5" i="21" s="1"/>
  <c r="L7" i="20"/>
  <c r="C6" i="21" s="1"/>
  <c r="AC151" i="59"/>
  <c r="H49" i="16"/>
  <c r="F4" i="9"/>
  <c r="G4" i="8"/>
  <c r="Z4" i="8"/>
  <c r="V99" i="7"/>
  <c r="W99" i="7" s="1"/>
  <c r="W98" i="7"/>
  <c r="W92" i="7"/>
  <c r="V93" i="7"/>
  <c r="W93" i="7" s="1"/>
  <c r="V96" i="7"/>
  <c r="W96" i="7" s="1"/>
  <c r="W95" i="7"/>
  <c r="V97" i="7"/>
  <c r="W97" i="7" s="1"/>
  <c r="V102" i="7"/>
  <c r="W102" i="7" s="1"/>
  <c r="W101" i="7"/>
  <c r="W7" i="24"/>
  <c r="V7" i="24"/>
  <c r="R7" i="24"/>
  <c r="S7" i="24"/>
  <c r="T7" i="24"/>
  <c r="U7" i="24"/>
  <c r="N12" i="16"/>
  <c r="A10" i="10"/>
  <c r="A4" i="53"/>
  <c r="M20" i="2"/>
  <c r="P21" i="2" s="1"/>
  <c r="E34" i="2"/>
  <c r="E52" i="2" s="1"/>
  <c r="N6" i="6"/>
  <c r="M6" i="6"/>
  <c r="M6" i="5"/>
  <c r="Z24" i="59"/>
  <c r="D25" i="59" s="1"/>
  <c r="C3" i="27"/>
  <c r="W72" i="22"/>
  <c r="C73" i="22"/>
  <c r="W73" i="22" s="1"/>
  <c r="B73" i="22"/>
  <c r="U73" i="22"/>
  <c r="A9" i="22"/>
  <c r="V119" i="22"/>
  <c r="K8" i="29"/>
  <c r="K7" i="29"/>
  <c r="A10" i="47"/>
  <c r="CB10" i="47" s="1"/>
  <c r="A7" i="53"/>
  <c r="L7" i="53" s="1"/>
  <c r="W7" i="53" s="1"/>
  <c r="AH7" i="53" s="1"/>
  <c r="AS7" i="53" s="1"/>
  <c r="BD7" i="53" s="1"/>
  <c r="BO7" i="53" s="1"/>
  <c r="BZ7" i="53" s="1"/>
  <c r="CK7" i="53" s="1"/>
  <c r="CV7" i="53" s="1"/>
  <c r="DG7" i="53" s="1"/>
  <c r="DR7" i="53" s="1"/>
  <c r="EC7" i="53" s="1"/>
  <c r="J56" i="9"/>
  <c r="I56" i="9"/>
  <c r="H56" i="9"/>
  <c r="F56" i="9"/>
  <c r="P56" i="9"/>
  <c r="Q56" i="9"/>
  <c r="G56" i="9"/>
  <c r="B56" i="16"/>
  <c r="F56" i="8"/>
  <c r="G56" i="8"/>
  <c r="L56" i="8"/>
  <c r="Q56" i="8"/>
  <c r="P56" i="8"/>
  <c r="M56" i="8"/>
  <c r="H56" i="8"/>
  <c r="K56" i="8"/>
  <c r="N56" i="8"/>
  <c r="O56" i="8"/>
  <c r="I56" i="8"/>
  <c r="J56" i="8"/>
  <c r="F120" i="7"/>
  <c r="P120" i="7"/>
  <c r="G120" i="7"/>
  <c r="Q120" i="7"/>
  <c r="H120" i="7"/>
  <c r="J120" i="7"/>
  <c r="I120" i="7"/>
  <c r="AA43" i="21"/>
  <c r="AD43" i="21"/>
  <c r="AA45" i="21"/>
  <c r="AD45" i="21"/>
  <c r="AA42" i="21"/>
  <c r="AD42" i="21"/>
  <c r="AA44" i="21"/>
  <c r="AD44" i="21"/>
  <c r="AB43" i="21"/>
  <c r="AB33" i="21"/>
  <c r="AB45" i="21"/>
  <c r="AB39" i="21"/>
  <c r="AB42" i="21"/>
  <c r="AB32" i="21"/>
  <c r="AB31" i="21"/>
  <c r="AB38" i="21"/>
  <c r="AB30" i="21"/>
  <c r="AB36" i="21"/>
  <c r="AB35" i="21"/>
  <c r="AB37" i="21"/>
  <c r="AB34" i="21"/>
  <c r="AB44" i="21"/>
  <c r="AB40" i="21"/>
  <c r="AB15" i="21"/>
  <c r="AD15" i="21"/>
  <c r="AB17" i="21"/>
  <c r="AD17" i="21"/>
  <c r="AB22" i="21"/>
  <c r="AD22" i="21"/>
  <c r="AB19" i="21"/>
  <c r="AD19" i="21"/>
  <c r="AB16" i="21"/>
  <c r="AD16" i="21"/>
  <c r="AB18" i="21"/>
  <c r="AD18" i="21"/>
  <c r="M56" i="9"/>
  <c r="K56" i="9"/>
  <c r="L56" i="9"/>
  <c r="O56" i="9"/>
  <c r="N56" i="9"/>
  <c r="M120" i="7"/>
  <c r="K120" i="7"/>
  <c r="O120" i="7"/>
  <c r="N120" i="7"/>
  <c r="L120" i="7"/>
  <c r="V33" i="9"/>
  <c r="W33" i="9" s="1"/>
  <c r="U32" i="9"/>
  <c r="V47" i="9"/>
  <c r="V48" i="9" s="1"/>
  <c r="W48" i="9" s="1"/>
  <c r="U50" i="9"/>
  <c r="V51" i="9"/>
  <c r="W51" i="9" s="1"/>
  <c r="W50" i="9"/>
  <c r="U44" i="9"/>
  <c r="V44" i="9"/>
  <c r="U41" i="9"/>
  <c r="V41" i="9"/>
  <c r="V38" i="9"/>
  <c r="U38" i="9"/>
  <c r="V35" i="9"/>
  <c r="U35" i="9"/>
  <c r="U23" i="9"/>
  <c r="V23" i="9"/>
  <c r="V89" i="7"/>
  <c r="V90" i="7" s="1"/>
  <c r="V68" i="7"/>
  <c r="V69" i="7" s="1"/>
  <c r="V18" i="9"/>
  <c r="W18" i="9" s="1"/>
  <c r="U17" i="9"/>
  <c r="AB13" i="21"/>
  <c r="AB12" i="21"/>
  <c r="AB11" i="21"/>
  <c r="AB10" i="21"/>
  <c r="AB9" i="21"/>
  <c r="AB8" i="21"/>
  <c r="U20" i="9"/>
  <c r="V20" i="9"/>
  <c r="U29" i="9"/>
  <c r="V29" i="9"/>
  <c r="U26" i="9"/>
  <c r="V26" i="9"/>
  <c r="C15" i="20"/>
  <c r="B14" i="21"/>
  <c r="C21" i="20"/>
  <c r="B20" i="21"/>
  <c r="C39" i="20"/>
  <c r="B41" i="21"/>
  <c r="AD41" i="21" s="1"/>
  <c r="C22" i="20"/>
  <c r="B21" i="21"/>
  <c r="U86" i="7"/>
  <c r="V17" i="8"/>
  <c r="U17" i="8"/>
  <c r="V38" i="7"/>
  <c r="V39" i="7" s="1"/>
  <c r="X87" i="7"/>
  <c r="V80" i="7"/>
  <c r="V81" i="7" s="1"/>
  <c r="X78" i="7"/>
  <c r="V74" i="7"/>
  <c r="W74" i="7" s="1"/>
  <c r="V87" i="7"/>
  <c r="W86" i="7"/>
  <c r="U14" i="9"/>
  <c r="V14" i="9"/>
  <c r="V11" i="9"/>
  <c r="U11" i="9"/>
  <c r="U83" i="7"/>
  <c r="V83" i="7"/>
  <c r="X75" i="7"/>
  <c r="V78" i="7"/>
  <c r="W77" i="7"/>
  <c r="X69" i="7"/>
  <c r="AO61" i="7"/>
  <c r="E33" i="20" s="1"/>
  <c r="X72" i="7"/>
  <c r="W71" i="7"/>
  <c r="V72" i="7"/>
  <c r="V65" i="7"/>
  <c r="U65" i="7"/>
  <c r="D11" i="17"/>
  <c r="E23" i="16"/>
  <c r="L12" i="16"/>
  <c r="U14" i="8"/>
  <c r="V14" i="8"/>
  <c r="V11" i="8"/>
  <c r="U11" i="8"/>
  <c r="K110" i="7"/>
  <c r="X14" i="9"/>
  <c r="X15" i="9" s="1"/>
  <c r="X23" i="9"/>
  <c r="X24" i="9" s="1"/>
  <c r="AJ5" i="9"/>
  <c r="AG5" i="9"/>
  <c r="AI5" i="9"/>
  <c r="AH5" i="9"/>
  <c r="AF5" i="9"/>
  <c r="AK5" i="9"/>
  <c r="E5" i="9"/>
  <c r="AA5" i="9"/>
  <c r="Z5" i="9"/>
  <c r="AB5" i="9"/>
  <c r="AE5" i="9"/>
  <c r="AD5" i="9"/>
  <c r="AC5" i="9"/>
  <c r="T120" i="7"/>
  <c r="E16" i="2"/>
  <c r="D25" i="57" s="1"/>
  <c r="O15" i="11"/>
  <c r="N8" i="9"/>
  <c r="X14" i="8"/>
  <c r="X15" i="8" s="1"/>
  <c r="AP58" i="7"/>
  <c r="N62" i="7"/>
  <c r="R62" i="7" s="1"/>
  <c r="T62" i="7" s="1"/>
  <c r="V62" i="7" s="1"/>
  <c r="V63" i="7" s="1"/>
  <c r="AP57" i="7"/>
  <c r="N59" i="7"/>
  <c r="N56" i="7"/>
  <c r="R56" i="7" s="1"/>
  <c r="T56" i="7" s="1"/>
  <c r="U56" i="7" s="1"/>
  <c r="N50" i="7"/>
  <c r="N47" i="7"/>
  <c r="N44" i="7"/>
  <c r="R44" i="7" s="1"/>
  <c r="T44" i="7" s="1"/>
  <c r="U44" i="7" s="1"/>
  <c r="N41" i="7"/>
  <c r="R41" i="7" s="1"/>
  <c r="T41" i="7" s="1"/>
  <c r="V41" i="7" s="1"/>
  <c r="N35" i="7"/>
  <c r="R35" i="7" s="1"/>
  <c r="T35" i="7" s="1"/>
  <c r="V35" i="7" s="1"/>
  <c r="AP14" i="7"/>
  <c r="N32" i="7"/>
  <c r="R32" i="7" s="1"/>
  <c r="T32" i="7" s="1"/>
  <c r="U32" i="7" s="1"/>
  <c r="AP13" i="7"/>
  <c r="N29" i="7"/>
  <c r="R29" i="7" s="1"/>
  <c r="T29" i="7" s="1"/>
  <c r="N26" i="7"/>
  <c r="R26" i="7" s="1"/>
  <c r="T26" i="7" s="1"/>
  <c r="V26" i="7" s="1"/>
  <c r="N23" i="7"/>
  <c r="R23" i="7" s="1"/>
  <c r="T23" i="7" s="1"/>
  <c r="AP10" i="7"/>
  <c r="N20" i="7"/>
  <c r="R20" i="7" s="1"/>
  <c r="T20" i="7" s="1"/>
  <c r="AP9" i="7"/>
  <c r="N17" i="7"/>
  <c r="R17" i="7" s="1"/>
  <c r="T17" i="7" s="1"/>
  <c r="AP8" i="7"/>
  <c r="N14" i="7"/>
  <c r="R14" i="7" s="1"/>
  <c r="T14" i="7" s="1"/>
  <c r="U14" i="7" s="1"/>
  <c r="AP7" i="7"/>
  <c r="N11" i="7"/>
  <c r="R11" i="7" s="1"/>
  <c r="T11" i="7" s="1"/>
  <c r="N8" i="7"/>
  <c r="R8" i="7" s="1"/>
  <c r="T8" i="7" s="1"/>
  <c r="T108" i="7"/>
  <c r="C43" i="20"/>
  <c r="C29" i="20"/>
  <c r="C31" i="20"/>
  <c r="C33" i="20"/>
  <c r="D34" i="20"/>
  <c r="C34" i="20"/>
  <c r="C40" i="20"/>
  <c r="C41" i="20"/>
  <c r="C38" i="20"/>
  <c r="D42" i="20"/>
  <c r="C42" i="20"/>
  <c r="C37" i="20"/>
  <c r="C35" i="20"/>
  <c r="C30" i="20"/>
  <c r="C32" i="20"/>
  <c r="C36" i="20"/>
  <c r="C28" i="20"/>
  <c r="C10" i="20"/>
  <c r="C11" i="20"/>
  <c r="D9" i="20"/>
  <c r="C9" i="20"/>
  <c r="C19" i="20"/>
  <c r="D18" i="20"/>
  <c r="C18" i="20"/>
  <c r="C12" i="20"/>
  <c r="C20" i="20"/>
  <c r="C23" i="20"/>
  <c r="C13" i="20"/>
  <c r="C17" i="20"/>
  <c r="C14" i="20"/>
  <c r="C16" i="20"/>
  <c r="AL4" i="5"/>
  <c r="G7" i="11" s="1"/>
  <c r="H7" i="11" s="1"/>
  <c r="T57" i="8"/>
  <c r="X38" i="7"/>
  <c r="T57" i="9"/>
  <c r="C10" i="10"/>
  <c r="G138" i="7"/>
  <c r="G139" i="7" s="1"/>
  <c r="AA4" i="7"/>
  <c r="AK5" i="7"/>
  <c r="Q5" i="7" s="1"/>
  <c r="AI5" i="7"/>
  <c r="AH5" i="7"/>
  <c r="Z5" i="7"/>
  <c r="AA5" i="7"/>
  <c r="AC5" i="7"/>
  <c r="AD5" i="7"/>
  <c r="AD3" i="7" s="1"/>
  <c r="AB5" i="7"/>
  <c r="AF5" i="7"/>
  <c r="AG5" i="7"/>
  <c r="AE5" i="7"/>
  <c r="AJ5" i="7"/>
  <c r="AH5" i="8"/>
  <c r="AF5" i="8"/>
  <c r="AA5" i="8"/>
  <c r="AJ5" i="8"/>
  <c r="AE5" i="8"/>
  <c r="AC5" i="8"/>
  <c r="AI5" i="8"/>
  <c r="AG5" i="8"/>
  <c r="AB5" i="8"/>
  <c r="AK5" i="8"/>
  <c r="AD5" i="8"/>
  <c r="Z5" i="8"/>
  <c r="AP68" i="7"/>
  <c r="L42" i="20"/>
  <c r="D36" i="20"/>
  <c r="AP16" i="7"/>
  <c r="D40" i="20"/>
  <c r="AP70" i="7"/>
  <c r="F36" i="20"/>
  <c r="F33" i="20"/>
  <c r="L40" i="20"/>
  <c r="AN67" i="7"/>
  <c r="F39" i="20" s="1"/>
  <c r="E40" i="20"/>
  <c r="E36" i="20"/>
  <c r="F40" i="20"/>
  <c r="D14" i="20"/>
  <c r="D33" i="20"/>
  <c r="AP6" i="7"/>
  <c r="AP18" i="7"/>
  <c r="F42" i="20"/>
  <c r="AN65" i="7"/>
  <c r="F37" i="20" s="1"/>
  <c r="E42" i="20"/>
  <c r="AN62" i="7"/>
  <c r="F34" i="20" s="1"/>
  <c r="AN60" i="7"/>
  <c r="F32" i="20" s="1"/>
  <c r="AP61" i="7"/>
  <c r="AP15" i="7"/>
  <c r="D38" i="20"/>
  <c r="AP19" i="7"/>
  <c r="AP64" i="7"/>
  <c r="D23" i="20"/>
  <c r="D39" i="20"/>
  <c r="E39" i="20"/>
  <c r="E38" i="20"/>
  <c r="F38" i="20"/>
  <c r="D17" i="20"/>
  <c r="D21" i="20"/>
  <c r="AP56" i="7"/>
  <c r="E37" i="20"/>
  <c r="AP11" i="7"/>
  <c r="AP66" i="7"/>
  <c r="D16" i="20"/>
  <c r="F31" i="20"/>
  <c r="D28" i="20"/>
  <c r="E31" i="20"/>
  <c r="D31" i="20"/>
  <c r="E34" i="20"/>
  <c r="D37" i="20"/>
  <c r="D10" i="20"/>
  <c r="AN63" i="7"/>
  <c r="F35" i="20" s="1"/>
  <c r="D41" i="20"/>
  <c r="AP5" i="7"/>
  <c r="D30" i="20"/>
  <c r="D20" i="20"/>
  <c r="AP17" i="7"/>
  <c r="E35" i="20"/>
  <c r="D11" i="20"/>
  <c r="AN71" i="7"/>
  <c r="F43" i="20" s="1"/>
  <c r="D32" i="20"/>
  <c r="D13" i="20"/>
  <c r="L43" i="20"/>
  <c r="E32" i="20"/>
  <c r="D22" i="20"/>
  <c r="D19" i="20"/>
  <c r="AN69" i="7"/>
  <c r="F41" i="20" s="1"/>
  <c r="AP12" i="7"/>
  <c r="F19" i="20"/>
  <c r="E43" i="20"/>
  <c r="D43" i="20"/>
  <c r="D29" i="20"/>
  <c r="E41" i="20"/>
  <c r="L41" i="20"/>
  <c r="D12" i="20"/>
  <c r="AP59" i="7"/>
  <c r="AP20" i="7"/>
  <c r="D35" i="20"/>
  <c r="D15" i="20"/>
  <c r="D8" i="20"/>
  <c r="AB4" i="7"/>
  <c r="D10" i="10"/>
  <c r="Z109" i="59" l="1"/>
  <c r="Z172" i="59"/>
  <c r="Y45" i="59"/>
  <c r="W45" i="59"/>
  <c r="Y131" i="59"/>
  <c r="W131" i="59"/>
  <c r="Y66" i="59"/>
  <c r="W66" i="59"/>
  <c r="Z193" i="59"/>
  <c r="Y152" i="59"/>
  <c r="W152" i="59"/>
  <c r="Y88" i="59"/>
  <c r="W88" i="59"/>
  <c r="Z130" i="59"/>
  <c r="Y173" i="59"/>
  <c r="F174" i="59" s="1"/>
  <c r="W173" i="59"/>
  <c r="C174" i="59" s="1"/>
  <c r="C25" i="59"/>
  <c r="W65" i="59"/>
  <c r="Y194" i="59"/>
  <c r="F195" i="59" s="1"/>
  <c r="W194" i="59"/>
  <c r="C195" i="59" s="1"/>
  <c r="Z87" i="59"/>
  <c r="Y65" i="59"/>
  <c r="F25" i="59"/>
  <c r="E6" i="16"/>
  <c r="M12" i="16" s="1"/>
  <c r="AC6" i="21"/>
  <c r="B120" i="22"/>
  <c r="B119" i="22"/>
  <c r="B118" i="22"/>
  <c r="AC4" i="21"/>
  <c r="Z65" i="59"/>
  <c r="Y110" i="59"/>
  <c r="F111" i="59" s="1"/>
  <c r="W110" i="59"/>
  <c r="C111" i="59" s="1"/>
  <c r="Z110" i="59"/>
  <c r="D111" i="59" s="1"/>
  <c r="O4" i="16"/>
  <c r="H4" i="8"/>
  <c r="AA4" i="8"/>
  <c r="N15" i="15"/>
  <c r="G4" i="9"/>
  <c r="Z4" i="9"/>
  <c r="V94" i="7"/>
  <c r="W94" i="7" s="1"/>
  <c r="V103" i="7"/>
  <c r="W103" i="7" s="1"/>
  <c r="V100" i="7"/>
  <c r="W100" i="7" s="1"/>
  <c r="F34" i="2"/>
  <c r="F52" i="2" s="1"/>
  <c r="N6" i="5"/>
  <c r="I4" i="7"/>
  <c r="I138" i="7" s="1"/>
  <c r="I139" i="7" s="1"/>
  <c r="N7" i="16"/>
  <c r="M1" i="12"/>
  <c r="P4" i="12" s="1"/>
  <c r="X14" i="12" s="1"/>
  <c r="H2" i="27"/>
  <c r="R33" i="56"/>
  <c r="B6" i="27"/>
  <c r="C7" i="30"/>
  <c r="C10" i="29"/>
  <c r="D8" i="29"/>
  <c r="V8" i="7"/>
  <c r="V9" i="7" s="1"/>
  <c r="V9" i="22"/>
  <c r="BX10" i="47"/>
  <c r="W4" i="53"/>
  <c r="N3" i="47"/>
  <c r="N48" i="47" s="1"/>
  <c r="ED7" i="53"/>
  <c r="EO7" i="53"/>
  <c r="EH7" i="53"/>
  <c r="BV10" i="47"/>
  <c r="L4" i="53"/>
  <c r="H3" i="47"/>
  <c r="H48" i="47" s="1"/>
  <c r="BW10" i="47"/>
  <c r="V91" i="7"/>
  <c r="W91" i="7" s="1"/>
  <c r="L30" i="20"/>
  <c r="L34" i="20"/>
  <c r="L35" i="20"/>
  <c r="L32" i="20"/>
  <c r="L33" i="20"/>
  <c r="L37" i="20"/>
  <c r="L31" i="20"/>
  <c r="L29" i="20"/>
  <c r="L28" i="20"/>
  <c r="L38" i="20"/>
  <c r="L39" i="20"/>
  <c r="L36" i="20"/>
  <c r="L16" i="20"/>
  <c r="L21" i="20"/>
  <c r="L14" i="20"/>
  <c r="L19" i="20"/>
  <c r="L17" i="20"/>
  <c r="L9" i="20"/>
  <c r="L15" i="20"/>
  <c r="L13" i="20"/>
  <c r="L23" i="20"/>
  <c r="L11" i="20"/>
  <c r="L22" i="20"/>
  <c r="L20" i="20"/>
  <c r="L10" i="20"/>
  <c r="L12" i="20"/>
  <c r="L18" i="20"/>
  <c r="AB41" i="21"/>
  <c r="AB20" i="21"/>
  <c r="AD20" i="21"/>
  <c r="AB14" i="21"/>
  <c r="AD14" i="21"/>
  <c r="AB21" i="21"/>
  <c r="AD21" i="21"/>
  <c r="W47" i="9"/>
  <c r="V34" i="9"/>
  <c r="W34" i="9" s="1"/>
  <c r="W68" i="7"/>
  <c r="V52" i="9"/>
  <c r="W52" i="9" s="1"/>
  <c r="W89" i="7"/>
  <c r="V45" i="9"/>
  <c r="W45" i="9" s="1"/>
  <c r="W44" i="9"/>
  <c r="V49" i="9"/>
  <c r="W49" i="9" s="1"/>
  <c r="V19" i="9"/>
  <c r="W19" i="9" s="1"/>
  <c r="W35" i="9"/>
  <c r="V36" i="9"/>
  <c r="W36" i="9" s="1"/>
  <c r="W38" i="9"/>
  <c r="V39" i="9"/>
  <c r="W39" i="9" s="1"/>
  <c r="W41" i="9"/>
  <c r="V42" i="9"/>
  <c r="W42" i="9" s="1"/>
  <c r="W23" i="9"/>
  <c r="V24" i="9"/>
  <c r="W24" i="9" s="1"/>
  <c r="W90" i="7"/>
  <c r="W72" i="7"/>
  <c r="W87" i="7"/>
  <c r="W81" i="7"/>
  <c r="W63" i="7"/>
  <c r="W78" i="7"/>
  <c r="W69" i="7"/>
  <c r="W29" i="9"/>
  <c r="V30" i="9"/>
  <c r="W30" i="9" s="1"/>
  <c r="V27" i="9"/>
  <c r="W27" i="9" s="1"/>
  <c r="W26" i="9"/>
  <c r="W20" i="9"/>
  <c r="V21" i="9"/>
  <c r="W21" i="9" s="1"/>
  <c r="W39" i="7"/>
  <c r="C43" i="21"/>
  <c r="C42" i="21"/>
  <c r="C44" i="21"/>
  <c r="C45" i="21"/>
  <c r="W17" i="8"/>
  <c r="V18" i="8"/>
  <c r="W18" i="8" s="1"/>
  <c r="V56" i="7"/>
  <c r="V57" i="7" s="1"/>
  <c r="W38" i="7"/>
  <c r="V44" i="7"/>
  <c r="W44" i="7" s="1"/>
  <c r="W80" i="7"/>
  <c r="V75" i="7"/>
  <c r="W62" i="7"/>
  <c r="U62" i="7"/>
  <c r="R59" i="7"/>
  <c r="T59" i="7" s="1"/>
  <c r="R47" i="7"/>
  <c r="T47" i="7" s="1"/>
  <c r="U41" i="7"/>
  <c r="V32" i="7"/>
  <c r="W32" i="7" s="1"/>
  <c r="U35" i="7"/>
  <c r="V29" i="7"/>
  <c r="U29" i="7"/>
  <c r="V88" i="7"/>
  <c r="W14" i="9"/>
  <c r="V15" i="9"/>
  <c r="W15" i="9" s="1"/>
  <c r="W11" i="9"/>
  <c r="V12" i="9"/>
  <c r="W12" i="9" s="1"/>
  <c r="W83" i="7"/>
  <c r="V84" i="7"/>
  <c r="V82" i="7"/>
  <c r="V73" i="7"/>
  <c r="V79" i="7"/>
  <c r="V70" i="7"/>
  <c r="W65" i="7"/>
  <c r="V66" i="7"/>
  <c r="V64" i="7"/>
  <c r="R50" i="7"/>
  <c r="T50" i="7" s="1"/>
  <c r="V42" i="7"/>
  <c r="W41" i="7"/>
  <c r="V40" i="7"/>
  <c r="W35" i="7"/>
  <c r="V36" i="7"/>
  <c r="R8" i="9"/>
  <c r="T8" i="9" s="1"/>
  <c r="V8" i="9" s="1"/>
  <c r="V9" i="9" s="1"/>
  <c r="V10" i="9" s="1"/>
  <c r="U26" i="7"/>
  <c r="W26" i="7"/>
  <c r="V27" i="7"/>
  <c r="U20" i="7"/>
  <c r="V20" i="7"/>
  <c r="U23" i="7"/>
  <c r="V23" i="7"/>
  <c r="V17" i="7"/>
  <c r="V18" i="7" s="1"/>
  <c r="U17" i="7"/>
  <c r="V11" i="7"/>
  <c r="V12" i="7" s="1"/>
  <c r="U11" i="7"/>
  <c r="V14" i="7"/>
  <c r="W11" i="8"/>
  <c r="V12" i="8"/>
  <c r="W12" i="8" s="1"/>
  <c r="W14" i="8"/>
  <c r="V15" i="8"/>
  <c r="W15" i="8" s="1"/>
  <c r="Q119" i="7"/>
  <c r="X17" i="8"/>
  <c r="X18" i="8" s="1"/>
  <c r="X11" i="8"/>
  <c r="X12" i="8" s="1"/>
  <c r="X8" i="8"/>
  <c r="X9" i="8" s="1"/>
  <c r="F16" i="2"/>
  <c r="E25" i="57" s="1"/>
  <c r="P15" i="11"/>
  <c r="X62" i="7"/>
  <c r="X63" i="7" s="1"/>
  <c r="U8" i="8"/>
  <c r="AN58" i="7"/>
  <c r="F30" i="20" s="1"/>
  <c r="AN57" i="7"/>
  <c r="F29" i="20" s="1"/>
  <c r="X44" i="7"/>
  <c r="X45" i="7" s="1"/>
  <c r="X35" i="7"/>
  <c r="AO15" i="7" s="1"/>
  <c r="E18" i="20" s="1"/>
  <c r="AN14" i="7"/>
  <c r="F17" i="20" s="1"/>
  <c r="X32" i="7"/>
  <c r="AO14" i="7" s="1"/>
  <c r="E17" i="20" s="1"/>
  <c r="N106" i="7"/>
  <c r="N108" i="7" s="1"/>
  <c r="N109" i="7" s="1"/>
  <c r="N110" i="7" s="1"/>
  <c r="R110" i="7" s="1"/>
  <c r="AN56" i="7"/>
  <c r="F28" i="20" s="1"/>
  <c r="AN20" i="7"/>
  <c r="F23" i="20" s="1"/>
  <c r="X29" i="7"/>
  <c r="AO13" i="7" s="1"/>
  <c r="E16" i="20" s="1"/>
  <c r="AN19" i="7"/>
  <c r="F22" i="20" s="1"/>
  <c r="X26" i="7"/>
  <c r="AO12" i="7" s="1"/>
  <c r="E15" i="20" s="1"/>
  <c r="AN18" i="7"/>
  <c r="F21" i="20" s="1"/>
  <c r="AN13" i="7"/>
  <c r="F16" i="20" s="1"/>
  <c r="AN17" i="7"/>
  <c r="F20" i="20" s="1"/>
  <c r="AN15" i="7"/>
  <c r="F18" i="20" s="1"/>
  <c r="AN10" i="7"/>
  <c r="F13" i="20" s="1"/>
  <c r="X14" i="7"/>
  <c r="X15" i="7" s="1"/>
  <c r="AN8" i="7"/>
  <c r="F11" i="20" s="1"/>
  <c r="AN12" i="7"/>
  <c r="F15" i="20" s="1"/>
  <c r="AN11" i="7"/>
  <c r="F14" i="20" s="1"/>
  <c r="AN9" i="7"/>
  <c r="F12" i="20" s="1"/>
  <c r="X17" i="7"/>
  <c r="AO9" i="7" s="1"/>
  <c r="E12" i="20" s="1"/>
  <c r="X8" i="7"/>
  <c r="AO6" i="7" s="1"/>
  <c r="E9" i="20" s="1"/>
  <c r="AN7" i="7"/>
  <c r="F10" i="20" s="1"/>
  <c r="X11" i="7"/>
  <c r="AO7" i="7" s="1"/>
  <c r="E10" i="20" s="1"/>
  <c r="AN6" i="7"/>
  <c r="F9" i="20" s="1"/>
  <c r="AO16" i="7"/>
  <c r="E19" i="20" s="1"/>
  <c r="X39" i="7"/>
  <c r="O5" i="8"/>
  <c r="O55" i="8" s="1"/>
  <c r="O57" i="8" s="1"/>
  <c r="F5" i="8"/>
  <c r="M5" i="8"/>
  <c r="M55" i="8" s="1"/>
  <c r="M57" i="8" s="1"/>
  <c r="P5" i="8"/>
  <c r="G5" i="8"/>
  <c r="G55" i="8" s="1"/>
  <c r="G57" i="8" s="1"/>
  <c r="Q5" i="8"/>
  <c r="Q55" i="8" s="1"/>
  <c r="Q57" i="8" s="1"/>
  <c r="I5" i="8"/>
  <c r="I55" i="8" s="1"/>
  <c r="I57" i="8" s="1"/>
  <c r="L5" i="8"/>
  <c r="L55" i="8" s="1"/>
  <c r="L57" i="8" s="1"/>
  <c r="J5" i="8"/>
  <c r="J55" i="8" s="1"/>
  <c r="J57" i="8" s="1"/>
  <c r="H5" i="8"/>
  <c r="H55" i="8" s="1"/>
  <c r="H57" i="8" s="1"/>
  <c r="K5" i="8"/>
  <c r="K55" i="8" s="1"/>
  <c r="K57" i="8" s="1"/>
  <c r="N5" i="8"/>
  <c r="N55" i="8" s="1"/>
  <c r="N57" i="8" s="1"/>
  <c r="F5" i="9"/>
  <c r="J5" i="9"/>
  <c r="J55" i="9" s="1"/>
  <c r="J57" i="9" s="1"/>
  <c r="N5" i="9"/>
  <c r="N55" i="9" s="1"/>
  <c r="N57" i="9" s="1"/>
  <c r="I5" i="9"/>
  <c r="I55" i="9" s="1"/>
  <c r="I57" i="9" s="1"/>
  <c r="K5" i="9"/>
  <c r="K55" i="9" s="1"/>
  <c r="K57" i="9" s="1"/>
  <c r="M5" i="9"/>
  <c r="M55" i="9" s="1"/>
  <c r="M57" i="9" s="1"/>
  <c r="L5" i="9"/>
  <c r="L55" i="9" s="1"/>
  <c r="L57" i="9" s="1"/>
  <c r="O5" i="9"/>
  <c r="O55" i="9" s="1"/>
  <c r="O57" i="9" s="1"/>
  <c r="P5" i="9"/>
  <c r="P55" i="9" s="1"/>
  <c r="P57" i="9" s="1"/>
  <c r="Q5" i="9"/>
  <c r="Q55" i="9" s="1"/>
  <c r="Q57" i="9" s="1"/>
  <c r="G5" i="9"/>
  <c r="G55" i="9" s="1"/>
  <c r="G57" i="9" s="1"/>
  <c r="H5" i="9"/>
  <c r="H55" i="9" s="1"/>
  <c r="H57" i="9" s="1"/>
  <c r="K5" i="7"/>
  <c r="K119" i="7" s="1"/>
  <c r="K121" i="7" s="1"/>
  <c r="K122" i="7" s="1"/>
  <c r="J5" i="7"/>
  <c r="J119" i="7" s="1"/>
  <c r="J121" i="7" s="1"/>
  <c r="J122" i="7" s="1"/>
  <c r="M5" i="7"/>
  <c r="M119" i="7" s="1"/>
  <c r="M121" i="7" s="1"/>
  <c r="M122" i="7" s="1"/>
  <c r="I5" i="7"/>
  <c r="I119" i="7" s="1"/>
  <c r="I121" i="7" s="1"/>
  <c r="I122" i="7" s="1"/>
  <c r="L5" i="7"/>
  <c r="L119" i="7" s="1"/>
  <c r="L121" i="7" s="1"/>
  <c r="L122" i="7" s="1"/>
  <c r="G5" i="7"/>
  <c r="G119" i="7" s="1"/>
  <c r="G121" i="7" s="1"/>
  <c r="G122" i="7" s="1"/>
  <c r="O5" i="7"/>
  <c r="O119" i="7" s="1"/>
  <c r="O121" i="7" s="1"/>
  <c r="O122" i="7" s="1"/>
  <c r="P5" i="7"/>
  <c r="P119" i="7" s="1"/>
  <c r="P121" i="7" s="1"/>
  <c r="P122" i="7" s="1"/>
  <c r="H5" i="7"/>
  <c r="H119" i="7" s="1"/>
  <c r="H121" i="7" s="1"/>
  <c r="H122" i="7" s="1"/>
  <c r="F5" i="7"/>
  <c r="F119" i="7" s="1"/>
  <c r="F121" i="7" s="1"/>
  <c r="F122" i="7" s="1"/>
  <c r="C26" i="20"/>
  <c r="C45" i="20"/>
  <c r="O6" i="6"/>
  <c r="C67" i="59" l="1"/>
  <c r="W109" i="59"/>
  <c r="Y109" i="59"/>
  <c r="F67" i="59"/>
  <c r="Y193" i="59"/>
  <c r="F153" i="59"/>
  <c r="C89" i="59"/>
  <c r="W130" i="59"/>
  <c r="F132" i="59"/>
  <c r="Y172" i="59"/>
  <c r="F89" i="59"/>
  <c r="Y130" i="59"/>
  <c r="C46" i="59"/>
  <c r="W87" i="59"/>
  <c r="C132" i="59"/>
  <c r="W172" i="59"/>
  <c r="C153" i="59"/>
  <c r="W193" i="59"/>
  <c r="F46" i="59"/>
  <c r="Y87" i="59"/>
  <c r="E8" i="16"/>
  <c r="H8" i="16" s="1"/>
  <c r="F8" i="16"/>
  <c r="I8" i="16" s="1"/>
  <c r="E49" i="16"/>
  <c r="Z151" i="59"/>
  <c r="W151" i="59"/>
  <c r="Y151" i="59"/>
  <c r="Q6" i="16"/>
  <c r="O15" i="15"/>
  <c r="H4" i="9"/>
  <c r="AA4" i="9"/>
  <c r="AB4" i="8"/>
  <c r="I4" i="8"/>
  <c r="O6" i="5"/>
  <c r="J4" i="7"/>
  <c r="J138" i="7" s="1"/>
  <c r="G34" i="2"/>
  <c r="G52" i="2" s="1"/>
  <c r="L72" i="22"/>
  <c r="L118" i="22"/>
  <c r="L8" i="22" s="1"/>
  <c r="AC4" i="7"/>
  <c r="E10" i="10"/>
  <c r="AH4" i="53" s="1"/>
  <c r="M72" i="22"/>
  <c r="N72" i="22" s="1"/>
  <c r="N6" i="16"/>
  <c r="M6" i="16"/>
  <c r="M7" i="16"/>
  <c r="O7" i="16" s="1"/>
  <c r="T7" i="16" s="1"/>
  <c r="U7" i="16" s="1"/>
  <c r="V7" i="16" s="1"/>
  <c r="C5" i="30"/>
  <c r="O9" i="29"/>
  <c r="O6" i="29"/>
  <c r="P6" i="29" s="1"/>
  <c r="Q6" i="29" s="1"/>
  <c r="R6" i="29" s="1"/>
  <c r="S6" i="29" s="1"/>
  <c r="O8" i="29"/>
  <c r="P8" i="29" s="1"/>
  <c r="Q8" i="29" s="1"/>
  <c r="R8" i="29" s="1"/>
  <c r="S8" i="29" s="1"/>
  <c r="O7" i="29"/>
  <c r="P7" i="29" s="1"/>
  <c r="Q7" i="29" s="1"/>
  <c r="R7" i="29" s="1"/>
  <c r="S7" i="29" s="1"/>
  <c r="J4" i="12"/>
  <c r="X7" i="12" s="1"/>
  <c r="G4" i="12"/>
  <c r="D4" i="12"/>
  <c r="M4" i="12"/>
  <c r="A23" i="27"/>
  <c r="H3" i="27"/>
  <c r="V10" i="7"/>
  <c r="A137" i="22"/>
  <c r="A90" i="22"/>
  <c r="B137" i="22"/>
  <c r="M137" i="22" s="1"/>
  <c r="B90" i="22"/>
  <c r="B136" i="22"/>
  <c r="M136" i="22" s="1"/>
  <c r="B89" i="22"/>
  <c r="A136" i="22"/>
  <c r="A89" i="22"/>
  <c r="B139" i="22"/>
  <c r="M139" i="22" s="1"/>
  <c r="B92" i="22"/>
  <c r="A139" i="22"/>
  <c r="A92" i="22"/>
  <c r="A91" i="22"/>
  <c r="B138" i="22"/>
  <c r="M138" i="22" s="1"/>
  <c r="B91" i="22"/>
  <c r="A138" i="22"/>
  <c r="ER7" i="53"/>
  <c r="EQ7" i="53"/>
  <c r="Q121" i="7"/>
  <c r="Q122" i="7" s="1"/>
  <c r="C39" i="21"/>
  <c r="C35" i="21"/>
  <c r="C38" i="21"/>
  <c r="C40" i="21"/>
  <c r="C36" i="21"/>
  <c r="C30" i="21"/>
  <c r="C32" i="21"/>
  <c r="C31" i="21"/>
  <c r="C14" i="21"/>
  <c r="C41" i="21"/>
  <c r="C15" i="21"/>
  <c r="C18" i="21"/>
  <c r="C16" i="21"/>
  <c r="C13" i="21"/>
  <c r="C17" i="21"/>
  <c r="C21" i="21"/>
  <c r="C9" i="21"/>
  <c r="C22" i="21"/>
  <c r="C10" i="21"/>
  <c r="C8" i="21"/>
  <c r="C20" i="21"/>
  <c r="C11" i="21"/>
  <c r="C33" i="21"/>
  <c r="C34" i="21"/>
  <c r="C12" i="21"/>
  <c r="C19" i="21"/>
  <c r="C37" i="21"/>
  <c r="V46" i="9"/>
  <c r="W46" i="9" s="1"/>
  <c r="V40" i="9"/>
  <c r="W40" i="9" s="1"/>
  <c r="V25" i="9"/>
  <c r="W25" i="9" s="1"/>
  <c r="V37" i="9"/>
  <c r="W37" i="9" s="1"/>
  <c r="V43" i="9"/>
  <c r="W43" i="9" s="1"/>
  <c r="W70" i="7"/>
  <c r="W57" i="7"/>
  <c r="W79" i="7"/>
  <c r="W73" i="7"/>
  <c r="W88" i="7"/>
  <c r="W82" i="7"/>
  <c r="W84" i="7"/>
  <c r="W75" i="7"/>
  <c r="W64" i="7"/>
  <c r="W66" i="7"/>
  <c r="V28" i="9"/>
  <c r="W28" i="9" s="1"/>
  <c r="V31" i="9"/>
  <c r="W31" i="9" s="1"/>
  <c r="V22" i="9"/>
  <c r="W22" i="9" s="1"/>
  <c r="W27" i="7"/>
  <c r="W36" i="7"/>
  <c r="W40" i="7"/>
  <c r="W42" i="7"/>
  <c r="W12" i="7"/>
  <c r="W18" i="7"/>
  <c r="W56" i="7"/>
  <c r="V19" i="8"/>
  <c r="W19" i="8" s="1"/>
  <c r="V58" i="7"/>
  <c r="V45" i="7"/>
  <c r="V33" i="7"/>
  <c r="V76" i="7"/>
  <c r="U59" i="7"/>
  <c r="V59" i="7"/>
  <c r="X59" i="7"/>
  <c r="U47" i="7"/>
  <c r="V47" i="7"/>
  <c r="X47" i="7"/>
  <c r="V30" i="7"/>
  <c r="W29" i="7"/>
  <c r="V16" i="9"/>
  <c r="W16" i="9" s="1"/>
  <c r="V13" i="9"/>
  <c r="W13" i="9" s="1"/>
  <c r="V85" i="7"/>
  <c r="V67" i="7"/>
  <c r="V50" i="7"/>
  <c r="U50" i="7"/>
  <c r="X50" i="7"/>
  <c r="V43" i="7"/>
  <c r="V37" i="7"/>
  <c r="X8" i="9"/>
  <c r="X9" i="9" s="1"/>
  <c r="V28" i="7"/>
  <c r="R5" i="9"/>
  <c r="T5" i="9" s="1"/>
  <c r="V5" i="9" s="1"/>
  <c r="V6" i="9" s="1"/>
  <c r="V7" i="9" s="1"/>
  <c r="W17" i="7"/>
  <c r="W23" i="7"/>
  <c r="V24" i="7"/>
  <c r="W20" i="7"/>
  <c r="V21" i="7"/>
  <c r="W11" i="7"/>
  <c r="P61" i="9"/>
  <c r="P134" i="7" s="1"/>
  <c r="M61" i="9"/>
  <c r="M134" i="7" s="1"/>
  <c r="K61" i="9"/>
  <c r="K134" i="7" s="1"/>
  <c r="L61" i="9"/>
  <c r="L134" i="7" s="1"/>
  <c r="I61" i="9"/>
  <c r="I134" i="7" s="1"/>
  <c r="G61" i="9"/>
  <c r="G134" i="7" s="1"/>
  <c r="N61" i="9"/>
  <c r="N134" i="7" s="1"/>
  <c r="O61" i="9"/>
  <c r="O134" i="7" s="1"/>
  <c r="Q61" i="9"/>
  <c r="Q134" i="7" s="1"/>
  <c r="W14" i="7"/>
  <c r="V15" i="7"/>
  <c r="V13" i="8"/>
  <c r="W13" i="8" s="1"/>
  <c r="V16" i="8"/>
  <c r="W16" i="8" s="1"/>
  <c r="R5" i="8"/>
  <c r="T5" i="8" s="1"/>
  <c r="V5" i="8" s="1"/>
  <c r="V6" i="8" s="1"/>
  <c r="V7" i="8" s="1"/>
  <c r="V19" i="7"/>
  <c r="V13" i="7"/>
  <c r="X41" i="7"/>
  <c r="U8" i="9"/>
  <c r="J61" i="8"/>
  <c r="J133" i="7" s="1"/>
  <c r="O61" i="8"/>
  <c r="O133" i="7" s="1"/>
  <c r="L61" i="8"/>
  <c r="L133" i="7" s="1"/>
  <c r="I61" i="8"/>
  <c r="I133" i="7" s="1"/>
  <c r="H61" i="8"/>
  <c r="H133" i="7" s="1"/>
  <c r="Q61" i="8"/>
  <c r="Q133" i="7" s="1"/>
  <c r="G61" i="8"/>
  <c r="G133" i="7" s="1"/>
  <c r="N61" i="8"/>
  <c r="N133" i="7" s="1"/>
  <c r="K61" i="8"/>
  <c r="K133" i="7" s="1"/>
  <c r="M61" i="8"/>
  <c r="M133" i="7" s="1"/>
  <c r="X23" i="7"/>
  <c r="F55" i="9"/>
  <c r="F57" i="9" s="1"/>
  <c r="X20" i="7"/>
  <c r="B55" i="8"/>
  <c r="H61" i="9"/>
  <c r="H134" i="7" s="1"/>
  <c r="J61" i="9"/>
  <c r="J134" i="7" s="1"/>
  <c r="W10" i="8"/>
  <c r="W9" i="8"/>
  <c r="P55" i="8"/>
  <c r="P57" i="8" s="1"/>
  <c r="U8" i="7"/>
  <c r="W8" i="7"/>
  <c r="W9" i="7"/>
  <c r="G16" i="2"/>
  <c r="F25" i="57" s="1"/>
  <c r="Q15" i="11"/>
  <c r="AO58" i="7"/>
  <c r="E30" i="20" s="1"/>
  <c r="X36" i="7"/>
  <c r="W8" i="8"/>
  <c r="X30" i="7"/>
  <c r="X33" i="7"/>
  <c r="X27" i="7"/>
  <c r="AO18" i="7"/>
  <c r="E21" i="20" s="1"/>
  <c r="AO8" i="7"/>
  <c r="E11" i="20" s="1"/>
  <c r="X9" i="7"/>
  <c r="R106" i="7"/>
  <c r="X56" i="7"/>
  <c r="X18" i="7"/>
  <c r="X12" i="7"/>
  <c r="H132" i="7"/>
  <c r="K132" i="7"/>
  <c r="X15" i="12"/>
  <c r="F55" i="8"/>
  <c r="F57" i="8" s="1"/>
  <c r="AD4" i="7"/>
  <c r="F10" i="10"/>
  <c r="P6" i="5" l="1"/>
  <c r="P6" i="6"/>
  <c r="H34" i="2"/>
  <c r="H52" i="2" s="1"/>
  <c r="AC4" i="8"/>
  <c r="J4" i="8"/>
  <c r="P15" i="15"/>
  <c r="I4" i="9"/>
  <c r="AB4" i="9"/>
  <c r="K4" i="7"/>
  <c r="K138" i="7" s="1"/>
  <c r="K139" i="7" s="1"/>
  <c r="T3" i="47"/>
  <c r="T48" i="47" s="1"/>
  <c r="I34" i="2"/>
  <c r="I52" i="2" s="1"/>
  <c r="EP7" i="53"/>
  <c r="X6" i="12"/>
  <c r="X11" i="12"/>
  <c r="Q5" i="12"/>
  <c r="X4" i="12"/>
  <c r="AP41" i="56"/>
  <c r="BA41" i="56"/>
  <c r="D2" i="30"/>
  <c r="F3" i="30" s="1"/>
  <c r="AP42" i="56"/>
  <c r="BA42" i="56"/>
  <c r="O42" i="56"/>
  <c r="D42" i="56"/>
  <c r="AP46" i="56"/>
  <c r="BA46" i="56"/>
  <c r="BP52" i="56" s="1"/>
  <c r="BP53" i="56" s="1"/>
  <c r="BO53" i="56" s="1"/>
  <c r="BR53" i="56" s="1"/>
  <c r="O46" i="56"/>
  <c r="AD52" i="56" s="1"/>
  <c r="AD53" i="56" s="1"/>
  <c r="AC53" i="56" s="1"/>
  <c r="AG53" i="56" s="1"/>
  <c r="D46" i="56"/>
  <c r="G17" i="51"/>
  <c r="P17" i="51" s="1"/>
  <c r="O41" i="56"/>
  <c r="D41" i="56"/>
  <c r="B106" i="22"/>
  <c r="M106" i="22" s="1"/>
  <c r="B60" i="22"/>
  <c r="A106" i="22"/>
  <c r="A60" i="22"/>
  <c r="B108" i="22"/>
  <c r="M108" i="22" s="1"/>
  <c r="B62" i="22"/>
  <c r="A108" i="22"/>
  <c r="A62" i="22"/>
  <c r="A115" i="22"/>
  <c r="A69" i="22"/>
  <c r="B115" i="22"/>
  <c r="M115" i="22" s="1"/>
  <c r="B69" i="22"/>
  <c r="A111" i="22"/>
  <c r="A65" i="22"/>
  <c r="B65" i="22"/>
  <c r="B111" i="22"/>
  <c r="M111" i="22" s="1"/>
  <c r="A79" i="22"/>
  <c r="B126" i="22"/>
  <c r="M126" i="22" s="1"/>
  <c r="B79" i="22"/>
  <c r="A126" i="22"/>
  <c r="B132" i="22"/>
  <c r="M132" i="22" s="1"/>
  <c r="B85" i="22"/>
  <c r="A132" i="22"/>
  <c r="A85" i="22"/>
  <c r="L92" i="22"/>
  <c r="M92" i="22"/>
  <c r="W92" i="22"/>
  <c r="L139" i="22"/>
  <c r="X138" i="22"/>
  <c r="A103" i="22"/>
  <c r="A57" i="22"/>
  <c r="B103" i="22"/>
  <c r="M103" i="22" s="1"/>
  <c r="B57" i="22"/>
  <c r="B131" i="22"/>
  <c r="M131" i="22" s="1"/>
  <c r="B84" i="22"/>
  <c r="A131" i="22"/>
  <c r="A84" i="22"/>
  <c r="B105" i="22"/>
  <c r="M105" i="22" s="1"/>
  <c r="B59" i="22"/>
  <c r="A105" i="22"/>
  <c r="A59" i="22"/>
  <c r="B110" i="22"/>
  <c r="M110" i="22" s="1"/>
  <c r="B64" i="22"/>
  <c r="A110" i="22"/>
  <c r="A64" i="22"/>
  <c r="B124" i="22"/>
  <c r="M124" i="22" s="1"/>
  <c r="B77" i="22"/>
  <c r="A124" i="22"/>
  <c r="A77" i="22"/>
  <c r="A129" i="22"/>
  <c r="A82" i="22"/>
  <c r="B82" i="22"/>
  <c r="B129" i="22"/>
  <c r="M129" i="22" s="1"/>
  <c r="X137" i="22"/>
  <c r="L138" i="22"/>
  <c r="B117" i="22"/>
  <c r="M117" i="22" s="1"/>
  <c r="B71" i="22"/>
  <c r="A117" i="22"/>
  <c r="A71" i="22"/>
  <c r="A107" i="22"/>
  <c r="A61" i="22"/>
  <c r="B107" i="22"/>
  <c r="M107" i="22" s="1"/>
  <c r="B61" i="22"/>
  <c r="A104" i="22"/>
  <c r="A58" i="22"/>
  <c r="B104" i="22"/>
  <c r="M104" i="22" s="1"/>
  <c r="B58" i="22"/>
  <c r="B109" i="22"/>
  <c r="M109" i="22" s="1"/>
  <c r="B63" i="22"/>
  <c r="A109" i="22"/>
  <c r="A63" i="22"/>
  <c r="A83" i="22"/>
  <c r="B130" i="22"/>
  <c r="M130" i="22" s="1"/>
  <c r="B83" i="22"/>
  <c r="A130" i="22"/>
  <c r="A133" i="22"/>
  <c r="A86" i="22"/>
  <c r="B133" i="22"/>
  <c r="M133" i="22" s="1"/>
  <c r="B86" i="22"/>
  <c r="W90" i="22"/>
  <c r="M90" i="22"/>
  <c r="L90" i="22"/>
  <c r="B128" i="22"/>
  <c r="M128" i="22" s="1"/>
  <c r="B81" i="22"/>
  <c r="A128" i="22"/>
  <c r="A81" i="22"/>
  <c r="A116" i="22"/>
  <c r="A70" i="22"/>
  <c r="B116" i="22"/>
  <c r="M116" i="22" s="1"/>
  <c r="B70" i="22"/>
  <c r="W89" i="22"/>
  <c r="L89" i="22"/>
  <c r="M89" i="22"/>
  <c r="X136" i="22"/>
  <c r="L137" i="22"/>
  <c r="B113" i="22"/>
  <c r="M113" i="22" s="1"/>
  <c r="B67" i="22"/>
  <c r="A113" i="22"/>
  <c r="A67" i="22"/>
  <c r="B114" i="22"/>
  <c r="M114" i="22" s="1"/>
  <c r="B68" i="22"/>
  <c r="A114" i="22"/>
  <c r="A68" i="22"/>
  <c r="B135" i="22"/>
  <c r="M135" i="22" s="1"/>
  <c r="B88" i="22"/>
  <c r="A135" i="22"/>
  <c r="A88" i="22"/>
  <c r="B127" i="22"/>
  <c r="M127" i="22" s="1"/>
  <c r="B80" i="22"/>
  <c r="A127" i="22"/>
  <c r="A80" i="22"/>
  <c r="A112" i="22"/>
  <c r="A66" i="22"/>
  <c r="B112" i="22"/>
  <c r="M112" i="22" s="1"/>
  <c r="B66" i="22"/>
  <c r="A125" i="22"/>
  <c r="A78" i="22"/>
  <c r="B125" i="22"/>
  <c r="M125" i="22" s="1"/>
  <c r="B78" i="22"/>
  <c r="A134" i="22"/>
  <c r="B134" i="22"/>
  <c r="M134" i="22" s="1"/>
  <c r="B87" i="22"/>
  <c r="A87" i="22"/>
  <c r="M91" i="22"/>
  <c r="L91" i="22"/>
  <c r="W91" i="22"/>
  <c r="X135" i="22"/>
  <c r="L136" i="22"/>
  <c r="AS4" i="53"/>
  <c r="Z3" i="47"/>
  <c r="W76" i="7"/>
  <c r="W58" i="7"/>
  <c r="W67" i="7"/>
  <c r="W85" i="7"/>
  <c r="W33" i="7"/>
  <c r="W45" i="7"/>
  <c r="W28" i="7"/>
  <c r="W30" i="7"/>
  <c r="W37" i="7"/>
  <c r="W43" i="7"/>
  <c r="Q132" i="7"/>
  <c r="Q135" i="7" s="1"/>
  <c r="W15" i="7"/>
  <c r="W13" i="7"/>
  <c r="W19" i="7"/>
  <c r="V46" i="7"/>
  <c r="V34" i="7"/>
  <c r="X60" i="7"/>
  <c r="AO57" i="7"/>
  <c r="E29" i="20" s="1"/>
  <c r="V60" i="7"/>
  <c r="W59" i="7"/>
  <c r="AO19" i="7"/>
  <c r="E22" i="20" s="1"/>
  <c r="X48" i="7"/>
  <c r="W47" i="7"/>
  <c r="V48" i="7"/>
  <c r="V31" i="7"/>
  <c r="X51" i="7"/>
  <c r="AO20" i="7"/>
  <c r="E23" i="20" s="1"/>
  <c r="W50" i="7"/>
  <c r="V51" i="7"/>
  <c r="W21" i="7"/>
  <c r="V22" i="7"/>
  <c r="W24" i="7"/>
  <c r="V25" i="7"/>
  <c r="F61" i="9"/>
  <c r="T58" i="8"/>
  <c r="V16" i="7"/>
  <c r="AO17" i="7"/>
  <c r="E20" i="20" s="1"/>
  <c r="X42" i="7"/>
  <c r="W9" i="9"/>
  <c r="W8" i="9"/>
  <c r="P61" i="8"/>
  <c r="P133" i="7" s="1"/>
  <c r="F61" i="8"/>
  <c r="F133" i="7" s="1"/>
  <c r="X24" i="7"/>
  <c r="AO11" i="7"/>
  <c r="E14" i="20" s="1"/>
  <c r="V55" i="9"/>
  <c r="X5" i="9"/>
  <c r="AO10" i="7"/>
  <c r="E13" i="20" s="1"/>
  <c r="X21" i="7"/>
  <c r="L132" i="7"/>
  <c r="L135" i="7" s="1"/>
  <c r="G132" i="7"/>
  <c r="G135" i="7" s="1"/>
  <c r="O132" i="7"/>
  <c r="O135" i="7" s="1"/>
  <c r="P132" i="7"/>
  <c r="M132" i="7"/>
  <c r="M135" i="7" s="1"/>
  <c r="J132" i="7"/>
  <c r="J135" i="7" s="1"/>
  <c r="I132" i="7"/>
  <c r="I135" i="7" s="1"/>
  <c r="F132" i="7"/>
  <c r="X5" i="8"/>
  <c r="W10" i="7"/>
  <c r="H16" i="2"/>
  <c r="G25" i="57" s="1"/>
  <c r="R15" i="11"/>
  <c r="T106" i="7"/>
  <c r="X57" i="7"/>
  <c r="AO56" i="7"/>
  <c r="E28" i="20" s="1"/>
  <c r="Q41" i="24"/>
  <c r="H135" i="7"/>
  <c r="K135" i="7"/>
  <c r="R55" i="8"/>
  <c r="Q40" i="24"/>
  <c r="Q24" i="24"/>
  <c r="L4" i="7"/>
  <c r="L138" i="7" s="1"/>
  <c r="L139" i="7" s="1"/>
  <c r="Q6" i="6"/>
  <c r="Q6" i="5"/>
  <c r="W7" i="16" l="1"/>
  <c r="P7" i="16" s="1"/>
  <c r="B59" i="16"/>
  <c r="Q15" i="15"/>
  <c r="AC4" i="9"/>
  <c r="J4" i="9"/>
  <c r="K4" i="8"/>
  <c r="AD4" i="8"/>
  <c r="AE4" i="7"/>
  <c r="G10" i="10"/>
  <c r="AF3" i="47" s="1"/>
  <c r="J34" i="2"/>
  <c r="J52" i="2" s="1"/>
  <c r="C30" i="51"/>
  <c r="BA40" i="56"/>
  <c r="G18" i="51"/>
  <c r="P18" i="51" s="1"/>
  <c r="C18" i="51"/>
  <c r="AP54" i="56"/>
  <c r="BA54" i="56"/>
  <c r="BO52" i="56" s="1"/>
  <c r="BR52" i="56" s="1"/>
  <c r="C17" i="51"/>
  <c r="O54" i="56"/>
  <c r="D54" i="56"/>
  <c r="AC52" i="56" s="1"/>
  <c r="AG52" i="56" s="1"/>
  <c r="L80" i="22"/>
  <c r="W80" i="22"/>
  <c r="M80" i="22"/>
  <c r="X127" i="22"/>
  <c r="L128" i="22"/>
  <c r="W58" i="22"/>
  <c r="M58" i="22"/>
  <c r="L58" i="22"/>
  <c r="L127" i="22"/>
  <c r="X126" i="22"/>
  <c r="W86" i="22"/>
  <c r="M86" i="22"/>
  <c r="L86" i="22"/>
  <c r="X117" i="22"/>
  <c r="L117" i="22"/>
  <c r="M87" i="22"/>
  <c r="W87" i="22"/>
  <c r="L87" i="22"/>
  <c r="X124" i="22"/>
  <c r="L125" i="22"/>
  <c r="X132" i="22"/>
  <c r="L133" i="22"/>
  <c r="X109" i="22"/>
  <c r="L109" i="22"/>
  <c r="X128" i="22"/>
  <c r="L129" i="22"/>
  <c r="X110" i="22"/>
  <c r="L110" i="22"/>
  <c r="L57" i="22"/>
  <c r="M57" i="22"/>
  <c r="W57" i="22"/>
  <c r="W85" i="22"/>
  <c r="L85" i="22"/>
  <c r="M85" i="22"/>
  <c r="M79" i="22"/>
  <c r="W79" i="22"/>
  <c r="L79" i="22"/>
  <c r="X133" i="22"/>
  <c r="L134" i="22"/>
  <c r="W67" i="22"/>
  <c r="M67" i="22"/>
  <c r="L67" i="22"/>
  <c r="W71" i="22"/>
  <c r="M71" i="22"/>
  <c r="L71" i="22"/>
  <c r="L104" i="22"/>
  <c r="X104" i="22"/>
  <c r="M82" i="22"/>
  <c r="L82" i="22"/>
  <c r="W82" i="22"/>
  <c r="M64" i="22"/>
  <c r="L64" i="22"/>
  <c r="W64" i="22"/>
  <c r="M68" i="22"/>
  <c r="W68" i="22"/>
  <c r="L68" i="22"/>
  <c r="L84" i="22"/>
  <c r="M84" i="22"/>
  <c r="W84" i="22"/>
  <c r="X103" i="22"/>
  <c r="L103" i="22"/>
  <c r="L132" i="22"/>
  <c r="X131" i="22"/>
  <c r="L69" i="22"/>
  <c r="W69" i="22"/>
  <c r="M69" i="22"/>
  <c r="M60" i="22"/>
  <c r="W60" i="22"/>
  <c r="L60" i="22"/>
  <c r="W78" i="22"/>
  <c r="M78" i="22"/>
  <c r="L78" i="22"/>
  <c r="X113" i="22"/>
  <c r="L113" i="22"/>
  <c r="M63" i="22"/>
  <c r="L63" i="22"/>
  <c r="W63" i="22"/>
  <c r="X114" i="22"/>
  <c r="L114" i="22"/>
  <c r="W70" i="22"/>
  <c r="L70" i="22"/>
  <c r="M70" i="22"/>
  <c r="X129" i="22"/>
  <c r="L130" i="22"/>
  <c r="W77" i="22"/>
  <c r="M77" i="22"/>
  <c r="L77" i="22"/>
  <c r="L131" i="22"/>
  <c r="X130" i="22"/>
  <c r="L115" i="22"/>
  <c r="X115" i="22"/>
  <c r="X106" i="22"/>
  <c r="L106" i="22"/>
  <c r="X116" i="22"/>
  <c r="L116" i="22"/>
  <c r="W66" i="22"/>
  <c r="L66" i="22"/>
  <c r="M66" i="22"/>
  <c r="L88" i="22"/>
  <c r="W88" i="22"/>
  <c r="M88" i="22"/>
  <c r="L107" i="22"/>
  <c r="X107" i="22"/>
  <c r="W59" i="22"/>
  <c r="M59" i="22"/>
  <c r="L59" i="22"/>
  <c r="L65" i="22"/>
  <c r="M65" i="22"/>
  <c r="W65" i="22"/>
  <c r="W62" i="22"/>
  <c r="L62" i="22"/>
  <c r="M62" i="22"/>
  <c r="L61" i="22"/>
  <c r="W61" i="22"/>
  <c r="M61" i="22"/>
  <c r="L124" i="22"/>
  <c r="X123" i="22"/>
  <c r="L112" i="22"/>
  <c r="X112" i="22"/>
  <c r="L135" i="22"/>
  <c r="X134" i="22"/>
  <c r="W81" i="22"/>
  <c r="L81" i="22"/>
  <c r="M81" i="22"/>
  <c r="M83" i="22"/>
  <c r="L83" i="22"/>
  <c r="W83" i="22"/>
  <c r="X105" i="22"/>
  <c r="L105" i="22"/>
  <c r="X125" i="22"/>
  <c r="L126" i="22"/>
  <c r="X111" i="22"/>
  <c r="L111" i="22"/>
  <c r="X108" i="22"/>
  <c r="L108" i="22"/>
  <c r="G22" i="51"/>
  <c r="P22" i="51" s="1"/>
  <c r="C22" i="51"/>
  <c r="Z48" i="47"/>
  <c r="W60" i="7"/>
  <c r="W51" i="7"/>
  <c r="W31" i="7"/>
  <c r="W34" i="7"/>
  <c r="W46" i="7"/>
  <c r="W25" i="7"/>
  <c r="W16" i="7"/>
  <c r="W22" i="7"/>
  <c r="V61" i="7"/>
  <c r="W48" i="7"/>
  <c r="V49" i="7"/>
  <c r="V52" i="7"/>
  <c r="R61" i="9"/>
  <c r="R134" i="7" s="1"/>
  <c r="F134" i="7"/>
  <c r="F135" i="7" s="1"/>
  <c r="W10" i="9"/>
  <c r="R61" i="8"/>
  <c r="R133" i="7" s="1"/>
  <c r="T55" i="9"/>
  <c r="V56" i="9"/>
  <c r="P135" i="7"/>
  <c r="I16" i="2"/>
  <c r="B27" i="57" s="1"/>
  <c r="S15" i="11"/>
  <c r="V107" i="7"/>
  <c r="V106" i="7"/>
  <c r="T55" i="8"/>
  <c r="V56" i="8"/>
  <c r="V55" i="8"/>
  <c r="R6" i="5"/>
  <c r="M4" i="7"/>
  <c r="M138" i="7" s="1"/>
  <c r="M139" i="7" s="1"/>
  <c r="R6" i="6"/>
  <c r="AF4" i="7"/>
  <c r="H10" i="10"/>
  <c r="B72" i="16" l="1"/>
  <c r="B62" i="16"/>
  <c r="W8" i="16"/>
  <c r="S7" i="16" s="1"/>
  <c r="BD4" i="53"/>
  <c r="L4" i="8"/>
  <c r="AE4" i="8"/>
  <c r="R15" i="15"/>
  <c r="AD4" i="9"/>
  <c r="K4" i="9"/>
  <c r="O40" i="56"/>
  <c r="K34" i="2"/>
  <c r="K52" i="2" s="1"/>
  <c r="G16" i="51"/>
  <c r="P16" i="51" s="1"/>
  <c r="R17" i="51"/>
  <c r="F17" i="51"/>
  <c r="F22" i="51"/>
  <c r="R22" i="51"/>
  <c r="F18" i="51"/>
  <c r="R18" i="51"/>
  <c r="G30" i="51"/>
  <c r="P30" i="51" s="1"/>
  <c r="R30" i="51" s="1"/>
  <c r="D40" i="56"/>
  <c r="AP40" i="56"/>
  <c r="BA39" i="56"/>
  <c r="D39" i="56"/>
  <c r="O39" i="56"/>
  <c r="C15" i="51"/>
  <c r="AP39" i="56"/>
  <c r="BA45" i="56"/>
  <c r="AP45" i="56"/>
  <c r="C21" i="51"/>
  <c r="O45" i="56"/>
  <c r="D45" i="56"/>
  <c r="AF48" i="47"/>
  <c r="BO4" i="53"/>
  <c r="AL3" i="47"/>
  <c r="P58" i="8"/>
  <c r="P59" i="8" s="1"/>
  <c r="Q58" i="8"/>
  <c r="Q59" i="8" s="1"/>
  <c r="P58" i="9"/>
  <c r="P59" i="9" s="1"/>
  <c r="P128" i="7" s="1"/>
  <c r="Q58" i="9"/>
  <c r="Q59" i="9" s="1"/>
  <c r="Q128" i="7" s="1"/>
  <c r="I58" i="9"/>
  <c r="I59" i="9" s="1"/>
  <c r="I128" i="7" s="1"/>
  <c r="J58" i="9"/>
  <c r="J59" i="9" s="1"/>
  <c r="J128" i="7" s="1"/>
  <c r="J58" i="8"/>
  <c r="J59" i="8" s="1"/>
  <c r="I58" i="8"/>
  <c r="I59" i="8" s="1"/>
  <c r="F58" i="8"/>
  <c r="F59" i="8" s="1"/>
  <c r="G58" i="8"/>
  <c r="G59" i="8" s="1"/>
  <c r="H58" i="8"/>
  <c r="H59" i="8" s="1"/>
  <c r="F58" i="9"/>
  <c r="F59" i="9" s="1"/>
  <c r="H58" i="9"/>
  <c r="H59" i="9" s="1"/>
  <c r="H128" i="7" s="1"/>
  <c r="G58" i="9"/>
  <c r="G59" i="9" s="1"/>
  <c r="G128" i="7" s="1"/>
  <c r="N58" i="9"/>
  <c r="N59" i="9" s="1"/>
  <c r="N128" i="7" s="1"/>
  <c r="M58" i="9"/>
  <c r="M59" i="9" s="1"/>
  <c r="M128" i="7" s="1"/>
  <c r="K58" i="9"/>
  <c r="K59" i="9" s="1"/>
  <c r="K128" i="7" s="1"/>
  <c r="O58" i="9"/>
  <c r="O59" i="9" s="1"/>
  <c r="O128" i="7" s="1"/>
  <c r="L58" i="9"/>
  <c r="L59" i="9" s="1"/>
  <c r="L128" i="7" s="1"/>
  <c r="L58" i="8"/>
  <c r="L59" i="8" s="1"/>
  <c r="N58" i="8"/>
  <c r="N59" i="8" s="1"/>
  <c r="K58" i="8"/>
  <c r="K59" i="8" s="1"/>
  <c r="O58" i="8"/>
  <c r="O59" i="8" s="1"/>
  <c r="M58" i="8"/>
  <c r="M59" i="8" s="1"/>
  <c r="W61" i="7"/>
  <c r="W52" i="7"/>
  <c r="W49" i="7"/>
  <c r="V57" i="9"/>
  <c r="Q54" i="8"/>
  <c r="P54" i="8"/>
  <c r="H54" i="8"/>
  <c r="O54" i="8"/>
  <c r="G54" i="8"/>
  <c r="N54" i="8"/>
  <c r="F54" i="8"/>
  <c r="M54" i="8"/>
  <c r="L54" i="8"/>
  <c r="K54" i="8"/>
  <c r="J54" i="8"/>
  <c r="I54" i="8"/>
  <c r="J16" i="2"/>
  <c r="C27" i="57" s="1"/>
  <c r="T15" i="11"/>
  <c r="V108" i="7"/>
  <c r="V57" i="8"/>
  <c r="J139" i="7"/>
  <c r="S6" i="6"/>
  <c r="N4" i="7"/>
  <c r="N138" i="7" s="1"/>
  <c r="N139" i="7" s="1"/>
  <c r="S6" i="5"/>
  <c r="AG4" i="7"/>
  <c r="I10" i="10"/>
  <c r="S15" i="15" l="1"/>
  <c r="L4" i="9"/>
  <c r="AE4" i="9"/>
  <c r="M4" i="8"/>
  <c r="AF4" i="8"/>
  <c r="L34" i="2"/>
  <c r="L52" i="2" s="1"/>
  <c r="C16" i="51"/>
  <c r="F16" i="51"/>
  <c r="R16" i="51"/>
  <c r="F30" i="51"/>
  <c r="D48" i="56"/>
  <c r="BA48" i="56"/>
  <c r="BD48" i="56" s="1"/>
  <c r="G15" i="51"/>
  <c r="P15" i="51" s="1"/>
  <c r="R15" i="51" s="1"/>
  <c r="O48" i="56"/>
  <c r="R48" i="56" s="1"/>
  <c r="G21" i="51"/>
  <c r="P21" i="51" s="1"/>
  <c r="R21" i="51" s="1"/>
  <c r="AP48" i="56"/>
  <c r="AL48" i="47"/>
  <c r="BZ4" i="53"/>
  <c r="AR3" i="47"/>
  <c r="F128" i="7"/>
  <c r="R128" i="7" s="1"/>
  <c r="R59" i="9"/>
  <c r="F8" i="11" s="1"/>
  <c r="Q127" i="7"/>
  <c r="M127" i="7"/>
  <c r="G127" i="7"/>
  <c r="O127" i="7"/>
  <c r="L127" i="7"/>
  <c r="F127" i="7"/>
  <c r="K16" i="2"/>
  <c r="D27" i="57" s="1"/>
  <c r="U15" i="11"/>
  <c r="Q23" i="24"/>
  <c r="J10" i="10"/>
  <c r="AH4" i="7"/>
  <c r="T6" i="6"/>
  <c r="T6" i="5"/>
  <c r="O4" i="7"/>
  <c r="O138" i="7" s="1"/>
  <c r="O139" i="7" s="1"/>
  <c r="AO45" i="59" l="1"/>
  <c r="AO87" i="59" s="1"/>
  <c r="AG4" i="8"/>
  <c r="N4" i="8"/>
  <c r="T15" i="15"/>
  <c r="AF4" i="9"/>
  <c r="M4" i="9"/>
  <c r="M34" i="2"/>
  <c r="M52" i="2" s="1"/>
  <c r="F21" i="51"/>
  <c r="F15" i="51"/>
  <c r="K3" i="30"/>
  <c r="P24" i="51"/>
  <c r="G24" i="51"/>
  <c r="C24" i="51"/>
  <c r="N9" i="29"/>
  <c r="P9" i="29" s="1"/>
  <c r="Q9" i="29" s="1"/>
  <c r="R9" i="29" s="1"/>
  <c r="S9" i="29" s="1"/>
  <c r="CK4" i="53"/>
  <c r="AX3" i="47"/>
  <c r="AR48" i="47"/>
  <c r="R58" i="8"/>
  <c r="H127" i="7"/>
  <c r="N127" i="7"/>
  <c r="K127" i="7"/>
  <c r="P127" i="7"/>
  <c r="I127" i="7"/>
  <c r="L16" i="2"/>
  <c r="E27" i="57" s="1"/>
  <c r="V15" i="11"/>
  <c r="P4" i="7"/>
  <c r="P138" i="7" s="1"/>
  <c r="P139" i="7" s="1"/>
  <c r="U6" i="6"/>
  <c r="U6" i="5"/>
  <c r="K10" i="10"/>
  <c r="AI4" i="7"/>
  <c r="E46" i="59" l="1"/>
  <c r="U15" i="15"/>
  <c r="AG4" i="9"/>
  <c r="N4" i="9"/>
  <c r="AH4" i="8"/>
  <c r="O4" i="8"/>
  <c r="R4" i="10"/>
  <c r="N34" i="2"/>
  <c r="N52" i="2" s="1"/>
  <c r="F24" i="51"/>
  <c r="R24" i="51"/>
  <c r="L2" i="30"/>
  <c r="L3" i="30"/>
  <c r="K7" i="30"/>
  <c r="D3" i="30" s="1"/>
  <c r="CV4" i="53"/>
  <c r="BD3" i="47"/>
  <c r="AX48" i="47"/>
  <c r="R59" i="8"/>
  <c r="F7" i="11" s="1"/>
  <c r="C7" i="11" s="1"/>
  <c r="A24" i="11" s="1"/>
  <c r="J127" i="7"/>
  <c r="M16" i="2"/>
  <c r="F27" i="57" s="1"/>
  <c r="W15" i="11"/>
  <c r="V6" i="6"/>
  <c r="V6" i="5"/>
  <c r="Q4" i="7"/>
  <c r="Q138" i="7" s="1"/>
  <c r="Q139" i="7" s="1"/>
  <c r="AJ4" i="7"/>
  <c r="L10" i="10"/>
  <c r="P4" i="8" l="1"/>
  <c r="AI4" i="8"/>
  <c r="V15" i="15"/>
  <c r="AH4" i="9"/>
  <c r="O4" i="9"/>
  <c r="DG4" i="53"/>
  <c r="BJ3" i="47"/>
  <c r="BD48" i="47"/>
  <c r="K3" i="7"/>
  <c r="R127" i="7"/>
  <c r="B8" i="10"/>
  <c r="A8" i="10"/>
  <c r="D8" i="10"/>
  <c r="C8" i="10"/>
  <c r="E8" i="10"/>
  <c r="F8" i="10"/>
  <c r="G8" i="10"/>
  <c r="H8" i="10"/>
  <c r="I8" i="10"/>
  <c r="J8" i="10"/>
  <c r="L8" i="10"/>
  <c r="K8" i="10"/>
  <c r="N16" i="2"/>
  <c r="G27" i="57" s="1"/>
  <c r="X15" i="11"/>
  <c r="BD7" i="5"/>
  <c r="BE7" i="5" s="1"/>
  <c r="C6" i="5" s="1"/>
  <c r="BD8" i="5"/>
  <c r="BE8" i="5" s="1"/>
  <c r="D6" i="5" s="1"/>
  <c r="K3" i="8" s="1"/>
  <c r="BD7" i="6"/>
  <c r="BE7" i="6" s="1"/>
  <c r="C6" i="6" s="1"/>
  <c r="BD8" i="6"/>
  <c r="BE8" i="6" s="1"/>
  <c r="D6" i="6" s="1"/>
  <c r="K3" i="9" s="1"/>
  <c r="J3" i="7"/>
  <c r="M10" i="10"/>
  <c r="AK4" i="7"/>
  <c r="W15" i="15" l="1"/>
  <c r="AI4" i="9"/>
  <c r="P4" i="9"/>
  <c r="AJ4" i="8"/>
  <c r="Q4" i="8"/>
  <c r="AK4" i="8" s="1"/>
  <c r="BJ48" i="47"/>
  <c r="M8" i="10"/>
  <c r="M9" i="10" s="1"/>
  <c r="DR4" i="53"/>
  <c r="BP3" i="47"/>
  <c r="F3" i="7"/>
  <c r="B2" i="7" s="1"/>
  <c r="J9" i="10"/>
  <c r="G9" i="10"/>
  <c r="D9" i="10"/>
  <c r="E9" i="10"/>
  <c r="C9" i="10"/>
  <c r="AO8" i="6"/>
  <c r="AO9" i="6"/>
  <c r="AO10" i="6"/>
  <c r="AO7" i="6"/>
  <c r="AO23" i="6"/>
  <c r="AO18" i="6"/>
  <c r="AO14" i="6"/>
  <c r="AO16" i="6"/>
  <c r="AO15" i="6"/>
  <c r="AO17" i="6"/>
  <c r="AO22" i="6"/>
  <c r="AO21" i="6"/>
  <c r="AO13" i="6"/>
  <c r="AO12" i="6"/>
  <c r="AO20" i="6"/>
  <c r="J3" i="9"/>
  <c r="F3" i="9" s="1"/>
  <c r="AO11" i="6"/>
  <c r="AO19" i="6"/>
  <c r="AO9" i="5"/>
  <c r="AO10" i="5"/>
  <c r="AO18" i="5"/>
  <c r="AO17" i="5"/>
  <c r="AO19" i="5"/>
  <c r="AO11" i="5"/>
  <c r="AO13" i="5"/>
  <c r="AO8" i="5"/>
  <c r="AO20" i="5"/>
  <c r="AO12" i="5"/>
  <c r="AO21" i="5"/>
  <c r="AO16" i="5"/>
  <c r="AO22" i="5"/>
  <c r="AO14" i="5"/>
  <c r="AO23" i="5"/>
  <c r="AO15" i="5"/>
  <c r="AO7" i="5"/>
  <c r="Y15" i="11"/>
  <c r="J3" i="8"/>
  <c r="F3" i="8" s="1"/>
  <c r="X15" i="15" l="1"/>
  <c r="Q4" i="9"/>
  <c r="AJ4" i="9"/>
  <c r="BP48" i="47"/>
  <c r="M3" i="7"/>
  <c r="B2" i="8"/>
  <c r="M3" i="8"/>
  <c r="B2" i="9"/>
  <c r="M3" i="9"/>
  <c r="AK4" i="9" l="1"/>
  <c r="Y15" i="15"/>
  <c r="X8" i="12"/>
  <c r="X16" i="12" s="1"/>
  <c r="L8" i="20" l="1"/>
  <c r="N5" i="7"/>
  <c r="N119" i="7" s="1"/>
  <c r="N121" i="7" s="1"/>
  <c r="N122" i="7" s="1"/>
  <c r="C7" i="21" l="1"/>
  <c r="C25" i="21" s="1"/>
  <c r="AN5" i="7"/>
  <c r="F8" i="20" s="1"/>
  <c r="R5" i="7"/>
  <c r="T5" i="7" s="1"/>
  <c r="B102" i="22" l="1"/>
  <c r="M102" i="22" s="1"/>
  <c r="B56" i="22"/>
  <c r="A102" i="22"/>
  <c r="X102" i="22" s="1"/>
  <c r="A56" i="22"/>
  <c r="V5" i="7"/>
  <c r="R119" i="7"/>
  <c r="X5" i="7"/>
  <c r="AO5" i="7" s="1"/>
  <c r="E8" i="20" s="1"/>
  <c r="N132" i="7"/>
  <c r="M56" i="22" l="1"/>
  <c r="L56" i="22"/>
  <c r="W56" i="22"/>
  <c r="L102" i="22"/>
  <c r="V6" i="7"/>
  <c r="V7" i="7" l="1"/>
  <c r="R132" i="7"/>
  <c r="R135" i="7" s="1"/>
  <c r="N135" i="7"/>
  <c r="M4" i="10" l="1"/>
  <c r="H9" i="10" s="1"/>
  <c r="I9" i="10" l="1"/>
  <c r="K9" i="10"/>
  <c r="B9" i="10"/>
  <c r="L9" i="10"/>
  <c r="M7" i="10"/>
  <c r="M6" i="10"/>
  <c r="F9" i="10"/>
  <c r="C11" i="10" l="1"/>
  <c r="C12" i="10" s="1"/>
  <c r="G11" i="10"/>
  <c r="G12" i="10" s="1"/>
  <c r="M11" i="10"/>
  <c r="M12" i="10" s="1"/>
  <c r="F11" i="10"/>
  <c r="F12" i="10" s="1"/>
  <c r="L11" i="10"/>
  <c r="L12" i="10" s="1"/>
  <c r="J11" i="10"/>
  <c r="J12" i="10" s="1"/>
  <c r="I11" i="10"/>
  <c r="I12" i="10" s="1"/>
  <c r="D11" i="10"/>
  <c r="D12" i="10" s="1"/>
  <c r="H11" i="10"/>
  <c r="H12" i="10" s="1"/>
  <c r="B11" i="10"/>
  <c r="B12" i="10" s="1"/>
  <c r="K11" i="10"/>
  <c r="K12" i="10" s="1"/>
  <c r="E11" i="10"/>
  <c r="E12" i="10" s="1"/>
  <c r="V119" i="7" l="1"/>
  <c r="T121" i="7"/>
  <c r="T119" i="7"/>
  <c r="F123" i="7" l="1"/>
  <c r="P123" i="7"/>
  <c r="G123" i="7"/>
  <c r="Q123" i="7"/>
  <c r="H123" i="7"/>
  <c r="J123" i="7"/>
  <c r="I123" i="7"/>
  <c r="O123" i="7"/>
  <c r="L123" i="7"/>
  <c r="M123" i="7"/>
  <c r="K123" i="7"/>
  <c r="N123" i="7"/>
  <c r="V121" i="7"/>
  <c r="V120" i="7"/>
  <c r="O126" i="7" l="1"/>
  <c r="O130" i="7" s="1"/>
  <c r="O137" i="7" s="1"/>
  <c r="K13" i="10" s="1"/>
  <c r="G126" i="7"/>
  <c r="G130" i="7" s="1"/>
  <c r="G137" i="7" s="1"/>
  <c r="C13" i="10" s="1"/>
  <c r="N126" i="7"/>
  <c r="N130" i="7" s="1"/>
  <c r="N137" i="7" s="1"/>
  <c r="J13" i="10" s="1"/>
  <c r="F126" i="7"/>
  <c r="F130" i="7" s="1"/>
  <c r="F137" i="7" s="1"/>
  <c r="B13" i="10" s="1"/>
  <c r="I126" i="7"/>
  <c r="I130" i="7" s="1"/>
  <c r="I137" i="7" s="1"/>
  <c r="E13" i="10" s="1"/>
  <c r="H126" i="7"/>
  <c r="H130" i="7" s="1"/>
  <c r="H137" i="7" s="1"/>
  <c r="D13" i="10" s="1"/>
  <c r="M126" i="7"/>
  <c r="M130" i="7" s="1"/>
  <c r="M137" i="7" s="1"/>
  <c r="I13" i="10" s="1"/>
  <c r="L126" i="7"/>
  <c r="L130" i="7" s="1"/>
  <c r="L137" i="7" s="1"/>
  <c r="H13" i="10" s="1"/>
  <c r="K126" i="7"/>
  <c r="K130" i="7" s="1"/>
  <c r="K137" i="7" s="1"/>
  <c r="G13" i="10" s="1"/>
  <c r="J126" i="7"/>
  <c r="J130" i="7" s="1"/>
  <c r="J137" i="7" s="1"/>
  <c r="F13" i="10" s="1"/>
  <c r="P126" i="7"/>
  <c r="P130" i="7" s="1"/>
  <c r="P137" i="7" s="1"/>
  <c r="L13" i="10" s="1"/>
  <c r="R122" i="7" l="1"/>
  <c r="Q126" i="7"/>
  <c r="R123" i="7"/>
  <c r="F6" i="11" l="1"/>
  <c r="W4" i="16" s="1"/>
  <c r="Q130" i="7"/>
  <c r="R126" i="7"/>
  <c r="F10" i="11" l="1"/>
  <c r="H8" i="11"/>
  <c r="Q137" i="7"/>
  <c r="R130" i="7"/>
  <c r="A6" i="16" l="1"/>
  <c r="A5" i="16"/>
  <c r="J42" i="16"/>
  <c r="M13" i="10"/>
  <c r="J39" i="16"/>
  <c r="F14" i="11"/>
  <c r="R137" i="7"/>
  <c r="E42" i="16" l="1"/>
  <c r="B42" i="16"/>
  <c r="H42" i="16"/>
  <c r="A44" i="16"/>
  <c r="O13" i="10"/>
  <c r="G15" i="11"/>
  <c r="F15" i="11"/>
  <c r="F16" i="11" s="1"/>
  <c r="A14" i="16"/>
  <c r="A11" i="16"/>
  <c r="A10" i="16"/>
  <c r="F22" i="11" l="1"/>
  <c r="D7" i="29" l="1"/>
  <c r="F23" i="11"/>
  <c r="E23" i="11"/>
  <c r="E22" i="11"/>
  <c r="BA37" i="56" l="1"/>
  <c r="BD37" i="56" s="1"/>
  <c r="AP37" i="56"/>
  <c r="D37" i="56"/>
  <c r="AC47" i="56" s="1"/>
  <c r="AC49" i="56" s="1"/>
  <c r="O37" i="56"/>
  <c r="C13" i="51"/>
  <c r="G13" i="51"/>
  <c r="F13" i="51" l="1"/>
  <c r="BP47" i="56"/>
  <c r="BP49" i="56" s="1"/>
  <c r="BO49" i="56" s="1"/>
  <c r="BR49" i="56" s="1"/>
  <c r="BO47" i="56"/>
  <c r="R37" i="56"/>
  <c r="AD47" i="56"/>
  <c r="AD49" i="56" s="1"/>
  <c r="AG49" i="56" s="1"/>
  <c r="P13" i="51"/>
  <c r="R13" i="51" s="1"/>
  <c r="R55" i="9" l="1"/>
  <c r="AA7" i="21" l="1"/>
  <c r="AA40" i="21" l="1"/>
  <c r="AA16" i="21"/>
  <c r="AA18" i="21"/>
  <c r="AA37" i="21"/>
  <c r="AA12" i="21"/>
  <c r="AA34" i="21"/>
  <c r="AA8" i="21"/>
  <c r="AA39" i="21"/>
  <c r="AA15" i="21"/>
  <c r="AA32" i="21"/>
  <c r="AA11" i="21"/>
  <c r="AA35" i="21"/>
  <c r="AA9" i="21"/>
  <c r="AA31" i="21"/>
  <c r="AA13" i="21"/>
  <c r="AA10" i="21"/>
  <c r="AA38" i="21"/>
  <c r="AA33" i="21"/>
  <c r="AA17" i="21"/>
  <c r="AA30" i="21"/>
  <c r="AA36" i="21"/>
  <c r="AA22" i="21"/>
  <c r="AA19" i="21"/>
  <c r="AA21" i="21" l="1"/>
  <c r="AA20" i="21"/>
  <c r="AA14" i="21"/>
  <c r="AB48" i="21"/>
  <c r="AA41" i="21"/>
  <c r="AB49" i="21" l="1"/>
  <c r="AC44" i="21"/>
  <c r="AC20" i="21"/>
  <c r="AC21" i="21"/>
  <c r="AC41" i="21"/>
  <c r="AC42" i="21"/>
  <c r="AC43" i="21"/>
  <c r="AC45" i="21"/>
  <c r="AC14" i="21"/>
  <c r="AC40" i="21" l="1"/>
  <c r="AC10" i="21"/>
  <c r="AC34" i="21"/>
  <c r="AC36" i="21"/>
  <c r="AC17" i="21"/>
  <c r="AC18" i="21"/>
  <c r="AC33" i="21"/>
  <c r="AC35" i="21"/>
  <c r="AC12" i="21"/>
  <c r="AC39" i="21"/>
  <c r="AC8" i="21"/>
  <c r="AC30" i="21"/>
  <c r="AC13" i="21"/>
  <c r="AC37" i="21"/>
  <c r="AC32" i="21"/>
  <c r="AC15" i="21"/>
  <c r="AC16" i="21"/>
  <c r="AC38" i="21"/>
  <c r="AC11" i="21"/>
  <c r="AC22" i="21"/>
  <c r="AC9" i="21"/>
  <c r="AC31" i="21"/>
  <c r="AC19" i="21"/>
  <c r="Q21" i="24" l="1"/>
  <c r="Q38" i="24"/>
  <c r="Q39" i="24"/>
  <c r="Q14" i="24"/>
  <c r="Q36" i="24"/>
  <c r="Q35" i="24"/>
  <c r="Q20" i="24"/>
  <c r="Q37" i="24"/>
  <c r="AQ152" i="59" l="1"/>
  <c r="H153" i="59" s="1"/>
  <c r="AP152" i="59"/>
  <c r="G153" i="59" s="1"/>
  <c r="AO152" i="59"/>
  <c r="E153" i="59" s="1"/>
  <c r="Q32" i="24"/>
  <c r="Q10" i="24"/>
  <c r="Q22" i="24"/>
  <c r="Q31" i="24"/>
  <c r="Q13" i="24"/>
  <c r="Q30" i="24"/>
  <c r="Q26" i="24"/>
  <c r="Q17" i="24"/>
  <c r="Q12" i="24"/>
  <c r="Q28" i="24"/>
  <c r="Q16" i="24"/>
  <c r="Q33" i="24"/>
  <c r="Q15" i="24"/>
  <c r="Q11" i="24"/>
  <c r="Q18" i="24"/>
  <c r="Q27" i="24"/>
  <c r="Q34" i="24"/>
  <c r="Q29" i="24"/>
  <c r="Q19" i="24"/>
  <c r="Q9" i="24"/>
  <c r="AP193" i="59" l="1"/>
  <c r="AQ193" i="59"/>
  <c r="AO193" i="59"/>
  <c r="AO194" i="59"/>
  <c r="E195" i="59" s="1"/>
  <c r="AQ194" i="59"/>
  <c r="H195" i="59" s="1"/>
  <c r="AQ173" i="59"/>
  <c r="H174" i="59" s="1"/>
  <c r="AQ45" i="59"/>
  <c r="AQ87" i="59" s="1"/>
  <c r="AP88" i="59"/>
  <c r="G89" i="59" s="1"/>
  <c r="AP110" i="59"/>
  <c r="AP151" i="59" s="1"/>
  <c r="AO88" i="59"/>
  <c r="AO130" i="59" s="1"/>
  <c r="AO110" i="59"/>
  <c r="AO151" i="59" s="1"/>
  <c r="AY152" i="59"/>
  <c r="AY193" i="59" s="1"/>
  <c r="AP131" i="59"/>
  <c r="AP172" i="59" s="1"/>
  <c r="AO24" i="59"/>
  <c r="AO65" i="59" s="1"/>
  <c r="AP24" i="59"/>
  <c r="AP65" i="59" s="1"/>
  <c r="AO66" i="59"/>
  <c r="E67" i="59" s="1"/>
  <c r="AP66" i="59"/>
  <c r="G67" i="59" s="1"/>
  <c r="AP194" i="59"/>
  <c r="G195" i="59" s="1"/>
  <c r="AQ131" i="59"/>
  <c r="AQ172" i="59" s="1"/>
  <c r="AO131" i="59"/>
  <c r="AO172" i="59" s="1"/>
  <c r="AP173" i="59"/>
  <c r="G174" i="59" s="1"/>
  <c r="AO173" i="59"/>
  <c r="E174" i="59" s="1"/>
  <c r="AP45" i="59"/>
  <c r="AP87" i="59" s="1"/>
  <c r="AP130" i="59" l="1"/>
  <c r="AO109" i="59"/>
  <c r="G111" i="59"/>
  <c r="G46" i="59"/>
  <c r="AP109" i="59"/>
  <c r="G132" i="59"/>
  <c r="H132" i="59"/>
  <c r="H46" i="59"/>
  <c r="AY88" i="59"/>
  <c r="AY130" i="59" s="1"/>
  <c r="AY194" i="59"/>
  <c r="AQ24" i="59"/>
  <c r="H25" i="59" s="1"/>
  <c r="AY24" i="59"/>
  <c r="AY65" i="59" s="1"/>
  <c r="AY173" i="59"/>
  <c r="AY66" i="59"/>
  <c r="AY109" i="59" s="1"/>
  <c r="AY110" i="59"/>
  <c r="AY151" i="59" s="1"/>
  <c r="AQ110" i="59"/>
  <c r="H111" i="59" s="1"/>
  <c r="G25" i="59"/>
  <c r="E111" i="59"/>
  <c r="AY131" i="59"/>
  <c r="AY172" i="59" s="1"/>
  <c r="AQ66" i="59"/>
  <c r="H67" i="59" s="1"/>
  <c r="E25" i="59"/>
  <c r="E89" i="59"/>
  <c r="E132" i="59"/>
  <c r="AQ88" i="59"/>
  <c r="H89" i="59" s="1"/>
  <c r="AY45" i="59"/>
  <c r="AY87" i="59" s="1"/>
  <c r="AQ65" i="59" l="1"/>
  <c r="AQ109" i="59"/>
  <c r="AQ151" i="59"/>
  <c r="AQ130" i="59"/>
  <c r="AC7" i="21"/>
  <c r="C48" i="21" l="1"/>
  <c r="AQ3" i="59" l="1"/>
  <c r="H4" i="59" s="1"/>
  <c r="AO3" i="59"/>
  <c r="E4" i="59" s="1"/>
  <c r="AP3" i="59"/>
  <c r="G4" i="59" s="1"/>
  <c r="AY3" i="59" l="1"/>
  <c r="K47" i="16" l="1"/>
  <c r="A7" i="16" s="1"/>
  <c r="AP60" i="56" l="1"/>
  <c r="BL33" i="56" s="1"/>
  <c r="BA60" i="56"/>
  <c r="BO33" i="56" s="1"/>
  <c r="D60" i="56"/>
  <c r="Z33" i="56" s="1"/>
  <c r="O60" i="56"/>
  <c r="AC33" i="56" s="1"/>
  <c r="D9" i="29"/>
  <c r="G36" i="51" l="1"/>
  <c r="C36" i="51"/>
  <c r="P36" i="51" s="1"/>
  <c r="R36" i="51" s="1"/>
  <c r="D27" i="3" l="1"/>
  <c r="B21" i="3" s="1"/>
  <c r="D21" i="3" l="1"/>
  <c r="D19" i="3" s="1"/>
  <c r="E21" i="3" l="1"/>
  <c r="G21" i="3" s="1"/>
  <c r="K10" i="3" s="1"/>
  <c r="D18" i="3"/>
  <c r="I22" i="3"/>
  <c r="E23" i="3" l="1"/>
  <c r="E18" i="3"/>
  <c r="G18" i="3" s="1"/>
  <c r="K14" i="3" s="1"/>
  <c r="E19" i="3"/>
  <c r="G19" i="3" s="1"/>
  <c r="K12" i="3" s="1"/>
  <c r="T14" i="3" l="1"/>
  <c r="T16" i="3" s="1"/>
  <c r="T18" i="3" s="1"/>
  <c r="T30" i="3" s="1"/>
  <c r="T34" i="3" s="1"/>
  <c r="D4" i="54"/>
  <c r="L23" i="3"/>
  <c r="L11" i="3"/>
  <c r="L13" i="3"/>
  <c r="L12" i="3"/>
  <c r="L28" i="3"/>
  <c r="D5" i="17"/>
  <c r="D7" i="17" s="1"/>
  <c r="C7" i="17" s="1"/>
  <c r="L22" i="3"/>
  <c r="L10" i="3"/>
  <c r="L25" i="3"/>
  <c r="L14" i="3"/>
  <c r="L15" i="3"/>
  <c r="L26" i="3"/>
  <c r="L24" i="3"/>
  <c r="L19" i="3"/>
  <c r="L20" i="3"/>
  <c r="L27" i="3"/>
  <c r="L21" i="3"/>
  <c r="K16" i="3"/>
  <c r="K18" i="3" s="1"/>
  <c r="K29" i="3" s="1"/>
  <c r="L17" i="3"/>
  <c r="E7" i="17" l="1"/>
  <c r="F13" i="17" s="1"/>
  <c r="E4" i="54"/>
  <c r="D6" i="54"/>
  <c r="C6" i="54" s="1"/>
  <c r="L16" i="3"/>
  <c r="C13" i="17"/>
  <c r="C14" i="17"/>
  <c r="D14" i="17" s="1"/>
  <c r="D15" i="17" s="1"/>
  <c r="E13" i="17"/>
  <c r="L18" i="3"/>
  <c r="A7" i="17"/>
  <c r="B9" i="17" s="1"/>
  <c r="K33" i="3"/>
  <c r="L29" i="3"/>
  <c r="B7" i="54" l="1"/>
  <c r="B9" i="54"/>
  <c r="C7" i="54"/>
  <c r="D16" i="17"/>
  <c r="F9" i="17"/>
  <c r="C15" i="17"/>
  <c r="K36" i="3"/>
  <c r="K41" i="3" s="1"/>
  <c r="D8" i="54" l="1"/>
  <c r="D7" i="54"/>
  <c r="C8" i="54"/>
  <c r="E15" i="17"/>
  <c r="H17" i="11"/>
  <c r="K41" i="16"/>
  <c r="L41" i="3"/>
  <c r="G13" i="17" l="1"/>
  <c r="H16" i="11"/>
  <c r="H14" i="11" s="1"/>
  <c r="I14" i="11" s="1"/>
  <c r="K46" i="16"/>
  <c r="K39" i="16"/>
  <c r="J13" i="11" l="1"/>
  <c r="I16" i="11"/>
  <c r="J16" i="11"/>
  <c r="K8" i="16" l="1"/>
  <c r="S8" i="16" l="1"/>
  <c r="V8" i="16"/>
  <c r="P8" i="16"/>
  <c r="U8" i="16"/>
  <c r="H56" i="20"/>
  <c r="K56" i="20"/>
  <c r="G56" i="20"/>
  <c r="I56" i="20"/>
  <c r="J56" i="20"/>
  <c r="L56" i="20"/>
  <c r="N56" i="20"/>
  <c r="F56" i="20"/>
  <c r="E56" i="20"/>
  <c r="M56" i="20"/>
  <c r="G14" i="17"/>
  <c r="G15" i="17" s="1"/>
  <c r="AP33" i="56"/>
  <c r="AP9" i="56" s="1"/>
  <c r="AB5" i="21" l="1"/>
  <c r="AC5" i="21" s="1"/>
  <c r="AC25" i="21" s="1"/>
  <c r="AD5" i="21"/>
  <c r="X119" i="22"/>
  <c r="G62" i="20"/>
  <c r="M62" i="20"/>
  <c r="J62" i="20"/>
  <c r="C56" i="20"/>
  <c r="D56" i="20"/>
  <c r="D33" i="56"/>
  <c r="D9" i="56" s="1"/>
  <c r="D11" i="56" s="1"/>
  <c r="F15" i="17"/>
  <c r="AP11" i="56"/>
  <c r="AP10" i="56"/>
  <c r="AP16" i="56" s="1"/>
  <c r="C5" i="19"/>
  <c r="A8" i="53"/>
  <c r="L8" i="53" s="1"/>
  <c r="W8" i="53" s="1"/>
  <c r="AH8" i="53" s="1"/>
  <c r="AS8" i="53" s="1"/>
  <c r="BD8" i="53" s="1"/>
  <c r="BO8" i="53" s="1"/>
  <c r="BZ8" i="53" s="1"/>
  <c r="CK8" i="53" s="1"/>
  <c r="CV8" i="53" s="1"/>
  <c r="DG8" i="53" s="1"/>
  <c r="DR8" i="53" s="1"/>
  <c r="EC8" i="53" s="1"/>
  <c r="A11" i="47"/>
  <c r="BN11" i="47" l="1"/>
  <c r="AW11" i="47"/>
  <c r="AI11" i="47"/>
  <c r="R11" i="47"/>
  <c r="BT11" i="47"/>
  <c r="BC11" i="47"/>
  <c r="BB11" i="47"/>
  <c r="AK11" i="47"/>
  <c r="BA11" i="47"/>
  <c r="BM11" i="47"/>
  <c r="AV11" i="47"/>
  <c r="AE11" i="47"/>
  <c r="Q11" i="47"/>
  <c r="AO11" i="47"/>
  <c r="E11" i="47"/>
  <c r="BI11" i="47"/>
  <c r="AU11" i="47"/>
  <c r="AD11" i="47"/>
  <c r="M11" i="47"/>
  <c r="BO11" i="47"/>
  <c r="BH11" i="47"/>
  <c r="AQ11" i="47"/>
  <c r="AC11" i="47"/>
  <c r="L11" i="47"/>
  <c r="X11" i="47"/>
  <c r="F11" i="47"/>
  <c r="S11" i="47"/>
  <c r="BU11" i="47"/>
  <c r="BG11" i="47"/>
  <c r="AP11" i="47"/>
  <c r="Y11" i="47"/>
  <c r="K11" i="47"/>
  <c r="G11" i="47"/>
  <c r="BS11" i="47"/>
  <c r="W11" i="47"/>
  <c r="AJ11" i="47"/>
  <c r="C26" i="21"/>
  <c r="AC48" i="21"/>
  <c r="C49" i="21" s="1"/>
  <c r="N28" i="40"/>
  <c r="N28" i="35"/>
  <c r="G16" i="35" s="1"/>
  <c r="N28" i="36"/>
  <c r="N28" i="33"/>
  <c r="N28" i="50"/>
  <c r="N28" i="31"/>
  <c r="I23" i="31" s="1"/>
  <c r="N28" i="49"/>
  <c r="D62" i="20"/>
  <c r="P62" i="20" s="1"/>
  <c r="P56" i="20"/>
  <c r="R56" i="20" s="1"/>
  <c r="D32" i="56"/>
  <c r="AC57" i="56" s="1"/>
  <c r="AP32" i="56"/>
  <c r="BO57" i="56" s="1"/>
  <c r="BR57" i="56" s="1"/>
  <c r="D10" i="56"/>
  <c r="D16" i="56" s="1"/>
  <c r="S23" i="19"/>
  <c r="AP12" i="56"/>
  <c r="C6" i="19"/>
  <c r="C8" i="19" s="1"/>
  <c r="CB11" i="47"/>
  <c r="BW11" i="47"/>
  <c r="BW6" i="47" s="1"/>
  <c r="BV11" i="47"/>
  <c r="BV6" i="47" s="1"/>
  <c r="BX11" i="47"/>
  <c r="BX6" i="47" s="1"/>
  <c r="EO8" i="53"/>
  <c r="EH8" i="53"/>
  <c r="ED8" i="53"/>
  <c r="O11" i="21" l="1"/>
  <c r="I11" i="21"/>
  <c r="P11" i="21"/>
  <c r="G16" i="50"/>
  <c r="G16" i="33"/>
  <c r="G16" i="49"/>
  <c r="G16" i="40"/>
  <c r="I28" i="40"/>
  <c r="I23" i="40"/>
  <c r="I23" i="35"/>
  <c r="I28" i="35"/>
  <c r="G16" i="36"/>
  <c r="I23" i="36"/>
  <c r="I28" i="36"/>
  <c r="I23" i="33"/>
  <c r="I28" i="33"/>
  <c r="I28" i="50"/>
  <c r="I23" i="50"/>
  <c r="I23" i="49"/>
  <c r="I28" i="49"/>
  <c r="I28" i="31"/>
  <c r="G16" i="31"/>
  <c r="AP21" i="56"/>
  <c r="AP22" i="56" s="1"/>
  <c r="BA63" i="56"/>
  <c r="D31" i="56"/>
  <c r="D30" i="56"/>
  <c r="D12" i="56"/>
  <c r="K4" i="19"/>
  <c r="ER8" i="53"/>
  <c r="EQ8" i="53"/>
  <c r="EP8" i="53" l="1"/>
  <c r="L73" i="22"/>
  <c r="D21" i="56"/>
  <c r="D22" i="56" s="1"/>
  <c r="O58" i="56" s="1"/>
  <c r="AD54" i="56" s="1"/>
  <c r="O63" i="56"/>
  <c r="A3" i="51"/>
  <c r="Q16" i="16"/>
  <c r="G53" i="22"/>
  <c r="G99" i="22" s="1"/>
  <c r="G5" i="22"/>
  <c r="K11" i="19"/>
  <c r="C10" i="19" l="1"/>
  <c r="N14" i="16"/>
  <c r="T25" i="19" s="1"/>
  <c r="U25" i="19" s="1"/>
  <c r="H16" i="16"/>
  <c r="I16" i="16" s="1"/>
  <c r="M8" i="16"/>
  <c r="O8" i="16" s="1"/>
  <c r="L119" i="22"/>
  <c r="L9" i="22" s="1"/>
  <c r="N8" i="16"/>
  <c r="F15" i="16" s="1"/>
  <c r="BA58" i="56"/>
  <c r="BP54" i="56" s="1"/>
  <c r="M73" i="22"/>
  <c r="N73" i="22" s="1"/>
  <c r="AC31" i="56"/>
  <c r="Q58" i="56"/>
  <c r="H5" i="19"/>
  <c r="H6" i="19" s="1"/>
  <c r="H8" i="19" s="1"/>
  <c r="S5" i="19"/>
  <c r="S6" i="19" s="1"/>
  <c r="S8" i="19" s="1"/>
  <c r="Z76" i="22"/>
  <c r="AA123" i="22"/>
  <c r="G29" i="22"/>
  <c r="G75" i="22"/>
  <c r="G122" i="22" s="1"/>
  <c r="T8" i="16" l="1"/>
  <c r="E59" i="16"/>
  <c r="E72" i="16" s="1"/>
  <c r="AI152" i="59"/>
  <c r="K156" i="59" s="1"/>
  <c r="AI24" i="59"/>
  <c r="AI65" i="59" s="1"/>
  <c r="AI173" i="59"/>
  <c r="K177" i="59" s="1"/>
  <c r="AI3" i="59"/>
  <c r="K7" i="59" s="1"/>
  <c r="AI110" i="59"/>
  <c r="K114" i="59" s="1"/>
  <c r="AI88" i="59"/>
  <c r="AI130" i="59" s="1"/>
  <c r="AI194" i="59"/>
  <c r="K198" i="59" s="1"/>
  <c r="AI66" i="59"/>
  <c r="K70" i="59" s="1"/>
  <c r="AI131" i="59"/>
  <c r="AI172" i="59" s="1"/>
  <c r="AI45" i="59"/>
  <c r="K49" i="59" s="1"/>
  <c r="N13" i="16"/>
  <c r="I13" i="16"/>
  <c r="E62" i="16"/>
  <c r="X7" i="16"/>
  <c r="H17" i="16"/>
  <c r="I17" i="16" s="1"/>
  <c r="Z9" i="22"/>
  <c r="G12" i="11"/>
  <c r="BC58" i="56"/>
  <c r="BO31" i="56"/>
  <c r="AI193" i="59" l="1"/>
  <c r="K28" i="59"/>
  <c r="K135" i="59"/>
  <c r="AI151" i="59"/>
  <c r="AI87" i="59"/>
  <c r="K92" i="59"/>
  <c r="AI109" i="59"/>
  <c r="H13" i="16"/>
  <c r="T24" i="19"/>
  <c r="X8" i="16"/>
  <c r="G6" i="11"/>
  <c r="G14" i="11" s="1"/>
  <c r="C11" i="29" s="1"/>
  <c r="C6" i="30" s="1"/>
  <c r="D10" i="30" s="1"/>
  <c r="K2" i="29"/>
  <c r="B12" i="11"/>
  <c r="U24" i="19" l="1"/>
  <c r="V24" i="19"/>
  <c r="D12" i="29"/>
  <c r="D14" i="29" s="1"/>
  <c r="C19" i="29" s="1"/>
  <c r="O2" i="29"/>
  <c r="J5" i="29"/>
  <c r="K5" i="29" s="1"/>
  <c r="L2" i="29"/>
  <c r="M2" i="29" s="1"/>
  <c r="N2" i="29" s="1"/>
  <c r="J2" i="29"/>
  <c r="C16" i="30"/>
  <c r="C13" i="30"/>
  <c r="C14" i="30"/>
  <c r="C15" i="30"/>
  <c r="D74" i="22" l="1"/>
  <c r="O74" i="22" s="1"/>
  <c r="P2" i="29"/>
  <c r="Q2" i="29" s="1"/>
  <c r="R2" i="29" s="1"/>
  <c r="S2" i="29" s="1"/>
  <c r="C21" i="29"/>
  <c r="D16" i="29"/>
  <c r="C20" i="29"/>
  <c r="G17" i="29" s="1"/>
  <c r="C18" i="29"/>
  <c r="O5" i="29"/>
  <c r="L5" i="29"/>
  <c r="M5" i="29" s="1"/>
  <c r="N5" i="29" s="1"/>
  <c r="G12" i="30"/>
  <c r="C10" i="50" s="1"/>
  <c r="E10" i="50" s="1"/>
  <c r="C10" i="49" l="1"/>
  <c r="E10" i="49" s="1"/>
  <c r="P15" i="49" s="1"/>
  <c r="C10" i="33"/>
  <c r="E10" i="33" s="1"/>
  <c r="P15" i="33" s="1"/>
  <c r="K20" i="40"/>
  <c r="M20" i="33"/>
  <c r="M20" i="40"/>
  <c r="K20" i="33"/>
  <c r="C6" i="40"/>
  <c r="C10" i="40"/>
  <c r="K20" i="36"/>
  <c r="C6" i="36"/>
  <c r="E6" i="36" s="1"/>
  <c r="C10" i="36"/>
  <c r="E10" i="36" s="1"/>
  <c r="M20" i="36"/>
  <c r="K20" i="35"/>
  <c r="K21" i="35" s="1"/>
  <c r="D17" i="35" s="1"/>
  <c r="C6" i="35"/>
  <c r="E6" i="35" s="1"/>
  <c r="M20" i="35"/>
  <c r="M21" i="35" s="1"/>
  <c r="C10" i="35" s="1"/>
  <c r="E10" i="35" s="1"/>
  <c r="K20" i="50"/>
  <c r="M20" i="50"/>
  <c r="R26" i="50"/>
  <c r="K20" i="49"/>
  <c r="M20" i="49"/>
  <c r="P5" i="29"/>
  <c r="Q5" i="29" s="1"/>
  <c r="R5" i="29" s="1"/>
  <c r="S5" i="29" s="1"/>
  <c r="C6" i="49"/>
  <c r="E6" i="49" s="1"/>
  <c r="K20" i="31"/>
  <c r="K21" i="31" s="1"/>
  <c r="C6" i="50"/>
  <c r="E6" i="50" s="1"/>
  <c r="Q26" i="50" s="1"/>
  <c r="M20" i="31"/>
  <c r="M21" i="31" s="1"/>
  <c r="C10" i="31" s="1"/>
  <c r="E10" i="31" s="1"/>
  <c r="C6" i="33"/>
  <c r="E6" i="33" s="1"/>
  <c r="O15" i="33" s="1"/>
  <c r="E6" i="40" l="1"/>
  <c r="E7" i="40" s="1"/>
  <c r="E10" i="40"/>
  <c r="R26" i="40" s="1"/>
  <c r="R26" i="36"/>
  <c r="E7" i="36"/>
  <c r="E11" i="36" s="1"/>
  <c r="Q26" i="36"/>
  <c r="R26" i="35"/>
  <c r="Q26" i="35"/>
  <c r="E7" i="35"/>
  <c r="E11" i="35" s="1"/>
  <c r="O15" i="49"/>
  <c r="C6" i="31"/>
  <c r="E6" i="31" s="1"/>
  <c r="O15" i="31" s="1"/>
  <c r="D17" i="31"/>
  <c r="P15" i="31"/>
  <c r="E7" i="50"/>
  <c r="E11" i="50" s="1"/>
  <c r="F11" i="50" s="1"/>
  <c r="E7" i="49"/>
  <c r="E11" i="49" s="1"/>
  <c r="F11" i="49" s="1"/>
  <c r="E7" i="33"/>
  <c r="E11" i="33" s="1"/>
  <c r="F11" i="33" s="1"/>
  <c r="Q26" i="40" l="1"/>
  <c r="E11" i="40"/>
  <c r="F11" i="40" s="1"/>
  <c r="F11" i="36"/>
  <c r="F11" i="35"/>
  <c r="E7" i="31"/>
  <c r="E11" i="31" s="1"/>
  <c r="F11" i="31" s="1"/>
  <c r="AP35" i="56" l="1"/>
  <c r="AP15" i="56" l="1"/>
  <c r="AP17" i="56" s="1"/>
  <c r="BA35" i="56" s="1"/>
  <c r="D35" i="56"/>
  <c r="D15" i="56" s="1"/>
  <c r="D17" i="56" s="1"/>
  <c r="O35" i="56" s="1"/>
  <c r="AP61" i="56" l="1"/>
  <c r="AP62" i="56" s="1"/>
  <c r="BA61" i="56"/>
  <c r="D61" i="56"/>
  <c r="AP102" i="56"/>
  <c r="O61" i="56"/>
  <c r="X10" i="22" l="1"/>
  <c r="X8" i="22"/>
  <c r="B10" i="22"/>
  <c r="M120" i="22"/>
  <c r="B8" i="22"/>
  <c r="C5" i="22" s="1"/>
  <c r="M118" i="22"/>
  <c r="AP56" i="56"/>
  <c r="BL29" i="56" s="1"/>
  <c r="BL34" i="56"/>
  <c r="BO55" i="56"/>
  <c r="BP55" i="56"/>
  <c r="BP56" i="56" s="1"/>
  <c r="BA62" i="56"/>
  <c r="BO34" i="56"/>
  <c r="BA56" i="56"/>
  <c r="O62" i="56"/>
  <c r="O56" i="56"/>
  <c r="AC34" i="56"/>
  <c r="AD55" i="56"/>
  <c r="AD56" i="56" s="1"/>
  <c r="AP103" i="56"/>
  <c r="AR102" i="56"/>
  <c r="D56" i="56"/>
  <c r="AC55" i="56"/>
  <c r="D62" i="56"/>
  <c r="Z34" i="56"/>
  <c r="C31" i="24" l="1"/>
  <c r="C37" i="24"/>
  <c r="C30" i="24"/>
  <c r="C38" i="24"/>
  <c r="C41" i="24"/>
  <c r="C28" i="24"/>
  <c r="C33" i="24"/>
  <c r="C39" i="24"/>
  <c r="C27" i="24"/>
  <c r="C32" i="24"/>
  <c r="C29" i="24"/>
  <c r="C36" i="24"/>
  <c r="C34" i="24"/>
  <c r="C40" i="24"/>
  <c r="C35" i="24"/>
  <c r="X9" i="22"/>
  <c r="N120" i="22"/>
  <c r="M10" i="22"/>
  <c r="B9" i="22"/>
  <c r="M119" i="22"/>
  <c r="M8" i="22"/>
  <c r="N118" i="22"/>
  <c r="BO56" i="56"/>
  <c r="BR55" i="56"/>
  <c r="AC56" i="56"/>
  <c r="AG55" i="56"/>
  <c r="AP53" i="56"/>
  <c r="AP49" i="56" s="1"/>
  <c r="AP38" i="56" s="1"/>
  <c r="AP36" i="56" s="1"/>
  <c r="AP34" i="56" s="1"/>
  <c r="BA53" i="56"/>
  <c r="BA49" i="56" s="1"/>
  <c r="BA38" i="56" s="1"/>
  <c r="BA36" i="56" s="1"/>
  <c r="BA34" i="56" s="1"/>
  <c r="BA32" i="56" s="1"/>
  <c r="BP57" i="56" s="1"/>
  <c r="BP58" i="56" s="1"/>
  <c r="BP60" i="56" s="1"/>
  <c r="BO29" i="56"/>
  <c r="O53" i="56"/>
  <c r="O49" i="56" s="1"/>
  <c r="O38" i="56" s="1"/>
  <c r="O36" i="56" s="1"/>
  <c r="O34" i="56" s="1"/>
  <c r="O32" i="56" s="1"/>
  <c r="AD57" i="56" s="1"/>
  <c r="AC29" i="56"/>
  <c r="Z29" i="56"/>
  <c r="D53" i="56"/>
  <c r="D49" i="56" s="1"/>
  <c r="D38" i="56" s="1"/>
  <c r="D36" i="56" s="1"/>
  <c r="D34" i="56" s="1"/>
  <c r="L16" i="36" l="1"/>
  <c r="L16" i="40"/>
  <c r="L16" i="50"/>
  <c r="L16" i="35"/>
  <c r="L16" i="49"/>
  <c r="L16" i="33"/>
  <c r="L16" i="31"/>
  <c r="N10" i="22"/>
  <c r="N119" i="22"/>
  <c r="M9" i="22"/>
  <c r="N8" i="22"/>
  <c r="BO58" i="56"/>
  <c r="BR58" i="56" s="1"/>
  <c r="BR56" i="56"/>
  <c r="AD58" i="56"/>
  <c r="AD60" i="56" s="1"/>
  <c r="AG57" i="56"/>
  <c r="AC58" i="56"/>
  <c r="AG56" i="56"/>
  <c r="AC63" i="56"/>
  <c r="N1" i="56"/>
  <c r="R1" i="56" s="1"/>
  <c r="N2" i="56" l="1"/>
  <c r="AC64" i="56"/>
  <c r="N9" i="22"/>
  <c r="AG58" i="56"/>
  <c r="L17" i="40" l="1"/>
  <c r="L17" i="35"/>
  <c r="L17" i="36"/>
  <c r="L17" i="33"/>
  <c r="L17" i="50"/>
  <c r="L17" i="31"/>
  <c r="M16" i="31" s="1"/>
  <c r="I14" i="31" s="1"/>
  <c r="C12" i="31" s="1"/>
  <c r="L17" i="49"/>
  <c r="P35" i="24"/>
  <c r="B35" i="24"/>
  <c r="P38" i="24"/>
  <c r="B38" i="24"/>
  <c r="P39" i="24"/>
  <c r="B39" i="24"/>
  <c r="P37" i="24"/>
  <c r="B37" i="24"/>
  <c r="P34" i="24"/>
  <c r="B34" i="24"/>
  <c r="P40" i="24"/>
  <c r="B40" i="24"/>
  <c r="B41" i="24"/>
  <c r="P41" i="24"/>
  <c r="P31" i="24"/>
  <c r="B31" i="24"/>
  <c r="P36" i="24"/>
  <c r="B36" i="24"/>
  <c r="B32" i="24"/>
  <c r="P32" i="24"/>
  <c r="B33" i="24"/>
  <c r="P33" i="24"/>
  <c r="C5" i="53"/>
  <c r="B30" i="24"/>
  <c r="P30" i="24"/>
  <c r="B28" i="24"/>
  <c r="P28" i="24"/>
  <c r="P29" i="24"/>
  <c r="B29" i="24"/>
  <c r="P27" i="24"/>
  <c r="B27" i="24"/>
  <c r="M16" i="40" l="1"/>
  <c r="I14" i="40" s="1"/>
  <c r="U32" i="40" s="1"/>
  <c r="M16" i="36"/>
  <c r="I14" i="36" s="1"/>
  <c r="D12" i="36" s="1"/>
  <c r="F12" i="36" s="1"/>
  <c r="F13" i="36" s="1"/>
  <c r="M16" i="35"/>
  <c r="I14" i="35" s="1"/>
  <c r="D12" i="35" s="1"/>
  <c r="F12" i="35" s="1"/>
  <c r="M16" i="50"/>
  <c r="I14" i="50" s="1"/>
  <c r="U32" i="50" s="1"/>
  <c r="M16" i="33"/>
  <c r="I14" i="33" s="1"/>
  <c r="C12" i="33" s="1"/>
  <c r="M16" i="49"/>
  <c r="I14" i="49" s="1"/>
  <c r="C12" i="49" s="1"/>
  <c r="J14" i="36"/>
  <c r="J14" i="31"/>
  <c r="J14" i="40"/>
  <c r="J14" i="35"/>
  <c r="J14" i="50"/>
  <c r="J14" i="33"/>
  <c r="J14" i="49"/>
  <c r="D12" i="31"/>
  <c r="F12" i="31" s="1"/>
  <c r="D16" i="31"/>
  <c r="E12" i="31"/>
  <c r="E13" i="31" s="1"/>
  <c r="E14" i="31" s="1"/>
  <c r="S22" i="31"/>
  <c r="F33" i="24"/>
  <c r="L33" i="24"/>
  <c r="N33" i="24"/>
  <c r="D33" i="24"/>
  <c r="H33" i="24"/>
  <c r="J33" i="24"/>
  <c r="N41" i="24"/>
  <c r="F41" i="24"/>
  <c r="H41" i="24"/>
  <c r="L41" i="24"/>
  <c r="D41" i="24"/>
  <c r="J41" i="24"/>
  <c r="N40" i="24"/>
  <c r="F40" i="24"/>
  <c r="J40" i="24"/>
  <c r="D40" i="24"/>
  <c r="H40" i="24"/>
  <c r="L40" i="24"/>
  <c r="F39" i="24"/>
  <c r="L39" i="24"/>
  <c r="D39" i="24"/>
  <c r="J39" i="24"/>
  <c r="H39" i="24"/>
  <c r="N39" i="24"/>
  <c r="N32" i="24"/>
  <c r="L32" i="24"/>
  <c r="F32" i="24"/>
  <c r="D32" i="24"/>
  <c r="J32" i="24"/>
  <c r="H32" i="24"/>
  <c r="H36" i="24"/>
  <c r="L36" i="24"/>
  <c r="N36" i="24"/>
  <c r="J36" i="24"/>
  <c r="F36" i="24"/>
  <c r="D36" i="24"/>
  <c r="F34" i="24"/>
  <c r="L34" i="24"/>
  <c r="J34" i="24"/>
  <c r="D34" i="24"/>
  <c r="H34" i="24"/>
  <c r="N34" i="24"/>
  <c r="J38" i="24"/>
  <c r="D38" i="24"/>
  <c r="H38" i="24"/>
  <c r="F38" i="24"/>
  <c r="L38" i="24"/>
  <c r="N38" i="24"/>
  <c r="J31" i="24"/>
  <c r="N31" i="24"/>
  <c r="F31" i="24"/>
  <c r="H31" i="24"/>
  <c r="D31" i="24"/>
  <c r="L31" i="24"/>
  <c r="N37" i="24"/>
  <c r="F37" i="24"/>
  <c r="H37" i="24"/>
  <c r="L37" i="24"/>
  <c r="D37" i="24"/>
  <c r="J37" i="24"/>
  <c r="N35" i="24"/>
  <c r="F35" i="24"/>
  <c r="H35" i="24"/>
  <c r="L35" i="24"/>
  <c r="D35" i="24"/>
  <c r="J35" i="24"/>
  <c r="H29" i="24"/>
  <c r="N29" i="24"/>
  <c r="F29" i="24"/>
  <c r="L29" i="24"/>
  <c r="D29" i="24"/>
  <c r="J29" i="24"/>
  <c r="J30" i="24"/>
  <c r="D30" i="24"/>
  <c r="H30" i="24"/>
  <c r="N30" i="24"/>
  <c r="F30" i="24"/>
  <c r="L30" i="24"/>
  <c r="N27" i="24"/>
  <c r="F27" i="24"/>
  <c r="L27" i="24"/>
  <c r="D27" i="24"/>
  <c r="H27" i="24"/>
  <c r="J27" i="24"/>
  <c r="J28" i="24"/>
  <c r="D28" i="24"/>
  <c r="H28" i="24"/>
  <c r="L28" i="24"/>
  <c r="N28" i="24"/>
  <c r="F28" i="24"/>
  <c r="EB6" i="53"/>
  <c r="DT5" i="53" s="1"/>
  <c r="AR6" i="53"/>
  <c r="AJ5" i="53" s="1"/>
  <c r="BC6" i="53"/>
  <c r="AU5" i="53" s="1"/>
  <c r="DF6" i="53"/>
  <c r="CX5" i="53" s="1"/>
  <c r="CJ6" i="53"/>
  <c r="CB5" i="53" s="1"/>
  <c r="CU6" i="53"/>
  <c r="CM5" i="53" s="1"/>
  <c r="K6" i="53"/>
  <c r="BN6" i="53"/>
  <c r="BF5" i="53" s="1"/>
  <c r="BY6" i="53"/>
  <c r="BQ5" i="53" s="1"/>
  <c r="DQ6" i="53"/>
  <c r="DI5" i="53" s="1"/>
  <c r="V6" i="53"/>
  <c r="N5" i="53" s="1"/>
  <c r="C12" i="36" l="1"/>
  <c r="E12" i="36" s="1"/>
  <c r="E13" i="36" s="1"/>
  <c r="G10" i="36" s="1"/>
  <c r="U32" i="35"/>
  <c r="S36" i="35" s="1"/>
  <c r="C12" i="50"/>
  <c r="D16" i="50" s="1"/>
  <c r="C12" i="40"/>
  <c r="E12" i="40" s="1"/>
  <c r="E13" i="40" s="1"/>
  <c r="C12" i="35"/>
  <c r="D16" i="35" s="1"/>
  <c r="U32" i="36"/>
  <c r="S36" i="36" s="1"/>
  <c r="D12" i="40"/>
  <c r="F12" i="40" s="1"/>
  <c r="F13" i="40" s="1"/>
  <c r="D12" i="50"/>
  <c r="F12" i="50" s="1"/>
  <c r="D12" i="33"/>
  <c r="F12" i="33" s="1"/>
  <c r="F13" i="33" s="1"/>
  <c r="D12" i="49"/>
  <c r="F12" i="49" s="1"/>
  <c r="S22" i="33"/>
  <c r="S23" i="33" s="1"/>
  <c r="S26" i="33" s="1"/>
  <c r="S22" i="49"/>
  <c r="Q26" i="49" s="1"/>
  <c r="E12" i="33"/>
  <c r="E13" i="33" s="1"/>
  <c r="D16" i="33"/>
  <c r="E12" i="49"/>
  <c r="E13" i="49" s="1"/>
  <c r="D16" i="49"/>
  <c r="E15" i="31"/>
  <c r="E16" i="31" s="1"/>
  <c r="U33" i="40"/>
  <c r="S36" i="40"/>
  <c r="F13" i="35"/>
  <c r="S36" i="50"/>
  <c r="U33" i="50"/>
  <c r="F14" i="40"/>
  <c r="F13" i="31"/>
  <c r="G3" i="31" s="1"/>
  <c r="Q15" i="31"/>
  <c r="F14" i="36"/>
  <c r="Q26" i="31"/>
  <c r="S23" i="31"/>
  <c r="M39" i="24"/>
  <c r="K41" i="24"/>
  <c r="E33" i="24"/>
  <c r="I30" i="24"/>
  <c r="E32" i="24"/>
  <c r="G28" i="24"/>
  <c r="E27" i="24"/>
  <c r="E30" i="24"/>
  <c r="E37" i="24"/>
  <c r="G31" i="24"/>
  <c r="K38" i="24"/>
  <c r="G36" i="24"/>
  <c r="G32" i="24"/>
  <c r="G39" i="24"/>
  <c r="E41" i="24"/>
  <c r="O33" i="24"/>
  <c r="E38" i="24"/>
  <c r="O28" i="24"/>
  <c r="M27" i="24"/>
  <c r="K30" i="24"/>
  <c r="K35" i="24"/>
  <c r="M37" i="24"/>
  <c r="O31" i="24"/>
  <c r="O34" i="24"/>
  <c r="K36" i="24"/>
  <c r="M32" i="24"/>
  <c r="M40" i="24"/>
  <c r="M41" i="24"/>
  <c r="M33" i="24"/>
  <c r="I27" i="24"/>
  <c r="K37" i="24"/>
  <c r="M28" i="24"/>
  <c r="G27" i="24"/>
  <c r="K29" i="24"/>
  <c r="E35" i="24"/>
  <c r="I37" i="24"/>
  <c r="K31" i="24"/>
  <c r="I34" i="24"/>
  <c r="O36" i="24"/>
  <c r="O32" i="24"/>
  <c r="I40" i="24"/>
  <c r="I41" i="24"/>
  <c r="G33" i="24"/>
  <c r="I29" i="24"/>
  <c r="I31" i="24"/>
  <c r="I28" i="24"/>
  <c r="O27" i="24"/>
  <c r="E29" i="24"/>
  <c r="M35" i="24"/>
  <c r="G37" i="24"/>
  <c r="O38" i="24"/>
  <c r="E34" i="24"/>
  <c r="M36" i="24"/>
  <c r="O39" i="24"/>
  <c r="E40" i="24"/>
  <c r="G41" i="24"/>
  <c r="E36" i="24"/>
  <c r="E28" i="24"/>
  <c r="M30" i="24"/>
  <c r="M29" i="24"/>
  <c r="I35" i="24"/>
  <c r="O37" i="24"/>
  <c r="M38" i="24"/>
  <c r="K34" i="24"/>
  <c r="I36" i="24"/>
  <c r="I39" i="24"/>
  <c r="K40" i="24"/>
  <c r="O41" i="24"/>
  <c r="K28" i="24"/>
  <c r="G30" i="24"/>
  <c r="G29" i="24"/>
  <c r="G35" i="24"/>
  <c r="M31" i="24"/>
  <c r="G38" i="24"/>
  <c r="M34" i="24"/>
  <c r="I32" i="24"/>
  <c r="K39" i="24"/>
  <c r="G40" i="24"/>
  <c r="K33" i="24"/>
  <c r="K27" i="24"/>
  <c r="O30" i="24"/>
  <c r="O29" i="24"/>
  <c r="O35" i="24"/>
  <c r="E31" i="24"/>
  <c r="I38" i="24"/>
  <c r="G34" i="24"/>
  <c r="K32" i="24"/>
  <c r="E39" i="24"/>
  <c r="O40" i="24"/>
  <c r="I33" i="24"/>
  <c r="E14" i="36" l="1"/>
  <c r="E15" i="36" s="1"/>
  <c r="D16" i="36"/>
  <c r="G6" i="36"/>
  <c r="G3" i="36"/>
  <c r="G12" i="36"/>
  <c r="U33" i="35"/>
  <c r="U35" i="35" s="1"/>
  <c r="U33" i="36"/>
  <c r="U36" i="36" s="1"/>
  <c r="G11" i="36"/>
  <c r="S26" i="36"/>
  <c r="E12" i="35"/>
  <c r="E13" i="35" s="1"/>
  <c r="G10" i="35" s="1"/>
  <c r="E12" i="50"/>
  <c r="E13" i="50" s="1"/>
  <c r="E14" i="50" s="1"/>
  <c r="E15" i="50" s="1"/>
  <c r="E14" i="40"/>
  <c r="E15" i="40" s="1"/>
  <c r="G6" i="40"/>
  <c r="D16" i="40"/>
  <c r="E14" i="33"/>
  <c r="E15" i="33" s="1"/>
  <c r="E14" i="49"/>
  <c r="E15" i="49" s="1"/>
  <c r="G12" i="40"/>
  <c r="G11" i="40"/>
  <c r="G3" i="40"/>
  <c r="S26" i="40"/>
  <c r="G10" i="40"/>
  <c r="F13" i="49"/>
  <c r="G3" i="49" s="1"/>
  <c r="Q15" i="49"/>
  <c r="Q26" i="33"/>
  <c r="S25" i="33"/>
  <c r="S23" i="49"/>
  <c r="S25" i="49" s="1"/>
  <c r="F13" i="50"/>
  <c r="F14" i="33"/>
  <c r="F15" i="33" s="1"/>
  <c r="G10" i="33"/>
  <c r="G11" i="33"/>
  <c r="G12" i="33"/>
  <c r="F14" i="49"/>
  <c r="F15" i="49" s="1"/>
  <c r="G6" i="33"/>
  <c r="G3" i="33"/>
  <c r="Q15" i="33"/>
  <c r="F14" i="35"/>
  <c r="U35" i="40"/>
  <c r="U36" i="40"/>
  <c r="U35" i="50"/>
  <c r="U36" i="50"/>
  <c r="F15" i="40"/>
  <c r="F14" i="31"/>
  <c r="F15" i="31" s="1"/>
  <c r="D20" i="31" s="1"/>
  <c r="D28" i="31" s="1"/>
  <c r="G12" i="31"/>
  <c r="G6" i="31"/>
  <c r="G11" i="31"/>
  <c r="G10" i="31"/>
  <c r="F15" i="36"/>
  <c r="G6" i="49"/>
  <c r="S25" i="31"/>
  <c r="S26" i="31"/>
  <c r="AP30" i="56"/>
  <c r="AR30" i="56" s="1"/>
  <c r="AP31" i="56"/>
  <c r="AR31" i="56" s="1"/>
  <c r="E16" i="40" l="1"/>
  <c r="D20" i="40"/>
  <c r="E16" i="36"/>
  <c r="D20" i="36"/>
  <c r="E16" i="50"/>
  <c r="E16" i="33"/>
  <c r="D20" i="33"/>
  <c r="E16" i="49"/>
  <c r="D20" i="49"/>
  <c r="T26" i="36"/>
  <c r="U36" i="35"/>
  <c r="G13" i="36"/>
  <c r="G15" i="36" s="1"/>
  <c r="U35" i="36"/>
  <c r="G6" i="35"/>
  <c r="G3" i="35"/>
  <c r="E14" i="35"/>
  <c r="E15" i="35" s="1"/>
  <c r="G12" i="35"/>
  <c r="G11" i="35"/>
  <c r="S26" i="35"/>
  <c r="S26" i="50"/>
  <c r="G12" i="50"/>
  <c r="G13" i="40"/>
  <c r="G15" i="40" s="1"/>
  <c r="T26" i="40"/>
  <c r="G11" i="49"/>
  <c r="G10" i="49"/>
  <c r="S26" i="49"/>
  <c r="G6" i="50"/>
  <c r="G12" i="49"/>
  <c r="R15" i="33"/>
  <c r="F14" i="50"/>
  <c r="G10" i="50"/>
  <c r="G11" i="50"/>
  <c r="G3" i="50"/>
  <c r="F16" i="33"/>
  <c r="G13" i="33"/>
  <c r="G15" i="33" s="1"/>
  <c r="F16" i="49"/>
  <c r="D24" i="31"/>
  <c r="E28" i="31" s="1"/>
  <c r="D29" i="31" s="1"/>
  <c r="F15" i="35"/>
  <c r="F16" i="40"/>
  <c r="R15" i="31"/>
  <c r="G13" i="31"/>
  <c r="G15" i="31" s="1"/>
  <c r="F28" i="31"/>
  <c r="F20" i="31"/>
  <c r="F16" i="31"/>
  <c r="F16" i="36"/>
  <c r="R15" i="49"/>
  <c r="G16" i="17"/>
  <c r="C9" i="51"/>
  <c r="G9" i="51"/>
  <c r="G8" i="51"/>
  <c r="C8" i="51"/>
  <c r="F20" i="40" l="1"/>
  <c r="D24" i="40"/>
  <c r="E28" i="40" s="1"/>
  <c r="D29" i="40" s="1"/>
  <c r="D28" i="40"/>
  <c r="F28" i="40"/>
  <c r="F20" i="36"/>
  <c r="D28" i="36"/>
  <c r="D24" i="36"/>
  <c r="E28" i="36" s="1"/>
  <c r="D29" i="36" s="1"/>
  <c r="F28" i="36"/>
  <c r="E16" i="35"/>
  <c r="D20" i="35"/>
  <c r="F20" i="50"/>
  <c r="D24" i="50"/>
  <c r="E28" i="50" s="1"/>
  <c r="D29" i="50" s="1"/>
  <c r="F28" i="33"/>
  <c r="F20" i="33"/>
  <c r="D24" i="33"/>
  <c r="E28" i="33" s="1"/>
  <c r="D29" i="33" s="1"/>
  <c r="D28" i="33"/>
  <c r="F20" i="49"/>
  <c r="D24" i="49"/>
  <c r="E28" i="49" s="1"/>
  <c r="D29" i="49" s="1"/>
  <c r="F28" i="49"/>
  <c r="D28" i="49"/>
  <c r="T26" i="35"/>
  <c r="G13" i="35"/>
  <c r="G15" i="35" s="1"/>
  <c r="G13" i="50"/>
  <c r="G15" i="50" s="1"/>
  <c r="G13" i="49"/>
  <c r="G15" i="49" s="1"/>
  <c r="F15" i="50"/>
  <c r="D20" i="50" s="1"/>
  <c r="D28" i="50" s="1"/>
  <c r="T26" i="50"/>
  <c r="F16" i="35"/>
  <c r="P9" i="51"/>
  <c r="R9" i="51" s="1"/>
  <c r="F9" i="51"/>
  <c r="F8" i="51"/>
  <c r="D6" i="51"/>
  <c r="C6" i="51"/>
  <c r="D8" i="51"/>
  <c r="C7" i="51"/>
  <c r="D7" i="51"/>
  <c r="G10" i="51"/>
  <c r="D9" i="51"/>
  <c r="D33" i="51"/>
  <c r="D17" i="51"/>
  <c r="D34" i="51"/>
  <c r="D24" i="51"/>
  <c r="D20" i="51"/>
  <c r="D16" i="51"/>
  <c r="D13" i="51"/>
  <c r="D21" i="51"/>
  <c r="D35" i="51"/>
  <c r="D18" i="51"/>
  <c r="D22" i="51"/>
  <c r="D30" i="51"/>
  <c r="D36" i="51"/>
  <c r="D10" i="51"/>
  <c r="D23" i="51"/>
  <c r="D19" i="51"/>
  <c r="D15" i="51"/>
  <c r="F28" i="50" l="1"/>
  <c r="F20" i="35"/>
  <c r="D24" i="35"/>
  <c r="E28" i="35" s="1"/>
  <c r="D29" i="35" s="1"/>
  <c r="D28" i="35"/>
  <c r="F28" i="35"/>
  <c r="F16" i="50"/>
  <c r="J6" i="51"/>
  <c r="K6" i="51" s="1"/>
  <c r="G6" i="51" s="1"/>
  <c r="F6" i="51" s="1"/>
  <c r="J7" i="51"/>
  <c r="K7" i="51" s="1"/>
  <c r="G7" i="51" s="1"/>
  <c r="I7" i="51" s="1"/>
  <c r="I20" i="51"/>
  <c r="I27" i="51"/>
  <c r="T6" i="51"/>
  <c r="U6" i="51" s="1"/>
  <c r="I8" i="51"/>
  <c r="I36" i="51"/>
  <c r="T7" i="51"/>
  <c r="U7" i="51" s="1"/>
  <c r="I9" i="51"/>
  <c r="I33" i="51"/>
  <c r="I15" i="51"/>
  <c r="I16" i="51"/>
  <c r="I34" i="51"/>
  <c r="I17" i="51"/>
  <c r="I30" i="51"/>
  <c r="I24" i="51"/>
  <c r="I23" i="51"/>
  <c r="I13" i="51"/>
  <c r="I22" i="51"/>
  <c r="I18" i="51"/>
  <c r="I19" i="51"/>
  <c r="I35" i="51"/>
  <c r="I28" i="51"/>
  <c r="I10" i="51"/>
  <c r="I21" i="51"/>
  <c r="C11" i="51"/>
  <c r="G11" i="51"/>
  <c r="I6" i="51" l="1"/>
  <c r="F7" i="51"/>
  <c r="F11" i="51"/>
  <c r="D12" i="51"/>
  <c r="Q12" i="51" s="1"/>
  <c r="D11" i="51"/>
  <c r="Q11" i="51" s="1"/>
  <c r="D14" i="51"/>
  <c r="G12" i="51"/>
  <c r="I11" i="51"/>
  <c r="D25" i="51" l="1"/>
  <c r="G14" i="51"/>
  <c r="I12" i="51"/>
  <c r="I14" i="51" l="1"/>
  <c r="G25" i="51"/>
  <c r="D29" i="51"/>
  <c r="D32" i="51" l="1"/>
  <c r="I25" i="51"/>
  <c r="G29" i="51"/>
  <c r="I29" i="51" l="1"/>
  <c r="G32" i="51"/>
  <c r="D37" i="51"/>
  <c r="C37" i="51"/>
  <c r="I32" i="51" l="1"/>
  <c r="G37" i="51"/>
  <c r="I37" i="51" s="1"/>
  <c r="C32" i="51"/>
  <c r="P37" i="51"/>
  <c r="R37" i="51" s="1"/>
  <c r="C29" i="51" l="1"/>
  <c r="F32" i="51"/>
  <c r="F37" i="51"/>
  <c r="P32" i="51"/>
  <c r="R32" i="51" s="1"/>
  <c r="C25" i="51" l="1"/>
  <c r="F29" i="51"/>
  <c r="P29" i="51"/>
  <c r="P25" i="51" s="1"/>
  <c r="R29" i="51" l="1"/>
  <c r="C14" i="51"/>
  <c r="F25" i="51"/>
  <c r="R25" i="51"/>
  <c r="P14" i="51"/>
  <c r="P12" i="51" s="1"/>
  <c r="P11" i="51" s="1"/>
  <c r="P10" i="51" l="1"/>
  <c r="Q29" i="51" s="1"/>
  <c r="R11" i="51"/>
  <c r="C12" i="51"/>
  <c r="F14" i="51"/>
  <c r="R14" i="51"/>
  <c r="Q27" i="51"/>
  <c r="Q28" i="51"/>
  <c r="Q36" i="51" l="1"/>
  <c r="Q37" i="51"/>
  <c r="Q17" i="51"/>
  <c r="Q25" i="51"/>
  <c r="Q35" i="51"/>
  <c r="Q13" i="51"/>
  <c r="Q15" i="51"/>
  <c r="Q19" i="51"/>
  <c r="Q33" i="51"/>
  <c r="Q32" i="51"/>
  <c r="Q18" i="51"/>
  <c r="Q34" i="51"/>
  <c r="Q20" i="51"/>
  <c r="P8" i="51"/>
  <c r="R8" i="51" s="1"/>
  <c r="Q22" i="51"/>
  <c r="Q21" i="51"/>
  <c r="Q9" i="51"/>
  <c r="Q8" i="51" s="1"/>
  <c r="Q24" i="51"/>
  <c r="Q30" i="51"/>
  <c r="Q16" i="51"/>
  <c r="Q23" i="51"/>
  <c r="C10" i="51"/>
  <c r="R12" i="51"/>
  <c r="F12" i="51"/>
  <c r="P6" i="51" l="1"/>
  <c r="Q6" i="51" s="1"/>
  <c r="P7" i="51"/>
  <c r="Q7" i="51" s="1"/>
  <c r="R6" i="51"/>
  <c r="R7" i="51"/>
  <c r="F10" i="51"/>
  <c r="R10" i="51"/>
  <c r="E51" i="16" l="1"/>
  <c r="E55" i="16" s="1"/>
  <c r="E57" i="16" l="1"/>
  <c r="M45" i="22" l="1"/>
  <c r="B45" i="22"/>
  <c r="N89" i="22"/>
  <c r="S89" i="22"/>
  <c r="U89" i="22"/>
  <c r="C89" i="22"/>
  <c r="D89" i="22" s="1"/>
  <c r="T138" i="22"/>
  <c r="L45" i="22"/>
  <c r="N138" i="22"/>
  <c r="X45" i="22"/>
  <c r="C138" i="22"/>
  <c r="D138" i="22" s="1"/>
  <c r="E138" i="22" s="1"/>
  <c r="V138" i="22"/>
  <c r="A45" i="22"/>
  <c r="A40" i="24"/>
  <c r="M43" i="22"/>
  <c r="B43" i="22"/>
  <c r="S90" i="22"/>
  <c r="U90" i="22"/>
  <c r="N90" i="22"/>
  <c r="C90" i="22"/>
  <c r="D90" i="22" s="1"/>
  <c r="V136" i="22"/>
  <c r="N136" i="22"/>
  <c r="E136" i="22" s="1"/>
  <c r="C136" i="22"/>
  <c r="T136" i="22"/>
  <c r="L43" i="22"/>
  <c r="D136" i="22"/>
  <c r="X43" i="22"/>
  <c r="A43" i="22"/>
  <c r="A38" i="24"/>
  <c r="U92" i="22"/>
  <c r="C92" i="22"/>
  <c r="N92" i="22"/>
  <c r="D92" i="22"/>
  <c r="O92" i="22" s="1"/>
  <c r="S92" i="22"/>
  <c r="T139" i="22"/>
  <c r="L46" i="22"/>
  <c r="V139" i="22"/>
  <c r="C139" i="22"/>
  <c r="D139" i="22" s="1"/>
  <c r="E139" i="22" s="1"/>
  <c r="X46" i="22"/>
  <c r="N139" i="22"/>
  <c r="A46" i="22"/>
  <c r="A41" i="24"/>
  <c r="M44" i="22"/>
  <c r="B44" i="22"/>
  <c r="M46" i="22"/>
  <c r="B46" i="22"/>
  <c r="V137" i="22"/>
  <c r="N137" i="22"/>
  <c r="N44" i="22" s="1"/>
  <c r="C137" i="22"/>
  <c r="C44" i="22" s="1"/>
  <c r="L44" i="22"/>
  <c r="T137" i="22"/>
  <c r="X44" i="22"/>
  <c r="A44" i="22"/>
  <c r="A39" i="24"/>
  <c r="U91" i="22"/>
  <c r="N91" i="22"/>
  <c r="C91" i="22"/>
  <c r="D91" i="22" s="1"/>
  <c r="S91" i="22"/>
  <c r="N46" i="22" l="1"/>
  <c r="E90" i="22"/>
  <c r="O90" i="22"/>
  <c r="I90" i="22"/>
  <c r="F90" i="22" s="1"/>
  <c r="I89" i="22"/>
  <c r="F89" i="22" s="1"/>
  <c r="O89" i="22"/>
  <c r="E89" i="22"/>
  <c r="O91" i="22"/>
  <c r="I91" i="22"/>
  <c r="F91" i="22" s="1"/>
  <c r="E91" i="22"/>
  <c r="Q92" i="22"/>
  <c r="R92" i="22" s="1"/>
  <c r="P92" i="22"/>
  <c r="E92" i="22"/>
  <c r="V90" i="22"/>
  <c r="V89" i="22"/>
  <c r="I92" i="22"/>
  <c r="F92" i="22" s="1"/>
  <c r="D137" i="22"/>
  <c r="E137" i="22" s="1"/>
  <c r="N43" i="22"/>
  <c r="C43" i="22"/>
  <c r="C45" i="22"/>
  <c r="N45" i="22"/>
  <c r="C46" i="22"/>
  <c r="V44" i="22"/>
  <c r="S67" i="22"/>
  <c r="U67" i="22"/>
  <c r="N67" i="22"/>
  <c r="M12" i="22"/>
  <c r="B12" i="22"/>
  <c r="M37" i="22"/>
  <c r="B37" i="22"/>
  <c r="M24" i="22"/>
  <c r="B24" i="22"/>
  <c r="F139" i="22"/>
  <c r="M31" i="22"/>
  <c r="B31" i="22"/>
  <c r="M21" i="22"/>
  <c r="B21" i="22"/>
  <c r="C86" i="22"/>
  <c r="D86" i="22" s="1"/>
  <c r="N86" i="22"/>
  <c r="U86" i="22"/>
  <c r="S86" i="22"/>
  <c r="L18" i="22"/>
  <c r="X18" i="22"/>
  <c r="V109" i="22"/>
  <c r="A18" i="22"/>
  <c r="A16" i="24"/>
  <c r="D129" i="22"/>
  <c r="E129" i="22" s="1"/>
  <c r="V129" i="22"/>
  <c r="N129" i="22"/>
  <c r="C129" i="22"/>
  <c r="X36" i="22"/>
  <c r="T129" i="22"/>
  <c r="L36" i="22"/>
  <c r="A36" i="22"/>
  <c r="A31" i="24"/>
  <c r="S71" i="22"/>
  <c r="N71" i="22"/>
  <c r="U71" i="22"/>
  <c r="M23" i="22"/>
  <c r="B23" i="22"/>
  <c r="M14" i="22"/>
  <c r="B14" i="22"/>
  <c r="M22" i="22"/>
  <c r="B22" i="22"/>
  <c r="T130" i="22"/>
  <c r="L37" i="22"/>
  <c r="C130" i="22"/>
  <c r="N130" i="22"/>
  <c r="X37" i="22"/>
  <c r="D130" i="22"/>
  <c r="E130" i="22" s="1"/>
  <c r="V130" i="22"/>
  <c r="A37" i="22"/>
  <c r="A32" i="24"/>
  <c r="U77" i="22"/>
  <c r="S77" i="22"/>
  <c r="N77" i="22"/>
  <c r="N60" i="22"/>
  <c r="U60" i="22"/>
  <c r="S60" i="22"/>
  <c r="A40" i="53"/>
  <c r="L40" i="53" s="1"/>
  <c r="W40" i="53" s="1"/>
  <c r="AH40" i="53" s="1"/>
  <c r="AS40" i="53" s="1"/>
  <c r="BD40" i="53" s="1"/>
  <c r="BO40" i="53" s="1"/>
  <c r="BZ40" i="53" s="1"/>
  <c r="CK40" i="53" s="1"/>
  <c r="CV40" i="53" s="1"/>
  <c r="DG40" i="53" s="1"/>
  <c r="DR40" i="53" s="1"/>
  <c r="EC40" i="53" s="1"/>
  <c r="A43" i="47"/>
  <c r="U79" i="22"/>
  <c r="S79" i="22"/>
  <c r="C79" i="22"/>
  <c r="D79" i="22" s="1"/>
  <c r="N79" i="22"/>
  <c r="M32" i="22"/>
  <c r="B32" i="22"/>
  <c r="M16" i="22"/>
  <c r="B16" i="22"/>
  <c r="A42" i="53"/>
  <c r="L42" i="53" s="1"/>
  <c r="W42" i="53" s="1"/>
  <c r="AH42" i="53" s="1"/>
  <c r="AS42" i="53" s="1"/>
  <c r="BD42" i="53" s="1"/>
  <c r="BO42" i="53" s="1"/>
  <c r="BZ42" i="53" s="1"/>
  <c r="CK42" i="53" s="1"/>
  <c r="CV42" i="53" s="1"/>
  <c r="DG42" i="53" s="1"/>
  <c r="DR42" i="53" s="1"/>
  <c r="EC42" i="53" s="1"/>
  <c r="A45" i="47"/>
  <c r="M36" i="22"/>
  <c r="B36" i="22"/>
  <c r="U64" i="22"/>
  <c r="N64" i="22"/>
  <c r="S64" i="22"/>
  <c r="X14" i="22"/>
  <c r="N105" i="22"/>
  <c r="T105" i="22"/>
  <c r="V105" i="22"/>
  <c r="L14" i="22"/>
  <c r="A14" i="22"/>
  <c r="A12" i="24"/>
  <c r="S69" i="22"/>
  <c r="U69" i="22"/>
  <c r="N69" i="22"/>
  <c r="W139" i="22"/>
  <c r="V46" i="22"/>
  <c r="T124" i="22"/>
  <c r="L31" i="22"/>
  <c r="N124" i="22"/>
  <c r="V124" i="22"/>
  <c r="A31" i="22"/>
  <c r="X31" i="22"/>
  <c r="A26" i="24"/>
  <c r="X33" i="22"/>
  <c r="V126" i="22"/>
  <c r="N126" i="22"/>
  <c r="C126" i="22"/>
  <c r="L33" i="22"/>
  <c r="T126" i="22"/>
  <c r="D126" i="22"/>
  <c r="E126" i="22" s="1"/>
  <c r="A33" i="22"/>
  <c r="A28" i="24"/>
  <c r="V125" i="22"/>
  <c r="N125" i="22"/>
  <c r="C125" i="22"/>
  <c r="T125" i="22"/>
  <c r="L32" i="22"/>
  <c r="D125" i="22"/>
  <c r="X32" i="22"/>
  <c r="A32" i="22"/>
  <c r="A27" i="24"/>
  <c r="C81" i="22"/>
  <c r="D81" i="22" s="1"/>
  <c r="U81" i="22"/>
  <c r="S81" i="22"/>
  <c r="N81" i="22"/>
  <c r="T133" i="22"/>
  <c r="D133" i="22"/>
  <c r="E133" i="22" s="1"/>
  <c r="X40" i="22"/>
  <c r="C133" i="22"/>
  <c r="N133" i="22"/>
  <c r="V133" i="22"/>
  <c r="L40" i="22"/>
  <c r="A40" i="22"/>
  <c r="A35" i="24"/>
  <c r="S58" i="22"/>
  <c r="N58" i="22"/>
  <c r="U58" i="22"/>
  <c r="V107" i="22"/>
  <c r="N107" i="22"/>
  <c r="T107" i="22"/>
  <c r="X16" i="22"/>
  <c r="A16" i="22"/>
  <c r="L16" i="22"/>
  <c r="A14" i="24"/>
  <c r="M26" i="22"/>
  <c r="B26" i="22"/>
  <c r="A41" i="53"/>
  <c r="L41" i="53" s="1"/>
  <c r="W41" i="53" s="1"/>
  <c r="AH41" i="53" s="1"/>
  <c r="AS41" i="53" s="1"/>
  <c r="BD41" i="53" s="1"/>
  <c r="BO41" i="53" s="1"/>
  <c r="BZ41" i="53" s="1"/>
  <c r="CK41" i="53" s="1"/>
  <c r="CV41" i="53" s="1"/>
  <c r="DG41" i="53" s="1"/>
  <c r="DR41" i="53" s="1"/>
  <c r="EC41" i="53" s="1"/>
  <c r="A44" i="47"/>
  <c r="N87" i="22"/>
  <c r="U87" i="22"/>
  <c r="S87" i="22"/>
  <c r="C87" i="22"/>
  <c r="D87" i="22" s="1"/>
  <c r="X22" i="22"/>
  <c r="V113" i="22"/>
  <c r="T113" i="22"/>
  <c r="N113" i="22"/>
  <c r="L22" i="22"/>
  <c r="A22" i="22"/>
  <c r="A20" i="24"/>
  <c r="T111" i="22"/>
  <c r="V111" i="22"/>
  <c r="N111" i="22"/>
  <c r="L20" i="22"/>
  <c r="X20" i="22"/>
  <c r="A20" i="22"/>
  <c r="A18" i="24"/>
  <c r="V115" i="22"/>
  <c r="N115" i="22"/>
  <c r="X24" i="22"/>
  <c r="T115" i="22"/>
  <c r="A24" i="22"/>
  <c r="L24" i="22"/>
  <c r="A22" i="24"/>
  <c r="B15" i="22"/>
  <c r="M15" i="22"/>
  <c r="M33" i="22"/>
  <c r="B33" i="22"/>
  <c r="X34" i="22"/>
  <c r="N127" i="22"/>
  <c r="C127" i="22"/>
  <c r="D127" i="22" s="1"/>
  <c r="E127" i="22" s="1"/>
  <c r="T127" i="22"/>
  <c r="L34" i="22"/>
  <c r="V127" i="22"/>
  <c r="A34" i="22"/>
  <c r="A29" i="24"/>
  <c r="M35" i="22"/>
  <c r="B35" i="22"/>
  <c r="M40" i="22"/>
  <c r="B40" i="22"/>
  <c r="N88" i="22"/>
  <c r="S88" i="22"/>
  <c r="C88" i="22"/>
  <c r="D88" i="22" s="1"/>
  <c r="U88" i="22"/>
  <c r="T117" i="22"/>
  <c r="L26" i="22"/>
  <c r="X26" i="22"/>
  <c r="V117" i="22"/>
  <c r="N117" i="22"/>
  <c r="A26" i="22"/>
  <c r="A24" i="24"/>
  <c r="T110" i="22"/>
  <c r="X19" i="22"/>
  <c r="V110" i="22"/>
  <c r="N110" i="22"/>
  <c r="L19" i="22"/>
  <c r="A19" i="22"/>
  <c r="A17" i="24"/>
  <c r="S65" i="22"/>
  <c r="U65" i="22"/>
  <c r="N65" i="22"/>
  <c r="U62" i="22"/>
  <c r="S62" i="22"/>
  <c r="N62" i="22"/>
  <c r="V106" i="22"/>
  <c r="N106" i="22"/>
  <c r="L15" i="22"/>
  <c r="X15" i="22"/>
  <c r="T106" i="22"/>
  <c r="A15" i="22"/>
  <c r="A13" i="24"/>
  <c r="O136" i="22"/>
  <c r="D43" i="22"/>
  <c r="C80" i="22"/>
  <c r="D80" i="22" s="1"/>
  <c r="S80" i="22"/>
  <c r="U80" i="22"/>
  <c r="N80" i="22"/>
  <c r="V128" i="22"/>
  <c r="N128" i="22"/>
  <c r="C128" i="22"/>
  <c r="T128" i="22"/>
  <c r="L35" i="22"/>
  <c r="D128" i="22"/>
  <c r="E128" i="22" s="1"/>
  <c r="X35" i="22"/>
  <c r="A35" i="22"/>
  <c r="A30" i="24"/>
  <c r="X13" i="22"/>
  <c r="V104" i="22"/>
  <c r="L13" i="22"/>
  <c r="A13" i="22"/>
  <c r="A11" i="24"/>
  <c r="V45" i="22"/>
  <c r="M42" i="22"/>
  <c r="B42" i="22"/>
  <c r="C85" i="22"/>
  <c r="D85" i="22" s="1"/>
  <c r="S85" i="22"/>
  <c r="N85" i="22"/>
  <c r="U85" i="22"/>
  <c r="M19" i="22"/>
  <c r="B19" i="22"/>
  <c r="U84" i="22"/>
  <c r="C84" i="22"/>
  <c r="S84" i="22"/>
  <c r="N84" i="22"/>
  <c r="D84" i="22"/>
  <c r="I84" i="22" s="1"/>
  <c r="F84" i="22" s="1"/>
  <c r="X41" i="22"/>
  <c r="E134" i="22"/>
  <c r="V134" i="22"/>
  <c r="N134" i="22"/>
  <c r="C134" i="22"/>
  <c r="T134" i="22"/>
  <c r="D134" i="22"/>
  <c r="L41" i="22"/>
  <c r="A41" i="22"/>
  <c r="A36" i="24"/>
  <c r="N66" i="22"/>
  <c r="S66" i="22"/>
  <c r="U66" i="22"/>
  <c r="M34" i="22"/>
  <c r="B34" i="22"/>
  <c r="M25" i="22"/>
  <c r="B25" i="22"/>
  <c r="N63" i="22"/>
  <c r="U63" i="22"/>
  <c r="S63" i="22"/>
  <c r="M13" i="22"/>
  <c r="B13" i="22"/>
  <c r="N68" i="22"/>
  <c r="U68" i="22"/>
  <c r="S68" i="22"/>
  <c r="T131" i="22"/>
  <c r="L38" i="22"/>
  <c r="X38" i="22"/>
  <c r="C131" i="22"/>
  <c r="D131" i="22" s="1"/>
  <c r="E131" i="22" s="1"/>
  <c r="V131" i="22"/>
  <c r="N131" i="22"/>
  <c r="A38" i="22"/>
  <c r="A33" i="24"/>
  <c r="M41" i="22"/>
  <c r="B41" i="22"/>
  <c r="X12" i="22"/>
  <c r="V103" i="22"/>
  <c r="N103" i="22"/>
  <c r="L12" i="22"/>
  <c r="A12" i="22"/>
  <c r="A10" i="24"/>
  <c r="U83" i="22"/>
  <c r="E83" i="22"/>
  <c r="C83" i="22"/>
  <c r="N83" i="22"/>
  <c r="D83" i="22"/>
  <c r="O83" i="22" s="1"/>
  <c r="S83" i="22"/>
  <c r="I83" i="22"/>
  <c r="F83" i="22" s="1"/>
  <c r="M20" i="22"/>
  <c r="B20" i="22"/>
  <c r="O139" i="22"/>
  <c r="D46" i="22"/>
  <c r="M17" i="22"/>
  <c r="B17" i="22"/>
  <c r="X21" i="22"/>
  <c r="T112" i="22"/>
  <c r="N112" i="22"/>
  <c r="L21" i="22"/>
  <c r="V112" i="22"/>
  <c r="A21" i="22"/>
  <c r="A19" i="24"/>
  <c r="U70" i="22"/>
  <c r="N70" i="22"/>
  <c r="S70" i="22"/>
  <c r="O138" i="22"/>
  <c r="D45" i="22"/>
  <c r="S82" i="22"/>
  <c r="N82" i="22"/>
  <c r="U82" i="22"/>
  <c r="C82" i="22"/>
  <c r="D82" i="22" s="1"/>
  <c r="X42" i="22"/>
  <c r="L42" i="22"/>
  <c r="C135" i="22"/>
  <c r="D135" i="22" s="1"/>
  <c r="E135" i="22" s="1"/>
  <c r="V135" i="22"/>
  <c r="N135" i="22"/>
  <c r="T135" i="22"/>
  <c r="A42" i="22"/>
  <c r="A37" i="24"/>
  <c r="V114" i="22"/>
  <c r="N114" i="22"/>
  <c r="L23" i="22"/>
  <c r="X23" i="22"/>
  <c r="T114" i="22"/>
  <c r="A23" i="22"/>
  <c r="A21" i="24"/>
  <c r="X39" i="22"/>
  <c r="N132" i="22"/>
  <c r="L39" i="22"/>
  <c r="V132" i="22"/>
  <c r="C132" i="22"/>
  <c r="D132" i="22" s="1"/>
  <c r="E132" i="22" s="1"/>
  <c r="T132" i="22"/>
  <c r="A39" i="22"/>
  <c r="A34" i="24"/>
  <c r="N59" i="22"/>
  <c r="U59" i="22"/>
  <c r="S59" i="22"/>
  <c r="M38" i="22"/>
  <c r="B38" i="22"/>
  <c r="U57" i="22"/>
  <c r="N57" i="22"/>
  <c r="S57" i="22"/>
  <c r="A43" i="53"/>
  <c r="L43" i="53" s="1"/>
  <c r="W43" i="53" s="1"/>
  <c r="AH43" i="53" s="1"/>
  <c r="AS43" i="53" s="1"/>
  <c r="BD43" i="53" s="1"/>
  <c r="BO43" i="53" s="1"/>
  <c r="BZ43" i="53" s="1"/>
  <c r="CK43" i="53" s="1"/>
  <c r="CV43" i="53" s="1"/>
  <c r="DG43" i="53" s="1"/>
  <c r="DR43" i="53" s="1"/>
  <c r="EC43" i="53" s="1"/>
  <c r="A46" i="47"/>
  <c r="L17" i="22"/>
  <c r="V108" i="22"/>
  <c r="N108" i="22"/>
  <c r="X17" i="22"/>
  <c r="A17" i="22"/>
  <c r="A15" i="24"/>
  <c r="F136" i="22"/>
  <c r="W136" i="22" s="1"/>
  <c r="I43" i="22"/>
  <c r="V43" i="22"/>
  <c r="C78" i="22"/>
  <c r="N78" i="22"/>
  <c r="S78" i="22"/>
  <c r="U78" i="22"/>
  <c r="D78" i="22"/>
  <c r="O78" i="22" s="1"/>
  <c r="T116" i="22"/>
  <c r="L25" i="22"/>
  <c r="V116" i="22"/>
  <c r="X25" i="22"/>
  <c r="N116" i="22"/>
  <c r="A25" i="22"/>
  <c r="A23" i="24"/>
  <c r="M18" i="22"/>
  <c r="B18" i="22"/>
  <c r="U61" i="22"/>
  <c r="S61" i="22"/>
  <c r="N61" i="22"/>
  <c r="F138" i="22"/>
  <c r="W138" i="22" s="1"/>
  <c r="M39" i="22"/>
  <c r="B39" i="22"/>
  <c r="BN45" i="47" l="1"/>
  <c r="AW45" i="47"/>
  <c r="AI45" i="47"/>
  <c r="R45" i="47"/>
  <c r="BA45" i="47"/>
  <c r="BM45" i="47"/>
  <c r="AV45" i="47"/>
  <c r="AE45" i="47"/>
  <c r="Q45" i="47"/>
  <c r="AJ45" i="47"/>
  <c r="E45" i="47"/>
  <c r="BI45" i="47"/>
  <c r="AU45" i="47"/>
  <c r="AD45" i="47"/>
  <c r="M45" i="47"/>
  <c r="BO45" i="47"/>
  <c r="BH45" i="47"/>
  <c r="AQ45" i="47"/>
  <c r="AC45" i="47"/>
  <c r="L45" i="47"/>
  <c r="BU45" i="47"/>
  <c r="BG45" i="47"/>
  <c r="AP45" i="47"/>
  <c r="Y45" i="47"/>
  <c r="K45" i="47"/>
  <c r="S45" i="47"/>
  <c r="BT45" i="47"/>
  <c r="BC45" i="47"/>
  <c r="AO45" i="47"/>
  <c r="X45" i="47"/>
  <c r="G45" i="47"/>
  <c r="BS45" i="47"/>
  <c r="BB45" i="47"/>
  <c r="AK45" i="47"/>
  <c r="W45" i="47"/>
  <c r="F45" i="47"/>
  <c r="BU44" i="47"/>
  <c r="BG44" i="47"/>
  <c r="AP44" i="47"/>
  <c r="Y44" i="47"/>
  <c r="K44" i="47"/>
  <c r="BT44" i="47"/>
  <c r="BC44" i="47"/>
  <c r="AO44" i="47"/>
  <c r="X44" i="47"/>
  <c r="G44" i="47"/>
  <c r="L44" i="47"/>
  <c r="BS44" i="47"/>
  <c r="BB44" i="47"/>
  <c r="AK44" i="47"/>
  <c r="W44" i="47"/>
  <c r="F44" i="47"/>
  <c r="BO44" i="47"/>
  <c r="BA44" i="47"/>
  <c r="AJ44" i="47"/>
  <c r="S44" i="47"/>
  <c r="E44" i="47"/>
  <c r="AC44" i="47"/>
  <c r="BN44" i="47"/>
  <c r="AW44" i="47"/>
  <c r="AI44" i="47"/>
  <c r="R44" i="47"/>
  <c r="BH44" i="47"/>
  <c r="BM44" i="47"/>
  <c r="AV44" i="47"/>
  <c r="AE44" i="47"/>
  <c r="Q44" i="47"/>
  <c r="BI44" i="47"/>
  <c r="AU44" i="47"/>
  <c r="AD44" i="47"/>
  <c r="M44" i="47"/>
  <c r="AQ44" i="47"/>
  <c r="BU46" i="47"/>
  <c r="BG46" i="47"/>
  <c r="AP46" i="47"/>
  <c r="Y46" i="47"/>
  <c r="K46" i="47"/>
  <c r="BT46" i="47"/>
  <c r="BC46" i="47"/>
  <c r="AO46" i="47"/>
  <c r="X46" i="47"/>
  <c r="G46" i="47"/>
  <c r="BS46" i="47"/>
  <c r="BB46" i="47"/>
  <c r="AK46" i="47"/>
  <c r="W46" i="47"/>
  <c r="F46" i="47"/>
  <c r="BO46" i="47"/>
  <c r="BA46" i="47"/>
  <c r="AJ46" i="47"/>
  <c r="S46" i="47"/>
  <c r="E46" i="47"/>
  <c r="L46" i="47"/>
  <c r="BN46" i="47"/>
  <c r="AW46" i="47"/>
  <c r="AI46" i="47"/>
  <c r="R46" i="47"/>
  <c r="AC46" i="47"/>
  <c r="BM46" i="47"/>
  <c r="AV46" i="47"/>
  <c r="AE46" i="47"/>
  <c r="Q46" i="47"/>
  <c r="AQ46" i="47"/>
  <c r="BI46" i="47"/>
  <c r="AU46" i="47"/>
  <c r="AD46" i="47"/>
  <c r="M46" i="47"/>
  <c r="BH46" i="47"/>
  <c r="BN43" i="47"/>
  <c r="AW43" i="47"/>
  <c r="AI43" i="47"/>
  <c r="R43" i="47"/>
  <c r="AJ43" i="47"/>
  <c r="BM43" i="47"/>
  <c r="AV43" i="47"/>
  <c r="AE43" i="47"/>
  <c r="Q43" i="47"/>
  <c r="E43" i="47"/>
  <c r="BI43" i="47"/>
  <c r="AU43" i="47"/>
  <c r="AD43" i="47"/>
  <c r="M43" i="47"/>
  <c r="S43" i="47"/>
  <c r="BH43" i="47"/>
  <c r="AQ43" i="47"/>
  <c r="AC43" i="47"/>
  <c r="L43" i="47"/>
  <c r="BU43" i="47"/>
  <c r="BG43" i="47"/>
  <c r="AP43" i="47"/>
  <c r="Y43" i="47"/>
  <c r="K43" i="47"/>
  <c r="BA43" i="47"/>
  <c r="BT43" i="47"/>
  <c r="BC43" i="47"/>
  <c r="AO43" i="47"/>
  <c r="X43" i="47"/>
  <c r="G43" i="47"/>
  <c r="BO43" i="47"/>
  <c r="BS43" i="47"/>
  <c r="BB43" i="47"/>
  <c r="AK43" i="47"/>
  <c r="W43" i="47"/>
  <c r="F43" i="47"/>
  <c r="I44" i="22"/>
  <c r="W43" i="22"/>
  <c r="I45" i="22"/>
  <c r="I46" i="22"/>
  <c r="E78" i="22"/>
  <c r="E125" i="22"/>
  <c r="F125" i="22" s="1"/>
  <c r="F137" i="22"/>
  <c r="D44" i="22"/>
  <c r="O137" i="22"/>
  <c r="O44" i="22" s="1"/>
  <c r="E82" i="22"/>
  <c r="I82" i="22"/>
  <c r="F82" i="22" s="1"/>
  <c r="O82" i="22"/>
  <c r="E88" i="22"/>
  <c r="O88" i="22"/>
  <c r="I88" i="22"/>
  <c r="F88" i="22" s="1"/>
  <c r="P83" i="22"/>
  <c r="Q83" i="22"/>
  <c r="R83" i="22" s="1"/>
  <c r="O85" i="22"/>
  <c r="I85" i="22"/>
  <c r="F85" i="22" s="1"/>
  <c r="E85" i="22"/>
  <c r="I86" i="22"/>
  <c r="F86" i="22" s="1"/>
  <c r="O86" i="22"/>
  <c r="E86" i="22"/>
  <c r="I81" i="22"/>
  <c r="F81" i="22" s="1"/>
  <c r="E81" i="22"/>
  <c r="O81" i="22"/>
  <c r="P78" i="22"/>
  <c r="Q78" i="22"/>
  <c r="R78" i="22" s="1"/>
  <c r="I87" i="22"/>
  <c r="F87" i="22" s="1"/>
  <c r="O87" i="22"/>
  <c r="E87" i="22"/>
  <c r="I80" i="22"/>
  <c r="F80" i="22" s="1"/>
  <c r="E80" i="22"/>
  <c r="O80" i="22"/>
  <c r="E79" i="22"/>
  <c r="O79" i="22"/>
  <c r="I79" i="22"/>
  <c r="F79" i="22" s="1"/>
  <c r="V87" i="22"/>
  <c r="V81" i="22"/>
  <c r="R139" i="22"/>
  <c r="R46" i="22" s="1"/>
  <c r="I139" i="22"/>
  <c r="E46" i="22" s="1"/>
  <c r="G139" i="22"/>
  <c r="G46" i="22" s="1"/>
  <c r="Q91" i="22"/>
  <c r="R91" i="22" s="1"/>
  <c r="P91" i="22"/>
  <c r="V82" i="22"/>
  <c r="V83" i="22"/>
  <c r="V79" i="22"/>
  <c r="R137" i="22"/>
  <c r="G137" i="22"/>
  <c r="G44" i="22" s="1"/>
  <c r="I78" i="22"/>
  <c r="F78" i="22" s="1"/>
  <c r="E84" i="22"/>
  <c r="V85" i="22"/>
  <c r="V92" i="22"/>
  <c r="W46" i="22" s="1"/>
  <c r="Q89" i="22"/>
  <c r="R89" i="22" s="1"/>
  <c r="P89" i="22"/>
  <c r="O46" i="22"/>
  <c r="S139" i="22"/>
  <c r="U139" i="22" s="1"/>
  <c r="Q139" i="22"/>
  <c r="Q46" i="22" s="1"/>
  <c r="F46" i="22" s="1"/>
  <c r="P139" i="22"/>
  <c r="P46" i="22" s="1"/>
  <c r="V80" i="22"/>
  <c r="W137" i="22"/>
  <c r="W44" i="22" s="1"/>
  <c r="O45" i="22"/>
  <c r="S138" i="22"/>
  <c r="U138" i="22" s="1"/>
  <c r="Q138" i="22"/>
  <c r="Q45" i="22" s="1"/>
  <c r="F45" i="22" s="1"/>
  <c r="P138" i="22"/>
  <c r="P45" i="22" s="1"/>
  <c r="O84" i="22"/>
  <c r="R136" i="22"/>
  <c r="G136" i="22"/>
  <c r="G43" i="22" s="1"/>
  <c r="R138" i="22"/>
  <c r="G138" i="22"/>
  <c r="G45" i="22" s="1"/>
  <c r="I138" i="22"/>
  <c r="E45" i="22" s="1"/>
  <c r="O43" i="22"/>
  <c r="S136" i="22"/>
  <c r="U136" i="22" s="1"/>
  <c r="P136" i="22"/>
  <c r="P43" i="22" s="1"/>
  <c r="Q136" i="22"/>
  <c r="Q43" i="22" s="1"/>
  <c r="F43" i="22" s="1"/>
  <c r="V88" i="22"/>
  <c r="V86" i="22"/>
  <c r="T92" i="22"/>
  <c r="P90" i="22"/>
  <c r="Q90" i="22"/>
  <c r="R90" i="22" s="1"/>
  <c r="S137" i="22"/>
  <c r="U137" i="22" s="1"/>
  <c r="P137" i="22"/>
  <c r="Q137" i="22"/>
  <c r="Q44" i="22" s="1"/>
  <c r="F44" i="22" s="1"/>
  <c r="V84" i="22"/>
  <c r="V91" i="22"/>
  <c r="W45" i="22" s="1"/>
  <c r="N33" i="22"/>
  <c r="N42" i="22"/>
  <c r="N17" i="22"/>
  <c r="N25" i="22"/>
  <c r="C42" i="22"/>
  <c r="C39" i="22"/>
  <c r="N39" i="22"/>
  <c r="N19" i="22"/>
  <c r="N38" i="22"/>
  <c r="N21" i="22"/>
  <c r="C35" i="22"/>
  <c r="N41" i="22"/>
  <c r="C38" i="22"/>
  <c r="N15" i="22"/>
  <c r="N35" i="22"/>
  <c r="N31" i="22"/>
  <c r="N23" i="22"/>
  <c r="C32" i="22"/>
  <c r="N16" i="22"/>
  <c r="N32" i="22"/>
  <c r="C34" i="22"/>
  <c r="N20" i="22"/>
  <c r="C33" i="22"/>
  <c r="N40" i="22"/>
  <c r="N26" i="22"/>
  <c r="C40" i="22"/>
  <c r="N37" i="22"/>
  <c r="C37" i="22"/>
  <c r="N22" i="22"/>
  <c r="N14" i="22"/>
  <c r="N12" i="22"/>
  <c r="N34" i="22"/>
  <c r="N24" i="22"/>
  <c r="C36" i="22"/>
  <c r="C41" i="22"/>
  <c r="N36" i="22"/>
  <c r="T103" i="22"/>
  <c r="T109" i="22"/>
  <c r="T108" i="22"/>
  <c r="V38" i="22"/>
  <c r="O134" i="22"/>
  <c r="D41" i="22"/>
  <c r="F134" i="22"/>
  <c r="I41" i="22"/>
  <c r="V15" i="22"/>
  <c r="V40" i="22"/>
  <c r="A29" i="53"/>
  <c r="L29" i="53" s="1"/>
  <c r="W29" i="53" s="1"/>
  <c r="AH29" i="53" s="1"/>
  <c r="AS29" i="53" s="1"/>
  <c r="BD29" i="53" s="1"/>
  <c r="BO29" i="53" s="1"/>
  <c r="BZ29" i="53" s="1"/>
  <c r="CK29" i="53" s="1"/>
  <c r="CV29" i="53" s="1"/>
  <c r="DG29" i="53" s="1"/>
  <c r="DR29" i="53" s="1"/>
  <c r="EC29" i="53" s="1"/>
  <c r="A32" i="47"/>
  <c r="CB45" i="47"/>
  <c r="BW45" i="47"/>
  <c r="BV45" i="47"/>
  <c r="BX45" i="47"/>
  <c r="BY45" i="47"/>
  <c r="EO40" i="53"/>
  <c r="EH40" i="53"/>
  <c r="ED40" i="53"/>
  <c r="A36" i="47"/>
  <c r="A33" i="53"/>
  <c r="L33" i="53" s="1"/>
  <c r="W33" i="53" s="1"/>
  <c r="AH33" i="53" s="1"/>
  <c r="AS33" i="53" s="1"/>
  <c r="BD33" i="53" s="1"/>
  <c r="BO33" i="53" s="1"/>
  <c r="BZ33" i="53" s="1"/>
  <c r="CK33" i="53" s="1"/>
  <c r="CV33" i="53" s="1"/>
  <c r="DG33" i="53" s="1"/>
  <c r="DR33" i="53" s="1"/>
  <c r="EC33" i="53" s="1"/>
  <c r="A24" i="53"/>
  <c r="L24" i="53" s="1"/>
  <c r="W24" i="53" s="1"/>
  <c r="AH24" i="53" s="1"/>
  <c r="AS24" i="53" s="1"/>
  <c r="BD24" i="53" s="1"/>
  <c r="BO24" i="53" s="1"/>
  <c r="BZ24" i="53" s="1"/>
  <c r="CK24" i="53" s="1"/>
  <c r="CV24" i="53" s="1"/>
  <c r="DG24" i="53" s="1"/>
  <c r="DR24" i="53" s="1"/>
  <c r="EC24" i="53" s="1"/>
  <c r="A27" i="47"/>
  <c r="F135" i="22"/>
  <c r="A14" i="47"/>
  <c r="A11" i="53"/>
  <c r="L11" i="53" s="1"/>
  <c r="W11" i="53" s="1"/>
  <c r="AH11" i="53" s="1"/>
  <c r="AS11" i="53" s="1"/>
  <c r="BD11" i="53" s="1"/>
  <c r="BO11" i="53" s="1"/>
  <c r="BZ11" i="53" s="1"/>
  <c r="CK11" i="53" s="1"/>
  <c r="CV11" i="53" s="1"/>
  <c r="DG11" i="53" s="1"/>
  <c r="DR11" i="53" s="1"/>
  <c r="EC11" i="53" s="1"/>
  <c r="T104" i="22"/>
  <c r="F128" i="22"/>
  <c r="A17" i="47"/>
  <c r="A14" i="53"/>
  <c r="L14" i="53" s="1"/>
  <c r="W14" i="53" s="1"/>
  <c r="AH14" i="53" s="1"/>
  <c r="AS14" i="53" s="1"/>
  <c r="BD14" i="53" s="1"/>
  <c r="BO14" i="53" s="1"/>
  <c r="BZ14" i="53" s="1"/>
  <c r="CK14" i="53" s="1"/>
  <c r="CV14" i="53" s="1"/>
  <c r="DG14" i="53" s="1"/>
  <c r="DR14" i="53" s="1"/>
  <c r="EC14" i="53" s="1"/>
  <c r="V26" i="22"/>
  <c r="D34" i="22"/>
  <c r="O127" i="22"/>
  <c r="V31" i="22"/>
  <c r="EO42" i="53"/>
  <c r="EH42" i="53"/>
  <c r="ED42" i="53"/>
  <c r="O130" i="22"/>
  <c r="D37" i="22"/>
  <c r="N109" i="22"/>
  <c r="N18" i="22" s="1"/>
  <c r="V39" i="22"/>
  <c r="O135" i="22"/>
  <c r="D42" i="22"/>
  <c r="V13" i="22"/>
  <c r="V16" i="22"/>
  <c r="A33" i="47"/>
  <c r="A30" i="53"/>
  <c r="L30" i="53" s="1"/>
  <c r="W30" i="53" s="1"/>
  <c r="AH30" i="53" s="1"/>
  <c r="AS30" i="53" s="1"/>
  <c r="BD30" i="53" s="1"/>
  <c r="BO30" i="53" s="1"/>
  <c r="BZ30" i="53" s="1"/>
  <c r="CK30" i="53" s="1"/>
  <c r="CV30" i="53" s="1"/>
  <c r="DG30" i="53" s="1"/>
  <c r="DR30" i="53" s="1"/>
  <c r="EC30" i="53" s="1"/>
  <c r="A23" i="47"/>
  <c r="A20" i="53"/>
  <c r="L20" i="53" s="1"/>
  <c r="W20" i="53" s="1"/>
  <c r="AH20" i="53" s="1"/>
  <c r="AS20" i="53" s="1"/>
  <c r="BD20" i="53" s="1"/>
  <c r="BO20" i="53" s="1"/>
  <c r="BZ20" i="53" s="1"/>
  <c r="CK20" i="53" s="1"/>
  <c r="CV20" i="53" s="1"/>
  <c r="DG20" i="53" s="1"/>
  <c r="DR20" i="53" s="1"/>
  <c r="EC20" i="53" s="1"/>
  <c r="V19" i="22"/>
  <c r="A34" i="47"/>
  <c r="A31" i="53"/>
  <c r="L31" i="53" s="1"/>
  <c r="W31" i="53" s="1"/>
  <c r="AH31" i="53" s="1"/>
  <c r="AS31" i="53" s="1"/>
  <c r="BD31" i="53" s="1"/>
  <c r="BO31" i="53" s="1"/>
  <c r="BZ31" i="53" s="1"/>
  <c r="CK31" i="53" s="1"/>
  <c r="CV31" i="53" s="1"/>
  <c r="DG31" i="53" s="1"/>
  <c r="DR31" i="53" s="1"/>
  <c r="EC31" i="53" s="1"/>
  <c r="A26" i="47"/>
  <c r="A23" i="53"/>
  <c r="L23" i="53" s="1"/>
  <c r="W23" i="53" s="1"/>
  <c r="AH23" i="53" s="1"/>
  <c r="AS23" i="53" s="1"/>
  <c r="BD23" i="53" s="1"/>
  <c r="BO23" i="53" s="1"/>
  <c r="BZ23" i="53" s="1"/>
  <c r="CK23" i="53" s="1"/>
  <c r="CV23" i="53" s="1"/>
  <c r="DG23" i="53" s="1"/>
  <c r="DR23" i="53" s="1"/>
  <c r="EC23" i="53" s="1"/>
  <c r="A19" i="53"/>
  <c r="L19" i="53" s="1"/>
  <c r="W19" i="53" s="1"/>
  <c r="AH19" i="53" s="1"/>
  <c r="AS19" i="53" s="1"/>
  <c r="BD19" i="53" s="1"/>
  <c r="BO19" i="53" s="1"/>
  <c r="BZ19" i="53" s="1"/>
  <c r="CK19" i="53" s="1"/>
  <c r="CV19" i="53" s="1"/>
  <c r="DG19" i="53" s="1"/>
  <c r="DR19" i="53" s="1"/>
  <c r="EC19" i="53" s="1"/>
  <c r="A22" i="47"/>
  <c r="V22" i="22"/>
  <c r="V14" i="22"/>
  <c r="F130" i="22"/>
  <c r="I37" i="22"/>
  <c r="A20" i="47"/>
  <c r="A17" i="53"/>
  <c r="L17" i="53" s="1"/>
  <c r="W17" i="53" s="1"/>
  <c r="AH17" i="53" s="1"/>
  <c r="AS17" i="53" s="1"/>
  <c r="BD17" i="53" s="1"/>
  <c r="BO17" i="53" s="1"/>
  <c r="BZ17" i="53" s="1"/>
  <c r="CK17" i="53" s="1"/>
  <c r="CV17" i="53" s="1"/>
  <c r="DG17" i="53" s="1"/>
  <c r="DR17" i="53" s="1"/>
  <c r="EC17" i="53" s="1"/>
  <c r="A39" i="47"/>
  <c r="A36" i="53"/>
  <c r="L36" i="53" s="1"/>
  <c r="W36" i="53" s="1"/>
  <c r="AH36" i="53" s="1"/>
  <c r="AS36" i="53" s="1"/>
  <c r="BD36" i="53" s="1"/>
  <c r="BO36" i="53" s="1"/>
  <c r="BZ36" i="53" s="1"/>
  <c r="CK36" i="53" s="1"/>
  <c r="CV36" i="53" s="1"/>
  <c r="DG36" i="53" s="1"/>
  <c r="DR36" i="53" s="1"/>
  <c r="EC36" i="53" s="1"/>
  <c r="A41" i="47"/>
  <c r="A38" i="53"/>
  <c r="L38" i="53" s="1"/>
  <c r="W38" i="53" s="1"/>
  <c r="AH38" i="53" s="1"/>
  <c r="AS38" i="53" s="1"/>
  <c r="BD38" i="53" s="1"/>
  <c r="BO38" i="53" s="1"/>
  <c r="BZ38" i="53" s="1"/>
  <c r="CK38" i="53" s="1"/>
  <c r="CV38" i="53" s="1"/>
  <c r="DG38" i="53" s="1"/>
  <c r="DR38" i="53" s="1"/>
  <c r="EC38" i="53" s="1"/>
  <c r="A12" i="53"/>
  <c r="L12" i="53" s="1"/>
  <c r="W12" i="53" s="1"/>
  <c r="AH12" i="53" s="1"/>
  <c r="AS12" i="53" s="1"/>
  <c r="BD12" i="53" s="1"/>
  <c r="BO12" i="53" s="1"/>
  <c r="BZ12" i="53" s="1"/>
  <c r="CK12" i="53" s="1"/>
  <c r="CV12" i="53" s="1"/>
  <c r="DG12" i="53" s="1"/>
  <c r="DR12" i="53" s="1"/>
  <c r="EC12" i="53" s="1"/>
  <c r="A15" i="47"/>
  <c r="V25" i="22"/>
  <c r="A19" i="47"/>
  <c r="A16" i="53"/>
  <c r="L16" i="53" s="1"/>
  <c r="W16" i="53" s="1"/>
  <c r="AH16" i="53" s="1"/>
  <c r="AS16" i="53" s="1"/>
  <c r="BD16" i="53" s="1"/>
  <c r="BO16" i="53" s="1"/>
  <c r="BZ16" i="53" s="1"/>
  <c r="CK16" i="53" s="1"/>
  <c r="CV16" i="53" s="1"/>
  <c r="DG16" i="53" s="1"/>
  <c r="DR16" i="53" s="1"/>
  <c r="EC16" i="53" s="1"/>
  <c r="BX46" i="47"/>
  <c r="CB46" i="47"/>
  <c r="BY46" i="47"/>
  <c r="BW46" i="47"/>
  <c r="BV46" i="47"/>
  <c r="V23" i="22"/>
  <c r="V21" i="22"/>
  <c r="O131" i="22"/>
  <c r="D38" i="22"/>
  <c r="N104" i="22"/>
  <c r="N13" i="22" s="1"/>
  <c r="O128" i="22"/>
  <c r="D35" i="22"/>
  <c r="W128" i="22"/>
  <c r="V35" i="22"/>
  <c r="A21" i="47"/>
  <c r="A18" i="53"/>
  <c r="L18" i="53" s="1"/>
  <c r="W18" i="53" s="1"/>
  <c r="AH18" i="53" s="1"/>
  <c r="AS18" i="53" s="1"/>
  <c r="BD18" i="53" s="1"/>
  <c r="BO18" i="53" s="1"/>
  <c r="BZ18" i="53" s="1"/>
  <c r="CK18" i="53" s="1"/>
  <c r="CV18" i="53" s="1"/>
  <c r="DG18" i="53" s="1"/>
  <c r="DR18" i="53" s="1"/>
  <c r="EC18" i="53" s="1"/>
  <c r="V34" i="22"/>
  <c r="V20" i="22"/>
  <c r="V18" i="22"/>
  <c r="V17" i="22"/>
  <c r="A25" i="47"/>
  <c r="A22" i="53"/>
  <c r="L22" i="53" s="1"/>
  <c r="W22" i="53" s="1"/>
  <c r="AH22" i="53" s="1"/>
  <c r="AS22" i="53" s="1"/>
  <c r="BD22" i="53" s="1"/>
  <c r="BO22" i="53" s="1"/>
  <c r="BZ22" i="53" s="1"/>
  <c r="CK22" i="53" s="1"/>
  <c r="CV22" i="53" s="1"/>
  <c r="DG22" i="53" s="1"/>
  <c r="DR22" i="53" s="1"/>
  <c r="EC22" i="53" s="1"/>
  <c r="A38" i="47"/>
  <c r="A35" i="53"/>
  <c r="L35" i="53" s="1"/>
  <c r="W35" i="53" s="1"/>
  <c r="AH35" i="53" s="1"/>
  <c r="AS35" i="53" s="1"/>
  <c r="BD35" i="53" s="1"/>
  <c r="BO35" i="53" s="1"/>
  <c r="BZ35" i="53" s="1"/>
  <c r="CK35" i="53" s="1"/>
  <c r="CV35" i="53" s="1"/>
  <c r="DG35" i="53" s="1"/>
  <c r="DR35" i="53" s="1"/>
  <c r="EC35" i="53" s="1"/>
  <c r="F131" i="22"/>
  <c r="I38" i="22"/>
  <c r="A35" i="47"/>
  <c r="A32" i="53"/>
  <c r="L32" i="53" s="1"/>
  <c r="W32" i="53" s="1"/>
  <c r="AH32" i="53" s="1"/>
  <c r="AS32" i="53" s="1"/>
  <c r="BD32" i="53" s="1"/>
  <c r="BO32" i="53" s="1"/>
  <c r="BZ32" i="53" s="1"/>
  <c r="CK32" i="53" s="1"/>
  <c r="CV32" i="53" s="1"/>
  <c r="DG32" i="53" s="1"/>
  <c r="DR32" i="53" s="1"/>
  <c r="EC32" i="53" s="1"/>
  <c r="F127" i="22"/>
  <c r="A21" i="53"/>
  <c r="L21" i="53" s="1"/>
  <c r="W21" i="53" s="1"/>
  <c r="AH21" i="53" s="1"/>
  <c r="AS21" i="53" s="1"/>
  <c r="BD21" i="53" s="1"/>
  <c r="BO21" i="53" s="1"/>
  <c r="BZ21" i="53" s="1"/>
  <c r="CK21" i="53" s="1"/>
  <c r="CV21" i="53" s="1"/>
  <c r="DG21" i="53" s="1"/>
  <c r="DR21" i="53" s="1"/>
  <c r="EC21" i="53" s="1"/>
  <c r="A24" i="47"/>
  <c r="BW44" i="47"/>
  <c r="BV44" i="47"/>
  <c r="BY44" i="47"/>
  <c r="CB44" i="47"/>
  <c r="BX44" i="47"/>
  <c r="F133" i="22"/>
  <c r="W133" i="22" s="1"/>
  <c r="A31" i="47"/>
  <c r="A28" i="53"/>
  <c r="L28" i="53" s="1"/>
  <c r="W28" i="53" s="1"/>
  <c r="AH28" i="53" s="1"/>
  <c r="AS28" i="53" s="1"/>
  <c r="BD28" i="53" s="1"/>
  <c r="BO28" i="53" s="1"/>
  <c r="BZ28" i="53" s="1"/>
  <c r="CK28" i="53" s="1"/>
  <c r="CV28" i="53" s="1"/>
  <c r="DG28" i="53" s="1"/>
  <c r="DR28" i="53" s="1"/>
  <c r="EC28" i="53" s="1"/>
  <c r="A37" i="47"/>
  <c r="A34" i="53"/>
  <c r="L34" i="53" s="1"/>
  <c r="W34" i="53" s="1"/>
  <c r="AH34" i="53" s="1"/>
  <c r="AS34" i="53" s="1"/>
  <c r="BD34" i="53" s="1"/>
  <c r="BO34" i="53" s="1"/>
  <c r="BZ34" i="53" s="1"/>
  <c r="CK34" i="53" s="1"/>
  <c r="CV34" i="53" s="1"/>
  <c r="DG34" i="53" s="1"/>
  <c r="DR34" i="53" s="1"/>
  <c r="EC34" i="53" s="1"/>
  <c r="V36" i="22"/>
  <c r="O132" i="22"/>
  <c r="D39" i="22"/>
  <c r="F132" i="22"/>
  <c r="W132" i="22" s="1"/>
  <c r="I39" i="22"/>
  <c r="W135" i="22"/>
  <c r="V42" i="22"/>
  <c r="V12" i="22"/>
  <c r="A25" i="53"/>
  <c r="L25" i="53" s="1"/>
  <c r="W25" i="53" s="1"/>
  <c r="AH25" i="53" s="1"/>
  <c r="AS25" i="53" s="1"/>
  <c r="BD25" i="53" s="1"/>
  <c r="BO25" i="53" s="1"/>
  <c r="BZ25" i="53" s="1"/>
  <c r="CK25" i="53" s="1"/>
  <c r="CV25" i="53" s="1"/>
  <c r="DG25" i="53" s="1"/>
  <c r="DR25" i="53" s="1"/>
  <c r="EC25" i="53" s="1"/>
  <c r="A28" i="47"/>
  <c r="EO41" i="53"/>
  <c r="ED41" i="53"/>
  <c r="EH41" i="53"/>
  <c r="A37" i="53"/>
  <c r="L37" i="53" s="1"/>
  <c r="W37" i="53" s="1"/>
  <c r="AH37" i="53" s="1"/>
  <c r="AS37" i="53" s="1"/>
  <c r="BD37" i="53" s="1"/>
  <c r="BO37" i="53" s="1"/>
  <c r="BZ37" i="53" s="1"/>
  <c r="CK37" i="53" s="1"/>
  <c r="CV37" i="53" s="1"/>
  <c r="DG37" i="53" s="1"/>
  <c r="DR37" i="53" s="1"/>
  <c r="EC37" i="53" s="1"/>
  <c r="A40" i="47"/>
  <c r="O126" i="22"/>
  <c r="D33" i="22"/>
  <c r="V33" i="22"/>
  <c r="A16" i="47"/>
  <c r="A13" i="53"/>
  <c r="L13" i="53" s="1"/>
  <c r="W13" i="53" s="1"/>
  <c r="AH13" i="53" s="1"/>
  <c r="AS13" i="53" s="1"/>
  <c r="BD13" i="53" s="1"/>
  <c r="BO13" i="53" s="1"/>
  <c r="BZ13" i="53" s="1"/>
  <c r="CK13" i="53" s="1"/>
  <c r="CV13" i="53" s="1"/>
  <c r="DG13" i="53" s="1"/>
  <c r="DR13" i="53" s="1"/>
  <c r="EC13" i="53" s="1"/>
  <c r="W130" i="22"/>
  <c r="V37" i="22"/>
  <c r="F129" i="22"/>
  <c r="I36" i="22"/>
  <c r="O129" i="22"/>
  <c r="D36" i="22"/>
  <c r="EO43" i="53"/>
  <c r="ED43" i="53"/>
  <c r="EH43" i="53"/>
  <c r="A42" i="47"/>
  <c r="A39" i="53"/>
  <c r="L39" i="53" s="1"/>
  <c r="W39" i="53" s="1"/>
  <c r="AH39" i="53" s="1"/>
  <c r="AS39" i="53" s="1"/>
  <c r="BD39" i="53" s="1"/>
  <c r="BO39" i="53" s="1"/>
  <c r="BZ39" i="53" s="1"/>
  <c r="CK39" i="53" s="1"/>
  <c r="CV39" i="53" s="1"/>
  <c r="DG39" i="53" s="1"/>
  <c r="DR39" i="53" s="1"/>
  <c r="EC39" i="53" s="1"/>
  <c r="W134" i="22"/>
  <c r="V41" i="22"/>
  <c r="V24" i="22"/>
  <c r="A18" i="47"/>
  <c r="A15" i="53"/>
  <c r="L15" i="53" s="1"/>
  <c r="W15" i="53" s="1"/>
  <c r="AH15" i="53" s="1"/>
  <c r="AS15" i="53" s="1"/>
  <c r="BD15" i="53" s="1"/>
  <c r="BO15" i="53" s="1"/>
  <c r="BZ15" i="53" s="1"/>
  <c r="CK15" i="53" s="1"/>
  <c r="CV15" i="53" s="1"/>
  <c r="DG15" i="53" s="1"/>
  <c r="DR15" i="53" s="1"/>
  <c r="EC15" i="53" s="1"/>
  <c r="O133" i="22"/>
  <c r="D40" i="22"/>
  <c r="D32" i="22"/>
  <c r="O125" i="22"/>
  <c r="W125" i="22"/>
  <c r="V32" i="22"/>
  <c r="F126" i="22"/>
  <c r="W126" i="22" s="1"/>
  <c r="CB43" i="47"/>
  <c r="BV43" i="47"/>
  <c r="BX43" i="47"/>
  <c r="BY43" i="47"/>
  <c r="BW43" i="47"/>
  <c r="BN31" i="47" l="1"/>
  <c r="AW31" i="47"/>
  <c r="AI31" i="47"/>
  <c r="R31" i="47"/>
  <c r="S31" i="47"/>
  <c r="BM31" i="47"/>
  <c r="AV31" i="47"/>
  <c r="AE31" i="47"/>
  <c r="Q31" i="47"/>
  <c r="BO31" i="47"/>
  <c r="BI31" i="47"/>
  <c r="AU31" i="47"/>
  <c r="AD31" i="47"/>
  <c r="M31" i="47"/>
  <c r="AJ31" i="47"/>
  <c r="BH31" i="47"/>
  <c r="AQ31" i="47"/>
  <c r="AC31" i="47"/>
  <c r="L31" i="47"/>
  <c r="BU31" i="47"/>
  <c r="BG31" i="47"/>
  <c r="AP31" i="47"/>
  <c r="Y31" i="47"/>
  <c r="K31" i="47"/>
  <c r="BT31" i="47"/>
  <c r="BC31" i="47"/>
  <c r="AO31" i="47"/>
  <c r="X31" i="47"/>
  <c r="G31" i="47"/>
  <c r="BA31" i="47"/>
  <c r="BS31" i="47"/>
  <c r="BB31" i="47"/>
  <c r="AK31" i="47"/>
  <c r="W31" i="47"/>
  <c r="F31" i="47"/>
  <c r="E31" i="47"/>
  <c r="BU42" i="47"/>
  <c r="BG42" i="47"/>
  <c r="AP42" i="47"/>
  <c r="Y42" i="47"/>
  <c r="K42" i="47"/>
  <c r="BT42" i="47"/>
  <c r="BC42" i="47"/>
  <c r="AO42" i="47"/>
  <c r="X42" i="47"/>
  <c r="G42" i="47"/>
  <c r="BS42" i="47"/>
  <c r="BB42" i="47"/>
  <c r="AK42" i="47"/>
  <c r="W42" i="47"/>
  <c r="F42" i="47"/>
  <c r="BO42" i="47"/>
  <c r="BA42" i="47"/>
  <c r="AJ42" i="47"/>
  <c r="S42" i="47"/>
  <c r="E42" i="47"/>
  <c r="AC42" i="47"/>
  <c r="BN42" i="47"/>
  <c r="AW42" i="47"/>
  <c r="AI42" i="47"/>
  <c r="R42" i="47"/>
  <c r="AQ42" i="47"/>
  <c r="BM42" i="47"/>
  <c r="AV42" i="47"/>
  <c r="AE42" i="47"/>
  <c r="Q42" i="47"/>
  <c r="L42" i="47"/>
  <c r="BI42" i="47"/>
  <c r="AU42" i="47"/>
  <c r="AD42" i="47"/>
  <c r="M42" i="47"/>
  <c r="BH42" i="47"/>
  <c r="BU36" i="47"/>
  <c r="BG36" i="47"/>
  <c r="AP36" i="47"/>
  <c r="Y36" i="47"/>
  <c r="K36" i="47"/>
  <c r="AC36" i="47"/>
  <c r="BT36" i="47"/>
  <c r="BC36" i="47"/>
  <c r="AO36" i="47"/>
  <c r="X36" i="47"/>
  <c r="G36" i="47"/>
  <c r="BS36" i="47"/>
  <c r="BB36" i="47"/>
  <c r="AK36" i="47"/>
  <c r="W36" i="47"/>
  <c r="F36" i="47"/>
  <c r="BH36" i="47"/>
  <c r="BO36" i="47"/>
  <c r="BA36" i="47"/>
  <c r="AJ36" i="47"/>
  <c r="S36" i="47"/>
  <c r="E36" i="47"/>
  <c r="L36" i="47"/>
  <c r="BN36" i="47"/>
  <c r="AW36" i="47"/>
  <c r="AI36" i="47"/>
  <c r="R36" i="47"/>
  <c r="AQ36" i="47"/>
  <c r="BM36" i="47"/>
  <c r="AV36" i="47"/>
  <c r="AE36" i="47"/>
  <c r="Q36" i="47"/>
  <c r="BI36" i="47"/>
  <c r="AU36" i="47"/>
  <c r="AD36" i="47"/>
  <c r="M36" i="47"/>
  <c r="BU34" i="47"/>
  <c r="BG34" i="47"/>
  <c r="AP34" i="47"/>
  <c r="Y34" i="47"/>
  <c r="K34" i="47"/>
  <c r="BT34" i="47"/>
  <c r="BC34" i="47"/>
  <c r="AO34" i="47"/>
  <c r="X34" i="47"/>
  <c r="G34" i="47"/>
  <c r="AC34" i="47"/>
  <c r="BS34" i="47"/>
  <c r="BB34" i="47"/>
  <c r="AK34" i="47"/>
  <c r="W34" i="47"/>
  <c r="F34" i="47"/>
  <c r="BH34" i="47"/>
  <c r="BO34" i="47"/>
  <c r="BA34" i="47"/>
  <c r="AJ34" i="47"/>
  <c r="S34" i="47"/>
  <c r="E34" i="47"/>
  <c r="BN34" i="47"/>
  <c r="AW34" i="47"/>
  <c r="AI34" i="47"/>
  <c r="R34" i="47"/>
  <c r="AQ34" i="47"/>
  <c r="BM34" i="47"/>
  <c r="AV34" i="47"/>
  <c r="AE34" i="47"/>
  <c r="Q34" i="47"/>
  <c r="L34" i="47"/>
  <c r="BI34" i="47"/>
  <c r="AU34" i="47"/>
  <c r="AD34" i="47"/>
  <c r="M34" i="47"/>
  <c r="BU32" i="47"/>
  <c r="BG32" i="47"/>
  <c r="AP32" i="47"/>
  <c r="Y32" i="47"/>
  <c r="K32" i="47"/>
  <c r="BH32" i="47"/>
  <c r="BT32" i="47"/>
  <c r="BC32" i="47"/>
  <c r="AO32" i="47"/>
  <c r="X32" i="47"/>
  <c r="G32" i="47"/>
  <c r="BS32" i="47"/>
  <c r="BB32" i="47"/>
  <c r="AK32" i="47"/>
  <c r="W32" i="47"/>
  <c r="F32" i="47"/>
  <c r="BO32" i="47"/>
  <c r="BA32" i="47"/>
  <c r="AJ32" i="47"/>
  <c r="S32" i="47"/>
  <c r="E32" i="47"/>
  <c r="AC32" i="47"/>
  <c r="BN32" i="47"/>
  <c r="AW32" i="47"/>
  <c r="AI32" i="47"/>
  <c r="R32" i="47"/>
  <c r="AQ32" i="47"/>
  <c r="BM32" i="47"/>
  <c r="AV32" i="47"/>
  <c r="AE32" i="47"/>
  <c r="Q32" i="47"/>
  <c r="BI32" i="47"/>
  <c r="AU32" i="47"/>
  <c r="AD32" i="47"/>
  <c r="M32" i="47"/>
  <c r="L32" i="47"/>
  <c r="BN35" i="47"/>
  <c r="AW35" i="47"/>
  <c r="AI35" i="47"/>
  <c r="R35" i="47"/>
  <c r="E35" i="47"/>
  <c r="BM35" i="47"/>
  <c r="AV35" i="47"/>
  <c r="AE35" i="47"/>
  <c r="Q35" i="47"/>
  <c r="BA35" i="47"/>
  <c r="BI35" i="47"/>
  <c r="AU35" i="47"/>
  <c r="AD35" i="47"/>
  <c r="M35" i="47"/>
  <c r="BH35" i="47"/>
  <c r="AQ35" i="47"/>
  <c r="AC35" i="47"/>
  <c r="L35" i="47"/>
  <c r="BU35" i="47"/>
  <c r="BG35" i="47"/>
  <c r="AP35" i="47"/>
  <c r="Y35" i="47"/>
  <c r="K35" i="47"/>
  <c r="BT35" i="47"/>
  <c r="BC35" i="47"/>
  <c r="AO35" i="47"/>
  <c r="X35" i="47"/>
  <c r="G35" i="47"/>
  <c r="BO35" i="47"/>
  <c r="BS35" i="47"/>
  <c r="BB35" i="47"/>
  <c r="AK35" i="47"/>
  <c r="W35" i="47"/>
  <c r="F35" i="47"/>
  <c r="AJ35" i="47"/>
  <c r="S35" i="47"/>
  <c r="BU38" i="47"/>
  <c r="BG38" i="47"/>
  <c r="AP38" i="47"/>
  <c r="Y38" i="47"/>
  <c r="K38" i="47"/>
  <c r="AQ38" i="47"/>
  <c r="BT38" i="47"/>
  <c r="BC38" i="47"/>
  <c r="AO38" i="47"/>
  <c r="X38" i="47"/>
  <c r="G38" i="47"/>
  <c r="BS38" i="47"/>
  <c r="BB38" i="47"/>
  <c r="AK38" i="47"/>
  <c r="W38" i="47"/>
  <c r="F38" i="47"/>
  <c r="AC38" i="47"/>
  <c r="BO38" i="47"/>
  <c r="BA38" i="47"/>
  <c r="AJ38" i="47"/>
  <c r="S38" i="47"/>
  <c r="E38" i="47"/>
  <c r="BN38" i="47"/>
  <c r="AW38" i="47"/>
  <c r="AI38" i="47"/>
  <c r="R38" i="47"/>
  <c r="BH38" i="47"/>
  <c r="BM38" i="47"/>
  <c r="AV38" i="47"/>
  <c r="AE38" i="47"/>
  <c r="Q38" i="47"/>
  <c r="BI38" i="47"/>
  <c r="AU38" i="47"/>
  <c r="AD38" i="47"/>
  <c r="M38" i="47"/>
  <c r="L38" i="47"/>
  <c r="BN33" i="47"/>
  <c r="AW33" i="47"/>
  <c r="AI33" i="47"/>
  <c r="R33" i="47"/>
  <c r="BM33" i="47"/>
  <c r="AV33" i="47"/>
  <c r="AE33" i="47"/>
  <c r="Q33" i="47"/>
  <c r="AJ33" i="47"/>
  <c r="BI33" i="47"/>
  <c r="AU33" i="47"/>
  <c r="AD33" i="47"/>
  <c r="M33" i="47"/>
  <c r="S33" i="47"/>
  <c r="BH33" i="47"/>
  <c r="AQ33" i="47"/>
  <c r="AC33" i="47"/>
  <c r="L33" i="47"/>
  <c r="BO33" i="47"/>
  <c r="BU33" i="47"/>
  <c r="BG33" i="47"/>
  <c r="AP33" i="47"/>
  <c r="Y33" i="47"/>
  <c r="K33" i="47"/>
  <c r="BT33" i="47"/>
  <c r="BC33" i="47"/>
  <c r="AO33" i="47"/>
  <c r="X33" i="47"/>
  <c r="G33" i="47"/>
  <c r="BS33" i="47"/>
  <c r="BB33" i="47"/>
  <c r="AK33" i="47"/>
  <c r="W33" i="47"/>
  <c r="F33" i="47"/>
  <c r="BA33" i="47"/>
  <c r="E33" i="47"/>
  <c r="BN41" i="47"/>
  <c r="AW41" i="47"/>
  <c r="AI41" i="47"/>
  <c r="R41" i="47"/>
  <c r="AJ41" i="47"/>
  <c r="BM41" i="47"/>
  <c r="AV41" i="47"/>
  <c r="AE41" i="47"/>
  <c r="Q41" i="47"/>
  <c r="BO41" i="47"/>
  <c r="BI41" i="47"/>
  <c r="AU41" i="47"/>
  <c r="AD41" i="47"/>
  <c r="M41" i="47"/>
  <c r="BA41" i="47"/>
  <c r="BH41" i="47"/>
  <c r="AQ41" i="47"/>
  <c r="AC41" i="47"/>
  <c r="L41" i="47"/>
  <c r="E41" i="47"/>
  <c r="BU41" i="47"/>
  <c r="BG41" i="47"/>
  <c r="AP41" i="47"/>
  <c r="Y41" i="47"/>
  <c r="K41" i="47"/>
  <c r="BT41" i="47"/>
  <c r="BC41" i="47"/>
  <c r="AO41" i="47"/>
  <c r="X41" i="47"/>
  <c r="G41" i="47"/>
  <c r="BS41" i="47"/>
  <c r="BB41" i="47"/>
  <c r="AK41" i="47"/>
  <c r="W41" i="47"/>
  <c r="F41" i="47"/>
  <c r="S41" i="47"/>
  <c r="BU40" i="47"/>
  <c r="BG40" i="47"/>
  <c r="AP40" i="47"/>
  <c r="Y40" i="47"/>
  <c r="K40" i="47"/>
  <c r="L40" i="47"/>
  <c r="BT40" i="47"/>
  <c r="BC40" i="47"/>
  <c r="AO40" i="47"/>
  <c r="X40" i="47"/>
  <c r="G40" i="47"/>
  <c r="AQ40" i="47"/>
  <c r="BS40" i="47"/>
  <c r="BB40" i="47"/>
  <c r="AK40" i="47"/>
  <c r="W40" i="47"/>
  <c r="F40" i="47"/>
  <c r="BO40" i="47"/>
  <c r="BA40" i="47"/>
  <c r="AJ40" i="47"/>
  <c r="S40" i="47"/>
  <c r="E40" i="47"/>
  <c r="BN40" i="47"/>
  <c r="AW40" i="47"/>
  <c r="AI40" i="47"/>
  <c r="R40" i="47"/>
  <c r="AC40" i="47"/>
  <c r="BM40" i="47"/>
  <c r="AV40" i="47"/>
  <c r="AE40" i="47"/>
  <c r="Q40" i="47"/>
  <c r="BH40" i="47"/>
  <c r="BI40" i="47"/>
  <c r="AU40" i="47"/>
  <c r="AD40" i="47"/>
  <c r="M40" i="47"/>
  <c r="BN37" i="47"/>
  <c r="AW37" i="47"/>
  <c r="AI37" i="47"/>
  <c r="R37" i="47"/>
  <c r="BM37" i="47"/>
  <c r="AV37" i="47"/>
  <c r="AE37" i="47"/>
  <c r="Q37" i="47"/>
  <c r="BO37" i="47"/>
  <c r="S37" i="47"/>
  <c r="BI37" i="47"/>
  <c r="AU37" i="47"/>
  <c r="AD37" i="47"/>
  <c r="M37" i="47"/>
  <c r="BH37" i="47"/>
  <c r="AQ37" i="47"/>
  <c r="AC37" i="47"/>
  <c r="L37" i="47"/>
  <c r="BA37" i="47"/>
  <c r="BU37" i="47"/>
  <c r="BG37" i="47"/>
  <c r="AP37" i="47"/>
  <c r="Y37" i="47"/>
  <c r="K37" i="47"/>
  <c r="BT37" i="47"/>
  <c r="BC37" i="47"/>
  <c r="AO37" i="47"/>
  <c r="X37" i="47"/>
  <c r="G37" i="47"/>
  <c r="AJ37" i="47"/>
  <c r="BS37" i="47"/>
  <c r="BB37" i="47"/>
  <c r="AK37" i="47"/>
  <c r="W37" i="47"/>
  <c r="F37" i="47"/>
  <c r="E37" i="47"/>
  <c r="BN39" i="47"/>
  <c r="AW39" i="47"/>
  <c r="AI39" i="47"/>
  <c r="R39" i="47"/>
  <c r="BM39" i="47"/>
  <c r="AV39" i="47"/>
  <c r="AE39" i="47"/>
  <c r="Q39" i="47"/>
  <c r="E39" i="47"/>
  <c r="BI39" i="47"/>
  <c r="AU39" i="47"/>
  <c r="AD39" i="47"/>
  <c r="M39" i="47"/>
  <c r="BO39" i="47"/>
  <c r="BH39" i="47"/>
  <c r="AQ39" i="47"/>
  <c r="AC39" i="47"/>
  <c r="L39" i="47"/>
  <c r="S39" i="47"/>
  <c r="BU39" i="47"/>
  <c r="BG39" i="47"/>
  <c r="AP39" i="47"/>
  <c r="Y39" i="47"/>
  <c r="K39" i="47"/>
  <c r="BT39" i="47"/>
  <c r="BC39" i="47"/>
  <c r="AO39" i="47"/>
  <c r="X39" i="47"/>
  <c r="G39" i="47"/>
  <c r="AJ39" i="47"/>
  <c r="BS39" i="47"/>
  <c r="BB39" i="47"/>
  <c r="AK39" i="47"/>
  <c r="W39" i="47"/>
  <c r="F39" i="47"/>
  <c r="BA39" i="47"/>
  <c r="BU26" i="47"/>
  <c r="BG26" i="47"/>
  <c r="AP26" i="47"/>
  <c r="Y26" i="47"/>
  <c r="K26" i="47"/>
  <c r="BT26" i="47"/>
  <c r="BC26" i="47"/>
  <c r="AO26" i="47"/>
  <c r="X26" i="47"/>
  <c r="G26" i="47"/>
  <c r="BS26" i="47"/>
  <c r="BB26" i="47"/>
  <c r="AK26" i="47"/>
  <c r="W26" i="47"/>
  <c r="F26" i="47"/>
  <c r="BO26" i="47"/>
  <c r="BA26" i="47"/>
  <c r="AJ26" i="47"/>
  <c r="S26" i="47"/>
  <c r="E26" i="47"/>
  <c r="BN26" i="47"/>
  <c r="AW26" i="47"/>
  <c r="AI26" i="47"/>
  <c r="R26" i="47"/>
  <c r="BM26" i="47"/>
  <c r="AV26" i="47"/>
  <c r="AE26" i="47"/>
  <c r="Q26" i="47"/>
  <c r="M26" i="47"/>
  <c r="L26" i="47"/>
  <c r="BH26" i="47"/>
  <c r="BI26" i="47"/>
  <c r="AD26" i="47"/>
  <c r="AC26" i="47"/>
  <c r="AU26" i="47"/>
  <c r="AQ26" i="47"/>
  <c r="BU24" i="47"/>
  <c r="BG24" i="47"/>
  <c r="AP24" i="47"/>
  <c r="Y24" i="47"/>
  <c r="K24" i="47"/>
  <c r="BT24" i="47"/>
  <c r="BC24" i="47"/>
  <c r="AO24" i="47"/>
  <c r="X24" i="47"/>
  <c r="G24" i="47"/>
  <c r="BS24" i="47"/>
  <c r="BB24" i="47"/>
  <c r="AK24" i="47"/>
  <c r="W24" i="47"/>
  <c r="F24" i="47"/>
  <c r="BO24" i="47"/>
  <c r="BA24" i="47"/>
  <c r="AJ24" i="47"/>
  <c r="S24" i="47"/>
  <c r="E24" i="47"/>
  <c r="BN24" i="47"/>
  <c r="AW24" i="47"/>
  <c r="AI24" i="47"/>
  <c r="R24" i="47"/>
  <c r="AU24" i="47"/>
  <c r="AQ24" i="47"/>
  <c r="AV24" i="47"/>
  <c r="L24" i="47"/>
  <c r="AE24" i="47"/>
  <c r="AD24" i="47"/>
  <c r="M24" i="47"/>
  <c r="BM24" i="47"/>
  <c r="AC24" i="47"/>
  <c r="BI24" i="47"/>
  <c r="Q24" i="47"/>
  <c r="BH24" i="47"/>
  <c r="AI21" i="47"/>
  <c r="R21" i="47"/>
  <c r="AQ21" i="47"/>
  <c r="AE21" i="47"/>
  <c r="Q21" i="47"/>
  <c r="AD21" i="47"/>
  <c r="M21" i="47"/>
  <c r="AC21" i="47"/>
  <c r="L21" i="47"/>
  <c r="AP21" i="47"/>
  <c r="Y21" i="47"/>
  <c r="K21" i="47"/>
  <c r="F21" i="47"/>
  <c r="AO21" i="47"/>
  <c r="E21" i="47"/>
  <c r="AJ21" i="47"/>
  <c r="AK21" i="47"/>
  <c r="S21" i="47"/>
  <c r="G21" i="47"/>
  <c r="X21" i="47"/>
  <c r="W21" i="47"/>
  <c r="BN19" i="47"/>
  <c r="AW19" i="47"/>
  <c r="AI19" i="47"/>
  <c r="R19" i="47"/>
  <c r="AC19" i="47"/>
  <c r="L19" i="47"/>
  <c r="BM19" i="47"/>
  <c r="AV19" i="47"/>
  <c r="AE19" i="47"/>
  <c r="Q19" i="47"/>
  <c r="BH19" i="47"/>
  <c r="BI19" i="47"/>
  <c r="AU19" i="47"/>
  <c r="AD19" i="47"/>
  <c r="M19" i="47"/>
  <c r="AQ19" i="47"/>
  <c r="BU19" i="47"/>
  <c r="BG19" i="47"/>
  <c r="AP19" i="47"/>
  <c r="Y19" i="47"/>
  <c r="K19" i="47"/>
  <c r="BO19" i="47"/>
  <c r="W19" i="47"/>
  <c r="BC19" i="47"/>
  <c r="S19" i="47"/>
  <c r="BA19" i="47"/>
  <c r="BT19" i="47"/>
  <c r="X19" i="47"/>
  <c r="AJ19" i="47"/>
  <c r="BB19" i="47"/>
  <c r="G19" i="47"/>
  <c r="F19" i="47"/>
  <c r="AO19" i="47"/>
  <c r="E19" i="47"/>
  <c r="AK19" i="47"/>
  <c r="BS19" i="47"/>
  <c r="BU20" i="47"/>
  <c r="BG20" i="47"/>
  <c r="BA20" i="47"/>
  <c r="BT20" i="47"/>
  <c r="BC20" i="47"/>
  <c r="BS20" i="47"/>
  <c r="BB20" i="47"/>
  <c r="BO20" i="47"/>
  <c r="BN20" i="47"/>
  <c r="AW20" i="47"/>
  <c r="BI20" i="47"/>
  <c r="BM20" i="47"/>
  <c r="BH20" i="47"/>
  <c r="AV20" i="47"/>
  <c r="AU20" i="47"/>
  <c r="BU28" i="47"/>
  <c r="BG28" i="47"/>
  <c r="AP28" i="47"/>
  <c r="Y28" i="47"/>
  <c r="K28" i="47"/>
  <c r="BT28" i="47"/>
  <c r="BC28" i="47"/>
  <c r="AO28" i="47"/>
  <c r="X28" i="47"/>
  <c r="G28" i="47"/>
  <c r="BS28" i="47"/>
  <c r="BB28" i="47"/>
  <c r="AK28" i="47"/>
  <c r="W28" i="47"/>
  <c r="F28" i="47"/>
  <c r="BO28" i="47"/>
  <c r="BA28" i="47"/>
  <c r="AJ28" i="47"/>
  <c r="S28" i="47"/>
  <c r="E28" i="47"/>
  <c r="BN28" i="47"/>
  <c r="AW28" i="47"/>
  <c r="AI28" i="47"/>
  <c r="R28" i="47"/>
  <c r="BM28" i="47"/>
  <c r="AV28" i="47"/>
  <c r="AE28" i="47"/>
  <c r="Q28" i="47"/>
  <c r="BI28" i="47"/>
  <c r="BH28" i="47"/>
  <c r="L28" i="47"/>
  <c r="AU28" i="47"/>
  <c r="AQ28" i="47"/>
  <c r="AD28" i="47"/>
  <c r="AC28" i="47"/>
  <c r="M28" i="47"/>
  <c r="BN25" i="47"/>
  <c r="AW25" i="47"/>
  <c r="AI25" i="47"/>
  <c r="R25" i="47"/>
  <c r="BM25" i="47"/>
  <c r="AV25" i="47"/>
  <c r="AE25" i="47"/>
  <c r="Q25" i="47"/>
  <c r="BI25" i="47"/>
  <c r="AU25" i="47"/>
  <c r="AD25" i="47"/>
  <c r="M25" i="47"/>
  <c r="BH25" i="47"/>
  <c r="AQ25" i="47"/>
  <c r="AC25" i="47"/>
  <c r="L25" i="47"/>
  <c r="BU25" i="47"/>
  <c r="BG25" i="47"/>
  <c r="AP25" i="47"/>
  <c r="Y25" i="47"/>
  <c r="K25" i="47"/>
  <c r="BT25" i="47"/>
  <c r="BC25" i="47"/>
  <c r="AO25" i="47"/>
  <c r="X25" i="47"/>
  <c r="G25" i="47"/>
  <c r="W25" i="47"/>
  <c r="S25" i="47"/>
  <c r="E25" i="47"/>
  <c r="AK25" i="47"/>
  <c r="BS25" i="47"/>
  <c r="F25" i="47"/>
  <c r="BO25" i="47"/>
  <c r="BB25" i="47"/>
  <c r="BA25" i="47"/>
  <c r="AJ25" i="47"/>
  <c r="BU22" i="47"/>
  <c r="BG22" i="47"/>
  <c r="AP22" i="47"/>
  <c r="Y22" i="47"/>
  <c r="K22" i="47"/>
  <c r="BT22" i="47"/>
  <c r="BC22" i="47"/>
  <c r="AO22" i="47"/>
  <c r="X22" i="47"/>
  <c r="G22" i="47"/>
  <c r="BS22" i="47"/>
  <c r="BB22" i="47"/>
  <c r="AK22" i="47"/>
  <c r="W22" i="47"/>
  <c r="F22" i="47"/>
  <c r="BO22" i="47"/>
  <c r="BA22" i="47"/>
  <c r="AJ22" i="47"/>
  <c r="S22" i="47"/>
  <c r="E22" i="47"/>
  <c r="BN22" i="47"/>
  <c r="AW22" i="47"/>
  <c r="AI22" i="47"/>
  <c r="R22" i="47"/>
  <c r="BI22" i="47"/>
  <c r="Q22" i="47"/>
  <c r="BH22" i="47"/>
  <c r="M22" i="47"/>
  <c r="AC22" i="47"/>
  <c r="AV22" i="47"/>
  <c r="L22" i="47"/>
  <c r="AU22" i="47"/>
  <c r="BM22" i="47"/>
  <c r="AQ22" i="47"/>
  <c r="AE22" i="47"/>
  <c r="AD22" i="47"/>
  <c r="BN23" i="47"/>
  <c r="AW23" i="47"/>
  <c r="AI23" i="47"/>
  <c r="R23" i="47"/>
  <c r="L23" i="47"/>
  <c r="BM23" i="47"/>
  <c r="AV23" i="47"/>
  <c r="AE23" i="47"/>
  <c r="Q23" i="47"/>
  <c r="AC23" i="47"/>
  <c r="BI23" i="47"/>
  <c r="AU23" i="47"/>
  <c r="AD23" i="47"/>
  <c r="M23" i="47"/>
  <c r="AQ23" i="47"/>
  <c r="BH23" i="47"/>
  <c r="BU23" i="47"/>
  <c r="BG23" i="47"/>
  <c r="AP23" i="47"/>
  <c r="Y23" i="47"/>
  <c r="K23" i="47"/>
  <c r="BT23" i="47"/>
  <c r="AJ23" i="47"/>
  <c r="BS23" i="47"/>
  <c r="X23" i="47"/>
  <c r="BC23" i="47"/>
  <c r="AO23" i="47"/>
  <c r="AK23" i="47"/>
  <c r="BO23" i="47"/>
  <c r="W23" i="47"/>
  <c r="S23" i="47"/>
  <c r="E23" i="47"/>
  <c r="BB23" i="47"/>
  <c r="G23" i="47"/>
  <c r="BA23" i="47"/>
  <c r="F23" i="47"/>
  <c r="BN27" i="47"/>
  <c r="AW27" i="47"/>
  <c r="AI27" i="47"/>
  <c r="R27" i="47"/>
  <c r="BM27" i="47"/>
  <c r="AV27" i="47"/>
  <c r="AE27" i="47"/>
  <c r="Q27" i="47"/>
  <c r="BI27" i="47"/>
  <c r="AU27" i="47"/>
  <c r="AD27" i="47"/>
  <c r="M27" i="47"/>
  <c r="BH27" i="47"/>
  <c r="AQ27" i="47"/>
  <c r="AC27" i="47"/>
  <c r="L27" i="47"/>
  <c r="BU27" i="47"/>
  <c r="BG27" i="47"/>
  <c r="AP27" i="47"/>
  <c r="Y27" i="47"/>
  <c r="K27" i="47"/>
  <c r="BT27" i="47"/>
  <c r="BC27" i="47"/>
  <c r="AO27" i="47"/>
  <c r="X27" i="47"/>
  <c r="G27" i="47"/>
  <c r="BS27" i="47"/>
  <c r="F27" i="47"/>
  <c r="BO27" i="47"/>
  <c r="E27" i="47"/>
  <c r="BA27" i="47"/>
  <c r="W27" i="47"/>
  <c r="BB27" i="47"/>
  <c r="AK27" i="47"/>
  <c r="AJ27" i="47"/>
  <c r="S27" i="47"/>
  <c r="R45" i="22"/>
  <c r="W39" i="22"/>
  <c r="W42" i="22"/>
  <c r="I35" i="22"/>
  <c r="W37" i="22"/>
  <c r="W35" i="22"/>
  <c r="I33" i="22"/>
  <c r="W33" i="22"/>
  <c r="I42" i="22"/>
  <c r="I40" i="22"/>
  <c r="W40" i="22"/>
  <c r="W41" i="22"/>
  <c r="I34" i="22"/>
  <c r="P44" i="22"/>
  <c r="R43" i="22"/>
  <c r="U46" i="22"/>
  <c r="R44" i="22"/>
  <c r="I32" i="22"/>
  <c r="V78" i="22"/>
  <c r="S46" i="22"/>
  <c r="T83" i="22"/>
  <c r="G131" i="22"/>
  <c r="G38" i="22" s="1"/>
  <c r="I131" i="22"/>
  <c r="E38" i="22" s="1"/>
  <c r="R131" i="22"/>
  <c r="R126" i="22"/>
  <c r="G126" i="22"/>
  <c r="G33" i="22" s="1"/>
  <c r="I126" i="22"/>
  <c r="E33" i="22" s="1"/>
  <c r="S43" i="22"/>
  <c r="T89" i="22"/>
  <c r="U43" i="22" s="1"/>
  <c r="R125" i="22"/>
  <c r="R32" i="22" s="1"/>
  <c r="G125" i="22"/>
  <c r="G32" i="22" s="1"/>
  <c r="R130" i="22"/>
  <c r="R37" i="22" s="1"/>
  <c r="G130" i="22"/>
  <c r="G37" i="22" s="1"/>
  <c r="W131" i="22"/>
  <c r="W38" i="22" s="1"/>
  <c r="O33" i="22"/>
  <c r="S126" i="22"/>
  <c r="U126" i="22" s="1"/>
  <c r="Q126" i="22"/>
  <c r="Q33" i="22" s="1"/>
  <c r="F33" i="22" s="1"/>
  <c r="P126" i="22"/>
  <c r="P33" i="22" s="1"/>
  <c r="R132" i="22"/>
  <c r="G132" i="22"/>
  <c r="G39" i="22" s="1"/>
  <c r="I132" i="22"/>
  <c r="E39" i="22" s="1"/>
  <c r="O32" i="22"/>
  <c r="S125" i="22"/>
  <c r="U125" i="22" s="1"/>
  <c r="P125" i="22"/>
  <c r="P32" i="22" s="1"/>
  <c r="Q125" i="22"/>
  <c r="Q32" i="22" s="1"/>
  <c r="F32" i="22" s="1"/>
  <c r="O35" i="22"/>
  <c r="S128" i="22"/>
  <c r="U128" i="22" s="1"/>
  <c r="Q128" i="22"/>
  <c r="Q35" i="22" s="1"/>
  <c r="F35" i="22" s="1"/>
  <c r="P128" i="22"/>
  <c r="P35" i="22" s="1"/>
  <c r="G128" i="22"/>
  <c r="G35" i="22" s="1"/>
  <c r="R128" i="22"/>
  <c r="Q87" i="22"/>
  <c r="R87" i="22" s="1"/>
  <c r="P87" i="22"/>
  <c r="Q86" i="22"/>
  <c r="R86" i="22" s="1"/>
  <c r="P86" i="22"/>
  <c r="P88" i="22"/>
  <c r="Q88" i="22"/>
  <c r="R88" i="22" s="1"/>
  <c r="R135" i="22"/>
  <c r="G135" i="22"/>
  <c r="G42" i="22" s="1"/>
  <c r="P84" i="22"/>
  <c r="Q84" i="22"/>
  <c r="R84" i="22" s="1"/>
  <c r="O39" i="22"/>
  <c r="S132" i="22"/>
  <c r="U132" i="22" s="1"/>
  <c r="P132" i="22"/>
  <c r="P39" i="22" s="1"/>
  <c r="Q132" i="22"/>
  <c r="Q39" i="22" s="1"/>
  <c r="F39" i="22" s="1"/>
  <c r="G127" i="22"/>
  <c r="G34" i="22" s="1"/>
  <c r="I127" i="22"/>
  <c r="E34" i="22" s="1"/>
  <c r="R127" i="22"/>
  <c r="O37" i="22"/>
  <c r="S130" i="22"/>
  <c r="U130" i="22" s="1"/>
  <c r="U37" i="22" s="1"/>
  <c r="Q130" i="22"/>
  <c r="Q37" i="22" s="1"/>
  <c r="F37" i="22" s="1"/>
  <c r="P130" i="22"/>
  <c r="P37" i="22" s="1"/>
  <c r="I136" i="22"/>
  <c r="E43" i="22" s="1"/>
  <c r="O41" i="22"/>
  <c r="S134" i="22"/>
  <c r="U134" i="22" s="1"/>
  <c r="Q134" i="22"/>
  <c r="Q41" i="22" s="1"/>
  <c r="F41" i="22" s="1"/>
  <c r="P134" i="22"/>
  <c r="P41" i="22" s="1"/>
  <c r="I133" i="22"/>
  <c r="E40" i="22" s="1"/>
  <c r="R133" i="22"/>
  <c r="G133" i="22"/>
  <c r="G40" i="22" s="1"/>
  <c r="W127" i="22"/>
  <c r="W34" i="22" s="1"/>
  <c r="O34" i="22"/>
  <c r="S127" i="22"/>
  <c r="U127" i="22" s="1"/>
  <c r="Q127" i="22"/>
  <c r="Q34" i="22" s="1"/>
  <c r="F34" i="22" s="1"/>
  <c r="P127" i="22"/>
  <c r="P34" i="22" s="1"/>
  <c r="Q79" i="22"/>
  <c r="R79" i="22" s="1"/>
  <c r="P79" i="22"/>
  <c r="T78" i="22"/>
  <c r="Q82" i="22"/>
  <c r="R82" i="22" s="1"/>
  <c r="P82" i="22"/>
  <c r="R129" i="22"/>
  <c r="I129" i="22"/>
  <c r="E36" i="22" s="1"/>
  <c r="G129" i="22"/>
  <c r="G36" i="22" s="1"/>
  <c r="O40" i="22"/>
  <c r="S133" i="22"/>
  <c r="U133" i="22" s="1"/>
  <c r="P133" i="22"/>
  <c r="P40" i="22" s="1"/>
  <c r="Q133" i="22"/>
  <c r="Q40" i="22" s="1"/>
  <c r="F40" i="22" s="1"/>
  <c r="O36" i="22"/>
  <c r="S129" i="22"/>
  <c r="U129" i="22" s="1"/>
  <c r="P129" i="22"/>
  <c r="P36" i="22" s="1"/>
  <c r="Q129" i="22"/>
  <c r="Q36" i="22" s="1"/>
  <c r="F36" i="22" s="1"/>
  <c r="W129" i="22"/>
  <c r="W36" i="22" s="1"/>
  <c r="O38" i="22"/>
  <c r="S131" i="22"/>
  <c r="U131" i="22" s="1"/>
  <c r="Q131" i="22"/>
  <c r="Q38" i="22" s="1"/>
  <c r="F38" i="22" s="1"/>
  <c r="P131" i="22"/>
  <c r="P38" i="22" s="1"/>
  <c r="R134" i="22"/>
  <c r="G134" i="22"/>
  <c r="G41" i="22" s="1"/>
  <c r="I134" i="22"/>
  <c r="E41" i="22" s="1"/>
  <c r="S44" i="22"/>
  <c r="T90" i="22"/>
  <c r="U44" i="22" s="1"/>
  <c r="S45" i="22"/>
  <c r="T91" i="22"/>
  <c r="U45" i="22" s="1"/>
  <c r="O42" i="22"/>
  <c r="S135" i="22"/>
  <c r="U135" i="22" s="1"/>
  <c r="Q135" i="22"/>
  <c r="Q42" i="22" s="1"/>
  <c r="F42" i="22" s="1"/>
  <c r="P135" i="22"/>
  <c r="P42" i="22" s="1"/>
  <c r="I137" i="22"/>
  <c r="E44" i="22" s="1"/>
  <c r="P80" i="22"/>
  <c r="Q80" i="22"/>
  <c r="R80" i="22" s="1"/>
  <c r="Q81" i="22"/>
  <c r="R81" i="22" s="1"/>
  <c r="P81" i="22"/>
  <c r="Q85" i="22"/>
  <c r="R85" i="22" s="1"/>
  <c r="P85" i="22"/>
  <c r="BV32" i="47"/>
  <c r="CB32" i="47"/>
  <c r="BW32" i="47"/>
  <c r="BX32" i="47"/>
  <c r="BX25" i="47"/>
  <c r="BW25" i="47"/>
  <c r="BV25" i="47"/>
  <c r="CB25" i="47"/>
  <c r="CB19" i="47"/>
  <c r="BV19" i="47"/>
  <c r="BW19" i="47"/>
  <c r="BX19" i="47"/>
  <c r="BV41" i="47"/>
  <c r="CB41" i="47"/>
  <c r="BX41" i="47"/>
  <c r="BW41" i="47"/>
  <c r="BY41" i="47"/>
  <c r="BV27" i="47"/>
  <c r="BW27" i="47"/>
  <c r="BX27" i="47"/>
  <c r="CB27" i="47"/>
  <c r="EO29" i="53"/>
  <c r="ED29" i="53"/>
  <c r="EH29" i="53"/>
  <c r="EO16" i="53"/>
  <c r="EH16" i="53"/>
  <c r="ED16" i="53"/>
  <c r="EQ41" i="53"/>
  <c r="ER41" i="53"/>
  <c r="EP41" i="53"/>
  <c r="EO31" i="53"/>
  <c r="EH31" i="53"/>
  <c r="ED31" i="53"/>
  <c r="EO30" i="53"/>
  <c r="ED30" i="53"/>
  <c r="EH30" i="53"/>
  <c r="EO11" i="53"/>
  <c r="EH11" i="53"/>
  <c r="ED11" i="53"/>
  <c r="EO24" i="53"/>
  <c r="ED24" i="53"/>
  <c r="EH24" i="53"/>
  <c r="CB23" i="47"/>
  <c r="BV23" i="47"/>
  <c r="BW23" i="47"/>
  <c r="BX23" i="47"/>
  <c r="EO13" i="53"/>
  <c r="ED13" i="53"/>
  <c r="EH13" i="53"/>
  <c r="BV24" i="47"/>
  <c r="BW24" i="47"/>
  <c r="CB24" i="47"/>
  <c r="BX24" i="47"/>
  <c r="EO35" i="53"/>
  <c r="EH35" i="53"/>
  <c r="ED35" i="53"/>
  <c r="EO18" i="53"/>
  <c r="ED18" i="53"/>
  <c r="EH18" i="53"/>
  <c r="BY34" i="47"/>
  <c r="BX34" i="47"/>
  <c r="BV34" i="47"/>
  <c r="BW34" i="47"/>
  <c r="CB34" i="47"/>
  <c r="BY33" i="47"/>
  <c r="CB33" i="47"/>
  <c r="BW33" i="47"/>
  <c r="BV33" i="47"/>
  <c r="BX33" i="47"/>
  <c r="EO14" i="53"/>
  <c r="ED14" i="53"/>
  <c r="EH14" i="53"/>
  <c r="CB14" i="47"/>
  <c r="BX14" i="47"/>
  <c r="BW14" i="47"/>
  <c r="BV14" i="47"/>
  <c r="CB20" i="47"/>
  <c r="BW20" i="47"/>
  <c r="BX20" i="47"/>
  <c r="BV20" i="47"/>
  <c r="BW26" i="47"/>
  <c r="BV26" i="47"/>
  <c r="CB26" i="47"/>
  <c r="BX26" i="47"/>
  <c r="CB16" i="47"/>
  <c r="BW16" i="47"/>
  <c r="BV16" i="47"/>
  <c r="BX16" i="47"/>
  <c r="BW40" i="47"/>
  <c r="BY40" i="47"/>
  <c r="CB40" i="47"/>
  <c r="BX40" i="47"/>
  <c r="BV40" i="47"/>
  <c r="EO34" i="53"/>
  <c r="ED34" i="53"/>
  <c r="EH34" i="53"/>
  <c r="EO21" i="53"/>
  <c r="EH21" i="53"/>
  <c r="ED21" i="53"/>
  <c r="CB38" i="47"/>
  <c r="BW38" i="47"/>
  <c r="BX38" i="47"/>
  <c r="BV38" i="47"/>
  <c r="BY38" i="47"/>
  <c r="CB21" i="47"/>
  <c r="BW21" i="47"/>
  <c r="BX21" i="47"/>
  <c r="BV21" i="47"/>
  <c r="EO36" i="53"/>
  <c r="ED36" i="53"/>
  <c r="EH36" i="53"/>
  <c r="BX22" i="47"/>
  <c r="CB22" i="47"/>
  <c r="BV22" i="47"/>
  <c r="BW22" i="47"/>
  <c r="BX17" i="47"/>
  <c r="BV17" i="47"/>
  <c r="CB17" i="47"/>
  <c r="BW17" i="47"/>
  <c r="EO33" i="53"/>
  <c r="EH33" i="53"/>
  <c r="ED33" i="53"/>
  <c r="EO25" i="53"/>
  <c r="EH25" i="53"/>
  <c r="ED25" i="53"/>
  <c r="EQ40" i="53"/>
  <c r="ER40" i="53"/>
  <c r="EO15" i="53"/>
  <c r="EH15" i="53"/>
  <c r="ED15" i="53"/>
  <c r="EO37" i="53"/>
  <c r="EH37" i="53"/>
  <c r="ED37" i="53"/>
  <c r="CB37" i="47"/>
  <c r="BW37" i="47"/>
  <c r="BX37" i="47"/>
  <c r="BV37" i="47"/>
  <c r="BY37" i="47"/>
  <c r="EO28" i="53"/>
  <c r="ED28" i="53"/>
  <c r="EH28" i="53"/>
  <c r="EO32" i="53"/>
  <c r="ED32" i="53"/>
  <c r="EH32" i="53"/>
  <c r="CB15" i="47"/>
  <c r="BV15" i="47"/>
  <c r="BX15" i="47"/>
  <c r="BW15" i="47"/>
  <c r="CB39" i="47"/>
  <c r="BV39" i="47"/>
  <c r="BX39" i="47"/>
  <c r="BY39" i="47"/>
  <c r="BW39" i="47"/>
  <c r="EO19" i="53"/>
  <c r="ED19" i="53"/>
  <c r="EH19" i="53"/>
  <c r="BW36" i="47"/>
  <c r="BY36" i="47"/>
  <c r="CB36" i="47"/>
  <c r="BV36" i="47"/>
  <c r="BX36" i="47"/>
  <c r="EO22" i="53"/>
  <c r="EH22" i="53"/>
  <c r="ED22" i="53"/>
  <c r="EO38" i="53"/>
  <c r="ED38" i="53"/>
  <c r="EH38" i="53"/>
  <c r="CB18" i="47"/>
  <c r="BW18" i="47"/>
  <c r="BV18" i="47"/>
  <c r="BX18" i="47"/>
  <c r="EO39" i="53"/>
  <c r="EH39" i="53"/>
  <c r="ED39" i="53"/>
  <c r="CB31" i="47"/>
  <c r="BX31" i="47"/>
  <c r="BW31" i="47"/>
  <c r="BV31" i="47"/>
  <c r="BY35" i="47"/>
  <c r="BW35" i="47"/>
  <c r="CB35" i="47"/>
  <c r="BV35" i="47"/>
  <c r="BX35" i="47"/>
  <c r="EO12" i="53"/>
  <c r="ED12" i="53"/>
  <c r="EH12" i="53"/>
  <c r="ER42" i="53"/>
  <c r="EQ42" i="53"/>
  <c r="EP42" i="53"/>
  <c r="CB42" i="47"/>
  <c r="BV42" i="47"/>
  <c r="BX42" i="47"/>
  <c r="BW42" i="47"/>
  <c r="BY42" i="47"/>
  <c r="BW28" i="47"/>
  <c r="CB28" i="47"/>
  <c r="BX28" i="47"/>
  <c r="BV28" i="47"/>
  <c r="ER43" i="53"/>
  <c r="EQ43" i="53"/>
  <c r="EO17" i="53"/>
  <c r="ED17" i="53"/>
  <c r="EH17" i="53"/>
  <c r="EO23" i="53"/>
  <c r="EH23" i="53"/>
  <c r="ED23" i="53"/>
  <c r="EO20" i="53"/>
  <c r="EH20" i="53"/>
  <c r="ED20" i="53"/>
  <c r="EP40" i="53" l="1"/>
  <c r="EP43" i="53"/>
  <c r="R40" i="22"/>
  <c r="R41" i="22"/>
  <c r="R33" i="22"/>
  <c r="R38" i="22"/>
  <c r="R39" i="22"/>
  <c r="R34" i="22"/>
  <c r="R36" i="22"/>
  <c r="R35" i="22"/>
  <c r="U32" i="22"/>
  <c r="W32" i="22"/>
  <c r="R42" i="22"/>
  <c r="BY32" i="47"/>
  <c r="S32" i="22"/>
  <c r="S40" i="22"/>
  <c r="T86" i="22"/>
  <c r="U40" i="22" s="1"/>
  <c r="S41" i="22"/>
  <c r="T87" i="22"/>
  <c r="U41" i="22" s="1"/>
  <c r="S36" i="22"/>
  <c r="T82" i="22"/>
  <c r="U36" i="22" s="1"/>
  <c r="I130" i="22"/>
  <c r="E37" i="22" s="1"/>
  <c r="I135" i="22"/>
  <c r="E42" i="22" s="1"/>
  <c r="S34" i="22"/>
  <c r="T80" i="22"/>
  <c r="U34" i="22" s="1"/>
  <c r="S39" i="22"/>
  <c r="T85" i="22"/>
  <c r="U39" i="22" s="1"/>
  <c r="S42" i="22"/>
  <c r="T88" i="22"/>
  <c r="U42" i="22" s="1"/>
  <c r="I128" i="22"/>
  <c r="E35" i="22" s="1"/>
  <c r="S38" i="22"/>
  <c r="T84" i="22"/>
  <c r="U38" i="22" s="1"/>
  <c r="S35" i="22"/>
  <c r="T81" i="22"/>
  <c r="U35" i="22" s="1"/>
  <c r="S33" i="22"/>
  <c r="T79" i="22"/>
  <c r="U33" i="22" s="1"/>
  <c r="I125" i="22"/>
  <c r="E32" i="22" s="1"/>
  <c r="S37" i="22"/>
  <c r="ER37" i="53"/>
  <c r="EQ37" i="53"/>
  <c r="EP37" i="53"/>
  <c r="EQ21" i="53"/>
  <c r="ER21" i="53"/>
  <c r="ER29" i="53"/>
  <c r="EQ29" i="53"/>
  <c r="EP36" i="53"/>
  <c r="ER36" i="53"/>
  <c r="EQ36" i="53"/>
  <c r="EQ14" i="53"/>
  <c r="ER14" i="53"/>
  <c r="ER39" i="53"/>
  <c r="EQ39" i="53"/>
  <c r="ER33" i="53"/>
  <c r="EP33" i="53"/>
  <c r="EQ33" i="53"/>
  <c r="ER34" i="53"/>
  <c r="EQ34" i="53"/>
  <c r="EQ23" i="53"/>
  <c r="ER23" i="53"/>
  <c r="ER15" i="53"/>
  <c r="EQ15" i="53"/>
  <c r="ER35" i="53"/>
  <c r="EQ35" i="53"/>
  <c r="ER11" i="53"/>
  <c r="EQ11" i="53"/>
  <c r="ER16" i="53"/>
  <c r="EQ16" i="53"/>
  <c r="EQ22" i="53"/>
  <c r="ER22" i="53"/>
  <c r="EQ13" i="53"/>
  <c r="ER13" i="53"/>
  <c r="ER24" i="53"/>
  <c r="EQ24" i="53"/>
  <c r="ER25" i="53"/>
  <c r="EQ25" i="53"/>
  <c r="ER28" i="53"/>
  <c r="EQ28" i="53"/>
  <c r="EQ18" i="53"/>
  <c r="ER18" i="53"/>
  <c r="EQ20" i="53"/>
  <c r="ER20" i="53"/>
  <c r="ER38" i="53"/>
  <c r="EQ38" i="53"/>
  <c r="EQ32" i="53"/>
  <c r="ER32" i="53"/>
  <c r="EQ12" i="53"/>
  <c r="ER12" i="53"/>
  <c r="EQ19" i="53"/>
  <c r="ER19" i="53"/>
  <c r="ER17" i="53"/>
  <c r="EQ17" i="53"/>
  <c r="EQ30" i="53"/>
  <c r="ER30" i="53"/>
  <c r="ER31" i="53"/>
  <c r="EQ31" i="53"/>
  <c r="BN24" i="59" l="1"/>
  <c r="BN65" i="59" s="1"/>
  <c r="BM24" i="59"/>
  <c r="BM65" i="59" s="1"/>
  <c r="BS24" i="59"/>
  <c r="E39" i="59" s="1"/>
  <c r="BM110" i="59"/>
  <c r="BM151" i="59" s="1"/>
  <c r="BM152" i="59"/>
  <c r="BM193" i="59" s="1"/>
  <c r="CD131" i="59"/>
  <c r="CD172" i="59" s="1"/>
  <c r="CD45" i="59"/>
  <c r="CD87" i="59" s="1"/>
  <c r="BM194" i="59"/>
  <c r="BS45" i="59"/>
  <c r="E60" i="59" s="1"/>
  <c r="BW45" i="59"/>
  <c r="BW87" i="59" s="1"/>
  <c r="BN45" i="59"/>
  <c r="BN87" i="59" s="1"/>
  <c r="BM131" i="59"/>
  <c r="BM172" i="59" s="1"/>
  <c r="CD194" i="59"/>
  <c r="CD24" i="59"/>
  <c r="CD65" i="59" s="1"/>
  <c r="BO131" i="59"/>
  <c r="BO172" i="59" s="1"/>
  <c r="BO110" i="59"/>
  <c r="BO151" i="59" s="1"/>
  <c r="BM88" i="59"/>
  <c r="BM130" i="59" s="1"/>
  <c r="BS66" i="59"/>
  <c r="E81" i="59" s="1"/>
  <c r="BW88" i="59"/>
  <c r="I103" i="59" s="1"/>
  <c r="BS110" i="59"/>
  <c r="BS151" i="59" s="1"/>
  <c r="BW194" i="59"/>
  <c r="I209" i="59" s="1"/>
  <c r="BS88" i="59"/>
  <c r="BS130" i="59" s="1"/>
  <c r="CD173" i="59"/>
  <c r="BS194" i="59"/>
  <c r="E209" i="59" s="1"/>
  <c r="BO88" i="59"/>
  <c r="BO130" i="59" s="1"/>
  <c r="BW24" i="59"/>
  <c r="BW65" i="59" s="1"/>
  <c r="BN110" i="59"/>
  <c r="BN151" i="59" s="1"/>
  <c r="BO173" i="59"/>
  <c r="CD66" i="59"/>
  <c r="CD109" i="59" s="1"/>
  <c r="BN173" i="59"/>
  <c r="BN194" i="59"/>
  <c r="BM173" i="59"/>
  <c r="CD110" i="59"/>
  <c r="CD151" i="59" s="1"/>
  <c r="BO194" i="59"/>
  <c r="BS173" i="59"/>
  <c r="E188" i="59" s="1"/>
  <c r="BW110" i="59"/>
  <c r="BW151" i="59" s="1"/>
  <c r="CD152" i="59"/>
  <c r="CD193" i="59" s="1"/>
  <c r="BW173" i="59"/>
  <c r="I188" i="59" s="1"/>
  <c r="BS152" i="59"/>
  <c r="E167" i="59" s="1"/>
  <c r="BO66" i="59"/>
  <c r="BO109" i="59" s="1"/>
  <c r="BW152" i="59"/>
  <c r="I167" i="59" s="1"/>
  <c r="BO152" i="59"/>
  <c r="BO193" i="59" s="1"/>
  <c r="CD88" i="59"/>
  <c r="CD130" i="59" s="1"/>
  <c r="BN152" i="59"/>
  <c r="BN193" i="59" s="1"/>
  <c r="BN131" i="59"/>
  <c r="BN172" i="59" s="1"/>
  <c r="BN66" i="59"/>
  <c r="BN109" i="59" s="1"/>
  <c r="BW131" i="59"/>
  <c r="I146" i="59" s="1"/>
  <c r="BS131" i="59"/>
  <c r="BS172" i="59" s="1"/>
  <c r="BN88" i="59"/>
  <c r="BN130" i="59" s="1"/>
  <c r="BW66" i="59"/>
  <c r="I81" i="59" s="1"/>
  <c r="BO24" i="59"/>
  <c r="BO65" i="59" s="1"/>
  <c r="BM45" i="59"/>
  <c r="BM87" i="59" s="1"/>
  <c r="BO45" i="59"/>
  <c r="BO87" i="59" s="1"/>
  <c r="BM66" i="59"/>
  <c r="BM109" i="59" s="1"/>
  <c r="EP34" i="53"/>
  <c r="EP35" i="53"/>
  <c r="EP38" i="53"/>
  <c r="EP28" i="53"/>
  <c r="EP15" i="53"/>
  <c r="EP29" i="53"/>
  <c r="EP31" i="53"/>
  <c r="EP30" i="53"/>
  <c r="EP32" i="53"/>
  <c r="EP39" i="53"/>
  <c r="EP16" i="53"/>
  <c r="EP24" i="53"/>
  <c r="EP14" i="53"/>
  <c r="EP19" i="53"/>
  <c r="EP25" i="53"/>
  <c r="EP17" i="53"/>
  <c r="EP18" i="53"/>
  <c r="EP23" i="53"/>
  <c r="EP21" i="53"/>
  <c r="EP20" i="53"/>
  <c r="EP22" i="53"/>
  <c r="EP13" i="53"/>
  <c r="EP12" i="53"/>
  <c r="EP11" i="53"/>
  <c r="A188" i="59" l="1"/>
  <c r="A209" i="59"/>
  <c r="A81" i="59"/>
  <c r="A167" i="59"/>
  <c r="BS65" i="59"/>
  <c r="I39" i="59"/>
  <c r="A39" i="59" s="1"/>
  <c r="BW109" i="59"/>
  <c r="E103" i="59"/>
  <c r="A103" i="59" s="1"/>
  <c r="BW172" i="59"/>
  <c r="BS87" i="59"/>
  <c r="BW130" i="59"/>
  <c r="BW193" i="59"/>
  <c r="I60" i="59"/>
  <c r="A60" i="59" s="1"/>
  <c r="I125" i="59"/>
  <c r="BS109" i="59"/>
  <c r="CG131" i="59"/>
  <c r="J148" i="59" s="1"/>
  <c r="E125" i="59"/>
  <c r="CF194" i="59"/>
  <c r="F211" i="59" s="1"/>
  <c r="CF88" i="59"/>
  <c r="CF130" i="59" s="1"/>
  <c r="CF45" i="59"/>
  <c r="CF87" i="59" s="1"/>
  <c r="BS193" i="59"/>
  <c r="CG45" i="59"/>
  <c r="CG87" i="59" s="1"/>
  <c r="CG194" i="59"/>
  <c r="J211" i="59" s="1"/>
  <c r="CG88" i="59"/>
  <c r="CG130" i="59" s="1"/>
  <c r="CF66" i="59"/>
  <c r="F83" i="59" s="1"/>
  <c r="CG110" i="59"/>
  <c r="CG151" i="59" s="1"/>
  <c r="E146" i="59"/>
  <c r="A146" i="59" s="1"/>
  <c r="CG173" i="59"/>
  <c r="J190" i="59" s="1"/>
  <c r="CG24" i="59"/>
  <c r="J41" i="59" s="1"/>
  <c r="CG152" i="59"/>
  <c r="J169" i="59" s="1"/>
  <c r="CF24" i="59"/>
  <c r="CF65" i="59" s="1"/>
  <c r="CF173" i="59"/>
  <c r="F190" i="59" s="1"/>
  <c r="CF152" i="59"/>
  <c r="F169" i="59" s="1"/>
  <c r="CF110" i="59"/>
  <c r="F127" i="59" s="1"/>
  <c r="CG66" i="59"/>
  <c r="J83" i="59" s="1"/>
  <c r="CF131" i="59"/>
  <c r="CF172" i="59" s="1"/>
  <c r="U56" i="22"/>
  <c r="S56" i="22"/>
  <c r="N56" i="22"/>
  <c r="X11" i="22"/>
  <c r="L11" i="22"/>
  <c r="V102" i="22"/>
  <c r="T102" i="22"/>
  <c r="N102" i="22"/>
  <c r="A11" i="22"/>
  <c r="A9" i="24"/>
  <c r="M11" i="22"/>
  <c r="B11" i="22"/>
  <c r="J105" i="59" l="1"/>
  <c r="CG172" i="59"/>
  <c r="F148" i="59"/>
  <c r="A125" i="59"/>
  <c r="CF151" i="59"/>
  <c r="CG109" i="59"/>
  <c r="CG65" i="59"/>
  <c r="J127" i="59"/>
  <c r="F62" i="59"/>
  <c r="CF109" i="59"/>
  <c r="CE88" i="59"/>
  <c r="A105" i="59" s="1"/>
  <c r="F41" i="59"/>
  <c r="CE66" i="59"/>
  <c r="A83" i="59" s="1"/>
  <c r="CE194" i="59"/>
  <c r="A211" i="59" s="1"/>
  <c r="F105" i="59"/>
  <c r="CE110" i="59"/>
  <c r="A127" i="59" s="1"/>
  <c r="CE24" i="59"/>
  <c r="A41" i="59" s="1"/>
  <c r="CE152" i="59"/>
  <c r="A169" i="59" s="1"/>
  <c r="CE45" i="59"/>
  <c r="CE87" i="59" s="1"/>
  <c r="CE131" i="59"/>
  <c r="A148" i="59" s="1"/>
  <c r="CF193" i="59"/>
  <c r="J62" i="59"/>
  <c r="CE173" i="59"/>
  <c r="A190" i="59" s="1"/>
  <c r="CG193" i="59"/>
  <c r="N11" i="22"/>
  <c r="N4" i="22" s="1"/>
  <c r="A13" i="47"/>
  <c r="A10" i="53"/>
  <c r="L10" i="53" s="1"/>
  <c r="V11" i="22"/>
  <c r="CE193" i="59" l="1"/>
  <c r="CE130" i="59"/>
  <c r="A62" i="59"/>
  <c r="CE151" i="59"/>
  <c r="CE109" i="59"/>
  <c r="CE65" i="59"/>
  <c r="CE172" i="59"/>
  <c r="W10" i="53"/>
  <c r="AH10" i="53" s="1"/>
  <c r="AS10" i="53" s="1"/>
  <c r="BD10" i="53" s="1"/>
  <c r="BO10" i="53" s="1"/>
  <c r="BZ10" i="53" s="1"/>
  <c r="CK10" i="53" s="1"/>
  <c r="CV10" i="53" s="1"/>
  <c r="DG10" i="53" s="1"/>
  <c r="DR10" i="53" s="1"/>
  <c r="EC10" i="53" s="1"/>
  <c r="EH10" i="53" s="1"/>
  <c r="CB13" i="47"/>
  <c r="BX13" i="47"/>
  <c r="BX4" i="47" s="1"/>
  <c r="BV13" i="47"/>
  <c r="BV5" i="47" s="1"/>
  <c r="BV4" i="47" l="1"/>
  <c r="EO10" i="53"/>
  <c r="ED10" i="53"/>
  <c r="BX5" i="47"/>
  <c r="ER10" i="53"/>
  <c r="BS3" i="59" l="1"/>
  <c r="E18" i="59" s="1"/>
  <c r="EQ10" i="53"/>
  <c r="BW3" i="59"/>
  <c r="I18" i="59" s="1"/>
  <c r="BO3" i="59"/>
  <c r="BM3" i="59"/>
  <c r="CD3" i="59" l="1"/>
  <c r="EP10" i="53"/>
  <c r="A18" i="59"/>
  <c r="CG3" i="59"/>
  <c r="J20" i="59" s="1"/>
  <c r="CF3" i="59" l="1"/>
  <c r="F20" i="59" s="1"/>
  <c r="CE3" i="59"/>
  <c r="A20" i="59" s="1"/>
  <c r="G4" i="22"/>
  <c r="G52" i="22" l="1"/>
  <c r="E16" i="16"/>
  <c r="M14" i="16"/>
  <c r="Q25" i="19" s="1"/>
  <c r="R25" i="19" s="1"/>
  <c r="G98" i="22" l="1"/>
  <c r="F13" i="16"/>
  <c r="M13" i="16"/>
  <c r="F16" i="16"/>
  <c r="E17" i="16"/>
  <c r="F17" i="16" s="1"/>
  <c r="T34" i="53" l="1"/>
  <c r="CH34" i="53"/>
  <c r="DO34" i="53"/>
  <c r="BW34" i="53"/>
  <c r="DD34" i="53"/>
  <c r="AP34" i="53"/>
  <c r="BA34" i="53"/>
  <c r="DZ34" i="53"/>
  <c r="DJ37" i="47" s="1"/>
  <c r="BL34" i="53"/>
  <c r="AE34" i="53"/>
  <c r="CS34" i="53"/>
  <c r="T43" i="53"/>
  <c r="AP43" i="53"/>
  <c r="CH43" i="53"/>
  <c r="BL43" i="53"/>
  <c r="DD43" i="53"/>
  <c r="AE43" i="53"/>
  <c r="BA43" i="53"/>
  <c r="BW43" i="53"/>
  <c r="DZ43" i="53"/>
  <c r="DJ46" i="47" s="1"/>
  <c r="CS43" i="53"/>
  <c r="DO43" i="53"/>
  <c r="CS39" i="53"/>
  <c r="AP39" i="53"/>
  <c r="CH39" i="53"/>
  <c r="AE39" i="53"/>
  <c r="DZ39" i="53"/>
  <c r="DJ42" i="47" s="1"/>
  <c r="BA39" i="53"/>
  <c r="DD39" i="53"/>
  <c r="BL39" i="53"/>
  <c r="T39" i="53"/>
  <c r="BW39" i="53"/>
  <c r="DO39" i="53"/>
  <c r="DD33" i="53"/>
  <c r="AP33" i="53"/>
  <c r="BL33" i="53"/>
  <c r="BW33" i="53"/>
  <c r="T33" i="53"/>
  <c r="DZ33" i="53"/>
  <c r="DJ36" i="47" s="1"/>
  <c r="DO33" i="53"/>
  <c r="CH33" i="53"/>
  <c r="AE33" i="53"/>
  <c r="CS33" i="53"/>
  <c r="BA33" i="53"/>
  <c r="T37" i="53"/>
  <c r="CH37" i="53"/>
  <c r="BW37" i="53"/>
  <c r="DZ37" i="53"/>
  <c r="DJ40" i="47" s="1"/>
  <c r="DO37" i="53"/>
  <c r="AE37" i="53"/>
  <c r="BA37" i="53"/>
  <c r="CS37" i="53"/>
  <c r="BL37" i="53"/>
  <c r="AP37" i="53"/>
  <c r="DD37" i="53"/>
  <c r="CH32" i="53"/>
  <c r="BA32" i="53"/>
  <c r="DZ32" i="53"/>
  <c r="DJ35" i="47" s="1"/>
  <c r="CS32" i="53"/>
  <c r="DD32" i="53"/>
  <c r="AP32" i="53"/>
  <c r="AE32" i="53"/>
  <c r="BL32" i="53"/>
  <c r="DO32" i="53"/>
  <c r="T32" i="53"/>
  <c r="BW32" i="53"/>
  <c r="CS42" i="53"/>
  <c r="BA42" i="53"/>
  <c r="AP42" i="53"/>
  <c r="DZ42" i="53"/>
  <c r="DJ45" i="47" s="1"/>
  <c r="BW42" i="53"/>
  <c r="CH42" i="53"/>
  <c r="DO42" i="53"/>
  <c r="BL42" i="53"/>
  <c r="DD42" i="53"/>
  <c r="AE42" i="53"/>
  <c r="T42" i="53"/>
  <c r="DZ35" i="53"/>
  <c r="DJ38" i="47" s="1"/>
  <c r="CH35" i="53"/>
  <c r="DD35" i="53"/>
  <c r="CS35" i="53"/>
  <c r="T35" i="53"/>
  <c r="AE35" i="53"/>
  <c r="BA35" i="53"/>
  <c r="DO35" i="53"/>
  <c r="BW35" i="53"/>
  <c r="BL35" i="53"/>
  <c r="AP35" i="53"/>
  <c r="AP30" i="53"/>
  <c r="BW30" i="53"/>
  <c r="DZ30" i="53"/>
  <c r="DJ33" i="47" s="1"/>
  <c r="CS30" i="53"/>
  <c r="DD30" i="53"/>
  <c r="DO30" i="53"/>
  <c r="T30" i="53"/>
  <c r="BA30" i="53"/>
  <c r="BL30" i="53"/>
  <c r="CH30" i="53"/>
  <c r="AE30" i="53"/>
  <c r="CH29" i="53"/>
  <c r="BA29" i="53"/>
  <c r="DO29" i="53"/>
  <c r="T29" i="53"/>
  <c r="DZ29" i="53"/>
  <c r="DJ32" i="47" s="1"/>
  <c r="AP29" i="53"/>
  <c r="BL29" i="53"/>
  <c r="AE29" i="53"/>
  <c r="CS29" i="53"/>
  <c r="BW29" i="53"/>
  <c r="DD29" i="53"/>
  <c r="T41" i="53"/>
  <c r="DD41" i="53"/>
  <c r="BA41" i="53"/>
  <c r="DO41" i="53"/>
  <c r="BL41" i="53"/>
  <c r="CH41" i="53"/>
  <c r="AP41" i="53"/>
  <c r="BW41" i="53"/>
  <c r="AE41" i="53"/>
  <c r="DZ41" i="53"/>
  <c r="DJ44" i="47" s="1"/>
  <c r="CS41" i="53"/>
  <c r="CH36" i="53"/>
  <c r="BL36" i="53"/>
  <c r="BA36" i="53"/>
  <c r="T36" i="53"/>
  <c r="DO36" i="53"/>
  <c r="DZ36" i="53"/>
  <c r="DJ39" i="47" s="1"/>
  <c r="BW36" i="53"/>
  <c r="AP36" i="53"/>
  <c r="AE36" i="53"/>
  <c r="CS36" i="53"/>
  <c r="DD36" i="53"/>
  <c r="DZ31" i="53"/>
  <c r="DJ34" i="47" s="1"/>
  <c r="DO31" i="53"/>
  <c r="BL31" i="53"/>
  <c r="BA31" i="53"/>
  <c r="AP31" i="53"/>
  <c r="DD31" i="53"/>
  <c r="CS31" i="53"/>
  <c r="CH31" i="53"/>
  <c r="BW31" i="53"/>
  <c r="T31" i="53"/>
  <c r="AE31" i="53"/>
  <c r="BL38" i="53"/>
  <c r="BW38" i="53"/>
  <c r="DO38" i="53"/>
  <c r="DZ38" i="53"/>
  <c r="DJ41" i="47" s="1"/>
  <c r="AP38" i="53"/>
  <c r="AE38" i="53"/>
  <c r="T38" i="53"/>
  <c r="BA38" i="53"/>
  <c r="CS38" i="53"/>
  <c r="CH38" i="53"/>
  <c r="DD38" i="53"/>
  <c r="BW40" i="53"/>
  <c r="DD40" i="53"/>
  <c r="BA40" i="53"/>
  <c r="CS40" i="53"/>
  <c r="AE40" i="53"/>
  <c r="CH40" i="53"/>
  <c r="DZ40" i="53"/>
  <c r="DJ43" i="47" s="1"/>
  <c r="DO40" i="53"/>
  <c r="BL40" i="53"/>
  <c r="T40" i="53"/>
  <c r="AP40" i="53"/>
  <c r="Q24" i="19"/>
  <c r="E13" i="16"/>
  <c r="CX44" i="47" l="1"/>
  <c r="CX35" i="47"/>
  <c r="CX32" i="47"/>
  <c r="CX37" i="47"/>
  <c r="CX42" i="47"/>
  <c r="CX40" i="47"/>
  <c r="CX45" i="47"/>
  <c r="CX38" i="47"/>
  <c r="CX34" i="47"/>
  <c r="CX43" i="47"/>
  <c r="CX46" i="47"/>
  <c r="CX39" i="47"/>
  <c r="CX41" i="47"/>
  <c r="CX36" i="47"/>
  <c r="CX33" i="47"/>
  <c r="CU41" i="53"/>
  <c r="IS41" i="53" s="1"/>
  <c r="CT41" i="53"/>
  <c r="BY32" i="53"/>
  <c r="BX32" i="53"/>
  <c r="CU33" i="53"/>
  <c r="IS33" i="53" s="1"/>
  <c r="CT33" i="53"/>
  <c r="BN40" i="53"/>
  <c r="HL40" i="53" s="1"/>
  <c r="BM40" i="53"/>
  <c r="BX40" i="53"/>
  <c r="BY40" i="53"/>
  <c r="EI38" i="53"/>
  <c r="EA38" i="53"/>
  <c r="DK41" i="47" s="1"/>
  <c r="EB38" i="53"/>
  <c r="DL41" i="47" s="1"/>
  <c r="BX31" i="53"/>
  <c r="BY31" i="53"/>
  <c r="EI31" i="53"/>
  <c r="EB31" i="53"/>
  <c r="DL34" i="47" s="1"/>
  <c r="EA31" i="53"/>
  <c r="DK34" i="47" s="1"/>
  <c r="CU36" i="53"/>
  <c r="IS36" i="53" s="1"/>
  <c r="CT36" i="53"/>
  <c r="I36" i="53"/>
  <c r="CL39" i="47" s="1"/>
  <c r="CA39" i="47"/>
  <c r="I41" i="53"/>
  <c r="CL44" i="47" s="1"/>
  <c r="CA44" i="47"/>
  <c r="BB41" i="53"/>
  <c r="BC41" i="53"/>
  <c r="HA41" i="53" s="1"/>
  <c r="AR29" i="53"/>
  <c r="AQ29" i="53"/>
  <c r="CJ30" i="53"/>
  <c r="IH30" i="53" s="1"/>
  <c r="CI30" i="53"/>
  <c r="BX30" i="53"/>
  <c r="BY30" i="53"/>
  <c r="AR35" i="53"/>
  <c r="AQ35" i="53"/>
  <c r="DF35" i="53"/>
  <c r="JD35" i="53" s="1"/>
  <c r="DE35" i="53"/>
  <c r="CI42" i="53"/>
  <c r="CJ42" i="53"/>
  <c r="IH42" i="53" s="1"/>
  <c r="U32" i="53"/>
  <c r="V32" i="53"/>
  <c r="FT32" i="53" s="1"/>
  <c r="EI32" i="53"/>
  <c r="EB32" i="53"/>
  <c r="DL35" i="47" s="1"/>
  <c r="EA32" i="53"/>
  <c r="DK35" i="47" s="1"/>
  <c r="DQ37" i="53"/>
  <c r="JO37" i="53" s="1"/>
  <c r="DP37" i="53"/>
  <c r="AG33" i="53"/>
  <c r="AF33" i="53"/>
  <c r="DE33" i="53"/>
  <c r="DF33" i="53"/>
  <c r="JD33" i="53" s="1"/>
  <c r="BN39" i="53"/>
  <c r="HL39" i="53" s="1"/>
  <c r="BM39" i="53"/>
  <c r="CU39" i="53"/>
  <c r="IS39" i="53" s="1"/>
  <c r="CT39" i="53"/>
  <c r="BM43" i="53"/>
  <c r="BN43" i="53"/>
  <c r="HL43" i="53" s="1"/>
  <c r="CT34" i="53"/>
  <c r="CU34" i="53"/>
  <c r="IS34" i="53" s="1"/>
  <c r="DQ34" i="53"/>
  <c r="JO34" i="53" s="1"/>
  <c r="DP34" i="53"/>
  <c r="I31" i="53"/>
  <c r="CL34" i="47" s="1"/>
  <c r="CA34" i="47"/>
  <c r="EI30" i="53"/>
  <c r="EB30" i="53"/>
  <c r="DL33" i="47" s="1"/>
  <c r="EA30" i="53"/>
  <c r="DK33" i="47" s="1"/>
  <c r="AF37" i="53"/>
  <c r="AG37" i="53"/>
  <c r="V39" i="53"/>
  <c r="FT39" i="53" s="1"/>
  <c r="U39" i="53"/>
  <c r="DQ40" i="53"/>
  <c r="JO40" i="53" s="1"/>
  <c r="DP40" i="53"/>
  <c r="DF38" i="53"/>
  <c r="JD38" i="53" s="1"/>
  <c r="DE38" i="53"/>
  <c r="DP38" i="53"/>
  <c r="DQ38" i="53"/>
  <c r="JO38" i="53" s="1"/>
  <c r="CI31" i="53"/>
  <c r="CJ31" i="53"/>
  <c r="IH31" i="53" s="1"/>
  <c r="AW32" i="53"/>
  <c r="AL32" i="53"/>
  <c r="CO32" i="53"/>
  <c r="CZ32" i="53"/>
  <c r="DK32" i="53"/>
  <c r="BS32" i="53"/>
  <c r="BH32" i="53"/>
  <c r="CD32" i="53"/>
  <c r="DV32" i="53"/>
  <c r="DF35" i="47" s="1"/>
  <c r="P32" i="53"/>
  <c r="AA32" i="53"/>
  <c r="AG36" i="53"/>
  <c r="AF36" i="53"/>
  <c r="BM36" i="53"/>
  <c r="BN36" i="53"/>
  <c r="HL36" i="53" s="1"/>
  <c r="EI41" i="53"/>
  <c r="EA41" i="53"/>
  <c r="DK44" i="47" s="1"/>
  <c r="EB41" i="53"/>
  <c r="DL44" i="47" s="1"/>
  <c r="DF41" i="53"/>
  <c r="JD41" i="53" s="1"/>
  <c r="DE41" i="53"/>
  <c r="EA29" i="53"/>
  <c r="DK32" i="47" s="1"/>
  <c r="EB29" i="53"/>
  <c r="DL32" i="47" s="1"/>
  <c r="BN30" i="53"/>
  <c r="HL30" i="53" s="1"/>
  <c r="BM30" i="53"/>
  <c r="AQ30" i="53"/>
  <c r="AR30" i="53"/>
  <c r="BN35" i="53"/>
  <c r="HL35" i="53" s="1"/>
  <c r="BM35" i="53"/>
  <c r="CJ35" i="53"/>
  <c r="IH35" i="53" s="1"/>
  <c r="CI35" i="53"/>
  <c r="BX42" i="53"/>
  <c r="BY42" i="53"/>
  <c r="DQ32" i="53"/>
  <c r="JO32" i="53" s="1"/>
  <c r="DP32" i="53"/>
  <c r="BB32" i="53"/>
  <c r="BC32" i="53"/>
  <c r="HA32" i="53" s="1"/>
  <c r="DE37" i="53"/>
  <c r="DF37" i="53"/>
  <c r="JD37" i="53" s="1"/>
  <c r="EI37" i="53"/>
  <c r="EA37" i="53"/>
  <c r="DK40" i="47" s="1"/>
  <c r="EB37" i="53"/>
  <c r="DL40" i="47" s="1"/>
  <c r="CI33" i="53"/>
  <c r="CJ33" i="53"/>
  <c r="IH33" i="53" s="1"/>
  <c r="CD30" i="53"/>
  <c r="DV30" i="53"/>
  <c r="DF33" i="47" s="1"/>
  <c r="AA30" i="53"/>
  <c r="CZ30" i="53"/>
  <c r="DK30" i="53"/>
  <c r="P30" i="53"/>
  <c r="AW30" i="53"/>
  <c r="CO30" i="53"/>
  <c r="BH30" i="53"/>
  <c r="AL30" i="53"/>
  <c r="BS30" i="53"/>
  <c r="DF39" i="53"/>
  <c r="JD39" i="53" s="1"/>
  <c r="DE39" i="53"/>
  <c r="DP43" i="53"/>
  <c r="DQ43" i="53"/>
  <c r="JO43" i="53" s="1"/>
  <c r="I43" i="53"/>
  <c r="CL46" i="47" s="1"/>
  <c r="CA46" i="47"/>
  <c r="AF34" i="53"/>
  <c r="AG34" i="53"/>
  <c r="CI34" i="53"/>
  <c r="CJ34" i="53"/>
  <c r="IH34" i="53" s="1"/>
  <c r="AR38" i="53"/>
  <c r="AQ38" i="53"/>
  <c r="BM29" i="53"/>
  <c r="BN29" i="53"/>
  <c r="HL29" i="53" s="1"/>
  <c r="CU32" i="53"/>
  <c r="IS32" i="53" s="1"/>
  <c r="CT32" i="53"/>
  <c r="AQ39" i="53"/>
  <c r="AR39" i="53"/>
  <c r="EI40" i="53"/>
  <c r="EA40" i="53"/>
  <c r="DK43" i="47" s="1"/>
  <c r="EB40" i="53"/>
  <c r="DL43" i="47" s="1"/>
  <c r="CJ38" i="53"/>
  <c r="IH38" i="53" s="1"/>
  <c r="CI38" i="53"/>
  <c r="BY38" i="53"/>
  <c r="BX38" i="53"/>
  <c r="CT31" i="53"/>
  <c r="CU31" i="53"/>
  <c r="IS31" i="53" s="1"/>
  <c r="AR36" i="53"/>
  <c r="AQ36" i="53"/>
  <c r="CI36" i="53"/>
  <c r="CJ36" i="53"/>
  <c r="IH36" i="53" s="1"/>
  <c r="AG41" i="53"/>
  <c r="AF41" i="53"/>
  <c r="U41" i="53"/>
  <c r="V41" i="53"/>
  <c r="FT41" i="53" s="1"/>
  <c r="U29" i="53"/>
  <c r="V29" i="53"/>
  <c r="FT29" i="53" s="1"/>
  <c r="BB30" i="53"/>
  <c r="BC30" i="53"/>
  <c r="HA30" i="53" s="1"/>
  <c r="I30" i="53"/>
  <c r="CL33" i="47" s="1"/>
  <c r="CA33" i="47"/>
  <c r="BX35" i="53"/>
  <c r="BY35" i="53"/>
  <c r="EI35" i="53"/>
  <c r="EB35" i="53"/>
  <c r="DL38" i="47" s="1"/>
  <c r="EA35" i="53"/>
  <c r="DK38" i="47" s="1"/>
  <c r="I42" i="53"/>
  <c r="CL45" i="47" s="1"/>
  <c r="CA45" i="47"/>
  <c r="BM32" i="53"/>
  <c r="BN32" i="53"/>
  <c r="HL32" i="53" s="1"/>
  <c r="CI32" i="53"/>
  <c r="CJ32" i="53"/>
  <c r="IH32" i="53" s="1"/>
  <c r="I37" i="53"/>
  <c r="CL40" i="47" s="1"/>
  <c r="CA40" i="47"/>
  <c r="BY37" i="53"/>
  <c r="BX37" i="53"/>
  <c r="DQ33" i="53"/>
  <c r="JO33" i="53" s="1"/>
  <c r="DP33" i="53"/>
  <c r="I39" i="53"/>
  <c r="CA42" i="47"/>
  <c r="CT43" i="53"/>
  <c r="CU43" i="53"/>
  <c r="IS43" i="53" s="1"/>
  <c r="CI43" i="53"/>
  <c r="CJ43" i="53"/>
  <c r="IH43" i="53" s="1"/>
  <c r="BM34" i="53"/>
  <c r="BN34" i="53"/>
  <c r="HL34" i="53" s="1"/>
  <c r="U34" i="53"/>
  <c r="V34" i="53"/>
  <c r="FT34" i="53" s="1"/>
  <c r="DE36" i="53"/>
  <c r="DF36" i="53"/>
  <c r="JD36" i="53" s="1"/>
  <c r="DQ42" i="53"/>
  <c r="JO42" i="53" s="1"/>
  <c r="DP42" i="53"/>
  <c r="BY34" i="53"/>
  <c r="BX34" i="53"/>
  <c r="CI40" i="53"/>
  <c r="CJ40" i="53"/>
  <c r="IH40" i="53" s="1"/>
  <c r="CT38" i="53"/>
  <c r="CU38" i="53"/>
  <c r="IS38" i="53" s="1"/>
  <c r="I38" i="53"/>
  <c r="CL41" i="47" s="1"/>
  <c r="CA41" i="47"/>
  <c r="DF31" i="53"/>
  <c r="JD31" i="53" s="1"/>
  <c r="DE31" i="53"/>
  <c r="AW38" i="53"/>
  <c r="AL38" i="53"/>
  <c r="BS38" i="53"/>
  <c r="P38" i="53"/>
  <c r="DK38" i="53"/>
  <c r="CD38" i="53"/>
  <c r="BH38" i="53"/>
  <c r="AA38" i="53"/>
  <c r="CO38" i="53"/>
  <c r="CZ38" i="53"/>
  <c r="DV38" i="53"/>
  <c r="DF41" i="47" s="1"/>
  <c r="BX36" i="53"/>
  <c r="CY39" i="47" s="1"/>
  <c r="BY36" i="53"/>
  <c r="CD43" i="53"/>
  <c r="BH43" i="53"/>
  <c r="AL43" i="53"/>
  <c r="BS43" i="53"/>
  <c r="AW43" i="53"/>
  <c r="P43" i="53"/>
  <c r="DV43" i="53"/>
  <c r="DF46" i="47" s="1"/>
  <c r="DK43" i="53"/>
  <c r="CZ43" i="53"/>
  <c r="CO43" i="53"/>
  <c r="AA43" i="53"/>
  <c r="BY41" i="53"/>
  <c r="BX41" i="53"/>
  <c r="DF29" i="53"/>
  <c r="JD29" i="53" s="1"/>
  <c r="DE29" i="53"/>
  <c r="I29" i="53"/>
  <c r="EI29" i="53" s="1"/>
  <c r="CA32" i="47"/>
  <c r="U30" i="53"/>
  <c r="V30" i="53"/>
  <c r="FT30" i="53" s="1"/>
  <c r="AL37" i="53"/>
  <c r="AW37" i="53"/>
  <c r="CD37" i="53"/>
  <c r="DK37" i="53"/>
  <c r="CO37" i="53"/>
  <c r="DV37" i="53"/>
  <c r="DF40" i="47" s="1"/>
  <c r="AA37" i="53"/>
  <c r="BS37" i="53"/>
  <c r="P37" i="53"/>
  <c r="BH37" i="53"/>
  <c r="CZ37" i="53"/>
  <c r="DP35" i="53"/>
  <c r="DQ35" i="53"/>
  <c r="JO35" i="53" s="1"/>
  <c r="V42" i="53"/>
  <c r="FT42" i="53" s="1"/>
  <c r="U42" i="53"/>
  <c r="EI42" i="53"/>
  <c r="EA42" i="53"/>
  <c r="DK45" i="47" s="1"/>
  <c r="EB42" i="53"/>
  <c r="DL45" i="47" s="1"/>
  <c r="AF32" i="53"/>
  <c r="AG32" i="53"/>
  <c r="CO29" i="53"/>
  <c r="CD29" i="53"/>
  <c r="AA29" i="53"/>
  <c r="BS29" i="53"/>
  <c r="DK29" i="53"/>
  <c r="AL29" i="53"/>
  <c r="P29" i="53"/>
  <c r="AW29" i="53"/>
  <c r="DV29" i="53"/>
  <c r="DF32" i="47" s="1"/>
  <c r="CZ29" i="53"/>
  <c r="BH29" i="53"/>
  <c r="AR37" i="53"/>
  <c r="AQ37" i="53"/>
  <c r="CI37" i="53"/>
  <c r="CJ37" i="53"/>
  <c r="IH37" i="53" s="1"/>
  <c r="EI33" i="53"/>
  <c r="EB33" i="53"/>
  <c r="DL36" i="47" s="1"/>
  <c r="EA33" i="53"/>
  <c r="DK36" i="47" s="1"/>
  <c r="BS33" i="53"/>
  <c r="BH33" i="53"/>
  <c r="AA33" i="53"/>
  <c r="DV33" i="53"/>
  <c r="DF36" i="47" s="1"/>
  <c r="CO33" i="53"/>
  <c r="AL33" i="53"/>
  <c r="DK33" i="53"/>
  <c r="P33" i="53"/>
  <c r="CZ33" i="53"/>
  <c r="CD33" i="53"/>
  <c r="AW33" i="53"/>
  <c r="BB39" i="53"/>
  <c r="BC39" i="53"/>
  <c r="HA39" i="53" s="1"/>
  <c r="EI43" i="53"/>
  <c r="EA43" i="53"/>
  <c r="DK46" i="47" s="1"/>
  <c r="EB43" i="53"/>
  <c r="DL46" i="47" s="1"/>
  <c r="AQ43" i="53"/>
  <c r="AR43" i="53"/>
  <c r="EI34" i="53"/>
  <c r="EA34" i="53"/>
  <c r="DK37" i="47" s="1"/>
  <c r="EB34" i="53"/>
  <c r="DL37" i="47" s="1"/>
  <c r="CD42" i="53"/>
  <c r="AL42" i="53"/>
  <c r="BH42" i="53"/>
  <c r="AA42" i="53"/>
  <c r="CO42" i="53"/>
  <c r="AW42" i="53"/>
  <c r="CZ42" i="53"/>
  <c r="BS42" i="53"/>
  <c r="DK42" i="53"/>
  <c r="P42" i="53"/>
  <c r="DV42" i="53"/>
  <c r="DF45" i="47" s="1"/>
  <c r="V40" i="53"/>
  <c r="FT40" i="53" s="1"/>
  <c r="U40" i="53"/>
  <c r="BC36" i="53"/>
  <c r="HA36" i="53" s="1"/>
  <c r="BB36" i="53"/>
  <c r="CU35" i="53"/>
  <c r="IS35" i="53" s="1"/>
  <c r="CT35" i="53"/>
  <c r="AR33" i="53"/>
  <c r="AQ33" i="53"/>
  <c r="AF40" i="53"/>
  <c r="AG40" i="53"/>
  <c r="BB38" i="53"/>
  <c r="BC38" i="53"/>
  <c r="HA38" i="53" s="1"/>
  <c r="BN38" i="53"/>
  <c r="HL38" i="53" s="1"/>
  <c r="BM38" i="53"/>
  <c r="AQ31" i="53"/>
  <c r="AR31" i="53"/>
  <c r="EI36" i="53"/>
  <c r="EA36" i="53"/>
  <c r="DK39" i="47" s="1"/>
  <c r="EB36" i="53"/>
  <c r="DL39" i="47" s="1"/>
  <c r="AR41" i="53"/>
  <c r="AQ41" i="53"/>
  <c r="BY29" i="53"/>
  <c r="BX29" i="53"/>
  <c r="DP29" i="53"/>
  <c r="DQ29" i="53"/>
  <c r="JO29" i="53" s="1"/>
  <c r="DP30" i="53"/>
  <c r="DQ30" i="53"/>
  <c r="JO30" i="53" s="1"/>
  <c r="BB35" i="53"/>
  <c r="BC35" i="53"/>
  <c r="HA35" i="53" s="1"/>
  <c r="AF42" i="53"/>
  <c r="AG42" i="53"/>
  <c r="AQ42" i="53"/>
  <c r="AR42" i="53"/>
  <c r="AQ32" i="53"/>
  <c r="AR32" i="53"/>
  <c r="BN37" i="53"/>
  <c r="HL37" i="53" s="1"/>
  <c r="BM37" i="53"/>
  <c r="U37" i="53"/>
  <c r="V37" i="53"/>
  <c r="FT37" i="53" s="1"/>
  <c r="V33" i="53"/>
  <c r="FT33" i="53" s="1"/>
  <c r="U33" i="53"/>
  <c r="EI39" i="53"/>
  <c r="EB39" i="53"/>
  <c r="DL42" i="47" s="1"/>
  <c r="EA39" i="53"/>
  <c r="DK42" i="47" s="1"/>
  <c r="BY43" i="53"/>
  <c r="BX43" i="53"/>
  <c r="U43" i="53"/>
  <c r="V43" i="53"/>
  <c r="FT43" i="53" s="1"/>
  <c r="BC34" i="53"/>
  <c r="HA34" i="53" s="1"/>
  <c r="BB34" i="53"/>
  <c r="DP31" i="53"/>
  <c r="DQ31" i="53"/>
  <c r="JO31" i="53" s="1"/>
  <c r="AG30" i="53"/>
  <c r="AF30" i="53"/>
  <c r="BH31" i="53"/>
  <c r="AW31" i="53"/>
  <c r="CZ31" i="53"/>
  <c r="DV31" i="53"/>
  <c r="DF34" i="47" s="1"/>
  <c r="CD31" i="53"/>
  <c r="DK31" i="53"/>
  <c r="BS31" i="53"/>
  <c r="CO31" i="53"/>
  <c r="AL31" i="53"/>
  <c r="P31" i="53"/>
  <c r="AA31" i="53"/>
  <c r="I34" i="53"/>
  <c r="CA37" i="47"/>
  <c r="I40" i="53"/>
  <c r="CL43" i="47" s="1"/>
  <c r="CA43" i="47"/>
  <c r="CU40" i="53"/>
  <c r="IS40" i="53" s="1"/>
  <c r="CT40" i="53"/>
  <c r="U38" i="53"/>
  <c r="V38" i="53"/>
  <c r="FT38" i="53" s="1"/>
  <c r="AG31" i="53"/>
  <c r="AF31" i="53"/>
  <c r="BB31" i="53"/>
  <c r="BC31" i="53"/>
  <c r="HA31" i="53" s="1"/>
  <c r="CO41" i="53"/>
  <c r="BH41" i="53"/>
  <c r="AW41" i="53"/>
  <c r="DK41" i="53"/>
  <c r="CD41" i="53"/>
  <c r="P41" i="53"/>
  <c r="BS41" i="53"/>
  <c r="DV41" i="53"/>
  <c r="DF44" i="47" s="1"/>
  <c r="AL41" i="53"/>
  <c r="AA41" i="53"/>
  <c r="CZ41" i="53"/>
  <c r="DQ36" i="53"/>
  <c r="JO36" i="53" s="1"/>
  <c r="DP36" i="53"/>
  <c r="DV34" i="53"/>
  <c r="DF37" i="47" s="1"/>
  <c r="DK34" i="53"/>
  <c r="CD34" i="53"/>
  <c r="AA34" i="53"/>
  <c r="P34" i="53"/>
  <c r="AL34" i="53"/>
  <c r="BH34" i="53"/>
  <c r="CZ34" i="53"/>
  <c r="AW34" i="53"/>
  <c r="CO34" i="53"/>
  <c r="BS34" i="53"/>
  <c r="CJ41" i="53"/>
  <c r="IH41" i="53" s="1"/>
  <c r="CI41" i="53"/>
  <c r="CT29" i="53"/>
  <c r="CU29" i="53"/>
  <c r="IS29" i="53" s="1"/>
  <c r="BB29" i="53"/>
  <c r="BC29" i="53"/>
  <c r="HA29" i="53" s="1"/>
  <c r="DE30" i="53"/>
  <c r="DF30" i="53"/>
  <c r="JD30" i="53" s="1"/>
  <c r="BH35" i="53"/>
  <c r="DK35" i="53"/>
  <c r="AW35" i="53"/>
  <c r="CZ35" i="53"/>
  <c r="AL35" i="53"/>
  <c r="BS35" i="53"/>
  <c r="CO35" i="53"/>
  <c r="DV35" i="53"/>
  <c r="DF38" i="47" s="1"/>
  <c r="AA35" i="53"/>
  <c r="P35" i="53"/>
  <c r="CD35" i="53"/>
  <c r="AG35" i="53"/>
  <c r="AF35" i="53"/>
  <c r="DE42" i="53"/>
  <c r="DF42" i="53"/>
  <c r="JD42" i="53" s="1"/>
  <c r="BC42" i="53"/>
  <c r="HA42" i="53" s="1"/>
  <c r="BB42" i="53"/>
  <c r="I32" i="53"/>
  <c r="CA35" i="47"/>
  <c r="CZ36" i="53"/>
  <c r="BH36" i="53"/>
  <c r="CO36" i="53"/>
  <c r="DV36" i="53"/>
  <c r="DF39" i="47" s="1"/>
  <c r="BS36" i="53"/>
  <c r="DK36" i="53"/>
  <c r="AA36" i="53"/>
  <c r="AW36" i="53"/>
  <c r="AL36" i="53"/>
  <c r="P36" i="53"/>
  <c r="CD36" i="53"/>
  <c r="CU37" i="53"/>
  <c r="IS37" i="53" s="1"/>
  <c r="CT37" i="53"/>
  <c r="BC33" i="53"/>
  <c r="HA33" i="53" s="1"/>
  <c r="BB33" i="53"/>
  <c r="BX33" i="53"/>
  <c r="BY33" i="53"/>
  <c r="DQ39" i="53"/>
  <c r="JO39" i="53" s="1"/>
  <c r="DP39" i="53"/>
  <c r="AG39" i="53"/>
  <c r="AF39" i="53"/>
  <c r="BC43" i="53"/>
  <c r="HA43" i="53" s="1"/>
  <c r="BB43" i="53"/>
  <c r="P40" i="53"/>
  <c r="AL40" i="53"/>
  <c r="DK40" i="53"/>
  <c r="BS40" i="53"/>
  <c r="AA40" i="53"/>
  <c r="CO40" i="53"/>
  <c r="AW40" i="53"/>
  <c r="CZ40" i="53"/>
  <c r="DV40" i="53"/>
  <c r="DF43" i="47" s="1"/>
  <c r="BH40" i="53"/>
  <c r="CD40" i="53"/>
  <c r="AQ34" i="53"/>
  <c r="AR34" i="53"/>
  <c r="P39" i="53"/>
  <c r="AA39" i="53"/>
  <c r="AW39" i="53"/>
  <c r="BS39" i="53"/>
  <c r="CZ39" i="53"/>
  <c r="CO39" i="53"/>
  <c r="BH39" i="53"/>
  <c r="DK39" i="53"/>
  <c r="CD39" i="53"/>
  <c r="DV39" i="53"/>
  <c r="DF42" i="47" s="1"/>
  <c r="AL39" i="53"/>
  <c r="DE40" i="53"/>
  <c r="DF40" i="53"/>
  <c r="JD40" i="53" s="1"/>
  <c r="DQ41" i="53"/>
  <c r="JO41" i="53" s="1"/>
  <c r="DP41" i="53"/>
  <c r="I35" i="53"/>
  <c r="CA38" i="47"/>
  <c r="DF43" i="53"/>
  <c r="JD43" i="53" s="1"/>
  <c r="DE43" i="53"/>
  <c r="AQ40" i="53"/>
  <c r="AR40" i="53"/>
  <c r="BC40" i="53"/>
  <c r="HA40" i="53" s="1"/>
  <c r="BB40" i="53"/>
  <c r="AG38" i="53"/>
  <c r="AF38" i="53"/>
  <c r="U31" i="53"/>
  <c r="V31" i="53"/>
  <c r="FT31" i="53" s="1"/>
  <c r="BN31" i="53"/>
  <c r="HL31" i="53" s="1"/>
  <c r="BM31" i="53"/>
  <c r="V36" i="53"/>
  <c r="FT36" i="53" s="1"/>
  <c r="U36" i="53"/>
  <c r="BM41" i="53"/>
  <c r="BN41" i="53"/>
  <c r="HL41" i="53" s="1"/>
  <c r="AG29" i="53"/>
  <c r="AF29" i="53"/>
  <c r="CJ29" i="53"/>
  <c r="IH29" i="53" s="1"/>
  <c r="CI29" i="53"/>
  <c r="CU30" i="53"/>
  <c r="IS30" i="53" s="1"/>
  <c r="CT30" i="53"/>
  <c r="V35" i="53"/>
  <c r="FT35" i="53" s="1"/>
  <c r="U35" i="53"/>
  <c r="BN42" i="53"/>
  <c r="HL42" i="53" s="1"/>
  <c r="BM42" i="53"/>
  <c r="CU42" i="53"/>
  <c r="IS42" i="53" s="1"/>
  <c r="CT42" i="53"/>
  <c r="DF32" i="53"/>
  <c r="JD32" i="53" s="1"/>
  <c r="DE32" i="53"/>
  <c r="BB37" i="53"/>
  <c r="BC37" i="53"/>
  <c r="HA37" i="53" s="1"/>
  <c r="I33" i="53"/>
  <c r="CL36" i="47" s="1"/>
  <c r="CA36" i="47"/>
  <c r="BN33" i="53"/>
  <c r="HL33" i="53" s="1"/>
  <c r="BM33" i="53"/>
  <c r="BY39" i="53"/>
  <c r="BX39" i="53"/>
  <c r="CJ39" i="53"/>
  <c r="IH39" i="53" s="1"/>
  <c r="CI39" i="53"/>
  <c r="AF43" i="53"/>
  <c r="AG43" i="53"/>
  <c r="DF34" i="53"/>
  <c r="JD34" i="53" s="1"/>
  <c r="DE34" i="53"/>
  <c r="S24" i="19"/>
  <c r="R24" i="19"/>
  <c r="CL32" i="47" l="1"/>
  <c r="CL42" i="47"/>
  <c r="DV42" i="47" s="1"/>
  <c r="DV45" i="47"/>
  <c r="CL38" i="47"/>
  <c r="DV38" i="47" s="1"/>
  <c r="CL37" i="47"/>
  <c r="DV37" i="47" s="1"/>
  <c r="DV40" i="47"/>
  <c r="DV44" i="47"/>
  <c r="CL35" i="47"/>
  <c r="DV35" i="47" s="1"/>
  <c r="CT37" i="47"/>
  <c r="GE31" i="53"/>
  <c r="GE40" i="53"/>
  <c r="GE35" i="53"/>
  <c r="GE43" i="53"/>
  <c r="GE41" i="53"/>
  <c r="GE34" i="53"/>
  <c r="GE37" i="53"/>
  <c r="GE42" i="53"/>
  <c r="GE29" i="53"/>
  <c r="GE32" i="53"/>
  <c r="GE36" i="53"/>
  <c r="GE30" i="53"/>
  <c r="GE38" i="53"/>
  <c r="GE39" i="53"/>
  <c r="GE33" i="53"/>
  <c r="CY36" i="47"/>
  <c r="CY45" i="47"/>
  <c r="CT33" i="47"/>
  <c r="CT35" i="47"/>
  <c r="CY46" i="47"/>
  <c r="CT44" i="47"/>
  <c r="CY37" i="47"/>
  <c r="CY38" i="47"/>
  <c r="DV39" i="47"/>
  <c r="DV46" i="47"/>
  <c r="DV43" i="47"/>
  <c r="DV34" i="47"/>
  <c r="DV33" i="47"/>
  <c r="DV36" i="47"/>
  <c r="DV41" i="47"/>
  <c r="DV32" i="47"/>
  <c r="CT39" i="47"/>
  <c r="CT43" i="47"/>
  <c r="CT40" i="47"/>
  <c r="CT42" i="47"/>
  <c r="CY40" i="47"/>
  <c r="CY32" i="47"/>
  <c r="CY43" i="47"/>
  <c r="CT34" i="47"/>
  <c r="CT45" i="47"/>
  <c r="CT41" i="47"/>
  <c r="CY33" i="47"/>
  <c r="CY44" i="47"/>
  <c r="CY34" i="47"/>
  <c r="CT38" i="47"/>
  <c r="CT46" i="47"/>
  <c r="CT32" i="47"/>
  <c r="CY35" i="47"/>
  <c r="CY42" i="47"/>
  <c r="CT36" i="47"/>
  <c r="CY41" i="47"/>
  <c r="GP31" i="53"/>
  <c r="HW38" i="53"/>
  <c r="CZ41" i="47"/>
  <c r="HW40" i="53"/>
  <c r="CZ43" i="47"/>
  <c r="GP33" i="53"/>
  <c r="HW36" i="53"/>
  <c r="CZ39" i="47"/>
  <c r="HW37" i="53"/>
  <c r="CZ40" i="47"/>
  <c r="GP35" i="53"/>
  <c r="HW29" i="53"/>
  <c r="CZ32" i="47"/>
  <c r="HW30" i="53"/>
  <c r="CZ33" i="47"/>
  <c r="HW43" i="53"/>
  <c r="CZ46" i="47"/>
  <c r="HW31" i="53"/>
  <c r="CZ34" i="47"/>
  <c r="GP34" i="53"/>
  <c r="GP41" i="53"/>
  <c r="GP36" i="53"/>
  <c r="GP30" i="53"/>
  <c r="GP32" i="53"/>
  <c r="HW41" i="53"/>
  <c r="CZ44" i="47"/>
  <c r="HW35" i="53"/>
  <c r="CZ38" i="47"/>
  <c r="GP38" i="53"/>
  <c r="GP43" i="53"/>
  <c r="GP37" i="53"/>
  <c r="GP39" i="53"/>
  <c r="HW42" i="53"/>
  <c r="CZ45" i="47"/>
  <c r="HW39" i="53"/>
  <c r="CZ42" i="47"/>
  <c r="GP40" i="53"/>
  <c r="HW33" i="53"/>
  <c r="CZ36" i="47"/>
  <c r="GP42" i="53"/>
  <c r="HW34" i="53"/>
  <c r="CZ37" i="47"/>
  <c r="GP29" i="53"/>
  <c r="HW32" i="53"/>
  <c r="CZ35" i="47"/>
  <c r="EJ37" i="53"/>
  <c r="EJ38" i="53"/>
  <c r="EJ29" i="53"/>
  <c r="EJ32" i="53"/>
  <c r="EJ43" i="53"/>
  <c r="EJ33" i="53"/>
  <c r="EJ31" i="53"/>
  <c r="EJ35" i="53"/>
  <c r="EJ30" i="53"/>
  <c r="EJ34" i="53"/>
  <c r="EJ40" i="53"/>
  <c r="EJ36" i="53"/>
  <c r="EJ39" i="53"/>
  <c r="EJ42" i="53"/>
  <c r="EJ41" i="53"/>
  <c r="DA35" i="53"/>
  <c r="DB35" i="53"/>
  <c r="IZ35" i="53" s="1"/>
  <c r="BU42" i="53"/>
  <c r="BT42" i="53"/>
  <c r="CQ29" i="53"/>
  <c r="IO29" i="53" s="1"/>
  <c r="CP29" i="53"/>
  <c r="DA32" i="53"/>
  <c r="DB32" i="53"/>
  <c r="IZ32" i="53" s="1"/>
  <c r="CE39" i="53"/>
  <c r="CF39" i="53"/>
  <c r="ID39" i="53" s="1"/>
  <c r="AB39" i="53"/>
  <c r="AC39" i="53"/>
  <c r="AY40" i="53"/>
  <c r="GW40" i="53" s="1"/>
  <c r="AX40" i="53"/>
  <c r="AC36" i="53"/>
  <c r="AB36" i="53"/>
  <c r="CF35" i="53"/>
  <c r="ID35" i="53" s="1"/>
  <c r="CE35" i="53"/>
  <c r="AY35" i="53"/>
  <c r="GW35" i="53" s="1"/>
  <c r="AX35" i="53"/>
  <c r="DB34" i="53"/>
  <c r="IZ34" i="53" s="1"/>
  <c r="DA34" i="53"/>
  <c r="R41" i="53"/>
  <c r="FP41" i="53" s="1"/>
  <c r="Q41" i="53"/>
  <c r="DM31" i="53"/>
  <c r="JK31" i="53" s="1"/>
  <c r="DL31" i="53"/>
  <c r="DA42" i="53"/>
  <c r="DB42" i="53"/>
  <c r="IZ42" i="53" s="1"/>
  <c r="JZ34" i="53"/>
  <c r="EK34" i="53"/>
  <c r="AN33" i="53"/>
  <c r="AM33" i="53"/>
  <c r="AY29" i="53"/>
  <c r="GW29" i="53" s="1"/>
  <c r="AX29" i="53"/>
  <c r="E29" i="53"/>
  <c r="CH32" i="47" s="1"/>
  <c r="BZ32" i="47"/>
  <c r="EE37" i="53"/>
  <c r="DX37" i="53"/>
  <c r="DH40" i="47" s="1"/>
  <c r="DW37" i="53"/>
  <c r="DG40" i="47" s="1"/>
  <c r="DA43" i="53"/>
  <c r="DB43" i="53"/>
  <c r="IZ43" i="53" s="1"/>
  <c r="BI43" i="53"/>
  <c r="BJ43" i="53"/>
  <c r="HH43" i="53" s="1"/>
  <c r="BI38" i="53"/>
  <c r="BJ38" i="53"/>
  <c r="HH38" i="53" s="1"/>
  <c r="R30" i="53"/>
  <c r="FP30" i="53" s="1"/>
  <c r="Q30" i="53"/>
  <c r="JZ37" i="53"/>
  <c r="EK37" i="53"/>
  <c r="JZ41" i="53"/>
  <c r="EK41" i="53"/>
  <c r="R32" i="53"/>
  <c r="FP32" i="53" s="1"/>
  <c r="Q32" i="53"/>
  <c r="CP32" i="53"/>
  <c r="CQ32" i="53"/>
  <c r="IO32" i="53" s="1"/>
  <c r="JZ30" i="53"/>
  <c r="EK30" i="53"/>
  <c r="K41" i="53"/>
  <c r="CN44" i="47" s="1"/>
  <c r="J41" i="53"/>
  <c r="CM44" i="47" s="1"/>
  <c r="AX36" i="53"/>
  <c r="AY36" i="53"/>
  <c r="GW36" i="53" s="1"/>
  <c r="AX34" i="53"/>
  <c r="AY34" i="53"/>
  <c r="GW34" i="53" s="1"/>
  <c r="K40" i="53"/>
  <c r="CN43" i="47" s="1"/>
  <c r="J40" i="53"/>
  <c r="CM43" i="47" s="1"/>
  <c r="CF42" i="53"/>
  <c r="ID42" i="53" s="1"/>
  <c r="CE42" i="53"/>
  <c r="JZ33" i="53"/>
  <c r="EK33" i="53"/>
  <c r="CQ43" i="53"/>
  <c r="IO43" i="53" s="1"/>
  <c r="CP43" i="53"/>
  <c r="J35" i="53"/>
  <c r="K35" i="53"/>
  <c r="CN38" i="47" s="1"/>
  <c r="E39" i="53"/>
  <c r="CH42" i="47" s="1"/>
  <c r="BZ42" i="47"/>
  <c r="R39" i="53"/>
  <c r="FP39" i="53" s="1"/>
  <c r="Q39" i="53"/>
  <c r="CQ40" i="53"/>
  <c r="IO40" i="53" s="1"/>
  <c r="CP40" i="53"/>
  <c r="DL36" i="53"/>
  <c r="DM36" i="53"/>
  <c r="JK36" i="53" s="1"/>
  <c r="K32" i="53"/>
  <c r="CN35" i="47" s="1"/>
  <c r="J32" i="53"/>
  <c r="CM35" i="47" s="1"/>
  <c r="Q35" i="53"/>
  <c r="R35" i="53"/>
  <c r="FP35" i="53" s="1"/>
  <c r="DL35" i="53"/>
  <c r="DM35" i="53"/>
  <c r="JK35" i="53" s="1"/>
  <c r="BI34" i="53"/>
  <c r="BJ34" i="53"/>
  <c r="HH34" i="53" s="1"/>
  <c r="CE41" i="53"/>
  <c r="CF41" i="53"/>
  <c r="ID41" i="53" s="1"/>
  <c r="J34" i="53"/>
  <c r="CM37" i="47" s="1"/>
  <c r="K34" i="53"/>
  <c r="CN37" i="47" s="1"/>
  <c r="CE31" i="53"/>
  <c r="CF31" i="53"/>
  <c r="ID31" i="53" s="1"/>
  <c r="JZ39" i="53"/>
  <c r="EK39" i="53"/>
  <c r="JZ36" i="53"/>
  <c r="EK36" i="53"/>
  <c r="AY42" i="53"/>
  <c r="GW42" i="53" s="1"/>
  <c r="AX42" i="53"/>
  <c r="CP33" i="53"/>
  <c r="CQ33" i="53"/>
  <c r="IO33" i="53" s="1"/>
  <c r="Q29" i="53"/>
  <c r="R29" i="53"/>
  <c r="FP29" i="53" s="1"/>
  <c r="CQ37" i="53"/>
  <c r="IO37" i="53" s="1"/>
  <c r="CP37" i="53"/>
  <c r="K29" i="53"/>
  <c r="CN32" i="47" s="1"/>
  <c r="J29" i="53"/>
  <c r="CM32" i="47" s="1"/>
  <c r="DL43" i="53"/>
  <c r="DM43" i="53"/>
  <c r="JK43" i="53" s="1"/>
  <c r="CF43" i="53"/>
  <c r="ID43" i="53" s="1"/>
  <c r="CE43" i="53"/>
  <c r="CF38" i="53"/>
  <c r="ID38" i="53" s="1"/>
  <c r="CE38" i="53"/>
  <c r="DM30" i="53"/>
  <c r="JK30" i="53" s="1"/>
  <c r="DL30" i="53"/>
  <c r="EE32" i="53"/>
  <c r="DW32" i="53"/>
  <c r="DG35" i="47" s="1"/>
  <c r="DX32" i="53"/>
  <c r="DH35" i="47" s="1"/>
  <c r="AN32" i="53"/>
  <c r="AM32" i="53"/>
  <c r="J33" i="53"/>
  <c r="CM36" i="47" s="1"/>
  <c r="K33" i="53"/>
  <c r="CN36" i="47" s="1"/>
  <c r="AY39" i="53"/>
  <c r="GW39" i="53" s="1"/>
  <c r="AX39" i="53"/>
  <c r="DM33" i="53"/>
  <c r="JK33" i="53" s="1"/>
  <c r="DL33" i="53"/>
  <c r="AC37" i="53"/>
  <c r="AB37" i="53"/>
  <c r="E38" i="53"/>
  <c r="CH41" i="47" s="1"/>
  <c r="BZ41" i="47"/>
  <c r="E30" i="53"/>
  <c r="BZ33" i="47"/>
  <c r="AB32" i="53"/>
  <c r="AC32" i="53"/>
  <c r="DM39" i="53"/>
  <c r="JK39" i="53" s="1"/>
  <c r="DL39" i="53"/>
  <c r="E40" i="53"/>
  <c r="CH43" i="47" s="1"/>
  <c r="BZ43" i="47"/>
  <c r="BT36" i="53"/>
  <c r="BU36" i="53"/>
  <c r="AC35" i="53"/>
  <c r="AB35" i="53"/>
  <c r="E35" i="53"/>
  <c r="CH38" i="47" s="1"/>
  <c r="BZ38" i="47"/>
  <c r="AN34" i="53"/>
  <c r="AM34" i="53"/>
  <c r="DB41" i="53"/>
  <c r="IZ41" i="53" s="1"/>
  <c r="DA41" i="53"/>
  <c r="DL41" i="53"/>
  <c r="DM41" i="53"/>
  <c r="JK41" i="53" s="1"/>
  <c r="AB31" i="53"/>
  <c r="AC31" i="53"/>
  <c r="EE31" i="53"/>
  <c r="DX31" i="53"/>
  <c r="DH34" i="47" s="1"/>
  <c r="DW31" i="53"/>
  <c r="DG34" i="47" s="1"/>
  <c r="CP42" i="53"/>
  <c r="CQ42" i="53"/>
  <c r="IO42" i="53" s="1"/>
  <c r="AY33" i="53"/>
  <c r="GW33" i="53" s="1"/>
  <c r="AX33" i="53"/>
  <c r="EE33" i="53"/>
  <c r="DW33" i="53"/>
  <c r="DG36" i="47" s="1"/>
  <c r="DX33" i="53"/>
  <c r="DH36" i="47" s="1"/>
  <c r="AM29" i="53"/>
  <c r="AN29" i="53"/>
  <c r="E37" i="53"/>
  <c r="CH40" i="47" s="1"/>
  <c r="BZ40" i="47"/>
  <c r="DL37" i="53"/>
  <c r="DM37" i="53"/>
  <c r="JK37" i="53" s="1"/>
  <c r="EE43" i="53"/>
  <c r="DW43" i="53"/>
  <c r="DG46" i="47" s="1"/>
  <c r="DX43" i="53"/>
  <c r="DH46" i="47" s="1"/>
  <c r="DM38" i="53"/>
  <c r="JK38" i="53" s="1"/>
  <c r="DL38" i="53"/>
  <c r="J30" i="53"/>
  <c r="CM33" i="47" s="1"/>
  <c r="K30" i="53"/>
  <c r="CN33" i="47" s="1"/>
  <c r="BT30" i="53"/>
  <c r="BU30" i="53"/>
  <c r="DA30" i="53"/>
  <c r="DB30" i="53"/>
  <c r="IZ30" i="53" s="1"/>
  <c r="CF32" i="53"/>
  <c r="ID32" i="53" s="1"/>
  <c r="CE32" i="53"/>
  <c r="AY32" i="53"/>
  <c r="GW32" i="53" s="1"/>
  <c r="AX32" i="53"/>
  <c r="J36" i="53"/>
  <c r="K36" i="53"/>
  <c r="CN39" i="47" s="1"/>
  <c r="JZ38" i="53"/>
  <c r="EK38" i="53"/>
  <c r="EE39" i="53"/>
  <c r="DW39" i="53"/>
  <c r="DG42" i="47" s="1"/>
  <c r="DX39" i="53"/>
  <c r="DH42" i="47" s="1"/>
  <c r="E43" i="53"/>
  <c r="CH46" i="47" s="1"/>
  <c r="BZ46" i="47"/>
  <c r="K39" i="53"/>
  <c r="CN42" i="47" s="1"/>
  <c r="J39" i="53"/>
  <c r="CM42" i="47" s="1"/>
  <c r="BI39" i="53"/>
  <c r="BJ39" i="53"/>
  <c r="HH39" i="53" s="1"/>
  <c r="AC40" i="53"/>
  <c r="AB40" i="53"/>
  <c r="EE36" i="53"/>
  <c r="DX36" i="53"/>
  <c r="DH39" i="47" s="1"/>
  <c r="DW36" i="53"/>
  <c r="DG39" i="47" s="1"/>
  <c r="EE35" i="53"/>
  <c r="DW35" i="53"/>
  <c r="DG38" i="47" s="1"/>
  <c r="DX35" i="53"/>
  <c r="DH38" i="47" s="1"/>
  <c r="BI35" i="53"/>
  <c r="BJ35" i="53"/>
  <c r="HH35" i="53" s="1"/>
  <c r="R34" i="53"/>
  <c r="FP34" i="53" s="1"/>
  <c r="Q34" i="53"/>
  <c r="E41" i="53"/>
  <c r="CH44" i="47" s="1"/>
  <c r="BZ44" i="47"/>
  <c r="AY41" i="53"/>
  <c r="GW41" i="53" s="1"/>
  <c r="AX41" i="53"/>
  <c r="E31" i="53"/>
  <c r="CH34" i="47" s="1"/>
  <c r="BZ34" i="47"/>
  <c r="DB31" i="53"/>
  <c r="IZ31" i="53" s="1"/>
  <c r="DA31" i="53"/>
  <c r="AC42" i="53"/>
  <c r="AB42" i="53"/>
  <c r="CF33" i="53"/>
  <c r="ID33" i="53" s="1"/>
  <c r="CE33" i="53"/>
  <c r="AC33" i="53"/>
  <c r="AB33" i="53"/>
  <c r="DM29" i="53"/>
  <c r="JK29" i="53" s="1"/>
  <c r="DL29" i="53"/>
  <c r="JZ42" i="53"/>
  <c r="EK42" i="53"/>
  <c r="DA37" i="53"/>
  <c r="DB37" i="53"/>
  <c r="IZ37" i="53" s="1"/>
  <c r="CE37" i="53"/>
  <c r="CF37" i="53"/>
  <c r="ID37" i="53" s="1"/>
  <c r="Q43" i="53"/>
  <c r="R43" i="53"/>
  <c r="FP43" i="53" s="1"/>
  <c r="Q38" i="53"/>
  <c r="R38" i="53"/>
  <c r="FP38" i="53" s="1"/>
  <c r="J38" i="53"/>
  <c r="CM41" i="47" s="1"/>
  <c r="K38" i="53"/>
  <c r="CN41" i="47" s="1"/>
  <c r="K42" i="53"/>
  <c r="CN45" i="47" s="1"/>
  <c r="J42" i="53"/>
  <c r="AN30" i="53"/>
  <c r="AM30" i="53"/>
  <c r="AB30" i="53"/>
  <c r="AC30" i="53"/>
  <c r="JZ29" i="53"/>
  <c r="EK29" i="53"/>
  <c r="E32" i="53"/>
  <c r="BZ35" i="47"/>
  <c r="J31" i="53"/>
  <c r="CM34" i="47" s="1"/>
  <c r="K31" i="53"/>
  <c r="CN34" i="47" s="1"/>
  <c r="Q40" i="53"/>
  <c r="R40" i="53"/>
  <c r="FP40" i="53" s="1"/>
  <c r="BT41" i="53"/>
  <c r="BU41" i="53"/>
  <c r="CQ39" i="53"/>
  <c r="IO39" i="53" s="1"/>
  <c r="CP39" i="53"/>
  <c r="CF40" i="53"/>
  <c r="ID40" i="53" s="1"/>
  <c r="CE40" i="53"/>
  <c r="BT40" i="53"/>
  <c r="BU40" i="53"/>
  <c r="CF36" i="53"/>
  <c r="ID36" i="53" s="1"/>
  <c r="CE36" i="53"/>
  <c r="CQ36" i="53"/>
  <c r="IO36" i="53" s="1"/>
  <c r="CP36" i="53"/>
  <c r="CP35" i="53"/>
  <c r="CQ35" i="53"/>
  <c r="IO35" i="53" s="1"/>
  <c r="E34" i="53"/>
  <c r="CH37" i="47" s="1"/>
  <c r="BZ37" i="47"/>
  <c r="AC34" i="53"/>
  <c r="AB34" i="53"/>
  <c r="AB41" i="53"/>
  <c r="AC41" i="53"/>
  <c r="BI41" i="53"/>
  <c r="BJ41" i="53"/>
  <c r="HH41" i="53" s="1"/>
  <c r="R31" i="53"/>
  <c r="FP31" i="53" s="1"/>
  <c r="Q31" i="53"/>
  <c r="AX31" i="53"/>
  <c r="AY31" i="53"/>
  <c r="GW31" i="53" s="1"/>
  <c r="EE42" i="53"/>
  <c r="DX42" i="53"/>
  <c r="DH45" i="47" s="1"/>
  <c r="DW42" i="53"/>
  <c r="DG45" i="47" s="1"/>
  <c r="E42" i="53"/>
  <c r="CH45" i="47" s="1"/>
  <c r="BZ45" i="47"/>
  <c r="DA33" i="53"/>
  <c r="DB33" i="53"/>
  <c r="IZ33" i="53" s="1"/>
  <c r="BI33" i="53"/>
  <c r="BJ33" i="53"/>
  <c r="HH33" i="53" s="1"/>
  <c r="BT29" i="53"/>
  <c r="BU29" i="53"/>
  <c r="BJ37" i="53"/>
  <c r="HH37" i="53" s="1"/>
  <c r="BI37" i="53"/>
  <c r="AX37" i="53"/>
  <c r="AY37" i="53"/>
  <c r="GW37" i="53" s="1"/>
  <c r="AX43" i="53"/>
  <c r="AY43" i="53"/>
  <c r="GW43" i="53" s="1"/>
  <c r="EE38" i="53"/>
  <c r="DW38" i="53"/>
  <c r="DG41" i="47" s="1"/>
  <c r="DX38" i="53"/>
  <c r="DH41" i="47" s="1"/>
  <c r="BU38" i="53"/>
  <c r="BT38" i="53"/>
  <c r="BI30" i="53"/>
  <c r="BJ30" i="53"/>
  <c r="HH30" i="53" s="1"/>
  <c r="EE30" i="53"/>
  <c r="DW30" i="53"/>
  <c r="DG33" i="47" s="1"/>
  <c r="DX30" i="53"/>
  <c r="DH33" i="47" s="1"/>
  <c r="BI32" i="53"/>
  <c r="BJ32" i="53"/>
  <c r="HH32" i="53" s="1"/>
  <c r="DA36" i="53"/>
  <c r="DB36" i="53"/>
  <c r="IZ36" i="53" s="1"/>
  <c r="BU31" i="53"/>
  <c r="BT31" i="53"/>
  <c r="EE29" i="53"/>
  <c r="DW29" i="53"/>
  <c r="DG32" i="47" s="1"/>
  <c r="DX29" i="53"/>
  <c r="DH32" i="47" s="1"/>
  <c r="AC38" i="53"/>
  <c r="AB38" i="53"/>
  <c r="DB39" i="53"/>
  <c r="IZ39" i="53" s="1"/>
  <c r="DA39" i="53"/>
  <c r="BI40" i="53"/>
  <c r="BJ40" i="53"/>
  <c r="HH40" i="53" s="1"/>
  <c r="DM40" i="53"/>
  <c r="JK40" i="53" s="1"/>
  <c r="DL40" i="53"/>
  <c r="R36" i="53"/>
  <c r="FP36" i="53" s="1"/>
  <c r="Q36" i="53"/>
  <c r="BI36" i="53"/>
  <c r="BJ36" i="53"/>
  <c r="HH36" i="53" s="1"/>
  <c r="BU35" i="53"/>
  <c r="BT35" i="53"/>
  <c r="BT34" i="53"/>
  <c r="BU34" i="53"/>
  <c r="CE34" i="53"/>
  <c r="CF34" i="53"/>
  <c r="ID34" i="53" s="1"/>
  <c r="AM41" i="53"/>
  <c r="AN41" i="53"/>
  <c r="CP41" i="53"/>
  <c r="CQ41" i="53"/>
  <c r="IO41" i="53" s="1"/>
  <c r="AN31" i="53"/>
  <c r="AM31" i="53"/>
  <c r="BJ31" i="53"/>
  <c r="HH31" i="53" s="1"/>
  <c r="BI31" i="53"/>
  <c r="Q42" i="53"/>
  <c r="R42" i="53"/>
  <c r="FP42" i="53" s="1"/>
  <c r="BI42" i="53"/>
  <c r="BJ42" i="53"/>
  <c r="HH42" i="53" s="1"/>
  <c r="JZ43" i="53"/>
  <c r="EK43" i="53"/>
  <c r="R33" i="53"/>
  <c r="FP33" i="53" s="1"/>
  <c r="Q33" i="53"/>
  <c r="BU33" i="53"/>
  <c r="BT33" i="53"/>
  <c r="CU36" i="47" s="1"/>
  <c r="BJ29" i="53"/>
  <c r="HH29" i="53" s="1"/>
  <c r="BI29" i="53"/>
  <c r="AC29" i="53"/>
  <c r="AB29" i="53"/>
  <c r="R37" i="53"/>
  <c r="FP37" i="53" s="1"/>
  <c r="Q37" i="53"/>
  <c r="AM37" i="53"/>
  <c r="AN37" i="53"/>
  <c r="BU43" i="53"/>
  <c r="BT43" i="53"/>
  <c r="DA38" i="53"/>
  <c r="DB38" i="53"/>
  <c r="IZ38" i="53" s="1"/>
  <c r="AM38" i="53"/>
  <c r="AN38" i="53"/>
  <c r="K37" i="53"/>
  <c r="CN40" i="47" s="1"/>
  <c r="J37" i="53"/>
  <c r="CM40" i="47" s="1"/>
  <c r="JZ35" i="53"/>
  <c r="EK35" i="53"/>
  <c r="JZ40" i="53"/>
  <c r="EK40" i="53"/>
  <c r="J43" i="53"/>
  <c r="CM46" i="47" s="1"/>
  <c r="K43" i="53"/>
  <c r="CN46" i="47" s="1"/>
  <c r="CP30" i="53"/>
  <c r="CQ30" i="53"/>
  <c r="IO30" i="53" s="1"/>
  <c r="CE30" i="53"/>
  <c r="CF30" i="53"/>
  <c r="ID30" i="53" s="1"/>
  <c r="BU32" i="53"/>
  <c r="BT32" i="53"/>
  <c r="JZ32" i="53"/>
  <c r="EK32" i="53"/>
  <c r="DA40" i="53"/>
  <c r="DB40" i="53"/>
  <c r="IZ40" i="53" s="1"/>
  <c r="EE34" i="53"/>
  <c r="DX34" i="53"/>
  <c r="DH37" i="47" s="1"/>
  <c r="DW34" i="53"/>
  <c r="DG37" i="47" s="1"/>
  <c r="AN39" i="53"/>
  <c r="AM39" i="53"/>
  <c r="BU39" i="53"/>
  <c r="BT39" i="53"/>
  <c r="EE40" i="53"/>
  <c r="DW40" i="53"/>
  <c r="DG43" i="47" s="1"/>
  <c r="DX40" i="53"/>
  <c r="DH43" i="47" s="1"/>
  <c r="AN40" i="53"/>
  <c r="AM40" i="53"/>
  <c r="AM36" i="53"/>
  <c r="AN36" i="53"/>
  <c r="E36" i="53"/>
  <c r="BZ39" i="47"/>
  <c r="AN35" i="53"/>
  <c r="AM35" i="53"/>
  <c r="CQ34" i="53"/>
  <c r="IO34" i="53" s="1"/>
  <c r="CP34" i="53"/>
  <c r="DL34" i="53"/>
  <c r="DM34" i="53"/>
  <c r="JK34" i="53" s="1"/>
  <c r="EE41" i="53"/>
  <c r="DX41" i="53"/>
  <c r="DH44" i="47" s="1"/>
  <c r="DW41" i="53"/>
  <c r="DG44" i="47" s="1"/>
  <c r="CP31" i="53"/>
  <c r="CQ31" i="53"/>
  <c r="IO31" i="53" s="1"/>
  <c r="DL42" i="53"/>
  <c r="DM42" i="53"/>
  <c r="JK42" i="53" s="1"/>
  <c r="AN42" i="53"/>
  <c r="AM42" i="53"/>
  <c r="E33" i="53"/>
  <c r="CH36" i="47" s="1"/>
  <c r="BZ36" i="47"/>
  <c r="DB29" i="53"/>
  <c r="IZ29" i="53" s="1"/>
  <c r="DA29" i="53"/>
  <c r="CF29" i="53"/>
  <c r="ID29" i="53" s="1"/>
  <c r="CE29" i="53"/>
  <c r="BU37" i="53"/>
  <c r="BT37" i="53"/>
  <c r="AC43" i="53"/>
  <c r="AB43" i="53"/>
  <c r="AM43" i="53"/>
  <c r="AN43" i="53"/>
  <c r="CQ38" i="53"/>
  <c r="IO38" i="53" s="1"/>
  <c r="CP38" i="53"/>
  <c r="AY38" i="53"/>
  <c r="GW38" i="53" s="1"/>
  <c r="AX38" i="53"/>
  <c r="AX30" i="53"/>
  <c r="AY30" i="53"/>
  <c r="GW30" i="53" s="1"/>
  <c r="DM32" i="53"/>
  <c r="JK32" i="53" s="1"/>
  <c r="DL32" i="53"/>
  <c r="JZ31" i="53"/>
  <c r="EK31" i="53"/>
  <c r="D73" i="22"/>
  <c r="CH35" i="47" l="1"/>
  <c r="DR35" i="47" s="1"/>
  <c r="CM38" i="47"/>
  <c r="DW38" i="47" s="1"/>
  <c r="DW37" i="47"/>
  <c r="CH39" i="47"/>
  <c r="DR39" i="47" s="1"/>
  <c r="DW46" i="47"/>
  <c r="DR37" i="47"/>
  <c r="DR44" i="47"/>
  <c r="DW36" i="47"/>
  <c r="CH33" i="47"/>
  <c r="DR33" i="47" s="1"/>
  <c r="CM45" i="47"/>
  <c r="DW45" i="47" s="1"/>
  <c r="CM39" i="47"/>
  <c r="DW39" i="47" s="1"/>
  <c r="GA34" i="53"/>
  <c r="GA30" i="53"/>
  <c r="GA39" i="53"/>
  <c r="GA38" i="53"/>
  <c r="GA42" i="53"/>
  <c r="GA31" i="53"/>
  <c r="GA29" i="53"/>
  <c r="GA37" i="53"/>
  <c r="GA41" i="53"/>
  <c r="GA32" i="53"/>
  <c r="GA33" i="53"/>
  <c r="GA40" i="53"/>
  <c r="GA35" i="53"/>
  <c r="GA36" i="53"/>
  <c r="GA43" i="53"/>
  <c r="FI31" i="53"/>
  <c r="DU34" i="47"/>
  <c r="FI32" i="53"/>
  <c r="DU35" i="47"/>
  <c r="FI41" i="53"/>
  <c r="DU44" i="47"/>
  <c r="FI30" i="53"/>
  <c r="DU33" i="47"/>
  <c r="FI35" i="53"/>
  <c r="DU38" i="47"/>
  <c r="FI40" i="53"/>
  <c r="DU43" i="47"/>
  <c r="FI36" i="53"/>
  <c r="DU39" i="47"/>
  <c r="FI42" i="53"/>
  <c r="DU45" i="47"/>
  <c r="FI38" i="53"/>
  <c r="DU41" i="47"/>
  <c r="FI37" i="53"/>
  <c r="DU40" i="47"/>
  <c r="FI34" i="53"/>
  <c r="DU37" i="47"/>
  <c r="FI39" i="53"/>
  <c r="DU42" i="47"/>
  <c r="FI43" i="53"/>
  <c r="DU46" i="47"/>
  <c r="FI33" i="53"/>
  <c r="DU36" i="47"/>
  <c r="FI29" i="53"/>
  <c r="DU32" i="47"/>
  <c r="CU38" i="47"/>
  <c r="CU44" i="47"/>
  <c r="CU43" i="47"/>
  <c r="CU46" i="47"/>
  <c r="CU42" i="47"/>
  <c r="CU41" i="47"/>
  <c r="CU40" i="47"/>
  <c r="DX46" i="47"/>
  <c r="DX35" i="47"/>
  <c r="DX37" i="47"/>
  <c r="DR38" i="47"/>
  <c r="DW43" i="47"/>
  <c r="DW41" i="47"/>
  <c r="DW34" i="47"/>
  <c r="DW32" i="47"/>
  <c r="DX45" i="47"/>
  <c r="DX41" i="47"/>
  <c r="DX33" i="47"/>
  <c r="DX38" i="47"/>
  <c r="DR36" i="47"/>
  <c r="DW44" i="47"/>
  <c r="DW40" i="47"/>
  <c r="DW42" i="47"/>
  <c r="DW33" i="47"/>
  <c r="DX42" i="47"/>
  <c r="DX39" i="47"/>
  <c r="DW35" i="47"/>
  <c r="DR41" i="47"/>
  <c r="DR42" i="47"/>
  <c r="DR45" i="47"/>
  <c r="DR40" i="47"/>
  <c r="DX32" i="47"/>
  <c r="DX43" i="47"/>
  <c r="DX40" i="47"/>
  <c r="DX44" i="47"/>
  <c r="DX34" i="47"/>
  <c r="DR32" i="47"/>
  <c r="DR34" i="47"/>
  <c r="DR43" i="47"/>
  <c r="DR46" i="47"/>
  <c r="CU35" i="47"/>
  <c r="DX36" i="47"/>
  <c r="CU34" i="47"/>
  <c r="CU33" i="47"/>
  <c r="CU37" i="47"/>
  <c r="CU32" i="47"/>
  <c r="CU39" i="47"/>
  <c r="CU45" i="47"/>
  <c r="HS33" i="53"/>
  <c r="CV36" i="47"/>
  <c r="HS37" i="53"/>
  <c r="CV40" i="47"/>
  <c r="GL42" i="53"/>
  <c r="GL36" i="53"/>
  <c r="HS39" i="53"/>
  <c r="CV42" i="47"/>
  <c r="GL38" i="53"/>
  <c r="HS40" i="53"/>
  <c r="CV43" i="47"/>
  <c r="HS38" i="53"/>
  <c r="CV41" i="47"/>
  <c r="HS30" i="53"/>
  <c r="CV33" i="47"/>
  <c r="GL34" i="53"/>
  <c r="HS42" i="53"/>
  <c r="CV45" i="47"/>
  <c r="GL39" i="53"/>
  <c r="HS34" i="53"/>
  <c r="CV37" i="47"/>
  <c r="HS29" i="53"/>
  <c r="CV32" i="47"/>
  <c r="GL30" i="53"/>
  <c r="GL32" i="53"/>
  <c r="GL43" i="53"/>
  <c r="GL31" i="53"/>
  <c r="HS43" i="53"/>
  <c r="CV46" i="47"/>
  <c r="HS35" i="53"/>
  <c r="CV38" i="47"/>
  <c r="GL33" i="53"/>
  <c r="GL40" i="53"/>
  <c r="HS32" i="53"/>
  <c r="CV35" i="47"/>
  <c r="GL35" i="53"/>
  <c r="GL37" i="53"/>
  <c r="GL41" i="53"/>
  <c r="HS31" i="53"/>
  <c r="CV34" i="47"/>
  <c r="HS41" i="53"/>
  <c r="CV44" i="47"/>
  <c r="GL29" i="53"/>
  <c r="HS36" i="53"/>
  <c r="CV39" i="47"/>
  <c r="EF34" i="53"/>
  <c r="EF30" i="53"/>
  <c r="EF42" i="53"/>
  <c r="EF40" i="53"/>
  <c r="EF39" i="53"/>
  <c r="EF32" i="53"/>
  <c r="EF41" i="53"/>
  <c r="EF37" i="53"/>
  <c r="EF29" i="53"/>
  <c r="EF35" i="53"/>
  <c r="EF43" i="53"/>
  <c r="EF31" i="53"/>
  <c r="EF38" i="53"/>
  <c r="EF33" i="53"/>
  <c r="EF36" i="53"/>
  <c r="O73" i="22"/>
  <c r="JV32" i="53"/>
  <c r="EG32" i="53"/>
  <c r="G32" i="53"/>
  <c r="CJ35" i="47" s="1"/>
  <c r="F32" i="53"/>
  <c r="CI35" i="47" s="1"/>
  <c r="F31" i="53"/>
  <c r="G31" i="53"/>
  <c r="CJ34" i="47" s="1"/>
  <c r="F37" i="53"/>
  <c r="CI40" i="47" s="1"/>
  <c r="G37" i="53"/>
  <c r="CJ40" i="47" s="1"/>
  <c r="JV34" i="53"/>
  <c r="EG34" i="53"/>
  <c r="JV41" i="53"/>
  <c r="EG41" i="53"/>
  <c r="JV37" i="53"/>
  <c r="EG37" i="53"/>
  <c r="G36" i="53"/>
  <c r="CJ39" i="47" s="1"/>
  <c r="F36" i="53"/>
  <c r="CI39" i="47" s="1"/>
  <c r="JV43" i="53"/>
  <c r="EG43" i="53"/>
  <c r="G30" i="53"/>
  <c r="CJ33" i="47" s="1"/>
  <c r="F30" i="53"/>
  <c r="CI33" i="47" s="1"/>
  <c r="JV40" i="53"/>
  <c r="EG40" i="53"/>
  <c r="G33" i="53"/>
  <c r="CJ36" i="47" s="1"/>
  <c r="F33" i="53"/>
  <c r="JV33" i="53"/>
  <c r="EG33" i="53"/>
  <c r="JV31" i="53"/>
  <c r="EG31" i="53"/>
  <c r="G34" i="53"/>
  <c r="CJ37" i="47" s="1"/>
  <c r="F34" i="53"/>
  <c r="CI37" i="47" s="1"/>
  <c r="F41" i="53"/>
  <c r="CI44" i="47" s="1"/>
  <c r="G41" i="53"/>
  <c r="CJ44" i="47" s="1"/>
  <c r="G40" i="53"/>
  <c r="CJ43" i="47" s="1"/>
  <c r="F40" i="53"/>
  <c r="F38" i="53"/>
  <c r="CI41" i="47" s="1"/>
  <c r="G38" i="53"/>
  <c r="CJ41" i="47" s="1"/>
  <c r="G29" i="53"/>
  <c r="CJ32" i="47" s="1"/>
  <c r="F29" i="53"/>
  <c r="CI32" i="47" s="1"/>
  <c r="JV29" i="53"/>
  <c r="EG29" i="53"/>
  <c r="JV38" i="53"/>
  <c r="EG38" i="53"/>
  <c r="G42" i="53"/>
  <c r="CJ45" i="47" s="1"/>
  <c r="F42" i="53"/>
  <c r="CI45" i="47" s="1"/>
  <c r="JV36" i="53"/>
  <c r="EG36" i="53"/>
  <c r="F39" i="53"/>
  <c r="G39" i="53"/>
  <c r="CJ42" i="47" s="1"/>
  <c r="JV42" i="53"/>
  <c r="EG42" i="53"/>
  <c r="JV39" i="53"/>
  <c r="EG39" i="53"/>
  <c r="JV35" i="53"/>
  <c r="EG35" i="53"/>
  <c r="JV30" i="53"/>
  <c r="EG30" i="53"/>
  <c r="G43" i="53"/>
  <c r="CJ46" i="47" s="1"/>
  <c r="F43" i="53"/>
  <c r="CI46" i="47" s="1"/>
  <c r="F35" i="53"/>
  <c r="G35" i="53"/>
  <c r="CJ38" i="47" s="1"/>
  <c r="E73" i="22"/>
  <c r="DS41" i="47" l="1"/>
  <c r="CI34" i="47"/>
  <c r="DS34" i="47" s="1"/>
  <c r="DS46" i="47"/>
  <c r="CI38" i="47"/>
  <c r="DS38" i="47" s="1"/>
  <c r="CI43" i="47"/>
  <c r="DS43" i="47" s="1"/>
  <c r="DS44" i="47"/>
  <c r="DS40" i="47"/>
  <c r="CI36" i="47"/>
  <c r="DS36" i="47" s="1"/>
  <c r="CI42" i="47"/>
  <c r="DS42" i="47" s="1"/>
  <c r="FE39" i="53"/>
  <c r="EN39" i="53" s="1"/>
  <c r="DQ42" i="47"/>
  <c r="FE41" i="53"/>
  <c r="EN41" i="53" s="1"/>
  <c r="DQ44" i="47"/>
  <c r="FE37" i="53"/>
  <c r="EM37" i="53" s="1"/>
  <c r="DQ40" i="47"/>
  <c r="FE40" i="53"/>
  <c r="EM40" i="53" s="1"/>
  <c r="DQ43" i="47"/>
  <c r="FE33" i="53"/>
  <c r="EN33" i="53" s="1"/>
  <c r="DQ36" i="47"/>
  <c r="FE36" i="53"/>
  <c r="EL36" i="53" s="1"/>
  <c r="DQ39" i="47"/>
  <c r="FE31" i="53"/>
  <c r="EL31" i="53" s="1"/>
  <c r="DQ34" i="47"/>
  <c r="DQ31" i="47"/>
  <c r="FE29" i="53"/>
  <c r="EM29" i="53" s="1"/>
  <c r="DQ32" i="47"/>
  <c r="FE34" i="53"/>
  <c r="EM34" i="53" s="1"/>
  <c r="DQ37" i="47"/>
  <c r="FE35" i="53"/>
  <c r="EN35" i="53" s="1"/>
  <c r="DQ38" i="47"/>
  <c r="FE38" i="53"/>
  <c r="EL38" i="53" s="1"/>
  <c r="DQ41" i="47"/>
  <c r="FE30" i="53"/>
  <c r="EN30" i="53" s="1"/>
  <c r="DQ33" i="47"/>
  <c r="FE43" i="53"/>
  <c r="EL43" i="53" s="1"/>
  <c r="DQ46" i="47"/>
  <c r="DQ18" i="47"/>
  <c r="CM110" i="59" s="1"/>
  <c r="E121" i="59" s="1"/>
  <c r="FE42" i="53"/>
  <c r="EM42" i="53" s="1"/>
  <c r="DQ45" i="47"/>
  <c r="FE32" i="53"/>
  <c r="EN32" i="53" s="1"/>
  <c r="DQ35" i="47"/>
  <c r="DT41" i="47"/>
  <c r="DS45" i="47"/>
  <c r="DS32" i="47"/>
  <c r="DT37" i="47"/>
  <c r="DT44" i="47"/>
  <c r="DT34" i="47"/>
  <c r="DT35" i="47"/>
  <c r="DT39" i="47"/>
  <c r="DS39" i="47"/>
  <c r="DS35" i="47"/>
  <c r="DS37" i="47"/>
  <c r="DT32" i="47"/>
  <c r="DT40" i="47"/>
  <c r="DT36" i="47"/>
  <c r="DT46" i="47"/>
  <c r="DT33" i="47"/>
  <c r="DT42" i="47"/>
  <c r="DT45" i="47"/>
  <c r="DS33" i="47"/>
  <c r="DT38" i="47"/>
  <c r="DT43" i="47"/>
  <c r="Q73" i="22"/>
  <c r="R73" i="22" s="1"/>
  <c r="P73" i="22"/>
  <c r="F73" i="22"/>
  <c r="P74" i="22"/>
  <c r="Q74" i="22"/>
  <c r="E74" i="22"/>
  <c r="I73" i="22"/>
  <c r="EN36" i="53" l="1"/>
  <c r="EM41" i="53"/>
  <c r="EL41" i="53"/>
  <c r="EL34" i="53"/>
  <c r="EL39" i="53"/>
  <c r="EM39" i="53"/>
  <c r="EL33" i="53"/>
  <c r="EN34" i="53"/>
  <c r="EM43" i="53"/>
  <c r="EM36" i="53"/>
  <c r="EN43" i="53"/>
  <c r="EL35" i="53"/>
  <c r="EN31" i="53"/>
  <c r="EL37" i="53"/>
  <c r="EM33" i="53"/>
  <c r="EM32" i="53"/>
  <c r="EM30" i="53"/>
  <c r="EN29" i="53"/>
  <c r="EL30" i="53"/>
  <c r="EL29" i="53"/>
  <c r="EM35" i="53"/>
  <c r="EM31" i="53"/>
  <c r="EL42" i="53"/>
  <c r="EM38" i="53"/>
  <c r="EL32" i="53"/>
  <c r="EL40" i="53"/>
  <c r="EN40" i="53"/>
  <c r="EN38" i="53"/>
  <c r="EN42" i="53"/>
  <c r="EN37" i="53"/>
  <c r="DU31" i="47"/>
  <c r="DU18" i="47"/>
  <c r="CQ110" i="59" s="1"/>
  <c r="I121" i="59" s="1"/>
  <c r="V73" i="22"/>
  <c r="T73" i="22"/>
  <c r="F74" i="22"/>
  <c r="R74" i="22"/>
  <c r="I74" i="22"/>
  <c r="V74" i="22" l="1"/>
  <c r="T74" i="22"/>
  <c r="DQ24" i="47" l="1"/>
  <c r="DQ21" i="47"/>
  <c r="CM173" i="59" s="1"/>
  <c r="E184" i="59" s="1"/>
  <c r="DQ28" i="47"/>
  <c r="DQ27" i="47"/>
  <c r="DQ17" i="47"/>
  <c r="CM88" i="59" s="1"/>
  <c r="E99" i="59" s="1"/>
  <c r="DQ23" i="47"/>
  <c r="DQ25" i="47"/>
  <c r="DQ22" i="47"/>
  <c r="CM194" i="59" s="1"/>
  <c r="E205" i="59" s="1"/>
  <c r="DQ26" i="47"/>
  <c r="DQ16" i="47"/>
  <c r="CM66" i="59" s="1"/>
  <c r="E77" i="59" s="1"/>
  <c r="DU15" i="47" l="1"/>
  <c r="CQ45" i="59" s="1"/>
  <c r="I56" i="59" s="1"/>
  <c r="DU22" i="47"/>
  <c r="CQ194" i="59" s="1"/>
  <c r="I205" i="59" s="1"/>
  <c r="DU14" i="47"/>
  <c r="CQ24" i="59" s="1"/>
  <c r="I35" i="59" s="1"/>
  <c r="DU23" i="47" l="1"/>
  <c r="DU27" i="47"/>
  <c r="DU28" i="47"/>
  <c r="DU17" i="47"/>
  <c r="CQ88" i="59" s="1"/>
  <c r="I99" i="59" s="1"/>
  <c r="DU19" i="47"/>
  <c r="CQ131" i="59" s="1"/>
  <c r="I142" i="59" s="1"/>
  <c r="DU21" i="47"/>
  <c r="CQ173" i="59" s="1"/>
  <c r="I184" i="59" s="1"/>
  <c r="DU20" i="47"/>
  <c r="CQ152" i="59" s="1"/>
  <c r="I163" i="59" s="1"/>
  <c r="DU24" i="47"/>
  <c r="DU16" i="47"/>
  <c r="CQ66" i="59" s="1"/>
  <c r="I77" i="59" s="1"/>
  <c r="DU26" i="47"/>
  <c r="DU25" i="47"/>
  <c r="DQ19" i="47" l="1"/>
  <c r="CM131" i="59" s="1"/>
  <c r="E142" i="59" s="1"/>
  <c r="DQ20" i="47"/>
  <c r="CM152" i="59" s="1"/>
  <c r="E163" i="59" s="1"/>
  <c r="DU13" i="47"/>
  <c r="CQ3" i="59" s="1"/>
  <c r="I14" i="59" s="1"/>
  <c r="D10" i="33" l="1"/>
  <c r="D6" i="50"/>
  <c r="DQ14" i="47"/>
  <c r="CM24" i="59" s="1"/>
  <c r="E35" i="59" s="1"/>
  <c r="DQ13" i="47"/>
  <c r="CM3" i="59" s="1"/>
  <c r="E14" i="59" s="1"/>
  <c r="CM45" i="59"/>
  <c r="E56" i="59" s="1"/>
  <c r="DQ15" i="47"/>
  <c r="M3" i="22"/>
  <c r="B12" i="16"/>
  <c r="B14" i="16" s="1"/>
  <c r="B50" i="16" s="1"/>
  <c r="B51" i="16" s="1"/>
  <c r="B55" i="16" s="1"/>
  <c r="B57" i="16" s="1"/>
  <c r="C64" i="22" l="1"/>
  <c r="D64" i="22" s="1"/>
  <c r="C62" i="22"/>
  <c r="D62" i="22" s="1"/>
  <c r="C71" i="22"/>
  <c r="D71" i="22" s="1"/>
  <c r="C63" i="22"/>
  <c r="D63" i="22" s="1"/>
  <c r="C65" i="22"/>
  <c r="D65" i="22" s="1"/>
  <c r="C59" i="22"/>
  <c r="D59" i="22" s="1"/>
  <c r="C77" i="22"/>
  <c r="D77" i="22" s="1"/>
  <c r="C67" i="22"/>
  <c r="D67" i="22" s="1"/>
  <c r="C68" i="22"/>
  <c r="D68" i="22" s="1"/>
  <c r="C61" i="22"/>
  <c r="D61" i="22" s="1"/>
  <c r="C60" i="22"/>
  <c r="D60" i="22" s="1"/>
  <c r="C70" i="22"/>
  <c r="D70" i="22" s="1"/>
  <c r="C58" i="22"/>
  <c r="D58" i="22" s="1"/>
  <c r="C57" i="22"/>
  <c r="D57" i="22" s="1"/>
  <c r="C66" i="22"/>
  <c r="D66" i="22" s="1"/>
  <c r="C56" i="22"/>
  <c r="C69" i="22"/>
  <c r="D69" i="22" s="1"/>
  <c r="L15" i="16"/>
  <c r="O15" i="16" s="1"/>
  <c r="L16" i="16" s="1"/>
  <c r="S9" i="19" s="1"/>
  <c r="S11" i="19" s="1"/>
  <c r="S15" i="19" s="1"/>
  <c r="P10" i="21" s="1"/>
  <c r="P13" i="21" s="1"/>
  <c r="A59" i="16" s="1"/>
  <c r="F51" i="16" s="1"/>
  <c r="N23" i="19"/>
  <c r="N22" i="19"/>
  <c r="L14" i="16"/>
  <c r="C13" i="16" s="1"/>
  <c r="N25" i="19" s="1"/>
  <c r="O25" i="19" s="1"/>
  <c r="H9" i="19"/>
  <c r="B15" i="16"/>
  <c r="C14" i="16"/>
  <c r="E43" i="16" l="1"/>
  <c r="E44" i="16" s="1"/>
  <c r="A50" i="22"/>
  <c r="D56" i="22"/>
  <c r="I77" i="22"/>
  <c r="O77" i="22"/>
  <c r="E77" i="22"/>
  <c r="O59" i="22"/>
  <c r="E59" i="22"/>
  <c r="I59" i="22"/>
  <c r="E61" i="22"/>
  <c r="O61" i="22"/>
  <c r="I61" i="22"/>
  <c r="E62" i="22"/>
  <c r="I62" i="22" s="1"/>
  <c r="O62" i="22"/>
  <c r="E67" i="22"/>
  <c r="O67" i="22"/>
  <c r="I67" i="22"/>
  <c r="O66" i="22"/>
  <c r="E66" i="22"/>
  <c r="I66" i="22"/>
  <c r="E57" i="22"/>
  <c r="I57" i="22" s="1"/>
  <c r="O57" i="22"/>
  <c r="E58" i="22"/>
  <c r="I58" i="22" s="1"/>
  <c r="O58" i="22"/>
  <c r="O65" i="22"/>
  <c r="E65" i="22"/>
  <c r="I65" i="22"/>
  <c r="O70" i="22"/>
  <c r="E70" i="22"/>
  <c r="I70" i="22"/>
  <c r="O63" i="22"/>
  <c r="E63" i="22"/>
  <c r="I63" i="22" s="1"/>
  <c r="E60" i="22"/>
  <c r="O60" i="22"/>
  <c r="I60" i="22"/>
  <c r="O71" i="22"/>
  <c r="E71" i="22"/>
  <c r="I71" i="22"/>
  <c r="O69" i="22"/>
  <c r="E69" i="22"/>
  <c r="I69" i="22"/>
  <c r="O68" i="22"/>
  <c r="E68" i="22"/>
  <c r="I68" i="22"/>
  <c r="O64" i="22"/>
  <c r="E64" i="22"/>
  <c r="I64" i="22"/>
  <c r="L13" i="16"/>
  <c r="O13" i="16" s="1"/>
  <c r="C9" i="19" s="1"/>
  <c r="A12" i="19" s="1"/>
  <c r="Z73" i="22"/>
  <c r="I51" i="16"/>
  <c r="K10" i="16"/>
  <c r="K17" i="16" s="1"/>
  <c r="N17" i="16" s="1"/>
  <c r="C51" i="16"/>
  <c r="B43" i="16" s="1"/>
  <c r="O14" i="16"/>
  <c r="O22" i="19"/>
  <c r="P23" i="19"/>
  <c r="H11" i="19"/>
  <c r="H15" i="19" s="1"/>
  <c r="O10" i="21" s="1"/>
  <c r="G58" i="20"/>
  <c r="J58" i="20"/>
  <c r="N58" i="20"/>
  <c r="L58" i="20"/>
  <c r="D58" i="20"/>
  <c r="K58" i="20"/>
  <c r="M58" i="20"/>
  <c r="C58" i="20"/>
  <c r="E58" i="20"/>
  <c r="H58" i="20"/>
  <c r="F58" i="20"/>
  <c r="I58" i="20"/>
  <c r="B16" i="16"/>
  <c r="C15" i="16"/>
  <c r="H43" i="16" l="1"/>
  <c r="H44" i="16" s="1"/>
  <c r="O23" i="19"/>
  <c r="F69" i="22"/>
  <c r="V69" i="22"/>
  <c r="Z69" i="22" s="1"/>
  <c r="P65" i="22"/>
  <c r="Q65" i="22"/>
  <c r="R65" i="22" s="1"/>
  <c r="T65" i="22" s="1"/>
  <c r="F67" i="22"/>
  <c r="V67" i="22"/>
  <c r="Z67" i="22" s="1"/>
  <c r="F59" i="22"/>
  <c r="V59" i="22"/>
  <c r="Z59" i="22" s="1"/>
  <c r="V63" i="22"/>
  <c r="Z63" i="22" s="1"/>
  <c r="F63" i="22"/>
  <c r="F64" i="22"/>
  <c r="V64" i="22"/>
  <c r="Z64" i="22" s="1"/>
  <c r="Q63" i="22"/>
  <c r="R63" i="22" s="1"/>
  <c r="T63" i="22" s="1"/>
  <c r="P63" i="22"/>
  <c r="F71" i="22"/>
  <c r="V71" i="22"/>
  <c r="Z71" i="22" s="1"/>
  <c r="Q57" i="22"/>
  <c r="R57" i="22" s="1"/>
  <c r="T57" i="22" s="1"/>
  <c r="P57" i="22"/>
  <c r="Q64" i="22"/>
  <c r="R64" i="22" s="1"/>
  <c r="T64" i="22" s="1"/>
  <c r="P64" i="22"/>
  <c r="V62" i="22"/>
  <c r="Z62" i="22" s="1"/>
  <c r="F62" i="22"/>
  <c r="Q77" i="22"/>
  <c r="R77" i="22" s="1"/>
  <c r="T77" i="22" s="1"/>
  <c r="P77" i="22"/>
  <c r="F68" i="22"/>
  <c r="V68" i="22"/>
  <c r="Z68" i="22" s="1"/>
  <c r="Q71" i="22"/>
  <c r="R71" i="22" s="1"/>
  <c r="T71" i="22" s="1"/>
  <c r="P71" i="22"/>
  <c r="F66" i="22"/>
  <c r="V66" i="22"/>
  <c r="Z66" i="22" s="1"/>
  <c r="F61" i="22"/>
  <c r="V61" i="22"/>
  <c r="Z61" i="22" s="1"/>
  <c r="F77" i="22"/>
  <c r="V77" i="22"/>
  <c r="V93" i="22" s="1"/>
  <c r="F60" i="22"/>
  <c r="V60" i="22"/>
  <c r="Z60" i="22" s="1"/>
  <c r="F65" i="22"/>
  <c r="V65" i="22"/>
  <c r="Z65" i="22" s="1"/>
  <c r="Q61" i="22"/>
  <c r="R61" i="22" s="1"/>
  <c r="T61" i="22" s="1"/>
  <c r="P61" i="22"/>
  <c r="O56" i="22"/>
  <c r="E56" i="22"/>
  <c r="I56" i="22" s="1"/>
  <c r="P58" i="22"/>
  <c r="Q58" i="22"/>
  <c r="R58" i="22" s="1"/>
  <c r="T58" i="22" s="1"/>
  <c r="P67" i="22"/>
  <c r="Q67" i="22"/>
  <c r="R67" i="22" s="1"/>
  <c r="T67" i="22" s="1"/>
  <c r="Q69" i="22"/>
  <c r="R69" i="22" s="1"/>
  <c r="T69" i="22" s="1"/>
  <c r="P69" i="22"/>
  <c r="V58" i="22"/>
  <c r="Z58" i="22" s="1"/>
  <c r="F58" i="22"/>
  <c r="Q59" i="22"/>
  <c r="R59" i="22" s="1"/>
  <c r="T59" i="22" s="1"/>
  <c r="P59" i="22"/>
  <c r="F70" i="22"/>
  <c r="V70" i="22"/>
  <c r="Z70" i="22" s="1"/>
  <c r="Q62" i="22"/>
  <c r="R62" i="22" s="1"/>
  <c r="T62" i="22" s="1"/>
  <c r="P62" i="22"/>
  <c r="V57" i="22"/>
  <c r="Z57" i="22" s="1"/>
  <c r="F57" i="22"/>
  <c r="B44" i="16"/>
  <c r="P70" i="22"/>
  <c r="Q70" i="22"/>
  <c r="R70" i="22" s="1"/>
  <c r="T70" i="22" s="1"/>
  <c r="Q68" i="22"/>
  <c r="R68" i="22" s="1"/>
  <c r="T68" i="22" s="1"/>
  <c r="P68" i="22"/>
  <c r="P60" i="22"/>
  <c r="Q60" i="22"/>
  <c r="R60" i="22" s="1"/>
  <c r="T60" i="22" s="1"/>
  <c r="Q66" i="22"/>
  <c r="R66" i="22" s="1"/>
  <c r="T66" i="22" s="1"/>
  <c r="P66" i="22"/>
  <c r="B13" i="16"/>
  <c r="N24" i="19" s="1"/>
  <c r="O24" i="19" s="1"/>
  <c r="D72" i="22" s="1"/>
  <c r="O72" i="22" s="1"/>
  <c r="A9" i="19"/>
  <c r="C11" i="19"/>
  <c r="C15" i="19" s="1"/>
  <c r="I10" i="21" s="1"/>
  <c r="I13" i="21" s="1"/>
  <c r="AA121" i="22"/>
  <c r="B17" i="16"/>
  <c r="C17" i="16" s="1"/>
  <c r="C16" i="16"/>
  <c r="P58" i="20"/>
  <c r="O13" i="21"/>
  <c r="B3" i="22" s="1"/>
  <c r="L43" i="16" l="1"/>
  <c r="L44" i="16"/>
  <c r="E72" i="22"/>
  <c r="F72" i="22" s="1"/>
  <c r="F56" i="22"/>
  <c r="V56" i="22"/>
  <c r="P24" i="19"/>
  <c r="P56" i="22"/>
  <c r="Q56" i="22"/>
  <c r="R56" i="22" s="1"/>
  <c r="T56" i="22" s="1"/>
  <c r="C109" i="22"/>
  <c r="C104" i="22"/>
  <c r="C115" i="22"/>
  <c r="C116" i="22"/>
  <c r="C114" i="22"/>
  <c r="C118" i="22"/>
  <c r="C8" i="22" s="1"/>
  <c r="C119" i="22"/>
  <c r="C9" i="22" s="1"/>
  <c r="C113" i="22"/>
  <c r="C107" i="22"/>
  <c r="C117" i="22"/>
  <c r="C111" i="22"/>
  <c r="C108" i="22"/>
  <c r="C110" i="22"/>
  <c r="A3" i="22"/>
  <c r="C120" i="22"/>
  <c r="C103" i="22"/>
  <c r="C106" i="22"/>
  <c r="C124" i="22"/>
  <c r="C105" i="22"/>
  <c r="C102" i="22"/>
  <c r="C112" i="22"/>
  <c r="Q72" i="22"/>
  <c r="R72" i="22" s="1"/>
  <c r="T72" i="22" s="1"/>
  <c r="P72" i="22"/>
  <c r="J43" i="16" l="1"/>
  <c r="I72" i="22"/>
  <c r="V72" i="22" s="1"/>
  <c r="Z56" i="22"/>
  <c r="V75" i="22"/>
  <c r="Z72" i="22" s="1"/>
  <c r="Z75" i="22" s="1"/>
  <c r="Z77" i="22" s="1"/>
  <c r="D112" i="22"/>
  <c r="C21" i="22"/>
  <c r="A96" i="22"/>
  <c r="C11" i="22"/>
  <c r="D102" i="22"/>
  <c r="C25" i="22"/>
  <c r="D116" i="22"/>
  <c r="C14" i="22"/>
  <c r="D105" i="22"/>
  <c r="D124" i="22"/>
  <c r="C31" i="22"/>
  <c r="D103" i="22"/>
  <c r="C12" i="22"/>
  <c r="C22" i="22"/>
  <c r="D113" i="22"/>
  <c r="D110" i="22"/>
  <c r="C19" i="22"/>
  <c r="D111" i="22"/>
  <c r="C20" i="22"/>
  <c r="D104" i="22"/>
  <c r="C13" i="22"/>
  <c r="C15" i="22"/>
  <c r="D106" i="22"/>
  <c r="D107" i="22"/>
  <c r="C16" i="22"/>
  <c r="D120" i="22"/>
  <c r="C10" i="22"/>
  <c r="C23" i="22"/>
  <c r="D114" i="22"/>
  <c r="D108" i="22"/>
  <c r="C17" i="22"/>
  <c r="D115" i="22"/>
  <c r="C24" i="22"/>
  <c r="D117" i="22"/>
  <c r="C26" i="22"/>
  <c r="C18" i="22"/>
  <c r="D109" i="22"/>
  <c r="D118" i="22"/>
  <c r="D119" i="22"/>
  <c r="I8" i="29" l="1"/>
  <c r="G8" i="29"/>
  <c r="F8" i="29"/>
  <c r="C13" i="24"/>
  <c r="O106" i="22"/>
  <c r="E106" i="22"/>
  <c r="D15" i="22"/>
  <c r="C14" i="24"/>
  <c r="D11" i="22"/>
  <c r="E102" i="22"/>
  <c r="O102" i="22"/>
  <c r="E108" i="22"/>
  <c r="D17" i="22"/>
  <c r="O108" i="22"/>
  <c r="C17" i="24"/>
  <c r="C11" i="24"/>
  <c r="C24" i="24"/>
  <c r="O103" i="22"/>
  <c r="E103" i="22"/>
  <c r="D12" i="22"/>
  <c r="E115" i="22"/>
  <c r="O115" i="22"/>
  <c r="D24" i="22"/>
  <c r="C22" i="24"/>
  <c r="C15" i="24"/>
  <c r="C21" i="24"/>
  <c r="D19" i="22"/>
  <c r="O110" i="22"/>
  <c r="E110" i="22"/>
  <c r="C26" i="24"/>
  <c r="C9" i="24"/>
  <c r="O113" i="22"/>
  <c r="E113" i="22"/>
  <c r="D22" i="22"/>
  <c r="O124" i="22"/>
  <c r="E124" i="22"/>
  <c r="D31" i="22"/>
  <c r="O114" i="22"/>
  <c r="E114" i="22"/>
  <c r="D23" i="22"/>
  <c r="E104" i="22"/>
  <c r="O104" i="22"/>
  <c r="D13" i="22"/>
  <c r="E105" i="22"/>
  <c r="D14" i="22"/>
  <c r="O105" i="22"/>
  <c r="E119" i="22"/>
  <c r="D9" i="22"/>
  <c r="O119" i="22"/>
  <c r="C10" i="24"/>
  <c r="E118" i="22"/>
  <c r="O118" i="22"/>
  <c r="D8" i="22"/>
  <c r="E109" i="22"/>
  <c r="D18" i="22"/>
  <c r="O109" i="22"/>
  <c r="C12" i="24"/>
  <c r="O116" i="22"/>
  <c r="D25" i="22"/>
  <c r="E116" i="22"/>
  <c r="C20" i="24"/>
  <c r="C19" i="24"/>
  <c r="E117" i="22"/>
  <c r="O117" i="22"/>
  <c r="D26" i="22"/>
  <c r="C23" i="24"/>
  <c r="C16" i="24"/>
  <c r="E120" i="22"/>
  <c r="D10" i="22"/>
  <c r="O120" i="22"/>
  <c r="E107" i="22"/>
  <c r="O107" i="22"/>
  <c r="D16" i="22"/>
  <c r="D20" i="22"/>
  <c r="O111" i="22"/>
  <c r="E111" i="22"/>
  <c r="C18" i="24"/>
  <c r="D21" i="22"/>
  <c r="E112" i="22"/>
  <c r="O112" i="22"/>
  <c r="AF131" i="59" l="1"/>
  <c r="AF172" i="59" s="1"/>
  <c r="AF24" i="59"/>
  <c r="AF65" i="59" s="1"/>
  <c r="AF88" i="59"/>
  <c r="AF130" i="59" s="1"/>
  <c r="AF152" i="59"/>
  <c r="AF193" i="59" s="1"/>
  <c r="AF110" i="59"/>
  <c r="AF151" i="59" s="1"/>
  <c r="AF173" i="59"/>
  <c r="AF66" i="59"/>
  <c r="AF109" i="59" s="1"/>
  <c r="AF45" i="59"/>
  <c r="AF87" i="59" s="1"/>
  <c r="AF3" i="59"/>
  <c r="AF194" i="59"/>
  <c r="Q111" i="22"/>
  <c r="Q20" i="22" s="1"/>
  <c r="F20" i="22" s="1"/>
  <c r="S111" i="22"/>
  <c r="O20" i="22"/>
  <c r="P111" i="22"/>
  <c r="P20" i="22" s="1"/>
  <c r="O26" i="22"/>
  <c r="Q117" i="22"/>
  <c r="Q26" i="22" s="1"/>
  <c r="F26" i="22" s="1"/>
  <c r="S117" i="22"/>
  <c r="P117" i="22"/>
  <c r="P26" i="22" s="1"/>
  <c r="F114" i="22"/>
  <c r="I23" i="22"/>
  <c r="I26" i="22"/>
  <c r="F117" i="22"/>
  <c r="Q118" i="22"/>
  <c r="Q8" i="22" s="1"/>
  <c r="O8" i="22"/>
  <c r="S118" i="22"/>
  <c r="P118" i="22"/>
  <c r="P8" i="22" s="1"/>
  <c r="F118" i="22"/>
  <c r="I8" i="22"/>
  <c r="F124" i="22"/>
  <c r="I31" i="22"/>
  <c r="S108" i="22"/>
  <c r="P108" i="22"/>
  <c r="P17" i="22" s="1"/>
  <c r="O17" i="22"/>
  <c r="Q108" i="22"/>
  <c r="Q17" i="22" s="1"/>
  <c r="F17" i="22" s="1"/>
  <c r="O31" i="22"/>
  <c r="S124" i="22"/>
  <c r="Q124" i="22"/>
  <c r="Q31" i="22" s="1"/>
  <c r="F31" i="22" s="1"/>
  <c r="P124" i="22"/>
  <c r="P31" i="22" s="1"/>
  <c r="P115" i="22"/>
  <c r="P24" i="22" s="1"/>
  <c r="O24" i="22"/>
  <c r="Q115" i="22"/>
  <c r="Q24" i="22" s="1"/>
  <c r="F24" i="22" s="1"/>
  <c r="S115" i="22"/>
  <c r="O9" i="22"/>
  <c r="Q119" i="22"/>
  <c r="Q9" i="22" s="1"/>
  <c r="P119" i="22"/>
  <c r="P9" i="22" s="1"/>
  <c r="S119" i="22"/>
  <c r="S104" i="22"/>
  <c r="Q104" i="22"/>
  <c r="Q13" i="22" s="1"/>
  <c r="F13" i="22" s="1"/>
  <c r="P104" i="22"/>
  <c r="P13" i="22" s="1"/>
  <c r="O13" i="22"/>
  <c r="O22" i="22"/>
  <c r="Q113" i="22"/>
  <c r="Q22" i="22" s="1"/>
  <c r="F22" i="22" s="1"/>
  <c r="P113" i="22"/>
  <c r="P22" i="22" s="1"/>
  <c r="S113" i="22"/>
  <c r="I24" i="22"/>
  <c r="F115" i="22"/>
  <c r="F108" i="22"/>
  <c r="I17" i="22"/>
  <c r="O15" i="22"/>
  <c r="Q106" i="22"/>
  <c r="Q15" i="22" s="1"/>
  <c r="F15" i="22" s="1"/>
  <c r="P106" i="22"/>
  <c r="P15" i="22" s="1"/>
  <c r="S106" i="22"/>
  <c r="F103" i="22"/>
  <c r="I12" i="22"/>
  <c r="Q103" i="22"/>
  <c r="Q12" i="22" s="1"/>
  <c r="F12" i="22" s="1"/>
  <c r="P103" i="22"/>
  <c r="P12" i="22" s="1"/>
  <c r="S103" i="22"/>
  <c r="O12" i="22"/>
  <c r="F105" i="22"/>
  <c r="I14" i="22"/>
  <c r="F110" i="22"/>
  <c r="I19" i="22"/>
  <c r="P120" i="22"/>
  <c r="P10" i="22" s="1"/>
  <c r="O10" i="22"/>
  <c r="S120" i="22"/>
  <c r="Q120" i="22"/>
  <c r="Q10" i="22" s="1"/>
  <c r="F104" i="22"/>
  <c r="I13" i="22"/>
  <c r="O11" i="22"/>
  <c r="P102" i="22"/>
  <c r="P11" i="22" s="1"/>
  <c r="E11" i="22" s="1"/>
  <c r="S102" i="22"/>
  <c r="Q102" i="22"/>
  <c r="Q11" i="22" s="1"/>
  <c r="F11" i="22" s="1"/>
  <c r="I21" i="22"/>
  <c r="F112" i="22"/>
  <c r="P105" i="22"/>
  <c r="P14" i="22" s="1"/>
  <c r="Q105" i="22"/>
  <c r="Q14" i="22" s="1"/>
  <c r="F14" i="22" s="1"/>
  <c r="O14" i="22"/>
  <c r="S105" i="22"/>
  <c r="O23" i="22"/>
  <c r="P114" i="22"/>
  <c r="P23" i="22" s="1"/>
  <c r="S114" i="22"/>
  <c r="Q114" i="22"/>
  <c r="Q23" i="22" s="1"/>
  <c r="F23" i="22" s="1"/>
  <c r="I25" i="22"/>
  <c r="F116" i="22"/>
  <c r="Q107" i="22"/>
  <c r="Q16" i="22" s="1"/>
  <c r="F16" i="22" s="1"/>
  <c r="S107" i="22"/>
  <c r="O16" i="22"/>
  <c r="P107" i="22"/>
  <c r="P16" i="22" s="1"/>
  <c r="S110" i="22"/>
  <c r="O19" i="22"/>
  <c r="Q110" i="22"/>
  <c r="Q19" i="22" s="1"/>
  <c r="F19" i="22" s="1"/>
  <c r="P110" i="22"/>
  <c r="P19" i="22" s="1"/>
  <c r="I16" i="22"/>
  <c r="F107" i="22"/>
  <c r="O25" i="22"/>
  <c r="P116" i="22"/>
  <c r="P25" i="22" s="1"/>
  <c r="Q116" i="22"/>
  <c r="Q25" i="22" s="1"/>
  <c r="F25" i="22" s="1"/>
  <c r="S116" i="22"/>
  <c r="I22" i="22"/>
  <c r="F113" i="22"/>
  <c r="I15" i="22"/>
  <c r="F106" i="22"/>
  <c r="P109" i="22"/>
  <c r="P18" i="22" s="1"/>
  <c r="O18" i="22"/>
  <c r="Q109" i="22"/>
  <c r="Q18" i="22" s="1"/>
  <c r="F18" i="22" s="1"/>
  <c r="S109" i="22"/>
  <c r="S112" i="22"/>
  <c r="O21" i="22"/>
  <c r="Q112" i="22"/>
  <c r="Q21" i="22" s="1"/>
  <c r="F21" i="22" s="1"/>
  <c r="P112" i="22"/>
  <c r="P21" i="22" s="1"/>
  <c r="I20" i="22"/>
  <c r="F111" i="22"/>
  <c r="F120" i="22"/>
  <c r="I10" i="22"/>
  <c r="F109" i="22"/>
  <c r="I18" i="22"/>
  <c r="F119" i="22"/>
  <c r="I9" i="22"/>
  <c r="I11" i="22"/>
  <c r="F102" i="22"/>
  <c r="AG3" i="59" l="1"/>
  <c r="AG110" i="59"/>
  <c r="AG151" i="59" s="1"/>
  <c r="AG24" i="59"/>
  <c r="AG65" i="59" s="1"/>
  <c r="AG194" i="59"/>
  <c r="AG45" i="59"/>
  <c r="AG87" i="59" s="1"/>
  <c r="AG131" i="59"/>
  <c r="AG172" i="59" s="1"/>
  <c r="AG66" i="59"/>
  <c r="AG109" i="59" s="1"/>
  <c r="AG173" i="59"/>
  <c r="AG152" i="59"/>
  <c r="AG193" i="59" s="1"/>
  <c r="AG88" i="59"/>
  <c r="AG130" i="59" s="1"/>
  <c r="S18" i="22"/>
  <c r="U109" i="22"/>
  <c r="U18" i="22" s="1"/>
  <c r="S17" i="22"/>
  <c r="U108" i="22"/>
  <c r="U17" i="22" s="1"/>
  <c r="U117" i="22"/>
  <c r="U26" i="22" s="1"/>
  <c r="S26" i="22"/>
  <c r="U106" i="22"/>
  <c r="U15" i="22" s="1"/>
  <c r="S15" i="22"/>
  <c r="S14" i="22"/>
  <c r="U105" i="22"/>
  <c r="U14" i="22" s="1"/>
  <c r="R119" i="22"/>
  <c r="R9" i="22" s="1"/>
  <c r="W119" i="22"/>
  <c r="W9" i="22" s="1"/>
  <c r="G119" i="22"/>
  <c r="I119" i="22" s="1"/>
  <c r="E9" i="22" s="1"/>
  <c r="U110" i="22"/>
  <c r="U19" i="22" s="1"/>
  <c r="S19" i="22"/>
  <c r="U102" i="22"/>
  <c r="U11" i="22" s="1"/>
  <c r="S11" i="22"/>
  <c r="BS13" i="47"/>
  <c r="U120" i="22"/>
  <c r="U10" i="22" s="1"/>
  <c r="S10" i="22"/>
  <c r="S12" i="22"/>
  <c r="U103" i="22"/>
  <c r="U12" i="22" s="1"/>
  <c r="S13" i="22"/>
  <c r="U104" i="22"/>
  <c r="U13" i="22" s="1"/>
  <c r="G107" i="22"/>
  <c r="G16" i="22" s="1"/>
  <c r="R107" i="22"/>
  <c r="R16" i="22" s="1"/>
  <c r="W107" i="22"/>
  <c r="W16" i="22" s="1"/>
  <c r="G120" i="22"/>
  <c r="I120" i="22" s="1"/>
  <c r="E10" i="22" s="1"/>
  <c r="W120" i="22"/>
  <c r="W10" i="22" s="1"/>
  <c r="R120" i="22"/>
  <c r="R10" i="22" s="1"/>
  <c r="U114" i="22"/>
  <c r="U23" i="22" s="1"/>
  <c r="S23" i="22"/>
  <c r="R118" i="22"/>
  <c r="R8" i="22" s="1"/>
  <c r="W118" i="22"/>
  <c r="G118" i="22"/>
  <c r="F8" i="22" s="1"/>
  <c r="W102" i="22"/>
  <c r="G102" i="22"/>
  <c r="G11" i="22" s="1"/>
  <c r="R102" i="22"/>
  <c r="R11" i="22" s="1"/>
  <c r="W111" i="22"/>
  <c r="W20" i="22" s="1"/>
  <c r="R111" i="22"/>
  <c r="R20" i="22" s="1"/>
  <c r="G111" i="22"/>
  <c r="G20" i="22" s="1"/>
  <c r="R112" i="22"/>
  <c r="R21" i="22" s="1"/>
  <c r="G112" i="22"/>
  <c r="G21" i="22" s="1"/>
  <c r="W112" i="22"/>
  <c r="W21" i="22" s="1"/>
  <c r="W115" i="22"/>
  <c r="W24" i="22" s="1"/>
  <c r="R115" i="22"/>
  <c r="R24" i="22" s="1"/>
  <c r="G115" i="22"/>
  <c r="G24" i="22" s="1"/>
  <c r="U115" i="22"/>
  <c r="U24" i="22" s="1"/>
  <c r="S24" i="22"/>
  <c r="R124" i="22"/>
  <c r="R31" i="22" s="1"/>
  <c r="G124" i="22"/>
  <c r="G31" i="22" s="1"/>
  <c r="W124" i="22"/>
  <c r="R106" i="22"/>
  <c r="R15" i="22" s="1"/>
  <c r="W106" i="22"/>
  <c r="W15" i="22" s="1"/>
  <c r="G106" i="22"/>
  <c r="G15" i="22" s="1"/>
  <c r="U113" i="22"/>
  <c r="U22" i="22" s="1"/>
  <c r="S22" i="22"/>
  <c r="W113" i="22"/>
  <c r="W22" i="22" s="1"/>
  <c r="G113" i="22"/>
  <c r="G22" i="22" s="1"/>
  <c r="R113" i="22"/>
  <c r="R22" i="22" s="1"/>
  <c r="R116" i="22"/>
  <c r="R25" i="22" s="1"/>
  <c r="G116" i="22"/>
  <c r="G25" i="22" s="1"/>
  <c r="W116" i="22"/>
  <c r="W25" i="22" s="1"/>
  <c r="S9" i="22"/>
  <c r="U119" i="22"/>
  <c r="U9" i="22" s="1"/>
  <c r="S20" i="22"/>
  <c r="U111" i="22"/>
  <c r="U20" i="22" s="1"/>
  <c r="S25" i="22"/>
  <c r="U116" i="22"/>
  <c r="U25" i="22" s="1"/>
  <c r="S31" i="22"/>
  <c r="U124" i="22"/>
  <c r="U31" i="22" s="1"/>
  <c r="R110" i="22"/>
  <c r="R19" i="22" s="1"/>
  <c r="G110" i="22"/>
  <c r="G19" i="22" s="1"/>
  <c r="W110" i="22"/>
  <c r="W19" i="22" s="1"/>
  <c r="S16" i="22"/>
  <c r="U107" i="22"/>
  <c r="U16" i="22" s="1"/>
  <c r="W117" i="22"/>
  <c r="W26" i="22" s="1"/>
  <c r="R117" i="22"/>
  <c r="R26" i="22" s="1"/>
  <c r="G117" i="22"/>
  <c r="G26" i="22" s="1"/>
  <c r="W104" i="22"/>
  <c r="W13" i="22" s="1"/>
  <c r="R104" i="22"/>
  <c r="R13" i="22" s="1"/>
  <c r="G104" i="22"/>
  <c r="G13" i="22" s="1"/>
  <c r="W105" i="22"/>
  <c r="W14" i="22" s="1"/>
  <c r="R105" i="22"/>
  <c r="R14" i="22" s="1"/>
  <c r="G105" i="22"/>
  <c r="G14" i="22" s="1"/>
  <c r="BU13" i="47"/>
  <c r="R109" i="22"/>
  <c r="R18" i="22" s="1"/>
  <c r="W109" i="22"/>
  <c r="W18" i="22" s="1"/>
  <c r="G109" i="22"/>
  <c r="G18" i="22" s="1"/>
  <c r="U112" i="22"/>
  <c r="U21" i="22" s="1"/>
  <c r="S21" i="22"/>
  <c r="R103" i="22"/>
  <c r="R12" i="22" s="1"/>
  <c r="W103" i="22"/>
  <c r="W12" i="22" s="1"/>
  <c r="G103" i="22"/>
  <c r="G12" i="22" s="1"/>
  <c r="G108" i="22"/>
  <c r="G17" i="22" s="1"/>
  <c r="R108" i="22"/>
  <c r="R17" i="22" s="1"/>
  <c r="W108" i="22"/>
  <c r="W17" i="22" s="1"/>
  <c r="U118" i="22"/>
  <c r="U8" i="22" s="1"/>
  <c r="S8" i="22"/>
  <c r="R114" i="22"/>
  <c r="R23" i="22" s="1"/>
  <c r="G114" i="22"/>
  <c r="G23" i="22" s="1"/>
  <c r="W114" i="22"/>
  <c r="W23" i="22" s="1"/>
  <c r="W10" i="47" l="1"/>
  <c r="W6" i="47" s="1"/>
  <c r="BA10" i="47"/>
  <c r="BA6" i="47" s="1"/>
  <c r="E10" i="47"/>
  <c r="E6" i="47" s="1"/>
  <c r="AI10" i="47"/>
  <c r="AI6" i="47" s="1"/>
  <c r="AU10" i="47"/>
  <c r="AU6" i="47" s="1"/>
  <c r="K10" i="47"/>
  <c r="K6" i="47" s="1"/>
  <c r="BM10" i="47"/>
  <c r="BM6" i="47" s="1"/>
  <c r="Q10" i="47"/>
  <c r="Q6" i="47" s="1"/>
  <c r="AC10" i="47"/>
  <c r="BG10" i="47"/>
  <c r="AO10" i="47"/>
  <c r="AO6" i="47" s="1"/>
  <c r="BS10" i="47"/>
  <c r="BS6" i="47" s="1"/>
  <c r="AU15" i="47"/>
  <c r="K15" i="47"/>
  <c r="W15" i="47"/>
  <c r="BG15" i="47"/>
  <c r="BM15" i="47"/>
  <c r="Q15" i="47"/>
  <c r="AC15" i="47"/>
  <c r="BA15" i="47"/>
  <c r="BS15" i="47"/>
  <c r="AI15" i="47"/>
  <c r="AO15" i="47"/>
  <c r="E15" i="47"/>
  <c r="AO16" i="47"/>
  <c r="BM16" i="47"/>
  <c r="BG16" i="47"/>
  <c r="AC16" i="47"/>
  <c r="E16" i="47"/>
  <c r="AU16" i="47"/>
  <c r="BA16" i="47"/>
  <c r="Q16" i="47"/>
  <c r="K16" i="47"/>
  <c r="BS16" i="47"/>
  <c r="AI16" i="47"/>
  <c r="W16" i="47"/>
  <c r="AO14" i="47"/>
  <c r="Q14" i="47"/>
  <c r="BG14" i="47"/>
  <c r="BA14" i="47"/>
  <c r="E14" i="47"/>
  <c r="BM14" i="47"/>
  <c r="AC14" i="47"/>
  <c r="K14" i="47"/>
  <c r="BS14" i="47"/>
  <c r="AI14" i="47"/>
  <c r="AU14" i="47"/>
  <c r="W14" i="47"/>
  <c r="BU21" i="47"/>
  <c r="DZ18" i="53" s="1"/>
  <c r="AW21" i="47"/>
  <c r="CH18" i="53" s="1"/>
  <c r="BI21" i="47"/>
  <c r="DD18" i="53" s="1"/>
  <c r="BO21" i="47"/>
  <c r="DO18" i="53" s="1"/>
  <c r="BC21" i="47"/>
  <c r="CS18" i="53" s="1"/>
  <c r="AK15" i="47"/>
  <c r="BL12" i="53" s="1"/>
  <c r="AW15" i="47"/>
  <c r="CH12" i="53" s="1"/>
  <c r="M15" i="47"/>
  <c r="T12" i="53" s="1"/>
  <c r="G15" i="47"/>
  <c r="S15" i="47"/>
  <c r="AE12" i="53" s="1"/>
  <c r="AE15" i="47"/>
  <c r="BA12" i="53" s="1"/>
  <c r="BU15" i="47"/>
  <c r="DZ12" i="53" s="1"/>
  <c r="AQ15" i="47"/>
  <c r="BW12" i="53" s="1"/>
  <c r="BO15" i="47"/>
  <c r="DO12" i="53" s="1"/>
  <c r="BI15" i="47"/>
  <c r="DD12" i="53" s="1"/>
  <c r="Y15" i="47"/>
  <c r="AP12" i="53" s="1"/>
  <c r="BC15" i="47"/>
  <c r="CS12" i="53" s="1"/>
  <c r="BU16" i="47"/>
  <c r="DZ13" i="53" s="1"/>
  <c r="BO16" i="47"/>
  <c r="DO13" i="53" s="1"/>
  <c r="M16" i="47"/>
  <c r="T13" i="53" s="1"/>
  <c r="G16" i="47"/>
  <c r="BI16" i="47"/>
  <c r="DD13" i="53" s="1"/>
  <c r="Y16" i="47"/>
  <c r="AP13" i="53" s="1"/>
  <c r="S16" i="47"/>
  <c r="AE13" i="53" s="1"/>
  <c r="AQ16" i="47"/>
  <c r="BW13" i="53" s="1"/>
  <c r="AW16" i="47"/>
  <c r="CH13" i="53" s="1"/>
  <c r="AK16" i="47"/>
  <c r="BL13" i="53" s="1"/>
  <c r="AE16" i="47"/>
  <c r="BA13" i="53" s="1"/>
  <c r="BC16" i="47"/>
  <c r="CS13" i="53" s="1"/>
  <c r="AO20" i="47"/>
  <c r="E20" i="47"/>
  <c r="Q20" i="47"/>
  <c r="K20" i="47"/>
  <c r="AI20" i="47"/>
  <c r="AC20" i="47"/>
  <c r="W20" i="47"/>
  <c r="AQ18" i="47"/>
  <c r="BW15" i="53" s="1"/>
  <c r="S18" i="47"/>
  <c r="AE15" i="53" s="1"/>
  <c r="AW18" i="47"/>
  <c r="CH15" i="53" s="1"/>
  <c r="BI18" i="47"/>
  <c r="DD15" i="53" s="1"/>
  <c r="AK18" i="47"/>
  <c r="BL15" i="53" s="1"/>
  <c r="BO18" i="47"/>
  <c r="DO15" i="53" s="1"/>
  <c r="BC18" i="47"/>
  <c r="CS15" i="53" s="1"/>
  <c r="BU18" i="47"/>
  <c r="DZ15" i="53" s="1"/>
  <c r="G18" i="47"/>
  <c r="Y18" i="47"/>
  <c r="AP15" i="53" s="1"/>
  <c r="AE18" i="47"/>
  <c r="BA15" i="53" s="1"/>
  <c r="M18" i="47"/>
  <c r="T15" i="53" s="1"/>
  <c r="K17" i="47"/>
  <c r="BM17" i="47"/>
  <c r="W17" i="47"/>
  <c r="BA17" i="47"/>
  <c r="AC17" i="47"/>
  <c r="E17" i="47"/>
  <c r="BG17" i="47"/>
  <c r="Q17" i="47"/>
  <c r="AI17" i="47"/>
  <c r="AO17" i="47"/>
  <c r="AU17" i="47"/>
  <c r="BS17" i="47"/>
  <c r="BG21" i="47"/>
  <c r="AU21" i="47"/>
  <c r="BM21" i="47"/>
  <c r="BA21" i="47"/>
  <c r="BS21" i="47"/>
  <c r="AQ17" i="47"/>
  <c r="BW14" i="53" s="1"/>
  <c r="M17" i="47"/>
  <c r="T14" i="53" s="1"/>
  <c r="AK17" i="47"/>
  <c r="BL14" i="53" s="1"/>
  <c r="S17" i="47"/>
  <c r="AE14" i="53" s="1"/>
  <c r="AE17" i="47"/>
  <c r="BA14" i="53" s="1"/>
  <c r="BU17" i="47"/>
  <c r="DZ14" i="53" s="1"/>
  <c r="BO17" i="47"/>
  <c r="DO14" i="53" s="1"/>
  <c r="BC17" i="47"/>
  <c r="CS14" i="53" s="1"/>
  <c r="AW17" i="47"/>
  <c r="CH14" i="53" s="1"/>
  <c r="BI17" i="47"/>
  <c r="DD14" i="53" s="1"/>
  <c r="Y17" i="47"/>
  <c r="AP14" i="53" s="1"/>
  <c r="G17" i="47"/>
  <c r="K18" i="47"/>
  <c r="BS18" i="47"/>
  <c r="BG18" i="47"/>
  <c r="AI18" i="47"/>
  <c r="AC18" i="47"/>
  <c r="W18" i="47"/>
  <c r="AO18" i="47"/>
  <c r="BM18" i="47"/>
  <c r="E18" i="47"/>
  <c r="AU18" i="47"/>
  <c r="Q18" i="47"/>
  <c r="BA18" i="47"/>
  <c r="AE20" i="47"/>
  <c r="BA17" i="53" s="1"/>
  <c r="M20" i="47"/>
  <c r="T17" i="53" s="1"/>
  <c r="Y20" i="47"/>
  <c r="AP17" i="53" s="1"/>
  <c r="G20" i="47"/>
  <c r="AQ20" i="47"/>
  <c r="BW17" i="53" s="1"/>
  <c r="S20" i="47"/>
  <c r="AE17" i="53" s="1"/>
  <c r="AK20" i="47"/>
  <c r="BL17" i="53" s="1"/>
  <c r="BU14" i="47"/>
  <c r="DZ11" i="53" s="1"/>
  <c r="AQ14" i="47"/>
  <c r="BW11" i="53" s="1"/>
  <c r="S14" i="47"/>
  <c r="AE11" i="53" s="1"/>
  <c r="AE14" i="47"/>
  <c r="BA11" i="53" s="1"/>
  <c r="G14" i="47"/>
  <c r="M14" i="47"/>
  <c r="T11" i="53" s="1"/>
  <c r="AW14" i="47"/>
  <c r="CH11" i="53" s="1"/>
  <c r="Y14" i="47"/>
  <c r="AP11" i="53" s="1"/>
  <c r="BO14" i="47"/>
  <c r="DO11" i="53" s="1"/>
  <c r="AK14" i="47"/>
  <c r="BL11" i="53" s="1"/>
  <c r="BC14" i="47"/>
  <c r="CS11" i="53" s="1"/>
  <c r="BI14" i="47"/>
  <c r="DD11" i="53" s="1"/>
  <c r="T18" i="53"/>
  <c r="AE18" i="53"/>
  <c r="BA18" i="53"/>
  <c r="BM13" i="47"/>
  <c r="BI13" i="47"/>
  <c r="BO13" i="47"/>
  <c r="BG13" i="47"/>
  <c r="BC13" i="47"/>
  <c r="BA13" i="47"/>
  <c r="AU13" i="47"/>
  <c r="AQ13" i="47"/>
  <c r="AW13" i="47"/>
  <c r="AO13" i="47"/>
  <c r="AI13" i="47"/>
  <c r="AE13" i="47"/>
  <c r="AK13" i="47"/>
  <c r="AC13" i="47"/>
  <c r="W13" i="47"/>
  <c r="G13" i="47"/>
  <c r="Y13" i="47"/>
  <c r="Q13" i="47"/>
  <c r="E13" i="47"/>
  <c r="AM13" i="47" s="1"/>
  <c r="M13" i="47"/>
  <c r="S13" i="47"/>
  <c r="K13" i="47"/>
  <c r="AL152" i="59"/>
  <c r="AL193" i="59" s="1"/>
  <c r="AL3" i="59"/>
  <c r="D7" i="59" s="1"/>
  <c r="AT173" i="59"/>
  <c r="J177" i="59" s="1"/>
  <c r="AS173" i="59"/>
  <c r="H177" i="59" s="1"/>
  <c r="AS3" i="59"/>
  <c r="H7" i="59" s="1"/>
  <c r="AT24" i="59"/>
  <c r="J28" i="59" s="1"/>
  <c r="AR131" i="59"/>
  <c r="AR110" i="59"/>
  <c r="AT88" i="59"/>
  <c r="AT130" i="59" s="1"/>
  <c r="AT131" i="59"/>
  <c r="AT172" i="59" s="1"/>
  <c r="AT152" i="59"/>
  <c r="J156" i="59" s="1"/>
  <c r="AT3" i="59"/>
  <c r="J7" i="59" s="1"/>
  <c r="AL45" i="59"/>
  <c r="D49" i="59" s="1"/>
  <c r="AR194" i="59"/>
  <c r="C198" i="59" s="1"/>
  <c r="AR66" i="59"/>
  <c r="AS110" i="59"/>
  <c r="AR88" i="59"/>
  <c r="AT194" i="59"/>
  <c r="J198" i="59" s="1"/>
  <c r="AS131" i="59"/>
  <c r="AS172" i="59" s="1"/>
  <c r="AR45" i="59"/>
  <c r="AR87" i="59" s="1"/>
  <c r="AR24" i="59"/>
  <c r="C28" i="59" s="1"/>
  <c r="AS24" i="59"/>
  <c r="H28" i="59" s="1"/>
  <c r="AR173" i="59"/>
  <c r="C177" i="59" s="1"/>
  <c r="AL173" i="59"/>
  <c r="D177" i="59" s="1"/>
  <c r="AL88" i="59"/>
  <c r="D92" i="59" s="1"/>
  <c r="AL66" i="59"/>
  <c r="AL109" i="59" s="1"/>
  <c r="AL110" i="59"/>
  <c r="D114" i="59" s="1"/>
  <c r="AT66" i="59"/>
  <c r="AT109" i="59" s="1"/>
  <c r="AL24" i="59"/>
  <c r="AL65" i="59" s="1"/>
  <c r="AT110" i="59"/>
  <c r="J114" i="59" s="1"/>
  <c r="AS45" i="59"/>
  <c r="AT45" i="59"/>
  <c r="AT87" i="59" s="1"/>
  <c r="AL131" i="59"/>
  <c r="D135" i="59" s="1"/>
  <c r="AL194" i="59"/>
  <c r="D198" i="59" s="1"/>
  <c r="AS194" i="59"/>
  <c r="H198" i="59" s="1"/>
  <c r="AR3" i="59"/>
  <c r="C7" i="59" s="1"/>
  <c r="AR152" i="59"/>
  <c r="AS88" i="59"/>
  <c r="H92" i="59" s="1"/>
  <c r="AS152" i="59"/>
  <c r="H156" i="59" s="1"/>
  <c r="AS66" i="59"/>
  <c r="AS109" i="59" s="1"/>
  <c r="BS8" i="53"/>
  <c r="AL8" i="53"/>
  <c r="BY11" i="47"/>
  <c r="P9" i="53"/>
  <c r="BY12" i="47"/>
  <c r="P8" i="53"/>
  <c r="BG6" i="47"/>
  <c r="AC6" i="47"/>
  <c r="W8" i="22"/>
  <c r="AA118" i="22"/>
  <c r="Z6" i="22" s="1"/>
  <c r="I113" i="22"/>
  <c r="E22" i="22" s="1"/>
  <c r="I104" i="22"/>
  <c r="E13" i="22" s="1"/>
  <c r="I107" i="22"/>
  <c r="E16" i="22" s="1"/>
  <c r="I118" i="22"/>
  <c r="E8" i="22" s="1"/>
  <c r="I114" i="22"/>
  <c r="E23" i="22" s="1"/>
  <c r="I115" i="22"/>
  <c r="E24" i="22" s="1"/>
  <c r="I111" i="22"/>
  <c r="E20" i="22" s="1"/>
  <c r="I108" i="22"/>
  <c r="E17" i="22" s="1"/>
  <c r="P14" i="24"/>
  <c r="B14" i="24"/>
  <c r="P21" i="24"/>
  <c r="B21" i="24"/>
  <c r="B15" i="24"/>
  <c r="P15" i="24"/>
  <c r="BW24" i="53"/>
  <c r="AE24" i="53"/>
  <c r="BA24" i="53"/>
  <c r="AP24" i="53"/>
  <c r="BL24" i="53"/>
  <c r="CH24" i="53"/>
  <c r="DZ24" i="53"/>
  <c r="T24" i="53"/>
  <c r="DD24" i="53"/>
  <c r="CS24" i="53"/>
  <c r="DO24" i="53"/>
  <c r="I124" i="22"/>
  <c r="E31" i="22" s="1"/>
  <c r="I110" i="22"/>
  <c r="E19" i="22" s="1"/>
  <c r="T16" i="53"/>
  <c r="CS16" i="53"/>
  <c r="DO16" i="53"/>
  <c r="DD16" i="53"/>
  <c r="BA16" i="53"/>
  <c r="AE16" i="53"/>
  <c r="DZ16" i="53"/>
  <c r="BL16" i="53"/>
  <c r="BW16" i="53"/>
  <c r="AP16" i="53"/>
  <c r="CH16" i="53"/>
  <c r="I109" i="22"/>
  <c r="E18" i="22" s="1"/>
  <c r="BW18" i="53"/>
  <c r="AP18" i="53"/>
  <c r="BL18" i="53"/>
  <c r="I112" i="22"/>
  <c r="E21" i="22" s="1"/>
  <c r="I102" i="22"/>
  <c r="I103" i="22"/>
  <c r="E12" i="22" s="1"/>
  <c r="I106" i="22"/>
  <c r="E15" i="22" s="1"/>
  <c r="W11" i="22"/>
  <c r="W29" i="22" s="1"/>
  <c r="W122" i="22"/>
  <c r="AP21" i="53"/>
  <c r="DD21" i="53"/>
  <c r="T21" i="53"/>
  <c r="DO21" i="53"/>
  <c r="BL21" i="53"/>
  <c r="AE21" i="53"/>
  <c r="CH21" i="53"/>
  <c r="DZ21" i="53"/>
  <c r="BA21" i="53"/>
  <c r="BW21" i="53"/>
  <c r="CS21" i="53"/>
  <c r="BL19" i="53"/>
  <c r="AE19" i="53"/>
  <c r="CS19" i="53"/>
  <c r="AP19" i="53"/>
  <c r="CH19" i="53"/>
  <c r="T19" i="53"/>
  <c r="BW19" i="53"/>
  <c r="DD19" i="53"/>
  <c r="DO19" i="53"/>
  <c r="BA19" i="53"/>
  <c r="DZ19" i="53"/>
  <c r="BL28" i="53"/>
  <c r="DD28" i="53"/>
  <c r="CS28" i="53"/>
  <c r="CH28" i="53"/>
  <c r="T28" i="53"/>
  <c r="DZ28" i="53"/>
  <c r="AP28" i="53"/>
  <c r="BW28" i="53"/>
  <c r="BA28" i="53"/>
  <c r="AE28" i="53"/>
  <c r="DO28" i="53"/>
  <c r="B6" i="24"/>
  <c r="P6" i="24"/>
  <c r="B8" i="24"/>
  <c r="P8" i="24"/>
  <c r="AE25" i="53"/>
  <c r="DD25" i="53"/>
  <c r="BL25" i="53"/>
  <c r="CS25" i="53"/>
  <c r="AP25" i="53"/>
  <c r="T25" i="53"/>
  <c r="DO25" i="53"/>
  <c r="BW25" i="53"/>
  <c r="DZ25" i="53"/>
  <c r="CH25" i="53"/>
  <c r="BA25" i="53"/>
  <c r="AE23" i="53"/>
  <c r="T23" i="53"/>
  <c r="BA23" i="53"/>
  <c r="DO23" i="53"/>
  <c r="BL23" i="53"/>
  <c r="BW23" i="53"/>
  <c r="DZ23" i="53"/>
  <c r="CS23" i="53"/>
  <c r="AP23" i="53"/>
  <c r="DD23" i="53"/>
  <c r="CH23" i="53"/>
  <c r="I117" i="22"/>
  <c r="E26" i="22" s="1"/>
  <c r="B10" i="24"/>
  <c r="P10" i="24"/>
  <c r="B13" i="24"/>
  <c r="P13" i="24"/>
  <c r="F10" i="22"/>
  <c r="G10" i="22"/>
  <c r="P19" i="24"/>
  <c r="B19" i="24"/>
  <c r="AE22" i="53"/>
  <c r="DD22" i="53"/>
  <c r="BL22" i="53"/>
  <c r="BA22" i="53"/>
  <c r="AP22" i="53"/>
  <c r="T22" i="53"/>
  <c r="CS22" i="53"/>
  <c r="CH22" i="53"/>
  <c r="BW22" i="53"/>
  <c r="DO22" i="53"/>
  <c r="DZ22" i="53"/>
  <c r="T20" i="53"/>
  <c r="AP20" i="53"/>
  <c r="CS20" i="53"/>
  <c r="BL20" i="53"/>
  <c r="DO20" i="53"/>
  <c r="CH20" i="53"/>
  <c r="DZ20" i="53"/>
  <c r="DD20" i="53"/>
  <c r="AE20" i="53"/>
  <c r="BW20" i="53"/>
  <c r="BA20" i="53"/>
  <c r="I105" i="22"/>
  <c r="E14" i="22" s="1"/>
  <c r="P18" i="24"/>
  <c r="B18" i="24"/>
  <c r="P17" i="24"/>
  <c r="B17" i="24"/>
  <c r="G9" i="22"/>
  <c r="F9" i="22"/>
  <c r="B16" i="24"/>
  <c r="P16" i="24"/>
  <c r="B11" i="24"/>
  <c r="P11" i="24"/>
  <c r="W31" i="22"/>
  <c r="W47" i="22" s="1"/>
  <c r="W140" i="22"/>
  <c r="P22" i="24"/>
  <c r="B22" i="24"/>
  <c r="I116" i="22"/>
  <c r="E25" i="22" s="1"/>
  <c r="B9" i="24"/>
  <c r="P9" i="24"/>
  <c r="B24" i="24"/>
  <c r="P24" i="24"/>
  <c r="CS17" i="53"/>
  <c r="DO17" i="53"/>
  <c r="CH17" i="53"/>
  <c r="DD17" i="53"/>
  <c r="DZ17" i="53"/>
  <c r="P20" i="24"/>
  <c r="B20" i="24"/>
  <c r="B23" i="24"/>
  <c r="P23" i="24"/>
  <c r="B12" i="24"/>
  <c r="P12" i="24"/>
  <c r="P26" i="24"/>
  <c r="B26" i="24"/>
  <c r="B7" i="24"/>
  <c r="P7" i="24"/>
  <c r="BT13" i="47"/>
  <c r="BY6" i="47" l="1"/>
  <c r="AM9" i="47"/>
  <c r="BW13" i="47"/>
  <c r="BW4" i="47" s="1"/>
  <c r="BC10" i="47"/>
  <c r="BO10" i="47"/>
  <c r="DO7" i="53" s="1"/>
  <c r="S10" i="47"/>
  <c r="AE7" i="53" s="1"/>
  <c r="AK10" i="47"/>
  <c r="BL7" i="53" s="1"/>
  <c r="AW10" i="47"/>
  <c r="M10" i="47"/>
  <c r="T7" i="53" s="1"/>
  <c r="AQ10" i="47"/>
  <c r="BW7" i="53" s="1"/>
  <c r="BU10" i="47"/>
  <c r="DZ7" i="53" s="1"/>
  <c r="G10" i="47"/>
  <c r="I7" i="53" s="1"/>
  <c r="AE10" i="47"/>
  <c r="BA7" i="53" s="1"/>
  <c r="BI10" i="47"/>
  <c r="DD7" i="53" s="1"/>
  <c r="Y10" i="47"/>
  <c r="BH13" i="47"/>
  <c r="BN13" i="47"/>
  <c r="AV13" i="47"/>
  <c r="BB13" i="47"/>
  <c r="AJ13" i="47"/>
  <c r="AP13" i="47"/>
  <c r="X13" i="47"/>
  <c r="AD13" i="47"/>
  <c r="R13" i="47"/>
  <c r="F13" i="47"/>
  <c r="L13" i="47"/>
  <c r="D156" i="59"/>
  <c r="AL130" i="59"/>
  <c r="AL172" i="59"/>
  <c r="J92" i="59"/>
  <c r="C49" i="59"/>
  <c r="D70" i="59"/>
  <c r="J135" i="59"/>
  <c r="AR65" i="59"/>
  <c r="AS130" i="59"/>
  <c r="AL87" i="59"/>
  <c r="AT65" i="59"/>
  <c r="D28" i="59"/>
  <c r="AT151" i="59"/>
  <c r="AS65" i="59"/>
  <c r="J70" i="59"/>
  <c r="AV88" i="59"/>
  <c r="AV130" i="59" s="1"/>
  <c r="AV45" i="59"/>
  <c r="AV87" i="59" s="1"/>
  <c r="AJ131" i="59"/>
  <c r="L135" i="59" s="1"/>
  <c r="AV110" i="59"/>
  <c r="AV151" i="59" s="1"/>
  <c r="AZ194" i="59"/>
  <c r="AJ110" i="59"/>
  <c r="L114" i="59" s="1"/>
  <c r="AJ3" i="59"/>
  <c r="L7" i="59" s="1"/>
  <c r="AL151" i="59"/>
  <c r="AV173" i="59"/>
  <c r="F177" i="59" s="1"/>
  <c r="AV131" i="59"/>
  <c r="F135" i="59" s="1"/>
  <c r="AX88" i="59"/>
  <c r="G92" i="59" s="1"/>
  <c r="AU131" i="59"/>
  <c r="AU172" i="59" s="1"/>
  <c r="AU194" i="59"/>
  <c r="E198" i="59" s="1"/>
  <c r="AU3" i="59"/>
  <c r="E7" i="59" s="1"/>
  <c r="AJ88" i="59"/>
  <c r="AJ24" i="59"/>
  <c r="AJ65" i="59" s="1"/>
  <c r="AV3" i="59"/>
  <c r="F7" i="59" s="1"/>
  <c r="AJ66" i="59"/>
  <c r="AJ109" i="59" s="1"/>
  <c r="AZ152" i="59"/>
  <c r="AZ193" i="59" s="1"/>
  <c r="AS151" i="59"/>
  <c r="H114" i="59"/>
  <c r="AU45" i="59"/>
  <c r="AJ194" i="59"/>
  <c r="L198" i="59" s="1"/>
  <c r="AS87" i="59"/>
  <c r="H49" i="59"/>
  <c r="C135" i="59"/>
  <c r="AR172" i="59"/>
  <c r="AV152" i="59"/>
  <c r="F156" i="59" s="1"/>
  <c r="AX194" i="59"/>
  <c r="G198" i="59" s="1"/>
  <c r="AX45" i="59"/>
  <c r="AX66" i="59"/>
  <c r="AU173" i="59"/>
  <c r="E177" i="59" s="1"/>
  <c r="AX131" i="59"/>
  <c r="H70" i="59"/>
  <c r="AX110" i="59"/>
  <c r="AU66" i="59"/>
  <c r="AU24" i="59"/>
  <c r="AV66" i="59"/>
  <c r="AV109" i="59" s="1"/>
  <c r="AU88" i="59"/>
  <c r="E92" i="59" s="1"/>
  <c r="AZ173" i="59"/>
  <c r="AZ45" i="59"/>
  <c r="AZ87" i="59" s="1"/>
  <c r="AZ110" i="59"/>
  <c r="AZ151" i="59" s="1"/>
  <c r="AT193" i="59"/>
  <c r="J49" i="59"/>
  <c r="AX173" i="59"/>
  <c r="G177" i="59" s="1"/>
  <c r="AJ45" i="59"/>
  <c r="H135" i="59"/>
  <c r="AX3" i="59"/>
  <c r="G7" i="59" s="1"/>
  <c r="AS193" i="59"/>
  <c r="AV194" i="59"/>
  <c r="F198" i="59" s="1"/>
  <c r="AZ3" i="59"/>
  <c r="AZ66" i="59"/>
  <c r="AZ109" i="59" s="1"/>
  <c r="AX152" i="59"/>
  <c r="AR151" i="59"/>
  <c r="C114" i="59"/>
  <c r="AJ173" i="59"/>
  <c r="L177" i="59" s="1"/>
  <c r="AZ24" i="59"/>
  <c r="AZ65" i="59" s="1"/>
  <c r="AR109" i="59"/>
  <c r="C70" i="59"/>
  <c r="AH3" i="59"/>
  <c r="I7" i="59" s="1"/>
  <c r="AV24" i="59"/>
  <c r="F28" i="59" s="1"/>
  <c r="AX24" i="59"/>
  <c r="AU110" i="59"/>
  <c r="AZ88" i="59"/>
  <c r="AZ130" i="59" s="1"/>
  <c r="AZ131" i="59"/>
  <c r="AZ172" i="59" s="1"/>
  <c r="AJ152" i="59"/>
  <c r="AU152" i="59"/>
  <c r="AR193" i="59"/>
  <c r="C156" i="59"/>
  <c r="C92" i="59"/>
  <c r="AR130" i="59"/>
  <c r="CD8" i="53"/>
  <c r="CF8" i="53" s="1"/>
  <c r="ID8" i="53" s="1"/>
  <c r="BS9" i="53"/>
  <c r="BU9" i="53" s="1"/>
  <c r="HS9" i="53" s="1"/>
  <c r="CZ9" i="53"/>
  <c r="DB9" i="53" s="1"/>
  <c r="IZ9" i="53" s="1"/>
  <c r="DK9" i="53"/>
  <c r="DM9" i="53" s="1"/>
  <c r="JK9" i="53" s="1"/>
  <c r="DK8" i="53"/>
  <c r="DL8" i="53" s="1"/>
  <c r="BY10" i="47"/>
  <c r="AA9" i="53"/>
  <c r="AC9" i="53" s="1"/>
  <c r="GA9" i="53" s="1"/>
  <c r="CO9" i="53"/>
  <c r="CP9" i="53" s="1"/>
  <c r="CD9" i="53"/>
  <c r="CF9" i="53" s="1"/>
  <c r="ID9" i="53" s="1"/>
  <c r="DV9" i="53"/>
  <c r="BH8" i="53"/>
  <c r="BJ8" i="53" s="1"/>
  <c r="HH8" i="53" s="1"/>
  <c r="CO8" i="53"/>
  <c r="CP8" i="53" s="1"/>
  <c r="DV8" i="53"/>
  <c r="DW8" i="53" s="1"/>
  <c r="T9" i="53"/>
  <c r="AW9" i="53"/>
  <c r="AX9" i="53" s="1"/>
  <c r="AW8" i="53"/>
  <c r="AY8" i="53" s="1"/>
  <c r="GW8" i="53" s="1"/>
  <c r="AL9" i="53"/>
  <c r="AM9" i="53" s="1"/>
  <c r="CZ8" i="53"/>
  <c r="DA8" i="53" s="1"/>
  <c r="BH9" i="53"/>
  <c r="BI9" i="53" s="1"/>
  <c r="AA8" i="53"/>
  <c r="AB8" i="53" s="1"/>
  <c r="AA19" i="53"/>
  <c r="AL20" i="53"/>
  <c r="AL22" i="53"/>
  <c r="AA16" i="53"/>
  <c r="BS21" i="53"/>
  <c r="AA117" i="22"/>
  <c r="AA122" i="22" s="1"/>
  <c r="AA124" i="22" s="1"/>
  <c r="Z5" i="22"/>
  <c r="Z8" i="22" s="1"/>
  <c r="Z10" i="22" s="1"/>
  <c r="AA10" i="22" s="1"/>
  <c r="BY23" i="47"/>
  <c r="BY26" i="47"/>
  <c r="BY19" i="47"/>
  <c r="BY28" i="47"/>
  <c r="BU5" i="47"/>
  <c r="DZ10" i="53"/>
  <c r="BN17" i="53"/>
  <c r="HL17" i="53" s="1"/>
  <c r="BM17" i="53"/>
  <c r="L24" i="24"/>
  <c r="J24" i="24"/>
  <c r="F24" i="24"/>
  <c r="D24" i="24"/>
  <c r="N24" i="24"/>
  <c r="H24" i="24"/>
  <c r="I20" i="53"/>
  <c r="EI20" i="53" s="1"/>
  <c r="CA23" i="47"/>
  <c r="CA25" i="47"/>
  <c r="I22" i="53"/>
  <c r="EI22" i="53" s="1"/>
  <c r="BC23" i="53"/>
  <c r="HA23" i="53" s="1"/>
  <c r="BB23" i="53"/>
  <c r="BX28" i="53"/>
  <c r="BY28" i="53"/>
  <c r="HW28" i="53" s="1"/>
  <c r="BY21" i="53"/>
  <c r="HW21" i="53" s="1"/>
  <c r="BX21" i="53"/>
  <c r="AC5" i="47"/>
  <c r="AC4" i="47" s="1"/>
  <c r="E5" i="47"/>
  <c r="E4" i="47" s="1"/>
  <c r="BY13" i="47"/>
  <c r="DJ17" i="47"/>
  <c r="EB14" i="53"/>
  <c r="EA14" i="53"/>
  <c r="DK17" i="47" s="1"/>
  <c r="AR11" i="53"/>
  <c r="GP11" i="53" s="1"/>
  <c r="AQ11" i="53"/>
  <c r="DE24" i="53"/>
  <c r="DF24" i="53"/>
  <c r="JD24" i="53" s="1"/>
  <c r="I15" i="53"/>
  <c r="EI15" i="53" s="1"/>
  <c r="CA18" i="47"/>
  <c r="V17" i="53"/>
  <c r="FT17" i="53" s="1"/>
  <c r="U17" i="53"/>
  <c r="CU20" i="53"/>
  <c r="IS20" i="53" s="1"/>
  <c r="CT20" i="53"/>
  <c r="CA16" i="47"/>
  <c r="I13" i="53"/>
  <c r="CL16" i="47" s="1"/>
  <c r="DV16" i="47" s="1"/>
  <c r="D13" i="24"/>
  <c r="N13" i="24"/>
  <c r="J13" i="24"/>
  <c r="F13" i="24"/>
  <c r="L13" i="24"/>
  <c r="H13" i="24"/>
  <c r="BY18" i="47"/>
  <c r="AQ28" i="53"/>
  <c r="AR28" i="53"/>
  <c r="GP28" i="53" s="1"/>
  <c r="DF21" i="53"/>
  <c r="JD21" i="53" s="1"/>
  <c r="DE21" i="53"/>
  <c r="W5" i="47"/>
  <c r="W4" i="47" s="1"/>
  <c r="BY18" i="53"/>
  <c r="HW18" i="53" s="1"/>
  <c r="BX18" i="53"/>
  <c r="AF16" i="53"/>
  <c r="AG16" i="53"/>
  <c r="CU11" i="53"/>
  <c r="IS11" i="53" s="1"/>
  <c r="CT11" i="53"/>
  <c r="E9" i="53"/>
  <c r="CI15" i="53"/>
  <c r="CY18" i="47" s="1"/>
  <c r="CJ15" i="53"/>
  <c r="CX18" i="47"/>
  <c r="CI17" i="53"/>
  <c r="CY20" i="47" s="1"/>
  <c r="CX20" i="47"/>
  <c r="CJ17" i="53"/>
  <c r="BY20" i="53"/>
  <c r="HW20" i="53" s="1"/>
  <c r="BX20" i="53"/>
  <c r="DE22" i="53"/>
  <c r="DF22" i="53"/>
  <c r="JD22" i="53" s="1"/>
  <c r="CT19" i="53"/>
  <c r="CU19" i="53"/>
  <c r="IS19" i="53" s="1"/>
  <c r="CA21" i="47"/>
  <c r="I18" i="53"/>
  <c r="CL21" i="47" s="1"/>
  <c r="DV21" i="47" s="1"/>
  <c r="BB16" i="53"/>
  <c r="BC16" i="53"/>
  <c r="HA16" i="53" s="1"/>
  <c r="BB11" i="53"/>
  <c r="BC11" i="53"/>
  <c r="HA11" i="53" s="1"/>
  <c r="EB24" i="53"/>
  <c r="DJ27" i="47"/>
  <c r="EA24" i="53"/>
  <c r="DK27" i="47" s="1"/>
  <c r="BY13" i="53"/>
  <c r="HW13" i="53" s="1"/>
  <c r="BX13" i="53"/>
  <c r="BX25" i="53"/>
  <c r="BY25" i="53"/>
  <c r="HW25" i="53" s="1"/>
  <c r="CI21" i="53"/>
  <c r="CY24" i="47" s="1"/>
  <c r="CJ21" i="53"/>
  <c r="CX24" i="47"/>
  <c r="BM18" i="53"/>
  <c r="BN18" i="53"/>
  <c r="HL18" i="53" s="1"/>
  <c r="BY24" i="47"/>
  <c r="D15" i="24"/>
  <c r="F15" i="24"/>
  <c r="N15" i="24"/>
  <c r="L15" i="24"/>
  <c r="H15" i="24"/>
  <c r="J15" i="24"/>
  <c r="BY14" i="47"/>
  <c r="G5" i="47"/>
  <c r="CA13" i="47"/>
  <c r="I10" i="53"/>
  <c r="H23" i="24"/>
  <c r="D23" i="24"/>
  <c r="F23" i="24"/>
  <c r="N23" i="24"/>
  <c r="L23" i="24"/>
  <c r="J23" i="24"/>
  <c r="EB13" i="53"/>
  <c r="EA13" i="53"/>
  <c r="DK16" i="47" s="1"/>
  <c r="DJ16" i="47"/>
  <c r="J8" i="24"/>
  <c r="K8" i="24" s="1"/>
  <c r="H8" i="24"/>
  <c r="I8" i="24" s="1"/>
  <c r="L8" i="24"/>
  <c r="M8" i="24" s="1"/>
  <c r="F8" i="24"/>
  <c r="G8" i="24" s="1"/>
  <c r="D8" i="24"/>
  <c r="E8" i="24" s="1"/>
  <c r="N8" i="24"/>
  <c r="O8" i="24" s="1"/>
  <c r="BN19" i="53"/>
  <c r="HL19" i="53" s="1"/>
  <c r="BM19" i="53"/>
  <c r="DP18" i="53"/>
  <c r="DQ18" i="53"/>
  <c r="JO18" i="53" s="1"/>
  <c r="DP16" i="53"/>
  <c r="DQ16" i="53"/>
  <c r="JO16" i="53" s="1"/>
  <c r="U11" i="53"/>
  <c r="V11" i="53"/>
  <c r="FT11" i="53" s="1"/>
  <c r="R9" i="53"/>
  <c r="FP9" i="53" s="1"/>
  <c r="Q9" i="53"/>
  <c r="AF15" i="53"/>
  <c r="AG15" i="53"/>
  <c r="CT12" i="53"/>
  <c r="CU12" i="53"/>
  <c r="IS12" i="53" s="1"/>
  <c r="E8" i="53"/>
  <c r="DO10" i="53"/>
  <c r="BO5" i="47"/>
  <c r="CT17" i="53"/>
  <c r="CU17" i="53"/>
  <c r="IS17" i="53" s="1"/>
  <c r="DJ23" i="47"/>
  <c r="EB20" i="53"/>
  <c r="EA20" i="53"/>
  <c r="DK23" i="47" s="1"/>
  <c r="DQ13" i="53"/>
  <c r="JO13" i="53" s="1"/>
  <c r="DP13" i="53"/>
  <c r="V13" i="53"/>
  <c r="FT13" i="53" s="1"/>
  <c r="U13" i="53"/>
  <c r="CU22" i="53"/>
  <c r="IS22" i="53" s="1"/>
  <c r="CT22" i="53"/>
  <c r="H10" i="24"/>
  <c r="F10" i="24"/>
  <c r="N10" i="24"/>
  <c r="J10" i="24"/>
  <c r="L10" i="24"/>
  <c r="D10" i="24"/>
  <c r="BN23" i="53"/>
  <c r="HL23" i="53" s="1"/>
  <c r="BM23" i="53"/>
  <c r="V25" i="53"/>
  <c r="FT25" i="53" s="1"/>
  <c r="U25" i="53"/>
  <c r="DQ28" i="53"/>
  <c r="JO28" i="53" s="1"/>
  <c r="DP28" i="53"/>
  <c r="CI28" i="53"/>
  <c r="CY31" i="47" s="1"/>
  <c r="CJ28" i="53"/>
  <c r="CX31" i="47"/>
  <c r="DE19" i="53"/>
  <c r="DF19" i="53"/>
  <c r="JD19" i="53" s="1"/>
  <c r="AG21" i="53"/>
  <c r="AF21" i="53"/>
  <c r="Q5" i="47"/>
  <c r="Q4" i="47" s="1"/>
  <c r="BY16" i="47"/>
  <c r="CT18" i="53"/>
  <c r="CU18" i="53"/>
  <c r="IS18" i="53" s="1"/>
  <c r="BC18" i="53"/>
  <c r="HA18" i="53" s="1"/>
  <c r="BB18" i="53"/>
  <c r="CT14" i="53"/>
  <c r="CU14" i="53"/>
  <c r="IS14" i="53" s="1"/>
  <c r="BY31" i="47"/>
  <c r="BY16" i="53"/>
  <c r="HW16" i="53" s="1"/>
  <c r="BX16" i="53"/>
  <c r="CU16" i="53"/>
  <c r="IS16" i="53" s="1"/>
  <c r="CT16" i="53"/>
  <c r="CA14" i="47"/>
  <c r="I11" i="53"/>
  <c r="EI11" i="53" s="1"/>
  <c r="BN24" i="53"/>
  <c r="HL24" i="53" s="1"/>
  <c r="BM24" i="53"/>
  <c r="V15" i="53"/>
  <c r="FT15" i="53" s="1"/>
  <c r="U15" i="53"/>
  <c r="BY12" i="53"/>
  <c r="HW12" i="53" s="1"/>
  <c r="BX12" i="53"/>
  <c r="CA15" i="47"/>
  <c r="I12" i="53"/>
  <c r="EI12" i="53" s="1"/>
  <c r="DF17" i="53"/>
  <c r="JD17" i="53" s="1"/>
  <c r="DE17" i="53"/>
  <c r="AF13" i="53"/>
  <c r="AG13" i="53"/>
  <c r="DF23" i="53"/>
  <c r="JD23" i="53" s="1"/>
  <c r="DE23" i="53"/>
  <c r="BN25" i="53"/>
  <c r="HL25" i="53" s="1"/>
  <c r="BM25" i="53"/>
  <c r="CX22" i="47"/>
  <c r="CJ19" i="53"/>
  <c r="CI19" i="53"/>
  <c r="CY22" i="47" s="1"/>
  <c r="BN14" i="53"/>
  <c r="HL14" i="53" s="1"/>
  <c r="BM14" i="53"/>
  <c r="AG24" i="53"/>
  <c r="AF24" i="53"/>
  <c r="EB12" i="53"/>
  <c r="DJ15" i="47"/>
  <c r="EA12" i="53"/>
  <c r="DK15" i="47" s="1"/>
  <c r="BB20" i="53"/>
  <c r="BC20" i="53"/>
  <c r="HA20" i="53" s="1"/>
  <c r="BN22" i="53"/>
  <c r="HL22" i="53" s="1"/>
  <c r="BM22" i="53"/>
  <c r="AR23" i="53"/>
  <c r="GP23" i="53" s="1"/>
  <c r="AQ23" i="53"/>
  <c r="DF25" i="53"/>
  <c r="JD25" i="53" s="1"/>
  <c r="DE25" i="53"/>
  <c r="AR19" i="53"/>
  <c r="GP19" i="53" s="1"/>
  <c r="AQ19" i="53"/>
  <c r="BC21" i="53"/>
  <c r="HA21" i="53" s="1"/>
  <c r="BB21" i="53"/>
  <c r="K5" i="47"/>
  <c r="K4" i="47" s="1"/>
  <c r="AG14" i="53"/>
  <c r="AF14" i="53"/>
  <c r="DE11" i="53"/>
  <c r="DF11" i="53"/>
  <c r="JD11" i="53" s="1"/>
  <c r="V24" i="53"/>
  <c r="FT24" i="53" s="1"/>
  <c r="U24" i="53"/>
  <c r="AR15" i="53"/>
  <c r="GP15" i="53" s="1"/>
  <c r="AQ15" i="53"/>
  <c r="AR12" i="53"/>
  <c r="GP12" i="53" s="1"/>
  <c r="AQ12" i="53"/>
  <c r="D21" i="24"/>
  <c r="J21" i="24"/>
  <c r="L21" i="24"/>
  <c r="H21" i="24"/>
  <c r="F21" i="24"/>
  <c r="N21" i="24"/>
  <c r="N26" i="24"/>
  <c r="J26" i="24"/>
  <c r="H26" i="24"/>
  <c r="D26" i="24"/>
  <c r="E26" i="24" s="1"/>
  <c r="F26" i="24"/>
  <c r="L26" i="24"/>
  <c r="H12" i="24"/>
  <c r="D12" i="24"/>
  <c r="L12" i="24"/>
  <c r="F12" i="24"/>
  <c r="J12" i="24"/>
  <c r="N12" i="24"/>
  <c r="CA20" i="47"/>
  <c r="I17" i="53"/>
  <c r="EI17" i="53" s="1"/>
  <c r="AR20" i="53"/>
  <c r="GP20" i="53" s="1"/>
  <c r="AQ20" i="53"/>
  <c r="DF13" i="53"/>
  <c r="JD13" i="53" s="1"/>
  <c r="DE13" i="53"/>
  <c r="CU23" i="53"/>
  <c r="IS23" i="53" s="1"/>
  <c r="CT23" i="53"/>
  <c r="EA25" i="53"/>
  <c r="DK28" i="47" s="1"/>
  <c r="EB25" i="53"/>
  <c r="DJ28" i="47"/>
  <c r="BC19" i="53"/>
  <c r="HA19" i="53" s="1"/>
  <c r="BB19" i="53"/>
  <c r="AR21" i="53"/>
  <c r="GP21" i="53" s="1"/>
  <c r="AQ21" i="53"/>
  <c r="DF18" i="53"/>
  <c r="JD18" i="53" s="1"/>
  <c r="DE18" i="53"/>
  <c r="DE15" i="53"/>
  <c r="DF15" i="53"/>
  <c r="JD15" i="53" s="1"/>
  <c r="CI12" i="53"/>
  <c r="CY15" i="47" s="1"/>
  <c r="CJ12" i="53"/>
  <c r="CX15" i="47"/>
  <c r="AR17" i="53"/>
  <c r="GP17" i="53" s="1"/>
  <c r="AQ17" i="53"/>
  <c r="AF20" i="53"/>
  <c r="AG20" i="53"/>
  <c r="BY22" i="53"/>
  <c r="HW22" i="53" s="1"/>
  <c r="BX22" i="53"/>
  <c r="EB23" i="53"/>
  <c r="EA23" i="53"/>
  <c r="DK26" i="47" s="1"/>
  <c r="DJ26" i="47"/>
  <c r="EB28" i="53"/>
  <c r="EA28" i="53"/>
  <c r="DK31" i="47" s="1"/>
  <c r="DJ31" i="47"/>
  <c r="CA22" i="47"/>
  <c r="I19" i="53"/>
  <c r="EI19" i="53" s="1"/>
  <c r="U14" i="53"/>
  <c r="V14" i="53"/>
  <c r="FT14" i="53" s="1"/>
  <c r="DE16" i="53"/>
  <c r="DF16" i="53"/>
  <c r="JD16" i="53" s="1"/>
  <c r="BM11" i="53"/>
  <c r="BN11" i="53"/>
  <c r="HL11" i="53" s="1"/>
  <c r="CA27" i="47"/>
  <c r="I24" i="53"/>
  <c r="CL27" i="47" s="1"/>
  <c r="DV27" i="47" s="1"/>
  <c r="BM12" i="53"/>
  <c r="BN12" i="53"/>
  <c r="HL12" i="53" s="1"/>
  <c r="D7" i="24"/>
  <c r="E7" i="24" s="1"/>
  <c r="H7" i="24"/>
  <c r="I7" i="24" s="1"/>
  <c r="L7" i="24"/>
  <c r="M7" i="24" s="1"/>
  <c r="N7" i="24"/>
  <c r="O7" i="24" s="1"/>
  <c r="F7" i="24"/>
  <c r="G7" i="24" s="1"/>
  <c r="J7" i="24"/>
  <c r="K7" i="24" s="1"/>
  <c r="BL10" i="53"/>
  <c r="AK5" i="47"/>
  <c r="F9" i="24"/>
  <c r="H9" i="24"/>
  <c r="L9" i="24"/>
  <c r="D9" i="24"/>
  <c r="N9" i="24"/>
  <c r="J9" i="24"/>
  <c r="N18" i="24"/>
  <c r="J18" i="24"/>
  <c r="L18" i="24"/>
  <c r="D18" i="24"/>
  <c r="F18" i="24"/>
  <c r="H18" i="24"/>
  <c r="CJ22" i="53"/>
  <c r="CI22" i="53"/>
  <c r="CY25" i="47" s="1"/>
  <c r="CX25" i="47"/>
  <c r="DQ25" i="53"/>
  <c r="JO25" i="53" s="1"/>
  <c r="DP25" i="53"/>
  <c r="DQ19" i="53"/>
  <c r="JO19" i="53" s="1"/>
  <c r="DP19" i="53"/>
  <c r="U18" i="53"/>
  <c r="V18" i="53"/>
  <c r="FT18" i="53" s="1"/>
  <c r="CJ11" i="53"/>
  <c r="CX14" i="47"/>
  <c r="CI11" i="53"/>
  <c r="CY14" i="47" s="1"/>
  <c r="CX27" i="47"/>
  <c r="CI24" i="53"/>
  <c r="CY27" i="47" s="1"/>
  <c r="CJ24" i="53"/>
  <c r="U12" i="53"/>
  <c r="V12" i="53"/>
  <c r="FT12" i="53" s="1"/>
  <c r="J20" i="24"/>
  <c r="L20" i="24"/>
  <c r="N20" i="24"/>
  <c r="D20" i="24"/>
  <c r="F20" i="24"/>
  <c r="H20" i="24"/>
  <c r="BY20" i="47"/>
  <c r="AE10" i="53"/>
  <c r="S5" i="47"/>
  <c r="CS10" i="53"/>
  <c r="BC5" i="47"/>
  <c r="AF17" i="53"/>
  <c r="AG17" i="53"/>
  <c r="BY17" i="47"/>
  <c r="N22" i="24"/>
  <c r="L22" i="24"/>
  <c r="J22" i="24"/>
  <c r="F22" i="24"/>
  <c r="H22" i="24"/>
  <c r="D22" i="24"/>
  <c r="CJ20" i="53"/>
  <c r="CX23" i="47"/>
  <c r="CI20" i="53"/>
  <c r="CY23" i="47" s="1"/>
  <c r="BM13" i="53"/>
  <c r="BN13" i="53"/>
  <c r="HL13" i="53" s="1"/>
  <c r="CU13" i="53"/>
  <c r="IS13" i="53" s="1"/>
  <c r="CT13" i="53"/>
  <c r="V22" i="53"/>
  <c r="FT22" i="53" s="1"/>
  <c r="U22" i="53"/>
  <c r="CA26" i="47"/>
  <c r="I23" i="53"/>
  <c r="CL26" i="47" s="1"/>
  <c r="DV26" i="47" s="1"/>
  <c r="AR25" i="53"/>
  <c r="GP25" i="53" s="1"/>
  <c r="AQ25" i="53"/>
  <c r="AG28" i="53"/>
  <c r="AF28" i="53"/>
  <c r="CU28" i="53"/>
  <c r="IS28" i="53" s="1"/>
  <c r="CT28" i="53"/>
  <c r="BY19" i="53"/>
  <c r="HW19" i="53" s="1"/>
  <c r="BX19" i="53"/>
  <c r="BN21" i="53"/>
  <c r="HL21" i="53" s="1"/>
  <c r="BM21" i="53"/>
  <c r="BM5" i="47"/>
  <c r="BM4" i="47" s="1"/>
  <c r="AO5" i="47"/>
  <c r="AO4" i="47" s="1"/>
  <c r="EB18" i="53"/>
  <c r="DJ21" i="47"/>
  <c r="EA18" i="53"/>
  <c r="DK21" i="47" s="1"/>
  <c r="DP14" i="53"/>
  <c r="DQ14" i="53"/>
  <c r="JO14" i="53" s="1"/>
  <c r="BC14" i="53"/>
  <c r="HA14" i="53" s="1"/>
  <c r="BB14" i="53"/>
  <c r="BM16" i="53"/>
  <c r="BN16" i="53"/>
  <c r="HL16" i="53" s="1"/>
  <c r="V16" i="53"/>
  <c r="FT16" i="53" s="1"/>
  <c r="U16" i="53"/>
  <c r="AF11" i="53"/>
  <c r="AG11" i="53"/>
  <c r="DP24" i="53"/>
  <c r="DQ24" i="53"/>
  <c r="JO24" i="53" s="1"/>
  <c r="AR24" i="53"/>
  <c r="GP24" i="53" s="1"/>
  <c r="AQ24" i="53"/>
  <c r="BM15" i="53"/>
  <c r="BN15" i="53"/>
  <c r="HL15" i="53" s="1"/>
  <c r="AF12" i="53"/>
  <c r="AG12" i="53"/>
  <c r="BC12" i="53"/>
  <c r="HA12" i="53" s="1"/>
  <c r="BB12" i="53"/>
  <c r="AN8" i="53"/>
  <c r="GL8" i="53" s="1"/>
  <c r="AM8" i="53"/>
  <c r="Q8" i="53"/>
  <c r="R8" i="53"/>
  <c r="FP8" i="53" s="1"/>
  <c r="D11" i="24"/>
  <c r="F11" i="24"/>
  <c r="H11" i="24"/>
  <c r="J11" i="24"/>
  <c r="L11" i="24"/>
  <c r="N11" i="24"/>
  <c r="BM20" i="53"/>
  <c r="BN20" i="53"/>
  <c r="HL20" i="53" s="1"/>
  <c r="BC22" i="53"/>
  <c r="HA22" i="53" s="1"/>
  <c r="BB22" i="53"/>
  <c r="CA28" i="47"/>
  <c r="I25" i="53"/>
  <c r="EI25" i="53" s="1"/>
  <c r="BN28" i="53"/>
  <c r="HL28" i="53" s="1"/>
  <c r="BM28" i="53"/>
  <c r="V21" i="53"/>
  <c r="FT21" i="53" s="1"/>
  <c r="U21" i="53"/>
  <c r="AR18" i="53"/>
  <c r="GP18" i="53" s="1"/>
  <c r="AQ18" i="53"/>
  <c r="CA19" i="47"/>
  <c r="I16" i="53"/>
  <c r="CL19" i="47" s="1"/>
  <c r="DV19" i="47" s="1"/>
  <c r="CT15" i="53"/>
  <c r="CU15" i="53"/>
  <c r="IS15" i="53" s="1"/>
  <c r="T10" i="53"/>
  <c r="M5" i="47"/>
  <c r="BX17" i="53"/>
  <c r="BY17" i="53"/>
  <c r="HW17" i="53" s="1"/>
  <c r="BY22" i="47"/>
  <c r="EA22" i="53"/>
  <c r="DK25" i="47" s="1"/>
  <c r="DJ25" i="47"/>
  <c r="EB22" i="53"/>
  <c r="V23" i="53"/>
  <c r="FT23" i="53" s="1"/>
  <c r="U23" i="53"/>
  <c r="CJ25" i="53"/>
  <c r="CI25" i="53"/>
  <c r="CY28" i="47" s="1"/>
  <c r="CX28" i="47"/>
  <c r="DJ22" i="47"/>
  <c r="EA19" i="53"/>
  <c r="DK22" i="47" s="1"/>
  <c r="EB19" i="53"/>
  <c r="BY14" i="53"/>
  <c r="HW14" i="53" s="1"/>
  <c r="BX14" i="53"/>
  <c r="BY24" i="53"/>
  <c r="HW24" i="53" s="1"/>
  <c r="BX24" i="53"/>
  <c r="BI5" i="47"/>
  <c r="DD10" i="53"/>
  <c r="L17" i="24"/>
  <c r="N17" i="24"/>
  <c r="J17" i="24"/>
  <c r="H17" i="24"/>
  <c r="F17" i="24"/>
  <c r="D17" i="24"/>
  <c r="DP22" i="53"/>
  <c r="DQ22" i="53"/>
  <c r="JO22" i="53" s="1"/>
  <c r="AF23" i="53"/>
  <c r="AG23" i="53"/>
  <c r="AG25" i="53"/>
  <c r="AF25" i="53"/>
  <c r="CA31" i="47"/>
  <c r="I28" i="53"/>
  <c r="CL31" i="47" s="1"/>
  <c r="DV31" i="47" s="1"/>
  <c r="DJ24" i="47"/>
  <c r="EA21" i="53"/>
  <c r="DK24" i="47" s="1"/>
  <c r="EB21" i="53"/>
  <c r="BG5" i="47"/>
  <c r="BG4" i="47" s="1"/>
  <c r="CJ14" i="53"/>
  <c r="CI14" i="53"/>
  <c r="CY17" i="47" s="1"/>
  <c r="CX17" i="47"/>
  <c r="BY11" i="53"/>
  <c r="HW11" i="53" s="1"/>
  <c r="BX11" i="53"/>
  <c r="BC15" i="53"/>
  <c r="HA15" i="53" s="1"/>
  <c r="BB15" i="53"/>
  <c r="Y5" i="47"/>
  <c r="AP10" i="53"/>
  <c r="U20" i="53"/>
  <c r="V20" i="53"/>
  <c r="FT20" i="53" s="1"/>
  <c r="AF22" i="53"/>
  <c r="AG22" i="53"/>
  <c r="AF19" i="53"/>
  <c r="AG19" i="53"/>
  <c r="BA5" i="47"/>
  <c r="BA4" i="47" s="1"/>
  <c r="BY15" i="47"/>
  <c r="AG18" i="53"/>
  <c r="AF18" i="53"/>
  <c r="CI16" i="53"/>
  <c r="CY19" i="47" s="1"/>
  <c r="CX19" i="47"/>
  <c r="CJ16" i="53"/>
  <c r="EB11" i="53"/>
  <c r="EA11" i="53"/>
  <c r="DK14" i="47" s="1"/>
  <c r="DJ14" i="47"/>
  <c r="EB15" i="53"/>
  <c r="DJ18" i="47"/>
  <c r="EA15" i="53"/>
  <c r="DK18" i="47" s="1"/>
  <c r="DP12" i="53"/>
  <c r="DQ12" i="53"/>
  <c r="JO12" i="53" s="1"/>
  <c r="F14" i="24"/>
  <c r="D14" i="24"/>
  <c r="J14" i="24"/>
  <c r="L14" i="24"/>
  <c r="H14" i="24"/>
  <c r="N14" i="24"/>
  <c r="DQ17" i="53"/>
  <c r="JO17" i="53" s="1"/>
  <c r="DP17" i="53"/>
  <c r="DE20" i="53"/>
  <c r="DF20" i="53"/>
  <c r="JD20" i="53" s="1"/>
  <c r="BB13" i="53"/>
  <c r="BC13" i="53"/>
  <c r="HA13" i="53" s="1"/>
  <c r="BY23" i="53"/>
  <c r="HW23" i="53" s="1"/>
  <c r="BX23" i="53"/>
  <c r="BY21" i="47"/>
  <c r="D6" i="24"/>
  <c r="E6" i="24" s="1"/>
  <c r="F6" i="24"/>
  <c r="G6" i="24" s="1"/>
  <c r="L6" i="24"/>
  <c r="M6" i="24" s="1"/>
  <c r="J6" i="24"/>
  <c r="K6" i="24" s="1"/>
  <c r="N6" i="24"/>
  <c r="O6" i="24" s="1"/>
  <c r="H6" i="24"/>
  <c r="I6" i="24" s="1"/>
  <c r="V28" i="53"/>
  <c r="FT28" i="53" s="1"/>
  <c r="U28" i="53"/>
  <c r="CA24" i="47"/>
  <c r="I21" i="53"/>
  <c r="EI21" i="53" s="1"/>
  <c r="BS5" i="47"/>
  <c r="BS4" i="47" s="1"/>
  <c r="AR14" i="53"/>
  <c r="GP14" i="53" s="1"/>
  <c r="AQ14" i="53"/>
  <c r="AR16" i="53"/>
  <c r="GP16" i="53" s="1"/>
  <c r="AQ16" i="53"/>
  <c r="CH10" i="53"/>
  <c r="AW5" i="47"/>
  <c r="BA10" i="53"/>
  <c r="AE5" i="47"/>
  <c r="BW10" i="53"/>
  <c r="AQ5" i="47"/>
  <c r="EA17" i="53"/>
  <c r="DK20" i="47" s="1"/>
  <c r="DJ20" i="47"/>
  <c r="EB17" i="53"/>
  <c r="BB17" i="53"/>
  <c r="BC17" i="53"/>
  <c r="HA17" i="53" s="1"/>
  <c r="H16" i="24"/>
  <c r="D16" i="24"/>
  <c r="N16" i="24"/>
  <c r="F16" i="24"/>
  <c r="L16" i="24"/>
  <c r="J16" i="24"/>
  <c r="DQ20" i="53"/>
  <c r="JO20" i="53" s="1"/>
  <c r="DP20" i="53"/>
  <c r="CJ13" i="53"/>
  <c r="CX16" i="47"/>
  <c r="CI13" i="53"/>
  <c r="CY16" i="47" s="1"/>
  <c r="AR13" i="53"/>
  <c r="GP13" i="53" s="1"/>
  <c r="AQ13" i="53"/>
  <c r="AQ22" i="53"/>
  <c r="AR22" i="53"/>
  <c r="GP22" i="53" s="1"/>
  <c r="J19" i="24"/>
  <c r="L19" i="24"/>
  <c r="N19" i="24"/>
  <c r="F19" i="24"/>
  <c r="D19" i="24"/>
  <c r="H19" i="24"/>
  <c r="BY27" i="47"/>
  <c r="BY25" i="47"/>
  <c r="CJ23" i="53"/>
  <c r="CI23" i="53"/>
  <c r="CY26" i="47" s="1"/>
  <c r="CX26" i="47"/>
  <c r="DQ23" i="53"/>
  <c r="JO23" i="53" s="1"/>
  <c r="DP23" i="53"/>
  <c r="BB25" i="53"/>
  <c r="BC25" i="53"/>
  <c r="HA25" i="53" s="1"/>
  <c r="CU25" i="53"/>
  <c r="IS25" i="53" s="1"/>
  <c r="CT25" i="53"/>
  <c r="BC28" i="53"/>
  <c r="HA28" i="53" s="1"/>
  <c r="BB28" i="53"/>
  <c r="DE28" i="53"/>
  <c r="DF28" i="53"/>
  <c r="JD28" i="53" s="1"/>
  <c r="U19" i="53"/>
  <c r="V19" i="53"/>
  <c r="FT19" i="53" s="1"/>
  <c r="CT21" i="53"/>
  <c r="CU21" i="53"/>
  <c r="IS21" i="53" s="1"/>
  <c r="DP21" i="53"/>
  <c r="DQ21" i="53"/>
  <c r="JO21" i="53" s="1"/>
  <c r="AI5" i="47"/>
  <c r="AI4" i="47" s="1"/>
  <c r="AU5" i="47"/>
  <c r="AU4" i="47" s="1"/>
  <c r="CI18" i="53"/>
  <c r="CY21" i="47" s="1"/>
  <c r="CX21" i="47"/>
  <c r="CJ18" i="53"/>
  <c r="I14" i="53"/>
  <c r="EI14" i="53" s="1"/>
  <c r="CA17" i="47"/>
  <c r="DF14" i="53"/>
  <c r="JD14" i="53" s="1"/>
  <c r="DE14" i="53"/>
  <c r="EB16" i="53"/>
  <c r="DJ19" i="47"/>
  <c r="EA16" i="53"/>
  <c r="DK19" i="47" s="1"/>
  <c r="DQ11" i="53"/>
  <c r="JO11" i="53" s="1"/>
  <c r="DP11" i="53"/>
  <c r="CT24" i="53"/>
  <c r="CU24" i="53"/>
  <c r="IS24" i="53" s="1"/>
  <c r="BC24" i="53"/>
  <c r="HA24" i="53" s="1"/>
  <c r="BB24" i="53"/>
  <c r="DP15" i="53"/>
  <c r="DQ15" i="53"/>
  <c r="JO15" i="53" s="1"/>
  <c r="BX15" i="53"/>
  <c r="BY15" i="53"/>
  <c r="HW15" i="53" s="1"/>
  <c r="DF12" i="53"/>
  <c r="JD12" i="53" s="1"/>
  <c r="DE12" i="53"/>
  <c r="BU8" i="53"/>
  <c r="HS8" i="53" s="1"/>
  <c r="BT8" i="53"/>
  <c r="CL14" i="47" l="1"/>
  <c r="DV14" i="47" s="1"/>
  <c r="CL15" i="47"/>
  <c r="DV15" i="47" s="1"/>
  <c r="CL18" i="47"/>
  <c r="DV18" i="47" s="1"/>
  <c r="CL25" i="47"/>
  <c r="DV25" i="47" s="1"/>
  <c r="BY5" i="47"/>
  <c r="CA5" i="47"/>
  <c r="CL22" i="47"/>
  <c r="DV22" i="47" s="1"/>
  <c r="CL28" i="47"/>
  <c r="DV28" i="47" s="1"/>
  <c r="CL20" i="47"/>
  <c r="DV20" i="47" s="1"/>
  <c r="CL23" i="47"/>
  <c r="DV23" i="47" s="1"/>
  <c r="CL24" i="47"/>
  <c r="DV24" i="47" s="1"/>
  <c r="CL17" i="47"/>
  <c r="DV17" i="47" s="1"/>
  <c r="BW5" i="47"/>
  <c r="BN3" i="59"/>
  <c r="AJ10" i="47"/>
  <c r="AJ6" i="47" s="1"/>
  <c r="BN10" i="47"/>
  <c r="BN6" i="47" s="1"/>
  <c r="R10" i="47"/>
  <c r="R6" i="47" s="1"/>
  <c r="L10" i="47"/>
  <c r="L6" i="47" s="1"/>
  <c r="AP10" i="47"/>
  <c r="AP6" i="47" s="1"/>
  <c r="BT10" i="47"/>
  <c r="DV7" i="53" s="1"/>
  <c r="DX7" i="53" s="1"/>
  <c r="X10" i="47"/>
  <c r="AL7" i="53" s="1"/>
  <c r="AM7" i="53" s="1"/>
  <c r="BB10" i="47"/>
  <c r="BB6" i="47" s="1"/>
  <c r="AV10" i="47"/>
  <c r="AV6" i="47" s="1"/>
  <c r="AD10" i="47"/>
  <c r="AW7" i="53" s="1"/>
  <c r="AX7" i="53" s="1"/>
  <c r="BH10" i="47"/>
  <c r="BH6" i="47" s="1"/>
  <c r="F10" i="47"/>
  <c r="F6" i="47" s="1"/>
  <c r="F20" i="47"/>
  <c r="E17" i="53" s="1"/>
  <c r="AD20" i="47"/>
  <c r="AW17" i="53" s="1"/>
  <c r="AX17" i="53" s="1"/>
  <c r="AP20" i="47"/>
  <c r="BS17" i="53" s="1"/>
  <c r="BU17" i="53" s="1"/>
  <c r="HS17" i="53" s="1"/>
  <c r="X20" i="47"/>
  <c r="AL17" i="53" s="1"/>
  <c r="AN17" i="53" s="1"/>
  <c r="GL17" i="53" s="1"/>
  <c r="L20" i="47"/>
  <c r="P17" i="53" s="1"/>
  <c r="Q17" i="53" s="1"/>
  <c r="AJ20" i="47"/>
  <c r="BH17" i="53" s="1"/>
  <c r="BJ17" i="53" s="1"/>
  <c r="HH17" i="53" s="1"/>
  <c r="R20" i="47"/>
  <c r="AA17" i="53" s="1"/>
  <c r="BH17" i="47"/>
  <c r="CZ14" i="53" s="1"/>
  <c r="DB14" i="53" s="1"/>
  <c r="IZ14" i="53" s="1"/>
  <c r="AD17" i="47"/>
  <c r="AW14" i="53" s="1"/>
  <c r="AX14" i="53" s="1"/>
  <c r="X17" i="47"/>
  <c r="AL14" i="53" s="1"/>
  <c r="AV17" i="47"/>
  <c r="CD14" i="53" s="1"/>
  <c r="CE14" i="53" s="1"/>
  <c r="CU17" i="47" s="1"/>
  <c r="BT17" i="47"/>
  <c r="DV14" i="53" s="1"/>
  <c r="DW14" i="53" s="1"/>
  <c r="DG17" i="47" s="1"/>
  <c r="F17" i="47"/>
  <c r="E14" i="53" s="1"/>
  <c r="L17" i="47"/>
  <c r="P14" i="53" s="1"/>
  <c r="Q14" i="53" s="1"/>
  <c r="AJ17" i="47"/>
  <c r="BH14" i="53" s="1"/>
  <c r="BI14" i="53" s="1"/>
  <c r="BN17" i="47"/>
  <c r="DK14" i="53" s="1"/>
  <c r="DM14" i="53" s="1"/>
  <c r="JK14" i="53" s="1"/>
  <c r="AP17" i="47"/>
  <c r="BS14" i="53" s="1"/>
  <c r="BU14" i="53" s="1"/>
  <c r="HS14" i="53" s="1"/>
  <c r="BB17" i="47"/>
  <c r="CO14" i="53" s="1"/>
  <c r="CP14" i="53" s="1"/>
  <c r="R17" i="47"/>
  <c r="AA14" i="53" s="1"/>
  <c r="AC14" i="53" s="1"/>
  <c r="BN21" i="47"/>
  <c r="DK18" i="53" s="1"/>
  <c r="BH21" i="47"/>
  <c r="CZ18" i="53" s="1"/>
  <c r="BB21" i="47"/>
  <c r="CO18" i="53" s="1"/>
  <c r="BT21" i="47"/>
  <c r="DV18" i="53" s="1"/>
  <c r="AV21" i="47"/>
  <c r="CD18" i="53" s="1"/>
  <c r="F14" i="47"/>
  <c r="E11" i="53" s="1"/>
  <c r="X14" i="47"/>
  <c r="AL11" i="53" s="1"/>
  <c r="AN11" i="53" s="1"/>
  <c r="GL11" i="53" s="1"/>
  <c r="BH14" i="47"/>
  <c r="CZ11" i="53" s="1"/>
  <c r="DB11" i="53" s="1"/>
  <c r="IZ11" i="53" s="1"/>
  <c r="BB14" i="47"/>
  <c r="CO11" i="53" s="1"/>
  <c r="CQ11" i="53" s="1"/>
  <c r="IO11" i="53" s="1"/>
  <c r="AP14" i="47"/>
  <c r="BS11" i="53" s="1"/>
  <c r="BU11" i="53" s="1"/>
  <c r="HS11" i="53" s="1"/>
  <c r="AJ14" i="47"/>
  <c r="BH11" i="53" s="1"/>
  <c r="BJ11" i="53" s="1"/>
  <c r="HH11" i="53" s="1"/>
  <c r="L14" i="47"/>
  <c r="P11" i="53" s="1"/>
  <c r="R11" i="53" s="1"/>
  <c r="FP11" i="53" s="1"/>
  <c r="AD14" i="47"/>
  <c r="AW11" i="53" s="1"/>
  <c r="AY11" i="53" s="1"/>
  <c r="GW11" i="53" s="1"/>
  <c r="BN14" i="47"/>
  <c r="DK11" i="53" s="1"/>
  <c r="DL11" i="53" s="1"/>
  <c r="AV14" i="47"/>
  <c r="CD11" i="53" s="1"/>
  <c r="CE11" i="53" s="1"/>
  <c r="CU14" i="47" s="1"/>
  <c r="BT14" i="47"/>
  <c r="R14" i="47"/>
  <c r="AA11" i="53" s="1"/>
  <c r="F16" i="47"/>
  <c r="E13" i="53" s="1"/>
  <c r="BH16" i="47"/>
  <c r="CZ13" i="53" s="1"/>
  <c r="DA13" i="53" s="1"/>
  <c r="X16" i="47"/>
  <c r="AL13" i="53" s="1"/>
  <c r="AM13" i="53" s="1"/>
  <c r="AJ16" i="47"/>
  <c r="BH13" i="53" s="1"/>
  <c r="BJ13" i="53" s="1"/>
  <c r="HH13" i="53" s="1"/>
  <c r="L16" i="47"/>
  <c r="P13" i="53" s="1"/>
  <c r="Q13" i="53" s="1"/>
  <c r="AP16" i="47"/>
  <c r="BS13" i="53" s="1"/>
  <c r="BT13" i="53" s="1"/>
  <c r="BB16" i="47"/>
  <c r="CO13" i="53" s="1"/>
  <c r="CP13" i="53" s="1"/>
  <c r="BN16" i="47"/>
  <c r="DK13" i="53" s="1"/>
  <c r="DM13" i="53" s="1"/>
  <c r="JK13" i="53" s="1"/>
  <c r="AV16" i="47"/>
  <c r="CD13" i="53" s="1"/>
  <c r="BT16" i="47"/>
  <c r="DV13" i="53" s="1"/>
  <c r="DF16" i="47" s="1"/>
  <c r="R16" i="47"/>
  <c r="AA13" i="53" s="1"/>
  <c r="AD16" i="47"/>
  <c r="AW13" i="53" s="1"/>
  <c r="AY13" i="53" s="1"/>
  <c r="GW13" i="53" s="1"/>
  <c r="BH15" i="47"/>
  <c r="CZ12" i="53" s="1"/>
  <c r="L15" i="47"/>
  <c r="P12" i="53" s="1"/>
  <c r="AD15" i="47"/>
  <c r="AW12" i="53" s="1"/>
  <c r="BB15" i="47"/>
  <c r="CO12" i="53" s="1"/>
  <c r="BT15" i="47"/>
  <c r="DV12" i="53" s="1"/>
  <c r="AV15" i="47"/>
  <c r="CD12" i="53" s="1"/>
  <c r="AJ15" i="47"/>
  <c r="BH12" i="53" s="1"/>
  <c r="BN15" i="47"/>
  <c r="DK12" i="53" s="1"/>
  <c r="F15" i="47"/>
  <c r="X15" i="47"/>
  <c r="AL12" i="53" s="1"/>
  <c r="AP15" i="47"/>
  <c r="BS12" i="53" s="1"/>
  <c r="R15" i="47"/>
  <c r="AA12" i="53" s="1"/>
  <c r="BN18" i="47"/>
  <c r="DK15" i="53" s="1"/>
  <c r="DM15" i="53" s="1"/>
  <c r="JK15" i="53" s="1"/>
  <c r="BB18" i="47"/>
  <c r="CO15" i="53" s="1"/>
  <c r="CP15" i="53" s="1"/>
  <c r="BT18" i="47"/>
  <c r="DV15" i="53" s="1"/>
  <c r="DW15" i="53" s="1"/>
  <c r="DG18" i="47" s="1"/>
  <c r="BH18" i="47"/>
  <c r="CZ15" i="53" s="1"/>
  <c r="DB15" i="53" s="1"/>
  <c r="IZ15" i="53" s="1"/>
  <c r="X18" i="47"/>
  <c r="AL15" i="53" s="1"/>
  <c r="AM15" i="53" s="1"/>
  <c r="L18" i="47"/>
  <c r="P15" i="53" s="1"/>
  <c r="Q15" i="53" s="1"/>
  <c r="R18" i="47"/>
  <c r="AA15" i="53" s="1"/>
  <c r="AC15" i="53" s="1"/>
  <c r="AD18" i="47"/>
  <c r="AW15" i="53" s="1"/>
  <c r="AY15" i="53" s="1"/>
  <c r="GW15" i="53" s="1"/>
  <c r="F18" i="47"/>
  <c r="E15" i="53" s="1"/>
  <c r="AV18" i="47"/>
  <c r="CD15" i="53" s="1"/>
  <c r="CF15" i="53" s="1"/>
  <c r="AP18" i="47"/>
  <c r="BS15" i="53" s="1"/>
  <c r="BU15" i="53" s="1"/>
  <c r="HS15" i="53" s="1"/>
  <c r="AJ18" i="47"/>
  <c r="BH15" i="53" s="1"/>
  <c r="BJ15" i="53" s="1"/>
  <c r="HH15" i="53" s="1"/>
  <c r="AL18" i="53"/>
  <c r="AJ172" i="59"/>
  <c r="AV65" i="59"/>
  <c r="F70" i="59"/>
  <c r="F92" i="59"/>
  <c r="AJ151" i="59"/>
  <c r="AX130" i="59"/>
  <c r="L70" i="59"/>
  <c r="E135" i="59"/>
  <c r="E49" i="59"/>
  <c r="AU87" i="59"/>
  <c r="AH194" i="59"/>
  <c r="I198" i="59" s="1"/>
  <c r="AU151" i="59"/>
  <c r="E114" i="59"/>
  <c r="G156" i="59"/>
  <c r="AX193" i="59"/>
  <c r="AU130" i="59"/>
  <c r="AH66" i="59"/>
  <c r="G49" i="59"/>
  <c r="AX87" i="59"/>
  <c r="L49" i="59"/>
  <c r="AJ87" i="59"/>
  <c r="F49" i="59"/>
  <c r="AV172" i="59"/>
  <c r="E156" i="59"/>
  <c r="AU193" i="59"/>
  <c r="G114" i="59"/>
  <c r="AX151" i="59"/>
  <c r="AH88" i="59"/>
  <c r="AH131" i="59"/>
  <c r="AJ193" i="59"/>
  <c r="L156" i="59"/>
  <c r="AX65" i="59"/>
  <c r="G28" i="59"/>
  <c r="L28" i="59"/>
  <c r="AU109" i="59"/>
  <c r="E70" i="59"/>
  <c r="AH45" i="59"/>
  <c r="I49" i="59" s="1"/>
  <c r="F114" i="59"/>
  <c r="AV193" i="59"/>
  <c r="AH152" i="59"/>
  <c r="I156" i="59" s="1"/>
  <c r="G135" i="59"/>
  <c r="AX172" i="59"/>
  <c r="L92" i="59"/>
  <c r="AJ130" i="59"/>
  <c r="AH173" i="59"/>
  <c r="I177" i="59" s="1"/>
  <c r="AH110" i="59"/>
  <c r="AH151" i="59" s="1"/>
  <c r="AX109" i="59"/>
  <c r="G70" i="59"/>
  <c r="AH24" i="59"/>
  <c r="AU65" i="59"/>
  <c r="E28" i="59"/>
  <c r="BO6" i="47"/>
  <c r="BO4" i="47" s="1"/>
  <c r="DA9" i="53"/>
  <c r="BC6" i="47"/>
  <c r="BC4" i="47" s="1"/>
  <c r="DV19" i="53"/>
  <c r="DX19" i="53" s="1"/>
  <c r="CE8" i="53"/>
  <c r="AC8" i="53"/>
  <c r="GA8" i="53" s="1"/>
  <c r="AX8" i="53"/>
  <c r="CE9" i="53"/>
  <c r="CS8" i="53"/>
  <c r="CU8" i="53" s="1"/>
  <c r="IS8" i="53" s="1"/>
  <c r="EE9" i="53"/>
  <c r="EF9" i="53" s="1"/>
  <c r="DX9" i="53"/>
  <c r="AL19" i="53"/>
  <c r="AN19" i="53" s="1"/>
  <c r="GL19" i="53" s="1"/>
  <c r="BW9" i="53"/>
  <c r="BX9" i="53" s="1"/>
  <c r="BS19" i="53"/>
  <c r="BU19" i="53" s="1"/>
  <c r="HS19" i="53" s="1"/>
  <c r="CO19" i="53"/>
  <c r="CQ19" i="53" s="1"/>
  <c r="IO19" i="53" s="1"/>
  <c r="AW6" i="47"/>
  <c r="AW4" i="47" s="1"/>
  <c r="P19" i="53"/>
  <c r="R19" i="53" s="1"/>
  <c r="FP19" i="53" s="1"/>
  <c r="BT9" i="53"/>
  <c r="AN9" i="53"/>
  <c r="GL9" i="53" s="1"/>
  <c r="BZ11" i="47"/>
  <c r="DL9" i="53"/>
  <c r="BH20" i="53"/>
  <c r="BJ20" i="53" s="1"/>
  <c r="HH20" i="53" s="1"/>
  <c r="BZ12" i="47"/>
  <c r="DM8" i="53"/>
  <c r="JK8" i="53" s="1"/>
  <c r="P20" i="53"/>
  <c r="R20" i="53" s="1"/>
  <c r="FP20" i="53" s="1"/>
  <c r="CD20" i="53"/>
  <c r="CF20" i="53" s="1"/>
  <c r="BJ9" i="53"/>
  <c r="HH9" i="53" s="1"/>
  <c r="CQ9" i="53"/>
  <c r="IO9" i="53" s="1"/>
  <c r="AY9" i="53"/>
  <c r="GW9" i="53" s="1"/>
  <c r="Y6" i="47"/>
  <c r="Y4" i="47" s="1"/>
  <c r="AB9" i="53"/>
  <c r="AQ6" i="47"/>
  <c r="AQ4" i="47" s="1"/>
  <c r="CQ8" i="53"/>
  <c r="IO8" i="53" s="1"/>
  <c r="DD8" i="53"/>
  <c r="DF8" i="53" s="1"/>
  <c r="JD8" i="53" s="1"/>
  <c r="DB8" i="53"/>
  <c r="IZ8" i="53" s="1"/>
  <c r="BH19" i="53"/>
  <c r="BJ19" i="53" s="1"/>
  <c r="HH19" i="53" s="1"/>
  <c r="G6" i="47"/>
  <c r="DW9" i="53"/>
  <c r="DX8" i="53"/>
  <c r="AW19" i="53"/>
  <c r="AY19" i="53" s="1"/>
  <c r="GW19" i="53" s="1"/>
  <c r="E19" i="53"/>
  <c r="CH22" i="47" s="1"/>
  <c r="DR22" i="47" s="1"/>
  <c r="CD19" i="53"/>
  <c r="CE19" i="53" s="1"/>
  <c r="CU22" i="47" s="1"/>
  <c r="DO9" i="53"/>
  <c r="DP9" i="53" s="1"/>
  <c r="DK19" i="53"/>
  <c r="DL19" i="53" s="1"/>
  <c r="DZ9" i="53"/>
  <c r="EA9" i="53" s="1"/>
  <c r="BI8" i="53"/>
  <c r="AK6" i="47"/>
  <c r="AK4" i="47" s="1"/>
  <c r="EE8" i="53"/>
  <c r="EF8" i="53" s="1"/>
  <c r="CZ19" i="53"/>
  <c r="DA19" i="53" s="1"/>
  <c r="BL9" i="53"/>
  <c r="BM9" i="53" s="1"/>
  <c r="DD9" i="53"/>
  <c r="DE9" i="53" s="1"/>
  <c r="CH9" i="53"/>
  <c r="CJ9" i="53" s="1"/>
  <c r="IH9" i="53" s="1"/>
  <c r="AP9" i="53"/>
  <c r="AQ9" i="53" s="1"/>
  <c r="CS9" i="53"/>
  <c r="CU9" i="53" s="1"/>
  <c r="IS9" i="53" s="1"/>
  <c r="BA9" i="53"/>
  <c r="BC9" i="53" s="1"/>
  <c r="HA9" i="53" s="1"/>
  <c r="BI6" i="47"/>
  <c r="BI4" i="47" s="1"/>
  <c r="AE9" i="53"/>
  <c r="AG9" i="53" s="1"/>
  <c r="GE9" i="53" s="1"/>
  <c r="CS7" i="53"/>
  <c r="CT7" i="53" s="1"/>
  <c r="DZ8" i="53"/>
  <c r="BW8" i="53"/>
  <c r="BX8" i="53" s="1"/>
  <c r="CH8" i="53"/>
  <c r="CI8" i="53" s="1"/>
  <c r="AP8" i="53"/>
  <c r="AR8" i="53" s="1"/>
  <c r="GP8" i="53" s="1"/>
  <c r="CH7" i="53"/>
  <c r="CJ7" i="53" s="1"/>
  <c r="IH7" i="53" s="1"/>
  <c r="DO8" i="53"/>
  <c r="DQ8" i="53" s="1"/>
  <c r="JO8" i="53" s="1"/>
  <c r="T8" i="53"/>
  <c r="V8" i="53" s="1"/>
  <c r="FT8" i="53" s="1"/>
  <c r="BL8" i="53"/>
  <c r="BM8" i="53" s="1"/>
  <c r="AP7" i="53"/>
  <c r="AR7" i="53" s="1"/>
  <c r="GP7" i="53" s="1"/>
  <c r="AE8" i="53"/>
  <c r="AF8" i="53" s="1"/>
  <c r="BA8" i="53"/>
  <c r="BB8" i="53" s="1"/>
  <c r="AE6" i="47"/>
  <c r="AE4" i="47" s="1"/>
  <c r="E20" i="53"/>
  <c r="BU6" i="47"/>
  <c r="BU4" i="47" s="1"/>
  <c r="AA20" i="53"/>
  <c r="AB20" i="53" s="1"/>
  <c r="DV20" i="53"/>
  <c r="DW20" i="53" s="1"/>
  <c r="DG23" i="47" s="1"/>
  <c r="CO20" i="53"/>
  <c r="CP20" i="53" s="1"/>
  <c r="CA10" i="47"/>
  <c r="BH22" i="53"/>
  <c r="BJ22" i="53" s="1"/>
  <c r="HH22" i="53" s="1"/>
  <c r="S6" i="47"/>
  <c r="S4" i="47" s="1"/>
  <c r="AW20" i="53"/>
  <c r="AX20" i="53" s="1"/>
  <c r="BS20" i="53"/>
  <c r="BT20" i="53" s="1"/>
  <c r="CD22" i="53"/>
  <c r="CF22" i="53" s="1"/>
  <c r="M6" i="47"/>
  <c r="M4" i="47" s="1"/>
  <c r="DK20" i="53"/>
  <c r="DL20" i="53" s="1"/>
  <c r="CO22" i="53"/>
  <c r="CQ22" i="53" s="1"/>
  <c r="IO22" i="53" s="1"/>
  <c r="CZ20" i="53"/>
  <c r="DB20" i="53" s="1"/>
  <c r="IZ20" i="53" s="1"/>
  <c r="AA22" i="53"/>
  <c r="AB22" i="53" s="1"/>
  <c r="DV22" i="53"/>
  <c r="DW22" i="53" s="1"/>
  <c r="DG25" i="47" s="1"/>
  <c r="AW22" i="53"/>
  <c r="AY22" i="53" s="1"/>
  <c r="GW22" i="53" s="1"/>
  <c r="P22" i="53"/>
  <c r="R22" i="53" s="1"/>
  <c r="FP22" i="53" s="1"/>
  <c r="DK22" i="53"/>
  <c r="DL22" i="53" s="1"/>
  <c r="CZ22" i="53"/>
  <c r="DB22" i="53" s="1"/>
  <c r="IZ22" i="53" s="1"/>
  <c r="E22" i="53"/>
  <c r="BS22" i="53"/>
  <c r="BT22" i="53" s="1"/>
  <c r="DV21" i="53"/>
  <c r="DF24" i="47" s="1"/>
  <c r="P21" i="53"/>
  <c r="Q21" i="53" s="1"/>
  <c r="BH21" i="53"/>
  <c r="BI21" i="53" s="1"/>
  <c r="AL21" i="53"/>
  <c r="AN21" i="53" s="1"/>
  <c r="GL21" i="53" s="1"/>
  <c r="AW16" i="53"/>
  <c r="AX16" i="53" s="1"/>
  <c r="CZ16" i="53"/>
  <c r="DB16" i="53" s="1"/>
  <c r="IZ16" i="53" s="1"/>
  <c r="DK16" i="53"/>
  <c r="DL16" i="53" s="1"/>
  <c r="DV16" i="53"/>
  <c r="DX16" i="53" s="1"/>
  <c r="BH16" i="53"/>
  <c r="BJ16" i="53" s="1"/>
  <c r="HH16" i="53" s="1"/>
  <c r="CO16" i="53"/>
  <c r="CP16" i="53" s="1"/>
  <c r="CD21" i="53"/>
  <c r="CT24" i="47" s="1"/>
  <c r="E21" i="53"/>
  <c r="CD16" i="53"/>
  <c r="CF16" i="53" s="1"/>
  <c r="E16" i="53"/>
  <c r="CH19" i="47" s="1"/>
  <c r="DR19" i="47" s="1"/>
  <c r="BS16" i="53"/>
  <c r="BU16" i="53" s="1"/>
  <c r="HS16" i="53" s="1"/>
  <c r="P16" i="53"/>
  <c r="Q16" i="53" s="1"/>
  <c r="DK21" i="53"/>
  <c r="DL21" i="53" s="1"/>
  <c r="CZ21" i="53"/>
  <c r="DA21" i="53" s="1"/>
  <c r="AW21" i="53"/>
  <c r="AY21" i="53" s="1"/>
  <c r="GW21" i="53" s="1"/>
  <c r="AA21" i="53"/>
  <c r="CO21" i="53"/>
  <c r="CQ21" i="53" s="1"/>
  <c r="IO21" i="53" s="1"/>
  <c r="AL16" i="53"/>
  <c r="AN16" i="53" s="1"/>
  <c r="GL16" i="53" s="1"/>
  <c r="CO17" i="53"/>
  <c r="CP17" i="53" s="1"/>
  <c r="CZ17" i="53"/>
  <c r="DA17" i="53" s="1"/>
  <c r="DK17" i="53"/>
  <c r="DM17" i="53" s="1"/>
  <c r="JK17" i="53" s="1"/>
  <c r="CD17" i="53"/>
  <c r="CT20" i="47" s="1"/>
  <c r="DV17" i="53"/>
  <c r="DX17" i="53" s="1"/>
  <c r="EJ25" i="53"/>
  <c r="EJ14" i="53"/>
  <c r="GE28" i="53"/>
  <c r="O18" i="24"/>
  <c r="M9" i="24"/>
  <c r="K24" i="53"/>
  <c r="FI24" i="53" s="1"/>
  <c r="J24" i="53"/>
  <c r="CM27" i="47" s="1"/>
  <c r="DW27" i="47" s="1"/>
  <c r="GE20" i="53"/>
  <c r="G15" i="24"/>
  <c r="J18" i="53"/>
  <c r="CM21" i="47" s="1"/>
  <c r="DW21" i="47" s="1"/>
  <c r="K18" i="53"/>
  <c r="FI18" i="53" s="1"/>
  <c r="AN22" i="53"/>
  <c r="GL22" i="53" s="1"/>
  <c r="AM22" i="53"/>
  <c r="K20" i="24"/>
  <c r="E21" i="24"/>
  <c r="DV10" i="53"/>
  <c r="M10" i="24"/>
  <c r="K23" i="24"/>
  <c r="AB16" i="53"/>
  <c r="AC16" i="53"/>
  <c r="O24" i="24"/>
  <c r="O16" i="24"/>
  <c r="GE11" i="53"/>
  <c r="I18" i="24"/>
  <c r="M12" i="24"/>
  <c r="O26" i="24"/>
  <c r="GE14" i="53"/>
  <c r="K10" i="24"/>
  <c r="M23" i="24"/>
  <c r="EI24" i="53"/>
  <c r="BY10" i="53"/>
  <c r="HW10" i="53" s="1"/>
  <c r="BX10" i="53"/>
  <c r="CO25" i="53"/>
  <c r="BH25" i="53"/>
  <c r="P25" i="53"/>
  <c r="AL25" i="53"/>
  <c r="CZ25" i="53"/>
  <c r="AW25" i="53"/>
  <c r="CD25" i="53"/>
  <c r="AA25" i="53"/>
  <c r="DV25" i="53"/>
  <c r="BS25" i="53"/>
  <c r="DK25" i="53"/>
  <c r="K21" i="53"/>
  <c r="FI21" i="53" s="1"/>
  <c r="J21" i="53"/>
  <c r="CM24" i="47" s="1"/>
  <c r="DW24" i="47" s="1"/>
  <c r="DL21" i="47"/>
  <c r="JZ18" i="53"/>
  <c r="IH12" i="53"/>
  <c r="CZ15" i="47"/>
  <c r="E12" i="24"/>
  <c r="AG7" i="53"/>
  <c r="GE7" i="53" s="1"/>
  <c r="AF7" i="53"/>
  <c r="BC7" i="53"/>
  <c r="HA7" i="53" s="1"/>
  <c r="BB7" i="53"/>
  <c r="G24" i="24"/>
  <c r="I16" i="24"/>
  <c r="E14" i="24"/>
  <c r="AR10" i="53"/>
  <c r="GP10" i="53" s="1"/>
  <c r="AQ10" i="53"/>
  <c r="IH25" i="53"/>
  <c r="CZ28" i="47"/>
  <c r="M11" i="24"/>
  <c r="EI18" i="53"/>
  <c r="K23" i="53"/>
  <c r="FI23" i="53" s="1"/>
  <c r="J23" i="53"/>
  <c r="CM26" i="47" s="1"/>
  <c r="DW26" i="47" s="1"/>
  <c r="CZ23" i="47"/>
  <c r="IH20" i="53"/>
  <c r="E22" i="24"/>
  <c r="GE17" i="53"/>
  <c r="G20" i="24"/>
  <c r="E18" i="24"/>
  <c r="K9" i="24"/>
  <c r="BM10" i="53"/>
  <c r="BN10" i="53"/>
  <c r="HL10" i="53" s="1"/>
  <c r="EI23" i="53"/>
  <c r="I12" i="24"/>
  <c r="G21" i="24"/>
  <c r="I8" i="53"/>
  <c r="BZ13" i="47"/>
  <c r="E10" i="53"/>
  <c r="AA10" i="53"/>
  <c r="CZ31" i="47"/>
  <c r="IH28" i="53"/>
  <c r="G10" i="24"/>
  <c r="G23" i="24"/>
  <c r="I15" i="24"/>
  <c r="J15" i="53"/>
  <c r="K15" i="53" s="1"/>
  <c r="CN18" i="47" s="1"/>
  <c r="DX18" i="47" s="1"/>
  <c r="K24" i="24"/>
  <c r="K16" i="24"/>
  <c r="G11" i="24"/>
  <c r="O12" i="24"/>
  <c r="K21" i="24"/>
  <c r="AW10" i="53"/>
  <c r="EJ20" i="53"/>
  <c r="IH17" i="53"/>
  <c r="CZ20" i="47"/>
  <c r="G13" i="24"/>
  <c r="P18" i="53"/>
  <c r="AW18" i="53"/>
  <c r="AA18" i="53"/>
  <c r="BS18" i="53"/>
  <c r="BH18" i="53"/>
  <c r="M19" i="24"/>
  <c r="M16" i="24"/>
  <c r="CJ10" i="53"/>
  <c r="CX13" i="47"/>
  <c r="CI10" i="53"/>
  <c r="CY13" i="47" s="1"/>
  <c r="CD28" i="53"/>
  <c r="CO28" i="53"/>
  <c r="AW28" i="53"/>
  <c r="DK28" i="53"/>
  <c r="DV28" i="53"/>
  <c r="BS28" i="53"/>
  <c r="CZ28" i="53"/>
  <c r="AA28" i="53"/>
  <c r="P28" i="53"/>
  <c r="BH28" i="53"/>
  <c r="AL28" i="53"/>
  <c r="EJ15" i="53"/>
  <c r="J28" i="53"/>
  <c r="CM31" i="47" s="1"/>
  <c r="DW31" i="47" s="1"/>
  <c r="K28" i="53"/>
  <c r="FI28" i="53" s="1"/>
  <c r="BY7" i="53"/>
  <c r="HW7" i="53" s="1"/>
  <c r="BX7" i="53"/>
  <c r="M22" i="24"/>
  <c r="CZ14" i="47"/>
  <c r="IH11" i="53"/>
  <c r="I9" i="24"/>
  <c r="JZ28" i="53"/>
  <c r="DL31" i="47"/>
  <c r="K12" i="24"/>
  <c r="DL15" i="47"/>
  <c r="JZ12" i="53"/>
  <c r="BS10" i="53"/>
  <c r="GE21" i="53"/>
  <c r="E10" i="24"/>
  <c r="E15" i="24"/>
  <c r="K19" i="24"/>
  <c r="I14" i="24"/>
  <c r="EJ11" i="53"/>
  <c r="EJ19" i="53"/>
  <c r="O22" i="24"/>
  <c r="AG10" i="53"/>
  <c r="CL13" i="47"/>
  <c r="DV13" i="47" s="1"/>
  <c r="AF10" i="53"/>
  <c r="K26" i="24"/>
  <c r="AL10" i="53"/>
  <c r="M14" i="24"/>
  <c r="GE19" i="53"/>
  <c r="P10" i="53"/>
  <c r="J14" i="53"/>
  <c r="CM17" i="47" s="1"/>
  <c r="DW17" i="47" s="1"/>
  <c r="K14" i="53"/>
  <c r="FI14" i="53" s="1"/>
  <c r="AA24" i="53"/>
  <c r="DV24" i="53"/>
  <c r="CZ24" i="53"/>
  <c r="BS24" i="53"/>
  <c r="AW24" i="53"/>
  <c r="DK24" i="53"/>
  <c r="AL24" i="53"/>
  <c r="BH24" i="53"/>
  <c r="P24" i="53"/>
  <c r="CD24" i="53"/>
  <c r="CO24" i="53"/>
  <c r="K14" i="24"/>
  <c r="JZ15" i="53"/>
  <c r="DL18" i="47"/>
  <c r="G17" i="24"/>
  <c r="AM20" i="53"/>
  <c r="AN20" i="53"/>
  <c r="GL20" i="53" s="1"/>
  <c r="O11" i="24"/>
  <c r="CZ27" i="47"/>
  <c r="IH24" i="53"/>
  <c r="G18" i="24"/>
  <c r="DL26" i="47"/>
  <c r="JZ23" i="53"/>
  <c r="GE24" i="53"/>
  <c r="DK10" i="53"/>
  <c r="O10" i="24"/>
  <c r="DQ10" i="53"/>
  <c r="JO10" i="53" s="1"/>
  <c r="DP10" i="53"/>
  <c r="O23" i="24"/>
  <c r="K15" i="24"/>
  <c r="CZ18" i="47"/>
  <c r="IH15" i="53"/>
  <c r="K13" i="53"/>
  <c r="FI13" i="53" s="1"/>
  <c r="J13" i="53"/>
  <c r="CM16" i="47" s="1"/>
  <c r="DW16" i="47" s="1"/>
  <c r="I19" i="24"/>
  <c r="V7" i="53"/>
  <c r="FT7" i="53" s="1"/>
  <c r="U7" i="53"/>
  <c r="DL24" i="47"/>
  <c r="JZ21" i="53"/>
  <c r="I17" i="24"/>
  <c r="DL19" i="47"/>
  <c r="JZ16" i="53"/>
  <c r="IH23" i="53"/>
  <c r="CZ26" i="47"/>
  <c r="E19" i="24"/>
  <c r="BC10" i="53"/>
  <c r="HA10" i="53" s="1"/>
  <c r="BB10" i="53"/>
  <c r="G14" i="24"/>
  <c r="GE22" i="53"/>
  <c r="K17" i="24"/>
  <c r="K11" i="24"/>
  <c r="J7" i="53"/>
  <c r="K7" i="53" s="1"/>
  <c r="FI7" i="53" s="1"/>
  <c r="I22" i="24"/>
  <c r="E20" i="24"/>
  <c r="M18" i="24"/>
  <c r="BU21" i="53"/>
  <c r="HS21" i="53" s="1"/>
  <c r="BT21" i="53"/>
  <c r="O9" i="24"/>
  <c r="K17" i="53"/>
  <c r="FI17" i="53" s="1"/>
  <c r="J17" i="53"/>
  <c r="CM20" i="47" s="1"/>
  <c r="DW20" i="47" s="1"/>
  <c r="M26" i="24"/>
  <c r="I21" i="24"/>
  <c r="CO10" i="53"/>
  <c r="J11" i="53"/>
  <c r="CM14" i="47" s="1"/>
  <c r="DW14" i="47" s="1"/>
  <c r="K11" i="53"/>
  <c r="FI11" i="53" s="1"/>
  <c r="I10" i="24"/>
  <c r="DL23" i="47"/>
  <c r="JZ20" i="53"/>
  <c r="G8" i="53"/>
  <c r="FE8" i="53" s="1"/>
  <c r="F8" i="53"/>
  <c r="JZ13" i="53"/>
  <c r="DL16" i="47"/>
  <c r="E23" i="24"/>
  <c r="M15" i="24"/>
  <c r="I13" i="24"/>
  <c r="M24" i="24"/>
  <c r="O19" i="24"/>
  <c r="EJ21" i="53"/>
  <c r="M17" i="24"/>
  <c r="I9" i="53"/>
  <c r="K22" i="24"/>
  <c r="CU10" i="53"/>
  <c r="IS10" i="53" s="1"/>
  <c r="CT10" i="53"/>
  <c r="M20" i="24"/>
  <c r="J10" i="53"/>
  <c r="K10" i="53" s="1"/>
  <c r="FI10" i="53" s="1"/>
  <c r="CZ24" i="47"/>
  <c r="IH21" i="53"/>
  <c r="CZ16" i="47"/>
  <c r="IH13" i="53"/>
  <c r="O14" i="24"/>
  <c r="DL14" i="47"/>
  <c r="JZ11" i="53"/>
  <c r="E11" i="24"/>
  <c r="GE12" i="53"/>
  <c r="JZ25" i="53"/>
  <c r="DL28" i="47"/>
  <c r="I26" i="24"/>
  <c r="CZ22" i="47"/>
  <c r="IH19" i="53"/>
  <c r="GE15" i="53"/>
  <c r="BN7" i="53"/>
  <c r="HL7" i="53" s="1"/>
  <c r="BM7" i="53"/>
  <c r="K13" i="24"/>
  <c r="I24" i="24"/>
  <c r="EI10" i="53"/>
  <c r="EB10" i="53"/>
  <c r="EA10" i="53"/>
  <c r="DK13" i="47" s="1"/>
  <c r="DJ13" i="47"/>
  <c r="G16" i="24"/>
  <c r="EJ17" i="53"/>
  <c r="CZ17" i="47"/>
  <c r="IH14" i="53"/>
  <c r="K16" i="53"/>
  <c r="FI16" i="53" s="1"/>
  <c r="J16" i="53"/>
  <c r="CM19" i="47" s="1"/>
  <c r="DW19" i="47" s="1"/>
  <c r="K25" i="53"/>
  <c r="FI25" i="53" s="1"/>
  <c r="J25" i="53"/>
  <c r="CM28" i="47" s="1"/>
  <c r="DW28" i="47" s="1"/>
  <c r="IH22" i="53"/>
  <c r="CZ25" i="47"/>
  <c r="G9" i="24"/>
  <c r="G12" i="24"/>
  <c r="EJ12" i="53"/>
  <c r="DE7" i="53"/>
  <c r="DF7" i="53"/>
  <c r="JD7" i="53" s="1"/>
  <c r="DL27" i="47"/>
  <c r="JZ24" i="53"/>
  <c r="GE16" i="53"/>
  <c r="O13" i="24"/>
  <c r="K20" i="53"/>
  <c r="FI20" i="53" s="1"/>
  <c r="J20" i="53"/>
  <c r="CM23" i="47" s="1"/>
  <c r="DW23" i="47" s="1"/>
  <c r="CZ19" i="47"/>
  <c r="IH16" i="53"/>
  <c r="E17" i="24"/>
  <c r="DF10" i="53"/>
  <c r="JD10" i="53" s="1"/>
  <c r="DE10" i="53"/>
  <c r="CO23" i="53"/>
  <c r="DK23" i="53"/>
  <c r="P23" i="53"/>
  <c r="BS23" i="53"/>
  <c r="AW23" i="53"/>
  <c r="CZ23" i="53"/>
  <c r="AL23" i="53"/>
  <c r="AA23" i="53"/>
  <c r="DV23" i="53"/>
  <c r="BH23" i="53"/>
  <c r="CD23" i="53"/>
  <c r="DP7" i="53"/>
  <c r="DQ7" i="53"/>
  <c r="JO7" i="53" s="1"/>
  <c r="CZ10" i="53"/>
  <c r="E13" i="24"/>
  <c r="JZ14" i="53"/>
  <c r="DL17" i="47"/>
  <c r="E24" i="24"/>
  <c r="E16" i="24"/>
  <c r="DL25" i="47"/>
  <c r="JZ22" i="53"/>
  <c r="AB19" i="53"/>
  <c r="AC19" i="53"/>
  <c r="U9" i="53"/>
  <c r="V9" i="53"/>
  <c r="FT9" i="53" s="1"/>
  <c r="I20" i="24"/>
  <c r="K19" i="53"/>
  <c r="FI19" i="53" s="1"/>
  <c r="J19" i="53"/>
  <c r="CM22" i="47" s="1"/>
  <c r="DW22" i="47" s="1"/>
  <c r="O21" i="24"/>
  <c r="EA7" i="53"/>
  <c r="EB7" i="53"/>
  <c r="BH10" i="53"/>
  <c r="K12" i="53"/>
  <c r="FI12" i="53" s="1"/>
  <c r="J12" i="53"/>
  <c r="CM15" i="47" s="1"/>
  <c r="DW15" i="47" s="1"/>
  <c r="CZ21" i="47"/>
  <c r="IH18" i="53"/>
  <c r="GE25" i="53"/>
  <c r="EI16" i="53"/>
  <c r="G19" i="24"/>
  <c r="JZ17" i="53"/>
  <c r="DL20" i="47"/>
  <c r="GE18" i="53"/>
  <c r="GE23" i="53"/>
  <c r="O17" i="24"/>
  <c r="JZ19" i="53"/>
  <c r="DL22" i="47"/>
  <c r="EJ22" i="53"/>
  <c r="V10" i="53"/>
  <c r="FT10" i="53" s="1"/>
  <c r="U10" i="53"/>
  <c r="I11" i="24"/>
  <c r="G22" i="24"/>
  <c r="O20" i="24"/>
  <c r="K18" i="24"/>
  <c r="E9" i="24"/>
  <c r="EI28" i="53"/>
  <c r="G26" i="24"/>
  <c r="M21" i="24"/>
  <c r="GE13" i="53"/>
  <c r="CD10" i="53"/>
  <c r="EI13" i="53"/>
  <c r="I23" i="24"/>
  <c r="O15" i="24"/>
  <c r="G9" i="53"/>
  <c r="FE9" i="53" s="1"/>
  <c r="F9" i="53"/>
  <c r="M13" i="24"/>
  <c r="BY4" i="47"/>
  <c r="K22" i="53"/>
  <c r="FI22" i="53" s="1"/>
  <c r="J22" i="53"/>
  <c r="CM25" i="47" s="1"/>
  <c r="DW25" i="47" s="1"/>
  <c r="CH24" i="47" l="1"/>
  <c r="DR24" i="47" s="1"/>
  <c r="DV11" i="53"/>
  <c r="DX11" i="53" s="1"/>
  <c r="DH14" i="47" s="1"/>
  <c r="CA6" i="47"/>
  <c r="E7" i="53"/>
  <c r="F7" i="53" s="1"/>
  <c r="G7" i="53" s="1"/>
  <c r="FE7" i="53" s="1"/>
  <c r="G4" i="47"/>
  <c r="CN19" i="47"/>
  <c r="DX19" i="47" s="1"/>
  <c r="CN21" i="47"/>
  <c r="DX21" i="47" s="1"/>
  <c r="CH14" i="47"/>
  <c r="DR14" i="47" s="1"/>
  <c r="CN27" i="47"/>
  <c r="DX27" i="47" s="1"/>
  <c r="CH20" i="47"/>
  <c r="DR20" i="47" s="1"/>
  <c r="CH16" i="47"/>
  <c r="DR16" i="47" s="1"/>
  <c r="CN16" i="47"/>
  <c r="DX16" i="47" s="1"/>
  <c r="CN26" i="47"/>
  <c r="DX26" i="47" s="1"/>
  <c r="CN28" i="47"/>
  <c r="DX28" i="47" s="1"/>
  <c r="CN24" i="47"/>
  <c r="DX24" i="47" s="1"/>
  <c r="CN17" i="47"/>
  <c r="DX17" i="47" s="1"/>
  <c r="CN14" i="47"/>
  <c r="DX14" i="47" s="1"/>
  <c r="CN23" i="47"/>
  <c r="DX23" i="47" s="1"/>
  <c r="CN15" i="47"/>
  <c r="DX15" i="47" s="1"/>
  <c r="CN25" i="47"/>
  <c r="DX25" i="47" s="1"/>
  <c r="CM13" i="47"/>
  <c r="DW13" i="47" s="1"/>
  <c r="CN20" i="47"/>
  <c r="DX20" i="47" s="1"/>
  <c r="CN22" i="47"/>
  <c r="DX22" i="47" s="1"/>
  <c r="CN31" i="47"/>
  <c r="DX31" i="47" s="1"/>
  <c r="CM18" i="47"/>
  <c r="DW18" i="47" s="1"/>
  <c r="CS110" i="59" s="1"/>
  <c r="K121" i="59" s="1"/>
  <c r="AA7" i="53"/>
  <c r="AB7" i="53" s="1"/>
  <c r="P7" i="53"/>
  <c r="Q7" i="53" s="1"/>
  <c r="AM14" i="53"/>
  <c r="AN14" i="53"/>
  <c r="GL14" i="53" s="1"/>
  <c r="CF13" i="53"/>
  <c r="CV16" i="47" s="1"/>
  <c r="CE13" i="53"/>
  <c r="CU16" i="47" s="1"/>
  <c r="CT16" i="47"/>
  <c r="DL15" i="53"/>
  <c r="CF11" i="53"/>
  <c r="ID11" i="53" s="1"/>
  <c r="CT14" i="47"/>
  <c r="BI17" i="53"/>
  <c r="CT18" i="47"/>
  <c r="AH87" i="59"/>
  <c r="CE15" i="53"/>
  <c r="CU18" i="47" s="1"/>
  <c r="AH193" i="59"/>
  <c r="DW19" i="53"/>
  <c r="DG22" i="47" s="1"/>
  <c r="BK24" i="59"/>
  <c r="BK65" i="59" s="1"/>
  <c r="CR194" i="59"/>
  <c r="J205" i="59" s="1"/>
  <c r="BK110" i="59"/>
  <c r="K117" i="59" s="1"/>
  <c r="BC110" i="59"/>
  <c r="C117" i="59" s="1"/>
  <c r="BI66" i="59"/>
  <c r="I73" i="59" s="1"/>
  <c r="BR131" i="59"/>
  <c r="BR172" i="59" s="1"/>
  <c r="BP24" i="59"/>
  <c r="BR88" i="59"/>
  <c r="BR130" i="59" s="1"/>
  <c r="BG131" i="59"/>
  <c r="BG172" i="59" s="1"/>
  <c r="BG66" i="59"/>
  <c r="BG109" i="59" s="1"/>
  <c r="BI152" i="59"/>
  <c r="BI193" i="59" s="1"/>
  <c r="BK66" i="59"/>
  <c r="BK109" i="59" s="1"/>
  <c r="BX88" i="59"/>
  <c r="BX130" i="59" s="1"/>
  <c r="BR66" i="59"/>
  <c r="BR109" i="59" s="1"/>
  <c r="BK173" i="59"/>
  <c r="K180" i="59" s="1"/>
  <c r="BK45" i="59"/>
  <c r="K52" i="59" s="1"/>
  <c r="BG3" i="59"/>
  <c r="G10" i="59" s="1"/>
  <c r="BP3" i="59"/>
  <c r="B18" i="59" s="1"/>
  <c r="C18" i="59" s="1"/>
  <c r="CS45" i="59"/>
  <c r="K56" i="59" s="1"/>
  <c r="CR173" i="59"/>
  <c r="J184" i="59" s="1"/>
  <c r="BI88" i="59"/>
  <c r="BI130" i="59" s="1"/>
  <c r="BX152" i="59"/>
  <c r="J167" i="59" s="1"/>
  <c r="BI131" i="59"/>
  <c r="I138" i="59" s="1"/>
  <c r="BI194" i="59"/>
  <c r="I201" i="59" s="1"/>
  <c r="BG110" i="59"/>
  <c r="BG151" i="59" s="1"/>
  <c r="BX24" i="59"/>
  <c r="BX65" i="59" s="1"/>
  <c r="BC45" i="59"/>
  <c r="C52" i="59" s="1"/>
  <c r="BE194" i="59"/>
  <c r="E201" i="59" s="1"/>
  <c r="BR24" i="59"/>
  <c r="BR65" i="59" s="1"/>
  <c r="I92" i="59"/>
  <c r="AH130" i="59"/>
  <c r="BK131" i="59"/>
  <c r="K138" i="59" s="1"/>
  <c r="BI110" i="59"/>
  <c r="BI151" i="59" s="1"/>
  <c r="BI24" i="59"/>
  <c r="I31" i="59" s="1"/>
  <c r="BA152" i="59"/>
  <c r="BA193" i="59" s="1"/>
  <c r="CS173" i="59"/>
  <c r="K184" i="59" s="1"/>
  <c r="CS152" i="59"/>
  <c r="K163" i="59" s="1"/>
  <c r="BG194" i="59"/>
  <c r="G201" i="59" s="1"/>
  <c r="BI45" i="59"/>
  <c r="I52" i="59" s="1"/>
  <c r="CS194" i="59"/>
  <c r="K205" i="59" s="1"/>
  <c r="BG45" i="59"/>
  <c r="BG87" i="59" s="1"/>
  <c r="BC24" i="59"/>
  <c r="C31" i="59" s="1"/>
  <c r="BE152" i="59"/>
  <c r="E159" i="59" s="1"/>
  <c r="BG24" i="59"/>
  <c r="BG65" i="59" s="1"/>
  <c r="BI3" i="59"/>
  <c r="I10" i="59" s="1"/>
  <c r="CS88" i="59"/>
  <c r="K99" i="59" s="1"/>
  <c r="BP110" i="59"/>
  <c r="CR66" i="59"/>
  <c r="J77" i="59" s="1"/>
  <c r="BA45" i="59"/>
  <c r="BA87" i="59" s="1"/>
  <c r="BG173" i="59"/>
  <c r="G180" i="59" s="1"/>
  <c r="BE110" i="59"/>
  <c r="E117" i="59" s="1"/>
  <c r="BA194" i="59"/>
  <c r="A201" i="59" s="1"/>
  <c r="BC131" i="59"/>
  <c r="C138" i="59" s="1"/>
  <c r="BK194" i="59"/>
  <c r="K201" i="59" s="1"/>
  <c r="BR152" i="59"/>
  <c r="BR193" i="59" s="1"/>
  <c r="CS131" i="59"/>
  <c r="K142" i="59" s="1"/>
  <c r="CR110" i="59"/>
  <c r="J121" i="59" s="1"/>
  <c r="CR24" i="59"/>
  <c r="J35" i="59" s="1"/>
  <c r="BR194" i="59"/>
  <c r="CR88" i="59"/>
  <c r="J99" i="59" s="1"/>
  <c r="BP66" i="59"/>
  <c r="BP152" i="59"/>
  <c r="BP193" i="59" s="1"/>
  <c r="BE45" i="59"/>
  <c r="BE87" i="59" s="1"/>
  <c r="BA110" i="59"/>
  <c r="A117" i="59" s="1"/>
  <c r="BC66" i="59"/>
  <c r="BC109" i="59" s="1"/>
  <c r="BR173" i="59"/>
  <c r="CS24" i="59"/>
  <c r="K35" i="59" s="1"/>
  <c r="BA66" i="59"/>
  <c r="BA109" i="59" s="1"/>
  <c r="AH109" i="59"/>
  <c r="I70" i="59"/>
  <c r="BA24" i="59"/>
  <c r="A31" i="59" s="1"/>
  <c r="BA88" i="59"/>
  <c r="BA130" i="59" s="1"/>
  <c r="BA173" i="59"/>
  <c r="A180" i="59" s="1"/>
  <c r="BC152" i="59"/>
  <c r="BC193" i="59" s="1"/>
  <c r="BG88" i="59"/>
  <c r="G95" i="59" s="1"/>
  <c r="BI173" i="59"/>
  <c r="I180" i="59" s="1"/>
  <c r="BE24" i="59"/>
  <c r="E31" i="59" s="1"/>
  <c r="BE173" i="59"/>
  <c r="E180" i="59" s="1"/>
  <c r="BE66" i="59"/>
  <c r="E73" i="59" s="1"/>
  <c r="I114" i="59"/>
  <c r="BP131" i="59"/>
  <c r="BP172" i="59" s="1"/>
  <c r="BP194" i="59"/>
  <c r="B209" i="59" s="1"/>
  <c r="C209" i="59" s="1"/>
  <c r="BK3" i="59"/>
  <c r="K10" i="59" s="1"/>
  <c r="BX110" i="59"/>
  <c r="J125" i="59" s="1"/>
  <c r="BE88" i="59"/>
  <c r="E95" i="59" s="1"/>
  <c r="BX194" i="59"/>
  <c r="J209" i="59" s="1"/>
  <c r="BA131" i="59"/>
  <c r="A138" i="59" s="1"/>
  <c r="BP173" i="59"/>
  <c r="B188" i="59" s="1"/>
  <c r="C188" i="59" s="1"/>
  <c r="CS66" i="59"/>
  <c r="K77" i="59" s="1"/>
  <c r="BC3" i="59"/>
  <c r="C10" i="59" s="1"/>
  <c r="BC88" i="59"/>
  <c r="BC130" i="59" s="1"/>
  <c r="CR131" i="59"/>
  <c r="J142" i="59" s="1"/>
  <c r="AH172" i="59"/>
  <c r="I135" i="59"/>
  <c r="BA3" i="59"/>
  <c r="A10" i="59" s="1"/>
  <c r="BK88" i="59"/>
  <c r="BK130" i="59" s="1"/>
  <c r="BX45" i="59"/>
  <c r="J60" i="59" s="1"/>
  <c r="BC194" i="59"/>
  <c r="C201" i="59" s="1"/>
  <c r="BC173" i="59"/>
  <c r="C180" i="59" s="1"/>
  <c r="BE3" i="59"/>
  <c r="E10" i="59" s="1"/>
  <c r="BG152" i="59"/>
  <c r="BG193" i="59" s="1"/>
  <c r="BE131" i="59"/>
  <c r="BE172" i="59" s="1"/>
  <c r="BK152" i="59"/>
  <c r="BK193" i="59" s="1"/>
  <c r="CR45" i="59"/>
  <c r="J56" i="59" s="1"/>
  <c r="BR110" i="59"/>
  <c r="BR151" i="59" s="1"/>
  <c r="BR3" i="59"/>
  <c r="BR45" i="59"/>
  <c r="BR87" i="59" s="1"/>
  <c r="CR152" i="59"/>
  <c r="J163" i="59" s="1"/>
  <c r="BP45" i="59"/>
  <c r="BP88" i="59"/>
  <c r="I28" i="59"/>
  <c r="AH65" i="59"/>
  <c r="DF22" i="47"/>
  <c r="BT19" i="53"/>
  <c r="CT8" i="53"/>
  <c r="CP19" i="53"/>
  <c r="AM19" i="53"/>
  <c r="Q19" i="53"/>
  <c r="EG9" i="53"/>
  <c r="EI7" i="53"/>
  <c r="EJ7" i="53" s="1"/>
  <c r="BY9" i="53"/>
  <c r="HW9" i="53" s="1"/>
  <c r="JV9" i="53"/>
  <c r="EI8" i="53"/>
  <c r="EJ8" i="53" s="1"/>
  <c r="EG8" i="53"/>
  <c r="AX19" i="53"/>
  <c r="BI20" i="53"/>
  <c r="JV8" i="53"/>
  <c r="Q20" i="53"/>
  <c r="CT23" i="47"/>
  <c r="CE20" i="53"/>
  <c r="CU23" i="47" s="1"/>
  <c r="EA8" i="53"/>
  <c r="BY8" i="53"/>
  <c r="HW8" i="53" s="1"/>
  <c r="DM19" i="53"/>
  <c r="JK19" i="53" s="1"/>
  <c r="BN9" i="53"/>
  <c r="HL9" i="53" s="1"/>
  <c r="DE8" i="53"/>
  <c r="CI9" i="53"/>
  <c r="EI9" i="53"/>
  <c r="EJ9" i="53" s="1"/>
  <c r="EB9" i="53"/>
  <c r="BI19" i="53"/>
  <c r="AR9" i="53"/>
  <c r="GP9" i="53" s="1"/>
  <c r="BU20" i="53"/>
  <c r="HS20" i="53" s="1"/>
  <c r="DF9" i="53"/>
  <c r="JD9" i="53" s="1"/>
  <c r="CJ8" i="53"/>
  <c r="IH8" i="53" s="1"/>
  <c r="AQ7" i="53"/>
  <c r="EB8" i="53"/>
  <c r="CF19" i="53"/>
  <c r="CV22" i="47" s="1"/>
  <c r="DQ9" i="53"/>
  <c r="JO9" i="53" s="1"/>
  <c r="CU7" i="53"/>
  <c r="IS7" i="53" s="1"/>
  <c r="CT22" i="47"/>
  <c r="CT9" i="53"/>
  <c r="DK7" i="53"/>
  <c r="DL7" i="53" s="1"/>
  <c r="DB19" i="53"/>
  <c r="IZ19" i="53" s="1"/>
  <c r="BZ10" i="47"/>
  <c r="EE19" i="53"/>
  <c r="BB9" i="53"/>
  <c r="BZ22" i="47"/>
  <c r="CA12" i="47"/>
  <c r="AF9" i="53"/>
  <c r="CI7" i="53"/>
  <c r="AQ8" i="53"/>
  <c r="DX22" i="53"/>
  <c r="JV22" i="53" s="1"/>
  <c r="AG8" i="53"/>
  <c r="GE8" i="53" s="1"/>
  <c r="BC8" i="53"/>
  <c r="HA8" i="53" s="1"/>
  <c r="CA11" i="47"/>
  <c r="DA22" i="53"/>
  <c r="AY20" i="53"/>
  <c r="GW20" i="53" s="1"/>
  <c r="AC20" i="53"/>
  <c r="GA20" i="53" s="1"/>
  <c r="BN8" i="53"/>
  <c r="HL8" i="53" s="1"/>
  <c r="DP8" i="53"/>
  <c r="U8" i="53"/>
  <c r="DF23" i="47"/>
  <c r="DF25" i="47"/>
  <c r="CH23" i="47"/>
  <c r="DR23" i="47" s="1"/>
  <c r="BS7" i="53"/>
  <c r="BT7" i="53" s="1"/>
  <c r="BZ23" i="47"/>
  <c r="DA20" i="53"/>
  <c r="DX20" i="53"/>
  <c r="JV20" i="53" s="1"/>
  <c r="CE22" i="53"/>
  <c r="CU25" i="47" s="1"/>
  <c r="AC22" i="53"/>
  <c r="CH25" i="47"/>
  <c r="DR25" i="47" s="1"/>
  <c r="AX15" i="53"/>
  <c r="Q22" i="53"/>
  <c r="DF18" i="47"/>
  <c r="CP22" i="53"/>
  <c r="AN7" i="53"/>
  <c r="GL7" i="53" s="1"/>
  <c r="BI11" i="53"/>
  <c r="X6" i="47"/>
  <c r="DW7" i="53"/>
  <c r="DX15" i="53"/>
  <c r="DH18" i="47" s="1"/>
  <c r="DM11" i="53"/>
  <c r="JK11" i="53" s="1"/>
  <c r="BT6" i="47"/>
  <c r="BU22" i="53"/>
  <c r="HS22" i="53" s="1"/>
  <c r="DM22" i="53"/>
  <c r="JK22" i="53" s="1"/>
  <c r="AD6" i="47"/>
  <c r="CT25" i="47"/>
  <c r="CZ7" i="53"/>
  <c r="DA7" i="53" s="1"/>
  <c r="EE22" i="53"/>
  <c r="BI22" i="53"/>
  <c r="CQ20" i="53"/>
  <c r="IO20" i="53" s="1"/>
  <c r="AX22" i="53"/>
  <c r="CD7" i="53"/>
  <c r="CF7" i="53" s="1"/>
  <c r="ID7" i="53" s="1"/>
  <c r="DM20" i="53"/>
  <c r="JK20" i="53" s="1"/>
  <c r="AY7" i="53"/>
  <c r="GW7" i="53" s="1"/>
  <c r="EE20" i="53"/>
  <c r="CO7" i="53"/>
  <c r="CP7" i="53" s="1"/>
  <c r="BH7" i="53"/>
  <c r="BI7" i="53" s="1"/>
  <c r="BZ25" i="47"/>
  <c r="DA15" i="53"/>
  <c r="CQ15" i="53"/>
  <c r="IO15" i="53" s="1"/>
  <c r="BI15" i="53"/>
  <c r="AB15" i="53"/>
  <c r="R15" i="53"/>
  <c r="FP15" i="53" s="1"/>
  <c r="DW21" i="53"/>
  <c r="DG24" i="47" s="1"/>
  <c r="DA11" i="53"/>
  <c r="CH18" i="47"/>
  <c r="DR18" i="47" s="1"/>
  <c r="DX21" i="53"/>
  <c r="DH24" i="47" s="1"/>
  <c r="R21" i="53"/>
  <c r="FP21" i="53" s="1"/>
  <c r="BT15" i="53"/>
  <c r="AN15" i="53"/>
  <c r="GL15" i="53" s="1"/>
  <c r="AB21" i="53"/>
  <c r="DW16" i="53"/>
  <c r="DG19" i="47" s="1"/>
  <c r="BT11" i="53"/>
  <c r="AM21" i="53"/>
  <c r="BZ18" i="47"/>
  <c r="BJ21" i="53"/>
  <c r="HH21" i="53" s="1"/>
  <c r="EE15" i="53"/>
  <c r="AY16" i="53"/>
  <c r="GW16" i="53" s="1"/>
  <c r="Q11" i="53"/>
  <c r="DF19" i="47"/>
  <c r="DM16" i="53"/>
  <c r="JK16" i="53" s="1"/>
  <c r="BI16" i="53"/>
  <c r="DA16" i="53"/>
  <c r="CQ16" i="53"/>
  <c r="IO16" i="53" s="1"/>
  <c r="CP11" i="53"/>
  <c r="DM21" i="53"/>
  <c r="JK21" i="53" s="1"/>
  <c r="CE21" i="53"/>
  <c r="CU24" i="47" s="1"/>
  <c r="CF21" i="53"/>
  <c r="CV24" i="47" s="1"/>
  <c r="AC21" i="53"/>
  <c r="R16" i="53"/>
  <c r="FP16" i="53" s="1"/>
  <c r="BT16" i="53"/>
  <c r="CT19" i="47"/>
  <c r="CE16" i="53"/>
  <c r="CU19" i="47" s="1"/>
  <c r="DB21" i="53"/>
  <c r="IZ21" i="53" s="1"/>
  <c r="AC11" i="53"/>
  <c r="AC13" i="53"/>
  <c r="AB11" i="53"/>
  <c r="AB13" i="53"/>
  <c r="AX21" i="53"/>
  <c r="AM11" i="53"/>
  <c r="AN13" i="53"/>
  <c r="GL13" i="53" s="1"/>
  <c r="AX13" i="53"/>
  <c r="BZ24" i="47"/>
  <c r="EE16" i="53"/>
  <c r="CP21" i="53"/>
  <c r="BZ14" i="47"/>
  <c r="AX11" i="53"/>
  <c r="DL13" i="53"/>
  <c r="AM16" i="53"/>
  <c r="BZ19" i="47"/>
  <c r="DB13" i="53"/>
  <c r="IZ13" i="53" s="1"/>
  <c r="BI13" i="53"/>
  <c r="CT17" i="47"/>
  <c r="R13" i="53"/>
  <c r="FP13" i="53" s="1"/>
  <c r="CF14" i="53"/>
  <c r="CV17" i="47" s="1"/>
  <c r="CQ14" i="53"/>
  <c r="IO14" i="53" s="1"/>
  <c r="BJ14" i="53"/>
  <c r="HH14" i="53" s="1"/>
  <c r="DB17" i="53"/>
  <c r="IZ17" i="53" s="1"/>
  <c r="DW17" i="53"/>
  <c r="DG20" i="47" s="1"/>
  <c r="DL17" i="53"/>
  <c r="DF20" i="47"/>
  <c r="AY14" i="53"/>
  <c r="GW14" i="53" s="1"/>
  <c r="DA14" i="53"/>
  <c r="R17" i="53"/>
  <c r="FP17" i="53" s="1"/>
  <c r="BU13" i="53"/>
  <c r="HS13" i="53" s="1"/>
  <c r="CH17" i="47"/>
  <c r="DR17" i="47" s="1"/>
  <c r="DX13" i="53"/>
  <c r="JV13" i="53" s="1"/>
  <c r="AB14" i="53"/>
  <c r="DW13" i="53"/>
  <c r="DG16" i="47" s="1"/>
  <c r="BT14" i="53"/>
  <c r="CF17" i="53"/>
  <c r="CV20" i="47" s="1"/>
  <c r="CQ13" i="53"/>
  <c r="IO13" i="53" s="1"/>
  <c r="CQ17" i="53"/>
  <c r="IO17" i="53" s="1"/>
  <c r="BZ16" i="47"/>
  <c r="BT17" i="53"/>
  <c r="AB17" i="53"/>
  <c r="DL14" i="53"/>
  <c r="EK14" i="53"/>
  <c r="AY17" i="53"/>
  <c r="GW17" i="53" s="1"/>
  <c r="EE14" i="53"/>
  <c r="BZ17" i="47"/>
  <c r="R14" i="53"/>
  <c r="FP14" i="53" s="1"/>
  <c r="BZ20" i="47"/>
  <c r="AM17" i="53"/>
  <c r="DX14" i="53"/>
  <c r="JV14" i="53" s="1"/>
  <c r="DF17" i="47"/>
  <c r="AC17" i="53"/>
  <c r="CE17" i="53"/>
  <c r="CU20" i="47" s="1"/>
  <c r="EK20" i="53"/>
  <c r="EE17" i="53"/>
  <c r="EK23" i="53"/>
  <c r="FI15" i="53"/>
  <c r="EK15" i="53"/>
  <c r="X5" i="47"/>
  <c r="EK18" i="53"/>
  <c r="EK16" i="53"/>
  <c r="EK13" i="53"/>
  <c r="BB5" i="47"/>
  <c r="BB4" i="47" s="1"/>
  <c r="EK19" i="53"/>
  <c r="EK25" i="53"/>
  <c r="EK11" i="53"/>
  <c r="EK12" i="53"/>
  <c r="EJ28" i="53"/>
  <c r="DH20" i="47"/>
  <c r="JV17" i="53"/>
  <c r="AM10" i="53"/>
  <c r="AN10" i="53" s="1"/>
  <c r="GL10" i="53" s="1"/>
  <c r="DX18" i="53"/>
  <c r="DW18" i="53"/>
  <c r="DG21" i="47" s="1"/>
  <c r="DF21" i="47"/>
  <c r="EJ23" i="53"/>
  <c r="BU12" i="53"/>
  <c r="HS12" i="53" s="1"/>
  <c r="BT12" i="53"/>
  <c r="G21" i="53"/>
  <c r="FE21" i="53" s="1"/>
  <c r="F21" i="53"/>
  <c r="AY23" i="53"/>
  <c r="GW23" i="53" s="1"/>
  <c r="AX23" i="53"/>
  <c r="J9" i="53"/>
  <c r="K9" i="53"/>
  <c r="FI9" i="53" s="1"/>
  <c r="CF24" i="53"/>
  <c r="CT27" i="47"/>
  <c r="CE24" i="53"/>
  <c r="CU27" i="47" s="1"/>
  <c r="G16" i="53"/>
  <c r="FE16" i="53" s="1"/>
  <c r="F16" i="53"/>
  <c r="CI19" i="47" s="1"/>
  <c r="DS19" i="47" s="1"/>
  <c r="E18" i="53"/>
  <c r="EE18" i="53" s="1"/>
  <c r="BZ21" i="47"/>
  <c r="AX10" i="53"/>
  <c r="AY10" i="53" s="1"/>
  <c r="GW10" i="53" s="1"/>
  <c r="EJ24" i="53"/>
  <c r="DM12" i="53"/>
  <c r="JK12" i="53" s="1"/>
  <c r="DL12" i="53"/>
  <c r="Q24" i="53"/>
  <c r="R24" i="53"/>
  <c r="FP24" i="53" s="1"/>
  <c r="CV25" i="47"/>
  <c r="ID22" i="53"/>
  <c r="CP18" i="53"/>
  <c r="CQ18" i="53"/>
  <c r="IO18" i="53" s="1"/>
  <c r="CV19" i="47"/>
  <c r="ID16" i="53"/>
  <c r="DA12" i="53"/>
  <c r="DB12" i="53"/>
  <c r="IZ12" i="53" s="1"/>
  <c r="BH5" i="47"/>
  <c r="BH4" i="47" s="1"/>
  <c r="CV23" i="47"/>
  <c r="ID20" i="53"/>
  <c r="CZ13" i="47"/>
  <c r="IH10" i="53"/>
  <c r="G14" i="53"/>
  <c r="FE14" i="53" s="1"/>
  <c r="F14" i="53"/>
  <c r="CQ12" i="53"/>
  <c r="IO12" i="53" s="1"/>
  <c r="CP12" i="53"/>
  <c r="BZ15" i="47"/>
  <c r="E12" i="53"/>
  <c r="EE12" i="53" s="1"/>
  <c r="BI23" i="53"/>
  <c r="BJ23" i="53"/>
  <c r="HH23" i="53" s="1"/>
  <c r="EK24" i="53"/>
  <c r="GA14" i="53"/>
  <c r="AM24" i="53"/>
  <c r="AN24" i="53"/>
  <c r="GL24" i="53" s="1"/>
  <c r="DX28" i="53"/>
  <c r="DW28" i="53"/>
  <c r="DG31" i="47" s="1"/>
  <c r="DF31" i="47"/>
  <c r="DM25" i="53"/>
  <c r="JK25" i="53" s="1"/>
  <c r="DL25" i="53"/>
  <c r="AV5" i="47"/>
  <c r="AV4" i="47" s="1"/>
  <c r="AB12" i="53"/>
  <c r="AC12" i="53"/>
  <c r="BJ12" i="53"/>
  <c r="HH12" i="53" s="1"/>
  <c r="BI12" i="53"/>
  <c r="EK22" i="53"/>
  <c r="DX23" i="53"/>
  <c r="DF26" i="47"/>
  <c r="DW23" i="53"/>
  <c r="DG26" i="47" s="1"/>
  <c r="DM23" i="53"/>
  <c r="JK23" i="53" s="1"/>
  <c r="DL23" i="53"/>
  <c r="EK10" i="53"/>
  <c r="JZ10" i="53"/>
  <c r="DL13" i="47"/>
  <c r="DL10" i="53"/>
  <c r="DM10" i="53" s="1"/>
  <c r="JK10" i="53" s="1"/>
  <c r="BZ27" i="47"/>
  <c r="E24" i="53"/>
  <c r="EE24" i="53" s="1"/>
  <c r="Q10" i="53"/>
  <c r="R10" i="53" s="1"/>
  <c r="FP10" i="53" s="1"/>
  <c r="BT10" i="53"/>
  <c r="BU10" i="53" s="1"/>
  <c r="HS10" i="53" s="1"/>
  <c r="AM28" i="53"/>
  <c r="AN28" i="53"/>
  <c r="GL28" i="53" s="1"/>
  <c r="DM28" i="53"/>
  <c r="JK28" i="53" s="1"/>
  <c r="DL28" i="53"/>
  <c r="AC18" i="53"/>
  <c r="AB18" i="53"/>
  <c r="EJ18" i="53"/>
  <c r="BU25" i="53"/>
  <c r="HS25" i="53" s="1"/>
  <c r="BT25" i="53"/>
  <c r="R25" i="53"/>
  <c r="FP25" i="53" s="1"/>
  <c r="Q25" i="53"/>
  <c r="Q28" i="53"/>
  <c r="R28" i="53"/>
  <c r="FP28" i="53" s="1"/>
  <c r="CF18" i="53"/>
  <c r="CT21" i="47"/>
  <c r="CE18" i="53"/>
  <c r="CU21" i="47" s="1"/>
  <c r="GA19" i="53"/>
  <c r="AB28" i="53"/>
  <c r="AC28" i="53"/>
  <c r="DA18" i="53"/>
  <c r="DB18" i="53"/>
  <c r="IZ18" i="53" s="1"/>
  <c r="F10" i="53"/>
  <c r="G10" i="53" s="1"/>
  <c r="FE10" i="53" s="1"/>
  <c r="E25" i="53"/>
  <c r="EE25" i="53" s="1"/>
  <c r="BZ28" i="47"/>
  <c r="EJ16" i="53"/>
  <c r="AY12" i="53"/>
  <c r="GW12" i="53" s="1"/>
  <c r="AX12" i="53"/>
  <c r="BU23" i="53"/>
  <c r="HS23" i="53" s="1"/>
  <c r="BT23" i="53"/>
  <c r="DX24" i="53"/>
  <c r="DF27" i="47"/>
  <c r="DW24" i="53"/>
  <c r="DG27" i="47" s="1"/>
  <c r="GE10" i="53"/>
  <c r="CN13" i="47"/>
  <c r="DX13" i="47" s="1"/>
  <c r="DA28" i="53"/>
  <c r="DB28" i="53"/>
  <c r="IZ28" i="53" s="1"/>
  <c r="AX25" i="53"/>
  <c r="AY25" i="53"/>
  <c r="GW25" i="53" s="1"/>
  <c r="DF15" i="47"/>
  <c r="DW12" i="53"/>
  <c r="DG15" i="47" s="1"/>
  <c r="DX12" i="53"/>
  <c r="CF23" i="53"/>
  <c r="CE23" i="53"/>
  <c r="CU26" i="47" s="1"/>
  <c r="CT26" i="47"/>
  <c r="BZ26" i="47"/>
  <c r="E23" i="53"/>
  <c r="EE23" i="53" s="1"/>
  <c r="JV7" i="53"/>
  <c r="AB24" i="53"/>
  <c r="AC24" i="53"/>
  <c r="BT28" i="53"/>
  <c r="BU28" i="53"/>
  <c r="HS28" i="53" s="1"/>
  <c r="BI18" i="53"/>
  <c r="BJ18" i="53"/>
  <c r="HH18" i="53" s="1"/>
  <c r="Q18" i="53"/>
  <c r="R18" i="53"/>
  <c r="FP18" i="53" s="1"/>
  <c r="DB25" i="53"/>
  <c r="IZ25" i="53" s="1"/>
  <c r="DA25" i="53"/>
  <c r="JZ7" i="53"/>
  <c r="G11" i="53"/>
  <c r="FE11" i="53" s="1"/>
  <c r="F11" i="53"/>
  <c r="G13" i="53"/>
  <c r="FE13" i="53" s="1"/>
  <c r="F13" i="53"/>
  <c r="K8" i="53"/>
  <c r="FI8" i="53" s="1"/>
  <c r="J8" i="53"/>
  <c r="AN25" i="53"/>
  <c r="GL25" i="53" s="1"/>
  <c r="AM25" i="53"/>
  <c r="JV19" i="53"/>
  <c r="DH22" i="47"/>
  <c r="CE10" i="53"/>
  <c r="CU13" i="47" s="1"/>
  <c r="CT13" i="47"/>
  <c r="BI10" i="53"/>
  <c r="BJ10" i="53" s="1"/>
  <c r="HH10" i="53" s="1"/>
  <c r="CE12" i="53"/>
  <c r="CU15" i="47" s="1"/>
  <c r="CT15" i="47"/>
  <c r="CF12" i="53"/>
  <c r="AB23" i="53"/>
  <c r="AC23" i="53"/>
  <c r="CP23" i="53"/>
  <c r="CQ23" i="53"/>
  <c r="IO23" i="53" s="1"/>
  <c r="EJ10" i="53"/>
  <c r="EE13" i="53"/>
  <c r="EK21" i="53"/>
  <c r="BN5" i="47"/>
  <c r="BN4" i="47" s="1"/>
  <c r="DL24" i="53"/>
  <c r="DM24" i="53"/>
  <c r="JK24" i="53" s="1"/>
  <c r="AP5" i="47"/>
  <c r="AP4" i="47" s="1"/>
  <c r="BZ31" i="47"/>
  <c r="E28" i="53"/>
  <c r="CH31" i="47" s="1"/>
  <c r="DR31" i="47" s="1"/>
  <c r="AY28" i="53"/>
  <c r="GW28" i="53" s="1"/>
  <c r="AX28" i="53"/>
  <c r="AM18" i="53"/>
  <c r="AN18" i="53"/>
  <c r="GL18" i="53" s="1"/>
  <c r="G17" i="53"/>
  <c r="FE17" i="53" s="1"/>
  <c r="F17" i="53"/>
  <c r="EE21" i="53"/>
  <c r="DW25" i="53"/>
  <c r="DG28" i="47" s="1"/>
  <c r="DX25" i="53"/>
  <c r="DF28" i="47"/>
  <c r="BJ25" i="53"/>
  <c r="HH25" i="53" s="1"/>
  <c r="BI25" i="53"/>
  <c r="EE10" i="53"/>
  <c r="DW10" i="53"/>
  <c r="DG13" i="47" s="1"/>
  <c r="DF13" i="47"/>
  <c r="EJ13" i="53"/>
  <c r="R12" i="53"/>
  <c r="FP12" i="53" s="1"/>
  <c r="Q12" i="53"/>
  <c r="DA23" i="53"/>
  <c r="DB23" i="53"/>
  <c r="IZ23" i="53" s="1"/>
  <c r="CP24" i="53"/>
  <c r="CQ24" i="53"/>
  <c r="IO24" i="53" s="1"/>
  <c r="BT24" i="53"/>
  <c r="BU24" i="53"/>
  <c r="HS24" i="53" s="1"/>
  <c r="CE28" i="53"/>
  <c r="CU31" i="47" s="1"/>
  <c r="CF28" i="53"/>
  <c r="CT31" i="47"/>
  <c r="CH13" i="47"/>
  <c r="DR13" i="47" s="1"/>
  <c r="AB10" i="53"/>
  <c r="CE25" i="53"/>
  <c r="CU28" i="47" s="1"/>
  <c r="CF25" i="53"/>
  <c r="CT28" i="47"/>
  <c r="DA24" i="53"/>
  <c r="DB24" i="53"/>
  <c r="IZ24" i="53" s="1"/>
  <c r="DA10" i="53"/>
  <c r="DB10" i="53" s="1"/>
  <c r="IZ10" i="53" s="1"/>
  <c r="AY18" i="53"/>
  <c r="GW18" i="53" s="1"/>
  <c r="AX18" i="53"/>
  <c r="AD5" i="47"/>
  <c r="G19" i="53"/>
  <c r="FE19" i="53" s="1"/>
  <c r="F19" i="53"/>
  <c r="CI22" i="47" s="1"/>
  <c r="DS22" i="47" s="1"/>
  <c r="BI24" i="53"/>
  <c r="BJ24" i="53"/>
  <c r="HH24" i="53" s="1"/>
  <c r="L5" i="47"/>
  <c r="L4" i="47" s="1"/>
  <c r="F5" i="47"/>
  <c r="F15" i="53"/>
  <c r="G15" i="53" s="1"/>
  <c r="CJ18" i="47" s="1"/>
  <c r="DT18" i="47" s="1"/>
  <c r="R23" i="53"/>
  <c r="FP23" i="53" s="1"/>
  <c r="Q23" i="53"/>
  <c r="BU18" i="53"/>
  <c r="HS18" i="53" s="1"/>
  <c r="BT18" i="53"/>
  <c r="GA15" i="53"/>
  <c r="G22" i="53"/>
  <c r="FE22" i="53" s="1"/>
  <c r="F22" i="53"/>
  <c r="CI25" i="47" s="1"/>
  <c r="DS25" i="47" s="1"/>
  <c r="G20" i="53"/>
  <c r="FE20" i="53" s="1"/>
  <c r="F20" i="53"/>
  <c r="CI23" i="47" s="1"/>
  <c r="DS23" i="47" s="1"/>
  <c r="EK17" i="53"/>
  <c r="AJ5" i="47"/>
  <c r="AJ4" i="47" s="1"/>
  <c r="AN12" i="53"/>
  <c r="GL12" i="53" s="1"/>
  <c r="AM12" i="53"/>
  <c r="DH19" i="47"/>
  <c r="JV16" i="53"/>
  <c r="AM23" i="53"/>
  <c r="AN23" i="53"/>
  <c r="GL23" i="53" s="1"/>
  <c r="CV18" i="47"/>
  <c r="ID15" i="53"/>
  <c r="CP10" i="53"/>
  <c r="CQ10" i="53" s="1"/>
  <c r="IO10" i="53" s="1"/>
  <c r="AY24" i="53"/>
  <c r="GW24" i="53" s="1"/>
  <c r="AX24" i="53"/>
  <c r="EK28" i="53"/>
  <c r="BI28" i="53"/>
  <c r="BJ28" i="53"/>
  <c r="HH28" i="53" s="1"/>
  <c r="CQ28" i="53"/>
  <c r="IO28" i="53" s="1"/>
  <c r="CP28" i="53"/>
  <c r="DL18" i="53"/>
  <c r="DM18" i="53"/>
  <c r="JK18" i="53" s="1"/>
  <c r="R5" i="47"/>
  <c r="R4" i="47" s="1"/>
  <c r="AC25" i="53"/>
  <c r="AB25" i="53"/>
  <c r="CQ25" i="53"/>
  <c r="IO25" i="53" s="1"/>
  <c r="CP25" i="53"/>
  <c r="GA16" i="53"/>
  <c r="BT5" i="47"/>
  <c r="DF14" i="47" l="1"/>
  <c r="JV11" i="53"/>
  <c r="EE11" i="53"/>
  <c r="DW11" i="53"/>
  <c r="DG14" i="47" s="1"/>
  <c r="BT4" i="47"/>
  <c r="X4" i="47"/>
  <c r="AD4" i="47"/>
  <c r="CI13" i="47"/>
  <c r="DS13" i="47" s="1"/>
  <c r="AC7" i="53"/>
  <c r="GA7" i="53" s="1"/>
  <c r="BZ6" i="47"/>
  <c r="BZ5" i="47"/>
  <c r="CH26" i="47"/>
  <c r="DR26" i="47" s="1"/>
  <c r="CH21" i="47"/>
  <c r="DR21" i="47" s="1"/>
  <c r="CH27" i="47"/>
  <c r="DR27" i="47" s="1"/>
  <c r="DM7" i="53"/>
  <c r="JK7" i="53" s="1"/>
  <c r="BU7" i="53"/>
  <c r="HS7" i="53" s="1"/>
  <c r="CH28" i="47"/>
  <c r="DR28" i="47" s="1"/>
  <c r="BI65" i="59"/>
  <c r="R7" i="53"/>
  <c r="FP7" i="53" s="1"/>
  <c r="CJ19" i="47"/>
  <c r="DT19" i="47" s="1"/>
  <c r="CH15" i="47"/>
  <c r="DR15" i="47" s="1"/>
  <c r="CJ17" i="47"/>
  <c r="DT17" i="47" s="1"/>
  <c r="CI14" i="47"/>
  <c r="DS14" i="47" s="1"/>
  <c r="CJ20" i="47"/>
  <c r="DT20" i="47" s="1"/>
  <c r="CJ16" i="47"/>
  <c r="DT16" i="47" s="1"/>
  <c r="CJ14" i="47"/>
  <c r="DT14" i="47" s="1"/>
  <c r="CJ24" i="47"/>
  <c r="DT24" i="47" s="1"/>
  <c r="CI20" i="47"/>
  <c r="DS20" i="47" s="1"/>
  <c r="CI24" i="47"/>
  <c r="DS24" i="47" s="1"/>
  <c r="CI17" i="47"/>
  <c r="DS17" i="47" s="1"/>
  <c r="CI18" i="47"/>
  <c r="DS18" i="47" s="1"/>
  <c r="CJ22" i="47"/>
  <c r="DT22" i="47" s="1"/>
  <c r="CJ25" i="47"/>
  <c r="DT25" i="47" s="1"/>
  <c r="CI16" i="47"/>
  <c r="DS16" i="47" s="1"/>
  <c r="ID13" i="53"/>
  <c r="CV14" i="47"/>
  <c r="I117" i="59"/>
  <c r="K31" i="59"/>
  <c r="G159" i="59"/>
  <c r="BE151" i="59"/>
  <c r="I95" i="59"/>
  <c r="B167" i="59"/>
  <c r="C167" i="59" s="1"/>
  <c r="K159" i="59"/>
  <c r="E138" i="59"/>
  <c r="G73" i="59"/>
  <c r="BE65" i="59"/>
  <c r="BX87" i="59"/>
  <c r="G31" i="59"/>
  <c r="A52" i="59"/>
  <c r="G117" i="59"/>
  <c r="BA65" i="59"/>
  <c r="K73" i="59"/>
  <c r="BC151" i="59"/>
  <c r="BI172" i="59"/>
  <c r="BI109" i="59"/>
  <c r="BE193" i="59"/>
  <c r="BA151" i="59"/>
  <c r="BK87" i="59"/>
  <c r="J103" i="59"/>
  <c r="E52" i="59"/>
  <c r="BE130" i="59"/>
  <c r="BK172" i="59"/>
  <c r="BX151" i="59"/>
  <c r="G52" i="59"/>
  <c r="C159" i="59"/>
  <c r="J39" i="59"/>
  <c r="BG130" i="59"/>
  <c r="G138" i="59"/>
  <c r="BK151" i="59"/>
  <c r="BX66" i="59"/>
  <c r="J81" i="59" s="1"/>
  <c r="CT88" i="59"/>
  <c r="L99" i="59" s="1"/>
  <c r="BY110" i="59"/>
  <c r="BB110" i="59"/>
  <c r="BH173" i="59"/>
  <c r="H180" i="59" s="1"/>
  <c r="BJ194" i="59"/>
  <c r="J201" i="59" s="1"/>
  <c r="CO194" i="59"/>
  <c r="G205" i="59" s="1"/>
  <c r="CT66" i="59"/>
  <c r="L77" i="59" s="1"/>
  <c r="BH66" i="59"/>
  <c r="H73" i="59" s="1"/>
  <c r="BD3" i="59"/>
  <c r="D10" i="59" s="1"/>
  <c r="BL3" i="59"/>
  <c r="L10" i="59" s="1"/>
  <c r="BH45" i="59"/>
  <c r="BH87" i="59" s="1"/>
  <c r="BJ24" i="59"/>
  <c r="CT24" i="59"/>
  <c r="L35" i="59" s="1"/>
  <c r="A95" i="59"/>
  <c r="BC87" i="59"/>
  <c r="BA172" i="59"/>
  <c r="BX193" i="59"/>
  <c r="A159" i="59"/>
  <c r="BX3" i="59"/>
  <c r="J18" i="59" s="1"/>
  <c r="C95" i="59"/>
  <c r="I159" i="59"/>
  <c r="BI87" i="59"/>
  <c r="BL110" i="59"/>
  <c r="BB173" i="59"/>
  <c r="B180" i="59" s="1"/>
  <c r="CN24" i="59"/>
  <c r="F35" i="59" s="1"/>
  <c r="CN131" i="59"/>
  <c r="F142" i="59" s="1"/>
  <c r="BH194" i="59"/>
  <c r="H201" i="59" s="1"/>
  <c r="CN152" i="59"/>
  <c r="F163" i="59" s="1"/>
  <c r="BL173" i="59"/>
  <c r="L180" i="59" s="1"/>
  <c r="BY194" i="59"/>
  <c r="K209" i="59" s="1"/>
  <c r="BD45" i="59"/>
  <c r="D52" i="59" s="1"/>
  <c r="BY45" i="59"/>
  <c r="BY87" i="59" s="1"/>
  <c r="BB66" i="59"/>
  <c r="BF152" i="59"/>
  <c r="BL194" i="59"/>
  <c r="L201" i="59" s="1"/>
  <c r="BD88" i="59"/>
  <c r="B103" i="59"/>
  <c r="C103" i="59" s="1"/>
  <c r="BP130" i="59"/>
  <c r="BX173" i="59"/>
  <c r="J188" i="59" s="1"/>
  <c r="BB152" i="59"/>
  <c r="CT110" i="59"/>
  <c r="L121" i="59" s="1"/>
  <c r="CN194" i="59"/>
  <c r="F205" i="59" s="1"/>
  <c r="CT45" i="59"/>
  <c r="L56" i="59" s="1"/>
  <c r="CS3" i="59"/>
  <c r="K14" i="59" s="1"/>
  <c r="BB194" i="59"/>
  <c r="B201" i="59" s="1"/>
  <c r="BY152" i="59"/>
  <c r="BY193" i="59" s="1"/>
  <c r="BF88" i="59"/>
  <c r="B146" i="59"/>
  <c r="C146" i="59" s="1"/>
  <c r="BH3" i="59"/>
  <c r="H10" i="59" s="1"/>
  <c r="BB131" i="59"/>
  <c r="B138" i="59" s="1"/>
  <c r="BC172" i="59"/>
  <c r="C73" i="59"/>
  <c r="BX131" i="59"/>
  <c r="J146" i="59" s="1"/>
  <c r="BC65" i="59"/>
  <c r="BJ45" i="59"/>
  <c r="BJ87" i="59" s="1"/>
  <c r="BB3" i="59"/>
  <c r="B10" i="59" s="1"/>
  <c r="BQ3" i="59"/>
  <c r="BH110" i="59"/>
  <c r="BY88" i="59"/>
  <c r="BL66" i="59"/>
  <c r="BF45" i="59"/>
  <c r="CT152" i="59"/>
  <c r="L163" i="59" s="1"/>
  <c r="BF66" i="59"/>
  <c r="BJ173" i="59"/>
  <c r="J180" i="59" s="1"/>
  <c r="B125" i="59"/>
  <c r="C125" i="59" s="1"/>
  <c r="BP151" i="59"/>
  <c r="BD194" i="59"/>
  <c r="D201" i="59" s="1"/>
  <c r="BB45" i="59"/>
  <c r="BF173" i="59"/>
  <c r="F180" i="59" s="1"/>
  <c r="BF194" i="59"/>
  <c r="F201" i="59" s="1"/>
  <c r="A73" i="59"/>
  <c r="K95" i="59"/>
  <c r="BE109" i="59"/>
  <c r="CO131" i="59"/>
  <c r="G142" i="59" s="1"/>
  <c r="BJ110" i="59"/>
  <c r="BD66" i="59"/>
  <c r="CT173" i="59"/>
  <c r="L184" i="59" s="1"/>
  <c r="BB88" i="59"/>
  <c r="BJ66" i="59"/>
  <c r="BL45" i="59"/>
  <c r="BF131" i="59"/>
  <c r="BL152" i="59"/>
  <c r="CN66" i="59"/>
  <c r="F77" i="59" s="1"/>
  <c r="BJ152" i="59"/>
  <c r="BH24" i="59"/>
  <c r="CR3" i="59"/>
  <c r="J14" i="59" s="1"/>
  <c r="BL88" i="59"/>
  <c r="BD24" i="59"/>
  <c r="BJ88" i="59"/>
  <c r="BY24" i="59"/>
  <c r="BJ131" i="59"/>
  <c r="BD131" i="59"/>
  <c r="CT131" i="59"/>
  <c r="L142" i="59" s="1"/>
  <c r="BP87" i="59"/>
  <c r="B60" i="59"/>
  <c r="C60" i="59" s="1"/>
  <c r="BD173" i="59"/>
  <c r="D180" i="59" s="1"/>
  <c r="BL24" i="59"/>
  <c r="BD110" i="59"/>
  <c r="BL131" i="59"/>
  <c r="CT194" i="59"/>
  <c r="L205" i="59" s="1"/>
  <c r="BD152" i="59"/>
  <c r="D159" i="59" s="1"/>
  <c r="BP65" i="59"/>
  <c r="B39" i="59"/>
  <c r="C39" i="59" s="1"/>
  <c r="BJ3" i="59"/>
  <c r="J10" i="59" s="1"/>
  <c r="BH131" i="59"/>
  <c r="H138" i="59" s="1"/>
  <c r="BF24" i="59"/>
  <c r="F31" i="59" s="1"/>
  <c r="BF3" i="59"/>
  <c r="F10" i="59" s="1"/>
  <c r="BP109" i="59"/>
  <c r="B81" i="59"/>
  <c r="C81" i="59" s="1"/>
  <c r="BH152" i="59"/>
  <c r="BF110" i="59"/>
  <c r="BH88" i="59"/>
  <c r="BB24" i="59"/>
  <c r="EF19" i="53"/>
  <c r="EK8" i="53"/>
  <c r="EK9" i="53"/>
  <c r="CA4" i="47"/>
  <c r="EE7" i="53"/>
  <c r="EF7" i="53" s="1"/>
  <c r="EK7" i="53"/>
  <c r="DH25" i="47"/>
  <c r="JZ9" i="53"/>
  <c r="EN9" i="53" s="1"/>
  <c r="ID19" i="53"/>
  <c r="EL19" i="53" s="1"/>
  <c r="JZ8" i="53"/>
  <c r="EM8" i="53" s="1"/>
  <c r="CJ23" i="47"/>
  <c r="DT23" i="47" s="1"/>
  <c r="JV15" i="53"/>
  <c r="CQ7" i="53"/>
  <c r="IO7" i="53" s="1"/>
  <c r="GA22" i="53"/>
  <c r="EM22" i="53" s="1"/>
  <c r="DH23" i="47"/>
  <c r="JV21" i="53"/>
  <c r="DB7" i="53"/>
  <c r="EF20" i="53"/>
  <c r="CE7" i="53"/>
  <c r="EF22" i="53"/>
  <c r="BJ7" i="53"/>
  <c r="HH7" i="53" s="1"/>
  <c r="EF15" i="53"/>
  <c r="EF11" i="53"/>
  <c r="ID21" i="53"/>
  <c r="GA21" i="53"/>
  <c r="GA13" i="53"/>
  <c r="GA11" i="53"/>
  <c r="EN11" i="53" s="1"/>
  <c r="EF16" i="53"/>
  <c r="ID14" i="53"/>
  <c r="EN14" i="53" s="1"/>
  <c r="EF17" i="53"/>
  <c r="ID17" i="53"/>
  <c r="DH16" i="47"/>
  <c r="EF14" i="53"/>
  <c r="EG13" i="53"/>
  <c r="EG22" i="53"/>
  <c r="GA17" i="53"/>
  <c r="DH17" i="47"/>
  <c r="AC10" i="53"/>
  <c r="GA10" i="53" s="1"/>
  <c r="EG16" i="53"/>
  <c r="CF10" i="53"/>
  <c r="CV13" i="47" s="1"/>
  <c r="EG11" i="53"/>
  <c r="FE15" i="53"/>
  <c r="EG15" i="53"/>
  <c r="EF12" i="53"/>
  <c r="EF21" i="53"/>
  <c r="EF18" i="53"/>
  <c r="ID12" i="53"/>
  <c r="CV15" i="47"/>
  <c r="GA28" i="53"/>
  <c r="G28" i="53"/>
  <c r="FE28" i="53" s="1"/>
  <c r="F28" i="53"/>
  <c r="CI31" i="47" s="1"/>
  <c r="DS31" i="47" s="1"/>
  <c r="JV24" i="53"/>
  <c r="DH27" i="47"/>
  <c r="G18" i="53"/>
  <c r="FE18" i="53" s="1"/>
  <c r="F18" i="53"/>
  <c r="CI21" i="47" s="1"/>
  <c r="DS21" i="47" s="1"/>
  <c r="JV18" i="53"/>
  <c r="DH21" i="47"/>
  <c r="GA24" i="53"/>
  <c r="DH28" i="47"/>
  <c r="JV25" i="53"/>
  <c r="EG19" i="53"/>
  <c r="G23" i="53"/>
  <c r="FE23" i="53" s="1"/>
  <c r="F23" i="53"/>
  <c r="CI26" i="47" s="1"/>
  <c r="DS26" i="47" s="1"/>
  <c r="EE28" i="53"/>
  <c r="EN16" i="53"/>
  <c r="EM16" i="53"/>
  <c r="EL16" i="53"/>
  <c r="EL20" i="53"/>
  <c r="EN20" i="53"/>
  <c r="EM20" i="53"/>
  <c r="EG20" i="53"/>
  <c r="EF24" i="53"/>
  <c r="CV31" i="47"/>
  <c r="ID28" i="53"/>
  <c r="EF23" i="53"/>
  <c r="GA18" i="53"/>
  <c r="JV28" i="53"/>
  <c r="DH31" i="47"/>
  <c r="GA25" i="53"/>
  <c r="F4" i="47"/>
  <c r="DX10" i="53"/>
  <c r="EF13" i="53"/>
  <c r="GA23" i="53"/>
  <c r="EK5" i="53"/>
  <c r="EK4" i="53"/>
  <c r="DH26" i="47"/>
  <c r="JV23" i="53"/>
  <c r="EG17" i="53"/>
  <c r="CV27" i="47"/>
  <c r="ID24" i="53"/>
  <c r="ID23" i="53"/>
  <c r="CV26" i="47"/>
  <c r="DH15" i="47"/>
  <c r="JV12" i="53"/>
  <c r="GA12" i="53"/>
  <c r="G12" i="53"/>
  <c r="FE12" i="53" s="1"/>
  <c r="F12" i="53"/>
  <c r="CI15" i="47" s="1"/>
  <c r="DS15" i="47" s="1"/>
  <c r="CV28" i="47"/>
  <c r="ID25" i="53"/>
  <c r="G24" i="53"/>
  <c r="FE24" i="53" s="1"/>
  <c r="F24" i="53"/>
  <c r="CI27" i="47" s="1"/>
  <c r="DS27" i="47" s="1"/>
  <c r="EG21" i="53"/>
  <c r="EF10" i="53"/>
  <c r="EF25" i="53"/>
  <c r="G25" i="53"/>
  <c r="FE25" i="53" s="1"/>
  <c r="F25" i="53"/>
  <c r="CI28" i="47" s="1"/>
  <c r="DS28" i="47" s="1"/>
  <c r="CV21" i="47"/>
  <c r="ID18" i="53"/>
  <c r="EG14" i="53"/>
  <c r="BZ4" i="47" l="1"/>
  <c r="CJ21" i="47"/>
  <c r="DT21" i="47" s="1"/>
  <c r="CJ26" i="47"/>
  <c r="DT26" i="47" s="1"/>
  <c r="CJ31" i="47"/>
  <c r="DT31" i="47" s="1"/>
  <c r="CJ27" i="47"/>
  <c r="DT27" i="47" s="1"/>
  <c r="CJ15" i="47"/>
  <c r="DT15" i="47" s="1"/>
  <c r="CJ28" i="47"/>
  <c r="DT28" i="47" s="1"/>
  <c r="EN13" i="53"/>
  <c r="BD193" i="59"/>
  <c r="BX109" i="59"/>
  <c r="BB172" i="59"/>
  <c r="J52" i="59"/>
  <c r="BH172" i="59"/>
  <c r="K167" i="59"/>
  <c r="K60" i="59"/>
  <c r="EL9" i="53"/>
  <c r="BH109" i="59"/>
  <c r="BD87" i="59"/>
  <c r="CN3" i="59"/>
  <c r="F14" i="59" s="1"/>
  <c r="CO110" i="59"/>
  <c r="G121" i="59" s="1"/>
  <c r="BQ131" i="59"/>
  <c r="BQ172" i="59" s="1"/>
  <c r="BH193" i="59"/>
  <c r="H159" i="59"/>
  <c r="BL130" i="59"/>
  <c r="L95" i="59"/>
  <c r="BJ151" i="59"/>
  <c r="J117" i="59"/>
  <c r="BF87" i="59"/>
  <c r="F52" i="59"/>
  <c r="BJ65" i="59"/>
  <c r="J31" i="59"/>
  <c r="CO45" i="59"/>
  <c r="G56" i="59" s="1"/>
  <c r="BT24" i="59"/>
  <c r="BY173" i="59"/>
  <c r="K188" i="59" s="1"/>
  <c r="BL193" i="59"/>
  <c r="L159" i="59"/>
  <c r="BL109" i="59"/>
  <c r="L73" i="59"/>
  <c r="B159" i="59"/>
  <c r="BB193" i="59"/>
  <c r="D95" i="59"/>
  <c r="BD130" i="59"/>
  <c r="BZ66" i="59"/>
  <c r="CT3" i="59"/>
  <c r="L14" i="59" s="1"/>
  <c r="CN110" i="59"/>
  <c r="F121" i="59" s="1"/>
  <c r="CP110" i="59"/>
  <c r="H121" i="59" s="1"/>
  <c r="CO88" i="59"/>
  <c r="G99" i="59" s="1"/>
  <c r="BZ152" i="59"/>
  <c r="BQ66" i="59"/>
  <c r="BQ109" i="59" s="1"/>
  <c r="CO152" i="59"/>
  <c r="G163" i="59" s="1"/>
  <c r="BT88" i="59"/>
  <c r="CO173" i="59"/>
  <c r="G184" i="59" s="1"/>
  <c r="H95" i="59"/>
  <c r="BH130" i="59"/>
  <c r="BL65" i="59"/>
  <c r="L31" i="59"/>
  <c r="BJ130" i="59"/>
  <c r="J95" i="59"/>
  <c r="H31" i="59"/>
  <c r="BH65" i="59"/>
  <c r="F138" i="59"/>
  <c r="BF172" i="59"/>
  <c r="CP194" i="59"/>
  <c r="H205" i="59" s="1"/>
  <c r="CO24" i="59"/>
  <c r="G35" i="59" s="1"/>
  <c r="BQ173" i="59"/>
  <c r="J138" i="59"/>
  <c r="BJ172" i="59"/>
  <c r="BT66" i="59"/>
  <c r="BT109" i="59" s="1"/>
  <c r="BT173" i="59"/>
  <c r="F188" i="59" s="1"/>
  <c r="CP131" i="59"/>
  <c r="H142" i="59" s="1"/>
  <c r="BB109" i="59"/>
  <c r="B73" i="59"/>
  <c r="CP88" i="59"/>
  <c r="H99" i="59" s="1"/>
  <c r="CO3" i="59"/>
  <c r="G14" i="59" s="1"/>
  <c r="CN45" i="59"/>
  <c r="F56" i="59" s="1"/>
  <c r="BY151" i="59"/>
  <c r="K125" i="59"/>
  <c r="BT45" i="59"/>
  <c r="BT87" i="59" s="1"/>
  <c r="BY131" i="59"/>
  <c r="BF65" i="59"/>
  <c r="CN173" i="59"/>
  <c r="F184" i="59" s="1"/>
  <c r="B52" i="59"/>
  <c r="BB87" i="59"/>
  <c r="F73" i="59"/>
  <c r="BF109" i="59"/>
  <c r="BY130" i="59"/>
  <c r="K103" i="59"/>
  <c r="F95" i="59"/>
  <c r="BF130" i="59"/>
  <c r="L117" i="59"/>
  <c r="BL151" i="59"/>
  <c r="BQ88" i="59"/>
  <c r="BQ130" i="59" s="1"/>
  <c r="J73" i="59"/>
  <c r="BJ109" i="59"/>
  <c r="BZ24" i="59"/>
  <c r="K41" i="59" s="1"/>
  <c r="B117" i="59"/>
  <c r="BB151" i="59"/>
  <c r="CP24" i="59"/>
  <c r="H35" i="59" s="1"/>
  <c r="BQ24" i="59"/>
  <c r="BQ65" i="59" s="1"/>
  <c r="BZ173" i="59"/>
  <c r="K190" i="59" s="1"/>
  <c r="BB65" i="59"/>
  <c r="B31" i="59"/>
  <c r="D117" i="59"/>
  <c r="BD151" i="59"/>
  <c r="BX172" i="59"/>
  <c r="BZ3" i="59"/>
  <c r="K20" i="59" s="1"/>
  <c r="BT194" i="59"/>
  <c r="F209" i="59" s="1"/>
  <c r="BY66" i="59"/>
  <c r="CP66" i="59"/>
  <c r="H77" i="59" s="1"/>
  <c r="BT131" i="59"/>
  <c r="BQ152" i="59"/>
  <c r="BQ193" i="59" s="1"/>
  <c r="H52" i="59"/>
  <c r="BQ110" i="59"/>
  <c r="BQ151" i="59" s="1"/>
  <c r="BZ131" i="59"/>
  <c r="BZ194" i="59"/>
  <c r="K211" i="59" s="1"/>
  <c r="BZ45" i="59"/>
  <c r="BQ194" i="59"/>
  <c r="BQ45" i="59"/>
  <c r="BQ87" i="59" s="1"/>
  <c r="F117" i="59"/>
  <c r="BF151" i="59"/>
  <c r="D138" i="59"/>
  <c r="BD172" i="59"/>
  <c r="D31" i="59"/>
  <c r="BD65" i="59"/>
  <c r="BJ193" i="59"/>
  <c r="J159" i="59"/>
  <c r="L52" i="59"/>
  <c r="BL87" i="59"/>
  <c r="D73" i="59"/>
  <c r="BD109" i="59"/>
  <c r="BT110" i="59"/>
  <c r="BL172" i="59"/>
  <c r="L138" i="59"/>
  <c r="BZ110" i="59"/>
  <c r="BZ151" i="59" s="1"/>
  <c r="BT152" i="59"/>
  <c r="F167" i="59" s="1"/>
  <c r="CO66" i="59"/>
  <c r="G77" i="59" s="1"/>
  <c r="CN88" i="59"/>
  <c r="F99" i="59" s="1"/>
  <c r="K39" i="59"/>
  <c r="BY65" i="59"/>
  <c r="BB130" i="59"/>
  <c r="B95" i="59"/>
  <c r="BT3" i="59"/>
  <c r="F18" i="59" s="1"/>
  <c r="BY3" i="59"/>
  <c r="K18" i="59" s="1"/>
  <c r="BZ88" i="59"/>
  <c r="CP152" i="59"/>
  <c r="H163" i="59" s="1"/>
  <c r="H117" i="59"/>
  <c r="BH151" i="59"/>
  <c r="F159" i="59"/>
  <c r="BF193" i="59"/>
  <c r="EM19" i="53"/>
  <c r="EN19" i="53"/>
  <c r="EN8" i="53"/>
  <c r="EM9" i="53"/>
  <c r="IZ7" i="53"/>
  <c r="EL7" i="53" s="1"/>
  <c r="EG7" i="53"/>
  <c r="EL8" i="53"/>
  <c r="EL22" i="53"/>
  <c r="EN22" i="53"/>
  <c r="EM13" i="53"/>
  <c r="EL13" i="53"/>
  <c r="EN21" i="53"/>
  <c r="EM21" i="53"/>
  <c r="EL11" i="53"/>
  <c r="EM11" i="53"/>
  <c r="EL21" i="53"/>
  <c r="EL14" i="53"/>
  <c r="EN17" i="53"/>
  <c r="EM14" i="53"/>
  <c r="CJ13" i="47"/>
  <c r="DT13" i="47" s="1"/>
  <c r="EM17" i="53"/>
  <c r="ID10" i="53"/>
  <c r="EG28" i="53"/>
  <c r="EL17" i="53"/>
  <c r="EG12" i="53"/>
  <c r="EG23" i="53"/>
  <c r="EG24" i="53"/>
  <c r="EM24" i="53"/>
  <c r="EN24" i="53"/>
  <c r="EL24" i="53"/>
  <c r="EG10" i="53"/>
  <c r="JV10" i="53"/>
  <c r="DH13" i="47"/>
  <c r="EG25" i="53"/>
  <c r="EN28" i="53"/>
  <c r="EM28" i="53"/>
  <c r="EL28" i="53"/>
  <c r="EN18" i="53"/>
  <c r="EM18" i="53"/>
  <c r="EL18" i="53"/>
  <c r="EG18" i="53"/>
  <c r="EM12" i="53"/>
  <c r="EN12" i="53"/>
  <c r="EL12" i="53"/>
  <c r="EN25" i="53"/>
  <c r="EL25" i="53"/>
  <c r="EM25" i="53"/>
  <c r="EL23" i="53"/>
  <c r="EM23" i="53"/>
  <c r="EN23" i="53"/>
  <c r="EF28" i="53"/>
  <c r="EL15" i="53"/>
  <c r="EM15" i="53"/>
  <c r="EN15" i="53"/>
  <c r="BZ65" i="59" l="1"/>
  <c r="F60" i="59"/>
  <c r="K127" i="59"/>
  <c r="F81" i="59"/>
  <c r="BT193" i="59"/>
  <c r="CC131" i="59"/>
  <c r="BT172" i="59"/>
  <c r="F146" i="59"/>
  <c r="BU88" i="59"/>
  <c r="BU173" i="59"/>
  <c r="G188" i="59" s="1"/>
  <c r="BU110" i="59"/>
  <c r="BV88" i="59"/>
  <c r="CC24" i="59"/>
  <c r="K105" i="59"/>
  <c r="BZ130" i="59"/>
  <c r="F125" i="59"/>
  <c r="BT151" i="59"/>
  <c r="CB131" i="59"/>
  <c r="BV24" i="59"/>
  <c r="BU66" i="59"/>
  <c r="G81" i="59" s="1"/>
  <c r="CA131" i="59"/>
  <c r="K148" i="59"/>
  <c r="BZ172" i="59"/>
  <c r="BY172" i="59"/>
  <c r="K146" i="59"/>
  <c r="K169" i="59"/>
  <c r="BZ193" i="59"/>
  <c r="BV152" i="59"/>
  <c r="G169" i="59" s="1"/>
  <c r="BY109" i="59"/>
  <c r="K81" i="59"/>
  <c r="BT130" i="59"/>
  <c r="F103" i="59"/>
  <c r="K83" i="59"/>
  <c r="BZ109" i="59"/>
  <c r="CC66" i="59"/>
  <c r="EM7" i="53"/>
  <c r="BV66" i="59"/>
  <c r="CC88" i="59"/>
  <c r="CC130" i="59" s="1"/>
  <c r="BU152" i="59"/>
  <c r="BZ87" i="59"/>
  <c r="K62" i="59"/>
  <c r="BU131" i="59"/>
  <c r="BV194" i="59"/>
  <c r="G211" i="59" s="1"/>
  <c r="C211" i="59" s="1"/>
  <c r="F39" i="59"/>
  <c r="BT65" i="59"/>
  <c r="CP173" i="59"/>
  <c r="H184" i="59" s="1"/>
  <c r="BU3" i="59"/>
  <c r="G18" i="59" s="1"/>
  <c r="BV110" i="59"/>
  <c r="CP45" i="59"/>
  <c r="H56" i="59" s="1"/>
  <c r="EN7" i="53"/>
  <c r="BU24" i="59"/>
  <c r="BU45" i="59"/>
  <c r="G60" i="59" s="1"/>
  <c r="BV131" i="59"/>
  <c r="CA194" i="59"/>
  <c r="B211" i="59" s="1"/>
  <c r="BU194" i="59"/>
  <c r="G209" i="59" s="1"/>
  <c r="EM10" i="53"/>
  <c r="EN10" i="53"/>
  <c r="EL10" i="53"/>
  <c r="EG5" i="53"/>
  <c r="EG4" i="53"/>
  <c r="BV193" i="59" l="1"/>
  <c r="BU109" i="59"/>
  <c r="BU87" i="59"/>
  <c r="G146" i="59"/>
  <c r="BU172" i="59"/>
  <c r="CC45" i="59"/>
  <c r="CC87" i="59" s="1"/>
  <c r="G148" i="59"/>
  <c r="C148" i="59" s="1"/>
  <c r="BV172" i="59"/>
  <c r="CC65" i="59"/>
  <c r="I41" i="59"/>
  <c r="I105" i="59"/>
  <c r="CB24" i="59"/>
  <c r="BV45" i="59"/>
  <c r="CB45" i="59"/>
  <c r="E62" i="59" s="1"/>
  <c r="G41" i="59"/>
  <c r="C41" i="59" s="1"/>
  <c r="BV65" i="59"/>
  <c r="BV109" i="59"/>
  <c r="G83" i="59"/>
  <c r="C83" i="59" s="1"/>
  <c r="CB152" i="59"/>
  <c r="BV130" i="59"/>
  <c r="G105" i="59"/>
  <c r="C105" i="59" s="1"/>
  <c r="CA152" i="59"/>
  <c r="CA45" i="59"/>
  <c r="CB88" i="59"/>
  <c r="BU65" i="59"/>
  <c r="G39" i="59"/>
  <c r="BU151" i="59"/>
  <c r="G125" i="59"/>
  <c r="I83" i="59"/>
  <c r="CC109" i="59"/>
  <c r="CA172" i="59"/>
  <c r="B148" i="59"/>
  <c r="G103" i="59"/>
  <c r="BU130" i="59"/>
  <c r="CB66" i="59"/>
  <c r="E83" i="59" s="1"/>
  <c r="CA173" i="59"/>
  <c r="B190" i="59" s="1"/>
  <c r="CB194" i="59"/>
  <c r="E211" i="59" s="1"/>
  <c r="CB172" i="59"/>
  <c r="E148" i="59"/>
  <c r="BV173" i="59"/>
  <c r="G190" i="59" s="1"/>
  <c r="C190" i="59" s="1"/>
  <c r="CP3" i="59"/>
  <c r="H14" i="59" s="1"/>
  <c r="G127" i="59"/>
  <c r="C127" i="59" s="1"/>
  <c r="BV151" i="59"/>
  <c r="G167" i="59"/>
  <c r="BU193" i="59"/>
  <c r="BV3" i="59"/>
  <c r="G20" i="59" s="1"/>
  <c r="C20" i="59" s="1"/>
  <c r="CA110" i="59"/>
  <c r="CB110" i="59"/>
  <c r="CA88" i="59"/>
  <c r="CC152" i="59"/>
  <c r="CA24" i="59"/>
  <c r="CC110" i="59"/>
  <c r="CC194" i="59"/>
  <c r="I211" i="59" s="1"/>
  <c r="CB173" i="59"/>
  <c r="E190" i="59" s="1"/>
  <c r="CC173" i="59"/>
  <c r="I190" i="59" s="1"/>
  <c r="CA66" i="59"/>
  <c r="B83" i="59" s="1"/>
  <c r="C169" i="59"/>
  <c r="CC172" i="59"/>
  <c r="I148" i="59"/>
  <c r="CB87" i="59" l="1"/>
  <c r="I62" i="59"/>
  <c r="CB109" i="59"/>
  <c r="I127" i="59"/>
  <c r="CC151" i="59"/>
  <c r="CA109" i="59"/>
  <c r="E41" i="59"/>
  <c r="CB65" i="59"/>
  <c r="CA193" i="59"/>
  <c r="B169" i="59"/>
  <c r="CA65" i="59"/>
  <c r="B41" i="59"/>
  <c r="CC193" i="59"/>
  <c r="I169" i="59"/>
  <c r="E127" i="59"/>
  <c r="CB151" i="59"/>
  <c r="B62" i="59"/>
  <c r="CA87" i="59"/>
  <c r="CA3" i="59"/>
  <c r="B20" i="59" s="1"/>
  <c r="CB3" i="59"/>
  <c r="E20" i="59" s="1"/>
  <c r="CC3" i="59"/>
  <c r="I20" i="59" s="1"/>
  <c r="CB130" i="59"/>
  <c r="E105" i="59"/>
  <c r="CB193" i="59"/>
  <c r="E169" i="59"/>
  <c r="BV87" i="59"/>
  <c r="G62" i="59"/>
  <c r="C62" i="59" s="1"/>
  <c r="B105" i="59"/>
  <c r="CA130" i="59"/>
  <c r="B127" i="59"/>
  <c r="CA151" i="59"/>
  <c r="L57" i="20" l="1"/>
  <c r="L59" i="20" s="1"/>
  <c r="M57" i="20" l="1"/>
  <c r="M59" i="20" s="1"/>
  <c r="M60" i="20" s="1"/>
  <c r="L60" i="20"/>
  <c r="F57" i="20" l="1"/>
  <c r="F59" i="20" s="1"/>
  <c r="G57" i="20"/>
  <c r="G59" i="20" s="1"/>
  <c r="G60" i="20" s="1"/>
  <c r="H57" i="20"/>
  <c r="H59" i="20" s="1"/>
  <c r="H60" i="20" s="1"/>
  <c r="N57" i="20"/>
  <c r="N59" i="20" s="1"/>
  <c r="N60" i="20" s="1"/>
  <c r="J57" i="20" l="1"/>
  <c r="J59" i="20" s="1"/>
  <c r="J60" i="20" s="1"/>
  <c r="G63" i="20"/>
  <c r="G64" i="20" s="1"/>
  <c r="F60" i="20"/>
  <c r="M63" i="20"/>
  <c r="M64" i="20" s="1"/>
  <c r="C57" i="20"/>
  <c r="E57" i="20"/>
  <c r="E59" i="20" s="1"/>
  <c r="E60" i="20" s="1"/>
  <c r="D57" i="20"/>
  <c r="D59" i="20" s="1"/>
  <c r="D60" i="20" s="1"/>
  <c r="I57" i="20" l="1"/>
  <c r="I59" i="20" s="1"/>
  <c r="I60" i="20" s="1"/>
  <c r="K57" i="20"/>
  <c r="K59" i="20" s="1"/>
  <c r="K60" i="20" s="1"/>
  <c r="C59" i="20"/>
  <c r="P57" i="20" l="1"/>
  <c r="P59" i="20" s="1"/>
  <c r="P60" i="20" s="1"/>
  <c r="J63" i="20"/>
  <c r="J64" i="20" s="1"/>
  <c r="R59" i="20"/>
  <c r="R60" i="20" s="1"/>
  <c r="D63" i="20"/>
  <c r="C60" i="20"/>
  <c r="P63" i="20" l="1"/>
  <c r="P64" i="20" s="1"/>
  <c r="D64" i="20"/>
  <c r="Q6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3" authorId="0" shapeId="0" xr:uid="{F4F326A8-042E-4D7C-B0E5-26118C634C7C}">
      <text>
        <r>
          <rPr>
            <b/>
            <sz val="9"/>
            <color indexed="81"/>
            <rFont val="Segoe UI"/>
            <family val="2"/>
          </rPr>
          <t>Peter Lehmann:</t>
        </r>
        <r>
          <rPr>
            <sz val="9"/>
            <color indexed="81"/>
            <rFont val="Segoe UI"/>
            <family val="2"/>
          </rPr>
          <t xml:space="preserve">
Problem: in einer Zelle steht  </t>
        </r>
        <r>
          <rPr>
            <b/>
            <sz val="9"/>
            <color indexed="81"/>
            <rFont val="Segoe UI"/>
            <family val="2"/>
          </rPr>
          <t>#Wert!  oder #DIV/0!</t>
        </r>
        <r>
          <rPr>
            <sz val="9"/>
            <color indexed="81"/>
            <rFont val="Segoe UI"/>
            <family val="2"/>
          </rPr>
          <t xml:space="preserve">   
</t>
        </r>
        <r>
          <rPr>
            <b/>
            <sz val="9"/>
            <color indexed="81"/>
            <rFont val="Segoe UI"/>
            <family val="2"/>
          </rPr>
          <t xml:space="preserve">Fehlerquelle 1
</t>
        </r>
        <r>
          <rPr>
            <sz val="9"/>
            <color indexed="81"/>
            <rFont val="Segoe UI"/>
            <family val="2"/>
          </rPr>
          <t xml:space="preserve">Auf keinen Fall graue Zellen "ausschneiden" und woanders "einfügen", das zerstört Verknüpfungen. Kopieren ist möglich.
</t>
        </r>
        <r>
          <rPr>
            <b/>
            <sz val="9"/>
            <color indexed="81"/>
            <rFont val="Segoe UI"/>
            <family val="2"/>
          </rPr>
          <t xml:space="preserve">Fehlerquelle 2 
</t>
        </r>
        <r>
          <rPr>
            <sz val="9"/>
            <color indexed="81"/>
            <rFont val="Segoe UI"/>
            <family val="2"/>
          </rPr>
          <t xml:space="preserve">Es fehlen Eingaben. Beispiel für die Seiten 4, 5, 6: Wenn ein Name auf den Mitarbeiterseite 4,5,6 eingegeben ist und keine weiteren Eingaben (Lohn, Monate, Wochenstd.), wird das System nicht rechnen können.
</t>
        </r>
        <r>
          <rPr>
            <b/>
            <sz val="9"/>
            <color indexed="81"/>
            <rFont val="Segoe UI"/>
            <family val="2"/>
          </rPr>
          <t xml:space="preserve">Fehlerquelle 3
</t>
        </r>
        <r>
          <rPr>
            <sz val="9"/>
            <color indexed="81"/>
            <rFont val="Segoe UI"/>
            <family val="2"/>
          </rPr>
          <t xml:space="preserve">Wenn ein Punkt anstatt des Kommas einsetzt wird, z.B.: anstatt 2400,00 wird 2400.00 eingegeben, kann das System nicht rechnen.
</t>
        </r>
        <r>
          <rPr>
            <b/>
            <sz val="9"/>
            <color indexed="81"/>
            <rFont val="Segoe UI"/>
            <family val="2"/>
          </rPr>
          <t xml:space="preserve">Lösung: 
</t>
        </r>
        <r>
          <rPr>
            <sz val="9"/>
            <color indexed="81"/>
            <rFont val="Segoe UI"/>
            <family val="2"/>
          </rPr>
          <t xml:space="preserve">1. Schauen Sie nach auf welcher Seite  #Wert!  oder #DIV/0! Zuerst auftritt.
2. Daraus können Sie auf die Eingabefelder schließen, in denen der Fehler vorliegt.
3. Eingabe machen oder ändern.
4. Nachschauen ob sich etwas verändert hat.   
5. Ja  gut gemacht 
6. Nein   Punkte 1 – 3 wiederholen
7. Nachschauen ob sich etwas verändert hat.   
8. Ja  gut gemacht 
9. Nein   Mir eine Mail mit der App als Anhang und Passwort schicken und Problem beschreiben.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Peter Lehmann 2</author>
  </authors>
  <commentList>
    <comment ref="C28" authorId="0" shapeId="0" xr:uid="{8B3E98EE-A915-481F-AA8F-F64E81BD5A0F}">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Peter Lehmann 2</author>
  </authors>
  <commentList>
    <comment ref="H19" authorId="0" shapeId="0" xr:uid="{F04D17DC-EDA1-4D5B-9045-1597E853AA3B}">
      <text>
        <r>
          <rPr>
            <sz val="9"/>
            <color indexed="81"/>
            <rFont val="Tahoma"/>
            <family val="2"/>
          </rPr>
          <t xml:space="preserve">Wenn hier ein </t>
        </r>
        <r>
          <rPr>
            <sz val="9"/>
            <color indexed="81"/>
            <rFont val="Wingdings"/>
            <charset val="2"/>
          </rPr>
          <t>ü</t>
        </r>
        <r>
          <rPr>
            <sz val="9"/>
            <color indexed="81"/>
            <rFont val="Tahoma"/>
            <family val="2"/>
          </rPr>
          <t xml:space="preserve">, dann erscheinen, die Rechnungen 2 + 4 nicht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Peter Lehmann 2</author>
  </authors>
  <commentList>
    <comment ref="D23" authorId="0" shapeId="0" xr:uid="{00000000-0006-0000-1600-000001000000}">
      <text>
        <r>
          <rPr>
            <b/>
            <sz val="9"/>
            <color indexed="81"/>
            <rFont val="Tahoma"/>
            <family val="2"/>
          </rPr>
          <t xml:space="preserve">wenn ü dann Rechnung mit Anteil Monaten bei Bruttolohn-
berechnung und ohne Chef
</t>
        </r>
      </text>
    </comment>
    <comment ref="D46" authorId="0" shapeId="0" xr:uid="{00000000-0006-0000-1600-000002000000}">
      <text>
        <r>
          <rPr>
            <b/>
            <sz val="9"/>
            <color indexed="81"/>
            <rFont val="Tahoma"/>
            <family val="2"/>
          </rPr>
          <t xml:space="preserve">wenn ü dann Rechnung mit Anteil Monaten bei Bruttolohn-
berechnung und ohne Chef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B8" authorId="0" shapeId="0" xr:uid="{1783B29D-40B4-4B62-B839-9C5FB115E1FD}">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C8" authorId="0" shapeId="0" xr:uid="{EC56398A-72FF-4B3D-A32F-C9544EEC5CFE}">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D8" authorId="0" shapeId="0" xr:uid="{78379727-BD02-4DB5-81A1-08C01D5D6506}">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H8" authorId="0" shapeId="0" xr:uid="{318DA37D-57B4-45AB-BEE4-C60C76E2EFDD}">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I8" authorId="0" shapeId="0" xr:uid="{5B9DEDB3-18C3-4FFB-A293-920F3A98B229}">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J8" authorId="0" shapeId="0" xr:uid="{53550899-5B39-439A-A032-58B4845D618A}">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N8" authorId="0" shapeId="0" xr:uid="{0CA40BF0-8442-49E2-B1D1-91EE7D818855}">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O8" authorId="0" shapeId="0" xr:uid="{F8CE4106-C32F-4646-A94D-7DA3CF189A8A}">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P8" authorId="0" shapeId="0" xr:uid="{26CE965C-0E61-42E6-8B63-F6825FED4110}">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T8" authorId="0" shapeId="0" xr:uid="{75B7AC27-1FA6-4019-AF99-8EA112C242F5}">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U8" authorId="0" shapeId="0" xr:uid="{95A48BE0-870C-4302-BCCC-C26FAA49417E}">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V8" authorId="0" shapeId="0" xr:uid="{1881F8EB-F1C0-4574-B737-16F332C3B711}">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Z8" authorId="0" shapeId="0" xr:uid="{2300C69E-340B-45FF-A633-1CCEA24F59A0}">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AA8" authorId="0" shapeId="0" xr:uid="{9E9EA8F0-C717-40F1-9FB8-149CD0BF511F}">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AB8" authorId="0" shapeId="0" xr:uid="{6B0663A7-B6A4-4B79-9C52-F086A53C61FA}">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AF8" authorId="0" shapeId="0" xr:uid="{50677C61-FE1D-4833-B50B-A9788FCFC7A9}">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AG8" authorId="0" shapeId="0" xr:uid="{3A6D2C29-39F3-46CB-9D1F-CB09EB421BF4}">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AH8" authorId="0" shapeId="0" xr:uid="{60B52880-8E78-4896-93B2-C2CACE04228F}">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AL8" authorId="0" shapeId="0" xr:uid="{94B2547F-7132-4575-8A0C-0326EE603DAF}">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AM8" authorId="0" shapeId="0" xr:uid="{DB941759-D929-444C-A5C5-31F807741B63}">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AN8" authorId="0" shapeId="0" xr:uid="{25F4FA62-B53C-408B-80A4-9A1D32153A06}">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AR8" authorId="0" shapeId="0" xr:uid="{3B654FB7-BD16-43AD-812B-BB1B512D460B}">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AS8" authorId="0" shapeId="0" xr:uid="{FD888669-3867-4A4B-A55E-DD601CCFD851}">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AT8" authorId="0" shapeId="0" xr:uid="{367555FC-9844-4F8E-80A2-EBB98F8626AF}">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AX8" authorId="0" shapeId="0" xr:uid="{7F56C3E8-0665-478A-9E2B-A42B79B8A96B}">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AY8" authorId="0" shapeId="0" xr:uid="{B93E264E-60C8-449D-97C2-39164F3F1524}">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AZ8" authorId="0" shapeId="0" xr:uid="{36B57B7C-82C2-4918-ADA7-21ECEBF89A9A}">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BD8" authorId="0" shapeId="0" xr:uid="{2C56E5AE-8053-4F24-8046-098C84FF643F}">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BE8" authorId="0" shapeId="0" xr:uid="{F7984B7C-9287-41AF-97BA-7780F2C0CF89}">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BF8" authorId="0" shapeId="0" xr:uid="{DA3249ED-2331-4D3E-88D8-0C4553C8C957}">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BJ8" authorId="0" shapeId="0" xr:uid="{BC6D69B0-B771-4857-A1E2-FE74EB22D763}">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BK8" authorId="0" shapeId="0" xr:uid="{699BD5A3-2658-4F6A-BC9A-6B834351E998}">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BL8" authorId="0" shapeId="0" xr:uid="{813F02D3-1462-452C-AAF4-44C7A56660F3}">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BP8" authorId="0" shapeId="0" xr:uid="{78B31714-AD53-4986-83CC-1FFEA0EC3AAC}">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BQ8" authorId="0" shapeId="0" xr:uid="{EFB986E8-D8E7-48D3-B9D3-E74D1CF8A4BB}">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BR8" authorId="0" shapeId="0" xr:uid="{7A77B3D3-2F76-43C8-AE65-89D485CFD952}">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BV8" authorId="0" shapeId="0" xr:uid="{7201D10E-2BE0-49D3-A2CE-DE533905E4B7}">
      <text>
        <r>
          <rPr>
            <b/>
            <sz val="9"/>
            <color indexed="81"/>
            <rFont val="Segoe UI"/>
            <family val="2"/>
          </rPr>
          <t>Peter Lehmann:</t>
        </r>
        <r>
          <rPr>
            <sz val="9"/>
            <color indexed="81"/>
            <rFont val="Segoe UI"/>
            <family val="2"/>
          </rPr>
          <t xml:space="preserve">
Hier tragen Sie bitte die geplanten oder nachhinein die tatsächlichen Arbeitstage ein.</t>
        </r>
      </text>
    </comment>
    <comment ref="BW8" authorId="0" shapeId="0" xr:uid="{A96C5A9C-F082-4B25-880F-544115E99400}">
      <text>
        <r>
          <rPr>
            <b/>
            <sz val="9"/>
            <color indexed="81"/>
            <rFont val="Segoe UI"/>
            <family val="2"/>
          </rPr>
          <t>Peter Lehmann:</t>
        </r>
        <r>
          <rPr>
            <sz val="9"/>
            <color indexed="81"/>
            <rFont val="Segoe UI"/>
            <family val="2"/>
          </rPr>
          <t xml:space="preserve">
Wenn es keine Urlaubs- tage im Monat gibt oder gab, nichts eintragen, auch nicht 0</t>
        </r>
      </text>
    </comment>
    <comment ref="BX8" authorId="0" shapeId="0" xr:uid="{E1A5377B-9931-42AE-9B2E-794519360552}">
      <text>
        <r>
          <rPr>
            <b/>
            <sz val="9"/>
            <color indexed="81"/>
            <rFont val="Segoe UI"/>
            <family val="2"/>
          </rPr>
          <t>Peter Lehmann:</t>
        </r>
        <r>
          <rPr>
            <sz val="9"/>
            <color indexed="81"/>
            <rFont val="Segoe UI"/>
            <family val="2"/>
          </rPr>
          <t xml:space="preserve">
Wenn es keine Kranken- tage im Monat gibt oder gab, nichts eintragen, auch nicht 0</t>
        </r>
      </text>
    </comment>
    <comment ref="B49" authorId="0" shapeId="0" xr:uid="{9A15C004-5F80-450D-8797-1E4CC4B2AD44}">
      <text>
        <r>
          <rPr>
            <b/>
            <sz val="9"/>
            <color indexed="81"/>
            <rFont val="Segoe UI"/>
            <family val="2"/>
          </rPr>
          <t>Peter Lehmann:</t>
        </r>
        <r>
          <rPr>
            <sz val="9"/>
            <color indexed="81"/>
            <rFont val="Segoe UI"/>
            <family val="2"/>
          </rPr>
          <t xml:space="preserve">
In diese 3 Spalten geben die geplanten Arbeits-,  Urlaubs- und evenutelle Krankentage ein, die Sie später auch in tatsächliche Tage ändern können.</t>
        </r>
      </text>
    </comment>
    <comment ref="C49" authorId="0" shapeId="0" xr:uid="{01610C9F-24C0-4073-8F3B-711D23543F8A}">
      <text>
        <r>
          <rPr>
            <b/>
            <sz val="9"/>
            <color indexed="81"/>
            <rFont val="Segoe UI"/>
            <family val="2"/>
          </rPr>
          <t>Peter Lehmann:</t>
        </r>
        <r>
          <rPr>
            <sz val="9"/>
            <color indexed="81"/>
            <rFont val="Segoe UI"/>
            <family val="2"/>
          </rPr>
          <t xml:space="preserve">
In diese 3 Spalten geben die geplanten Arbeits-,  Urlaubs- und evenutelle Krankentage ein, die Sie später auch in tatsächliche Tage ändern können.</t>
        </r>
      </text>
    </comment>
    <comment ref="D49" authorId="0" shapeId="0" xr:uid="{58F4DC33-ED7C-46C8-8AA3-481D1B4F2194}">
      <text>
        <r>
          <rPr>
            <b/>
            <sz val="9"/>
            <color indexed="81"/>
            <rFont val="Segoe UI"/>
            <family val="2"/>
          </rPr>
          <t>Peter Lehmann:</t>
        </r>
        <r>
          <rPr>
            <sz val="9"/>
            <color indexed="81"/>
            <rFont val="Segoe UI"/>
            <family val="2"/>
          </rPr>
          <t xml:space="preserve">
In diese 3 Spalten geben die geplanten Arbeits-,  Urlaubs- und evenutelle Krankentage ein, die Sie später auch in tatsächliche Tage ändern können.</t>
        </r>
      </text>
    </comment>
    <comment ref="E49" authorId="0" shapeId="0" xr:uid="{105FC01F-5682-4993-A6DF-4A9516BCA430}">
      <text>
        <r>
          <rPr>
            <b/>
            <sz val="9"/>
            <color indexed="81"/>
            <rFont val="Segoe UI"/>
            <family val="2"/>
          </rPr>
          <t>Peter Lehmann:</t>
        </r>
        <r>
          <rPr>
            <sz val="9"/>
            <color indexed="81"/>
            <rFont val="Segoe UI"/>
            <family val="2"/>
          </rPr>
          <t xml:space="preserve">
In dieses 3 Spalten geben Sie den geplanten Gesamt-, DL-, und VK- Umsatz des Azubi ein. Später können Sie die Eingaben auch in den tatsächlichen Umsatz ändern.
</t>
        </r>
      </text>
    </comment>
    <comment ref="F49" authorId="0" shapeId="0" xr:uid="{949D312B-9979-48DA-A404-19AE02F21076}">
      <text>
        <r>
          <rPr>
            <b/>
            <sz val="9"/>
            <color indexed="81"/>
            <rFont val="Segoe UI"/>
            <family val="2"/>
          </rPr>
          <t>Peter Lehmann:</t>
        </r>
        <r>
          <rPr>
            <sz val="9"/>
            <color indexed="81"/>
            <rFont val="Segoe UI"/>
            <family val="2"/>
          </rPr>
          <t xml:space="preserve">
In dieses 3 Spalten geben Sie den geplanten Gesamt-, DL-, und VK- Umsatz des Azubi ein. Später können Sie die Eingaben auch in den tatsächlichen Umsatz ändern.
</t>
        </r>
      </text>
    </comment>
    <comment ref="G49" authorId="0" shapeId="0" xr:uid="{86016559-C877-4B64-BD66-6058FF05AB9F}">
      <text>
        <r>
          <rPr>
            <b/>
            <sz val="9"/>
            <color indexed="81"/>
            <rFont val="Segoe UI"/>
            <family val="2"/>
          </rPr>
          <t>Peter Lehmann:</t>
        </r>
        <r>
          <rPr>
            <sz val="9"/>
            <color indexed="81"/>
            <rFont val="Segoe UI"/>
            <family val="2"/>
          </rPr>
          <t xml:space="preserve">
In dieses 3 Spalten geben Sie den geplanten Gesamt-, DL-, und VK- Umsatz des Azubi ein. Später können Sie die Eingaben auch in den tatsächlichen Umsatz ändern.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G5" authorId="0" shapeId="0" xr:uid="{3CBE0035-F4C8-4CD9-86D9-6273CF7709B1}">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K5" authorId="0" shapeId="0" xr:uid="{2FD45722-8584-433E-A6BB-026F45D63907}">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R5" authorId="0" shapeId="0" xr:uid="{223433B8-EB38-4478-873A-16E8CFE60963}">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V5" authorId="0" shapeId="0" xr:uid="{0096D450-A3ED-4E8F-B0E9-A13340173A5F}">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AC5" authorId="0" shapeId="0" xr:uid="{EAC08868-528B-46F9-B712-918310FAA4E0}">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AG5" authorId="0" shapeId="0" xr:uid="{A52109C8-521E-4078-B92F-317EB39CCD87}">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AN5" authorId="0" shapeId="0" xr:uid="{049D7F92-7BE2-4AE9-B762-076D5CF62BD7}">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AR5" authorId="0" shapeId="0" xr:uid="{4CBE0761-B884-4441-A3C5-854E9D12443A}">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AY5" authorId="0" shapeId="0" xr:uid="{30A00570-9B74-48E3-8226-6FA30CCACE13}">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BC5" authorId="0" shapeId="0" xr:uid="{9DE80C1B-2CB6-4DA0-998C-EF2DC0CDA75B}">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BJ5" authorId="0" shapeId="0" xr:uid="{A5AF7B6D-BB7F-420E-86A3-534C39D5459E}">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BN5" authorId="0" shapeId="0" xr:uid="{1C69A7E9-CF55-4384-9AA6-5A607E676140}">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BU5" authorId="0" shapeId="0" xr:uid="{1196EFFB-5A2A-49B9-8352-9A7F0FB40755}">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BY5" authorId="0" shapeId="0" xr:uid="{4EDDBF19-977D-4362-9BAE-4195C067D0B0}">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CF5" authorId="0" shapeId="0" xr:uid="{9BC547CF-A827-4CA9-8B50-16F5D8435322}">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CJ5" authorId="0" shapeId="0" xr:uid="{88D6FF31-AFF0-40A6-94A0-53815D0696C6}">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CQ5" authorId="0" shapeId="0" xr:uid="{1D762DF7-B447-4542-927F-5281381290D5}">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CU5" authorId="0" shapeId="0" xr:uid="{45B417DA-8D18-4678-887B-350905E70D56}">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DB5" authorId="0" shapeId="0" xr:uid="{7135D43F-DBA6-4DB5-85CE-AF8900100293}">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DF5" authorId="0" shapeId="0" xr:uid="{36A49F4C-CCF0-4FB2-B918-AA1AB21295E8}">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DM5" authorId="0" shapeId="0" xr:uid="{0BF00C32-9393-43E1-BA99-36FA8673342C}">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DQ5" authorId="0" shapeId="0" xr:uid="{A566D199-C23E-4BE4-8103-02E9D636D75F}">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DX5" authorId="0" shapeId="0" xr:uid="{7BF104F2-B1D5-412A-B618-C8FD05DCE4F4}">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EB5" authorId="0" shapeId="0" xr:uid="{20DA01F8-A1EE-4AF7-9790-9DDC998494F9}">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B6" authorId="0" shapeId="0" xr:uid="{50B0B44B-385B-4004-A175-DCBC8F79ACB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6" authorId="0" shapeId="0" xr:uid="{3F785CCA-BCA7-43AF-8E99-2A80D538D6EF}">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D6" authorId="0" shapeId="0" xr:uid="{A145D59F-A1D8-49F6-9AFC-94BFE2331D38}">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H6" authorId="0" shapeId="0" xr:uid="{6B04C155-84D8-4708-9973-4976A704654B}">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L6" authorId="0" shapeId="0" xr:uid="{0D2A138D-8790-4DCC-A730-551E65375417}">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M6" authorId="0" shapeId="0" xr:uid="{5E0E7616-D4B0-4104-B7D7-E5B065B9A9F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N6" authorId="0" shapeId="0" xr:uid="{5079687C-873E-404F-88C4-6B7D74D34DC2}">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O6" authorId="0" shapeId="0" xr:uid="{898C54A2-338A-408F-8783-F348F9082C01}">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S6" authorId="0" shapeId="0" xr:uid="{B93A5E96-FE03-46EA-BB2B-3DF384F46D76}">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X6" authorId="0" shapeId="0" xr:uid="{CF3E6DE4-47CD-4766-AD76-1B2C58881B67}">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Y6" authorId="0" shapeId="0" xr:uid="{A9CE7D92-5D36-4840-8468-2369B520F8A8}">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Z6" authorId="0" shapeId="0" xr:uid="{98FE263E-255F-4279-A649-86AE269AECAF}">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AD6" authorId="0" shapeId="0" xr:uid="{E565E25E-5CB0-4096-8608-86C40466FA26}">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AH6" authorId="0" shapeId="0" xr:uid="{F343ACB3-4B7D-4802-AD99-B4B9087B8CC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AI6" authorId="0" shapeId="0" xr:uid="{1DD94477-CD35-409F-8021-B5BAA7776FCE}">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AJ6" authorId="0" shapeId="0" xr:uid="{38B3A69A-2398-4517-B0C9-0291C5B99E1D}">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AK6" authorId="0" shapeId="0" xr:uid="{07DC3F07-B543-4377-B680-B19C0376C797}">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AO6" authorId="0" shapeId="0" xr:uid="{98A35D1E-AD4B-4AE3-B026-759D81DC6742}">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AT6" authorId="0" shapeId="0" xr:uid="{54697FA9-8482-4ED8-AE02-D7EB7A3D2888}">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AU6" authorId="0" shapeId="0" xr:uid="{9ECF5059-11DA-4102-822B-6703CF5618E0}">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AV6" authorId="0" shapeId="0" xr:uid="{A51937ED-7804-468E-8299-0B0B869A1866}">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AZ6" authorId="0" shapeId="0" xr:uid="{E8C34B6E-2B3F-4D11-9E63-650329099646}">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D6" authorId="0" shapeId="0" xr:uid="{D29D9F2D-06E7-4353-B8E1-C9406B3ED0B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BE6" authorId="0" shapeId="0" xr:uid="{56397C79-1C94-4BED-8D4A-869E7449F442}">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BF6" authorId="0" shapeId="0" xr:uid="{0EF345D1-094B-4BC2-B0E1-0DD50AC200AF}">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BG6" authorId="0" shapeId="0" xr:uid="{C2AC8A29-F5AE-470E-833B-5A2A37E97976}">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BK6" authorId="0" shapeId="0" xr:uid="{6A48235B-3C9F-4C07-AC35-954EFE59207E}">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P6" authorId="0" shapeId="0" xr:uid="{FB31FEC8-4E0E-4DE9-8DFE-FB187A5E9782}">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BQ6" authorId="0" shapeId="0" xr:uid="{FCB85D90-DA9A-43BB-A465-F02140F40076}">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BR6" authorId="0" shapeId="0" xr:uid="{7201C1D7-39A4-42CF-B88B-1653E945FB20}">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BV6" authorId="0" shapeId="0" xr:uid="{6016D65D-1052-41B7-B35B-8263A687D792}">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Z6" authorId="0" shapeId="0" xr:uid="{D2896215-87AA-4BC2-868E-3E2B46A27AD0}">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A6" authorId="0" shapeId="0" xr:uid="{69A5DBDD-760C-4E5E-9193-BFD8CCE63678}">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B6" authorId="0" shapeId="0" xr:uid="{38DB61CC-FE14-4193-9DE3-46AECBB26964}">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CC6" authorId="0" shapeId="0" xr:uid="{3D2D7CA6-472A-422E-A6EB-FE3959D6296D}">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CG6" authorId="0" shapeId="0" xr:uid="{84E6C99C-286A-469D-948E-6F2C34E1F903}">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CL6" authorId="0" shapeId="0" xr:uid="{74DCA95E-F0A5-4D9F-A405-9E99FD95C066}">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M6" authorId="0" shapeId="0" xr:uid="{062D237F-5BE8-4922-A672-B95E5298FADA}">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CN6" authorId="0" shapeId="0" xr:uid="{2A8C9CFA-29D8-4AAB-A191-3A24F17C0AFC}">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CR6" authorId="0" shapeId="0" xr:uid="{701687A6-8551-4AD0-BDDE-532513B70559}">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CV6" authorId="0" shapeId="0" xr:uid="{AE15963D-9088-4360-BC2D-78446CB9C55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W6" authorId="0" shapeId="0" xr:uid="{C2B1F5F6-7C89-419E-9B7E-8A4C57E4D90B}">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X6" authorId="0" shapeId="0" xr:uid="{FA212ECB-DED4-4129-AA16-DDFCFC2ED6B5}">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CY6" authorId="0" shapeId="0" xr:uid="{E19F765C-85B6-4C47-A10F-61C0428B4470}">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DC6" authorId="0" shapeId="0" xr:uid="{DE92DF24-08DA-4CCD-81C7-8B623C718D11}">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DH6" authorId="0" shapeId="0" xr:uid="{385862E0-7608-4F7B-A303-983C798502E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DI6" authorId="0" shapeId="0" xr:uid="{F53AC91A-7D1E-46CF-8FB1-550652C84585}">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DJ6" authorId="0" shapeId="0" xr:uid="{85BE8EF7-288C-4321-A659-94313906C105}">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DN6" authorId="0" shapeId="0" xr:uid="{CFE9D169-800E-41BF-92D3-B4C394F7DB12}">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DR6" authorId="0" shapeId="0" xr:uid="{4041B4BB-EBE4-43FA-B7BE-2F6A4320FB64}">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DS6" authorId="0" shapeId="0" xr:uid="{B95CBFAB-B910-4685-8071-A5BF562B9F4D}">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DT6" authorId="0" shapeId="0" xr:uid="{2BF1F401-DD07-49A9-B630-4C19BCB1C375}">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DU6" authorId="0" shapeId="0" xr:uid="{5DD16734-D066-4B48-9379-7A5F93585E2C}">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DY6" authorId="0" shapeId="0" xr:uid="{511D4B53-47B1-4CDD-B774-5E9D59FBF670}">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47" authorId="0" shapeId="0" xr:uid="{941359F6-C728-4A3E-8EDA-A0EFF9DC186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47" authorId="0" shapeId="0" xr:uid="{00C686E5-94F2-4AD1-BC67-1DDCDBF3A9A8}">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D47" authorId="0" shapeId="0" xr:uid="{56431B2D-57CC-462A-A7A7-0CD0B2ABF0C3}">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H47" authorId="0" shapeId="0" xr:uid="{044945A6-9A67-458F-8F62-CB9B33BCB3F5}">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L47" authorId="0" shapeId="0" xr:uid="{8339F292-CC7D-4543-945B-62DD0B94077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M47" authorId="0" shapeId="0" xr:uid="{B4C70C9B-5F78-4F31-B7C0-1548DB61D7E4}">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N47" authorId="0" shapeId="0" xr:uid="{D54EA495-88BF-448A-B0F5-0738B44A860F}">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O47" authorId="0" shapeId="0" xr:uid="{A6D4FD43-7D28-487F-823B-9D53A7B2B7EE}">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S47" authorId="0" shapeId="0" xr:uid="{794E6F2C-9FEE-4E8F-95C7-879916A5C8F6}">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X47" authorId="0" shapeId="0" xr:uid="{E16DD107-BC08-4FB4-B7B8-1346B8B6DF3F}">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Y47" authorId="0" shapeId="0" xr:uid="{D67435D4-E226-4652-95A8-CFC7DE948EDD}">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Z47" authorId="0" shapeId="0" xr:uid="{18F8DC7E-590E-494E-8742-6BF52E09A923}">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AD47" authorId="0" shapeId="0" xr:uid="{E2FF5DD1-47EF-41A8-989C-182A5D8EF200}">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AH47" authorId="0" shapeId="0" xr:uid="{22E118C9-7C17-400D-AB80-B8A1151FDC7D}">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AI47" authorId="0" shapeId="0" xr:uid="{309D3B73-34C3-4F11-9109-BA23F85C390B}">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AJ47" authorId="0" shapeId="0" xr:uid="{800934C7-A5CD-4B02-B7E7-62C1382BF2A8}">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AK47" authorId="0" shapeId="0" xr:uid="{8FF57170-2DAC-460B-9C0D-7588C4DC4858}">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AO47" authorId="0" shapeId="0" xr:uid="{A93283E6-EE12-4E39-B0A1-82F2B9166E3F}">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AT47" authorId="0" shapeId="0" xr:uid="{F09780B5-4079-4927-8C2A-9A7E62A527E3}">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AU47" authorId="0" shapeId="0" xr:uid="{DBC65B26-A2BA-45D5-8017-57B428AB8094}">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AV47" authorId="0" shapeId="0" xr:uid="{2E60DDE3-6F9E-44B1-8AE3-A673D7CCB8BC}">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AZ47" authorId="0" shapeId="0" xr:uid="{70CD2844-E4D2-4AAF-BB67-80475229F9B3}">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D47" authorId="0" shapeId="0" xr:uid="{5DC157D7-E352-4CE3-BB1B-60D104CA16C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BE47" authorId="0" shapeId="0" xr:uid="{78B75BF2-2FA4-4FCD-A49C-9128CD0257FD}">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BF47" authorId="0" shapeId="0" xr:uid="{CEE39F27-FF78-4765-B674-604D2847FD45}">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BG47" authorId="0" shapeId="0" xr:uid="{E962B2E9-E2CA-44FF-BCEC-2828E52BE6A6}">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BK47" authorId="0" shapeId="0" xr:uid="{9030225E-46CC-40F6-B63A-30331B1E24D5}">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P47" authorId="0" shapeId="0" xr:uid="{C5A901D6-39FB-48DC-BFEC-1B89B0C2CAE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BQ47" authorId="0" shapeId="0" xr:uid="{27929127-2985-449D-A9EB-3075E90D0841}">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BR47" authorId="0" shapeId="0" xr:uid="{266DD64F-0997-43B3-9EA1-D046BCF2F7BF}">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BU47" authorId="0" shapeId="0" xr:uid="{150D7264-B008-4002-AEF1-E4C433C7A914}">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BV47" authorId="0" shapeId="0" xr:uid="{B51BBE3D-DD30-41F5-93CF-77E8C5A949A3}">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BZ47" authorId="0" shapeId="0" xr:uid="{D48923ED-CF21-434D-8124-18A3A2E29EF3}">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A47" authorId="0" shapeId="0" xr:uid="{64BDD8D4-A2D3-4720-A391-071C9EC98C87}">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B47" authorId="0" shapeId="0" xr:uid="{6A4B9F8F-D021-4EFF-AFAA-4F4448110B71}">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CC47" authorId="0" shapeId="0" xr:uid="{7E28C653-F155-45A9-B6EE-3CA3F951646B}">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CG47" authorId="0" shapeId="0" xr:uid="{5EDB0D9F-4257-4F87-84A6-CCE36284820D}">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CL47" authorId="0" shapeId="0" xr:uid="{F916C2E4-91AB-46BD-8D48-77393C929128}">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M47" authorId="0" shapeId="0" xr:uid="{EF14E35C-D965-4871-A33E-C6C2742900EC}">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CN47" authorId="0" shapeId="0" xr:uid="{08847086-2936-41AC-B553-9C67AFD3A7CE}">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CR47" authorId="0" shapeId="0" xr:uid="{FFA40CA6-B7C0-4A41-8269-A99BE4C0B2FD}">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CV47" authorId="0" shapeId="0" xr:uid="{CB2F1820-8D17-414A-8D91-E2FC692F4DA3}">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W47" authorId="0" shapeId="0" xr:uid="{BA252C42-0067-4068-B9E0-01079141EAA9}">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CX47" authorId="0" shapeId="0" xr:uid="{2FE5015C-BA76-44F5-B525-F9D34469EBD7}">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CY47" authorId="0" shapeId="0" xr:uid="{27CAAD4C-8421-4418-A905-D6344A6AD6AE}">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DC47" authorId="0" shapeId="0" xr:uid="{817A51C5-F9AC-416E-9608-261BD91B965E}">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DH47" authorId="0" shapeId="0" xr:uid="{C83DD574-851D-4B0D-8CFF-365C4D1F3A48}">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DI47" authorId="0" shapeId="0" xr:uid="{C0CF5996-8976-428D-98C9-5539109544A7}">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DJ47" authorId="0" shapeId="0" xr:uid="{293ACA61-ACE0-49DF-BDDC-3484178E462A}">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DN47" authorId="0" shapeId="0" xr:uid="{C86072FB-3579-4327-A346-8CDD6AF3B3E8}">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DR47" authorId="0" shapeId="0" xr:uid="{6141DF8D-0A51-4BA7-AAFE-CAC5A2F70B77}">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DS47" authorId="0" shapeId="0" xr:uid="{CDB45255-33CC-4781-B3FD-B141FFE50FEB}">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DT47" authorId="0" shapeId="0" xr:uid="{15F8B539-0AB2-4E49-8522-2ACC6BAE5E22}">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DU47" authorId="0" shapeId="0" xr:uid="{C166878A-A32B-487A-B601-00238336488D}">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DY47" authorId="0" shapeId="0" xr:uid="{53B827AB-A3CC-46D7-9E26-103157C2F1A9}">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EZ47" authorId="0" shapeId="0" xr:uid="{4D692E3F-2605-4E86-AF2F-A07860072B85}">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FA47" authorId="0" shapeId="0" xr:uid="{BA443715-7BA1-4101-AB32-10F4C7A42139}">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FB47" authorId="0" shapeId="0" xr:uid="{9132F980-CAD9-4DD4-B5B4-2D9F6543DBB4}">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FE47" authorId="0" shapeId="0" xr:uid="{CF9CC419-EE11-4622-B893-93FA0EEC32A1}">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FF47" authorId="0" shapeId="0" xr:uid="{755A6EC7-B2F9-4DE3-8285-F97E40775C4B}">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FI47" authorId="0" shapeId="0" xr:uid="{2AAB5BD6-0DEF-489B-BC03-6CAC720DB9AB}">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FJ47" authorId="0" shapeId="0" xr:uid="{EF31FD5C-8F7F-4222-8EED-93D9C8F26505}">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FK47" authorId="0" shapeId="0" xr:uid="{87347493-3C1A-4D44-8869-0C6490D13F9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FL47" authorId="0" shapeId="0" xr:uid="{43DC4396-F992-4C9C-AF0B-17ADB5F37F63}">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FM47" authorId="0" shapeId="0" xr:uid="{94B05D4B-F13D-4F59-85FA-A47A223C0B32}">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FP47" authorId="0" shapeId="0" xr:uid="{FB204CB8-2DD4-485A-B602-0D374A5B9B17}">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FQ47" authorId="0" shapeId="0" xr:uid="{82A0DEAB-BD4E-48DF-AFF6-B7B5F64308AD}">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FT47" authorId="0" shapeId="0" xr:uid="{38892B73-212C-4F0B-9B48-B6DDF7A11121}">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FV47" authorId="0" shapeId="0" xr:uid="{CF71ABB4-9F84-481F-B4E7-944E70AFCA33}">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FW47" authorId="0" shapeId="0" xr:uid="{CA574C7F-901D-4E05-AE1A-DF148F18CBC5}">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FX47" authorId="0" shapeId="0" xr:uid="{EAA5D87A-2938-4D9D-962D-CA32D7EBC509}">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GA47" authorId="0" shapeId="0" xr:uid="{A5E6D5E9-9D0E-4FB4-80E7-BB2119679822}">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GB47" authorId="0" shapeId="0" xr:uid="{9E52C066-FBC8-4EAC-B733-3A91BD770873}">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GE47" authorId="0" shapeId="0" xr:uid="{E8CA4FCA-31D9-47EF-A7FF-BA6EC640F775}">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GF47" authorId="0" shapeId="0" xr:uid="{C096893A-7BED-40E4-A9C9-72E4A937EB18}">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GG47" authorId="0" shapeId="0" xr:uid="{A2EEC6F5-5035-4D5B-B9F1-788418691A50}">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GH47" authorId="0" shapeId="0" xr:uid="{1C09DE8E-7970-4142-ACE2-2D5CC1678871}">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GI47" authorId="0" shapeId="0" xr:uid="{46CBF1F0-6CC2-4CF5-AB62-89EF57D7677E}">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GL47" authorId="0" shapeId="0" xr:uid="{BF68AFBF-981D-4F41-AA69-9B314CB01D32}">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GM47" authorId="0" shapeId="0" xr:uid="{64243F3A-03F6-4D89-A366-B5C68DCD1D63}">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GP47" authorId="0" shapeId="0" xr:uid="{EF4567D1-9158-4445-9FD3-6C483205EC8D}">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GR47" authorId="0" shapeId="0" xr:uid="{15D046C2-29C1-4DCC-9E16-B889E048285E}">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GS47" authorId="0" shapeId="0" xr:uid="{CD581FFB-19CB-4EF0-BB7A-525C4E17FB5A}">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GT47" authorId="0" shapeId="0" xr:uid="{27D07840-D929-4DA4-9550-8AAFE0434F76}">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GW47" authorId="0" shapeId="0" xr:uid="{388C9653-D435-46C8-A18E-C933A4D2A59B}">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GX47" authorId="0" shapeId="0" xr:uid="{27A4A274-DC84-4FB0-B624-1F7AC64551F1}">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HA47" authorId="0" shapeId="0" xr:uid="{3553B718-18A8-4377-A678-05FE4B127DF9}">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HB47" authorId="0" shapeId="0" xr:uid="{53235582-E7B8-451F-B65D-C1B8AA8A1184}">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HC47" authorId="0" shapeId="0" xr:uid="{379D2955-84C6-49C4-A2D4-F44EA52D03C6}">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HD47" authorId="0" shapeId="0" xr:uid="{57FAB688-07DA-4F66-B1A9-0E331F5C04AD}">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HE47" authorId="0" shapeId="0" xr:uid="{F1542DDE-35C1-41C8-BF18-7B7E4588BB93}">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HH47" authorId="0" shapeId="0" xr:uid="{240156F3-503C-4A7A-AC22-59F928CDD9ED}">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HI47" authorId="0" shapeId="0" xr:uid="{72418D79-007B-43BE-978A-7786113A2516}">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HL47" authorId="0" shapeId="0" xr:uid="{B2E4CEC9-AD26-465A-91DA-E079A18F8CD0}">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HN47" authorId="0" shapeId="0" xr:uid="{145C19C8-18C4-4828-8CB9-C726846B6065}">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HO47" authorId="0" shapeId="0" xr:uid="{B9C3371B-3511-4566-833B-5D741BACCB8B}">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HP47" authorId="0" shapeId="0" xr:uid="{29853E7D-734A-4686-B6A8-E7E03A6402F0}">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HS47" authorId="0" shapeId="0" xr:uid="{F85E8E5C-7C42-46C8-8C05-CEFC3F007436}">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HT47" authorId="0" shapeId="0" xr:uid="{76BE2194-D099-40C2-BD88-4D1CECCBDEC6}">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HW47" authorId="0" shapeId="0" xr:uid="{D6C37BFA-DABA-471A-94A2-B966A7D6B271}">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HX47" authorId="0" shapeId="0" xr:uid="{586DD784-2672-4AEE-9937-1C01F96A89D5}">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HY47" authorId="0" shapeId="0" xr:uid="{36F2939E-0BCC-4AC1-A7CF-11BEE0EF1A19}">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HZ47" authorId="0" shapeId="0" xr:uid="{660F216C-3CEB-49DC-835A-495C14752C3A}">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IA47" authorId="0" shapeId="0" xr:uid="{9C0BFA35-66BB-41BC-868B-04FC971D285E}">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ID47" authorId="0" shapeId="0" xr:uid="{124DCE71-2C32-4C2B-8C6E-7F1AA3D8E7E3}">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IE47" authorId="0" shapeId="0" xr:uid="{52CBBAC2-EA9E-4D5B-BB07-8533F59A2DE2}">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IH47" authorId="0" shapeId="0" xr:uid="{58FD8A3D-C777-4288-97EC-1E39018D8227}">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IJ47" authorId="0" shapeId="0" xr:uid="{B69720C9-22BD-409F-8442-E6716688236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IK47" authorId="0" shapeId="0" xr:uid="{A4DE836A-18C0-407E-BFD4-716F0839BD68}">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IL47" authorId="0" shapeId="0" xr:uid="{889D4E76-53C5-4B75-8205-ABD47A5EE98B}">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IO47" authorId="0" shapeId="0" xr:uid="{CDF587FF-5CD1-4087-BAA8-81927CC0709E}">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IP47" authorId="0" shapeId="0" xr:uid="{0720BF29-C32C-441C-8B3E-5BEE7DA06A43}">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IS47" authorId="0" shapeId="0" xr:uid="{7A7361C9-51A6-42F8-93E3-1C72722CF7FC}">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IT47" authorId="0" shapeId="0" xr:uid="{0B214AE0-999A-4875-BDBF-D302217E0272}">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IU47" authorId="0" shapeId="0" xr:uid="{3F8E08AF-64CF-48DB-AE68-337EC48A02F4}">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IV47" authorId="0" shapeId="0" xr:uid="{56BA7C14-7EDA-4643-B92C-953C38CC1BAC}">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IW47" authorId="0" shapeId="0" xr:uid="{8E86D599-20E8-4825-9118-BCE851596CB5}">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IZ47" authorId="0" shapeId="0" xr:uid="{38EC6830-5F48-4395-9094-A58538125BF2}">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JA47" authorId="0" shapeId="0" xr:uid="{4563FE1C-6778-4109-828D-CA29AF81BA9C}">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JD47" authorId="0" shapeId="0" xr:uid="{F2B2F866-EC51-4483-9ADE-F3B29AB79A0A}">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JF47" authorId="0" shapeId="0" xr:uid="{65C136DF-80F2-46DC-861A-61BE9B5F454A}">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JG47" authorId="0" shapeId="0" xr:uid="{0466AFD9-66C3-4CD5-B7B7-972CC9B9F5DC}">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JH47" authorId="0" shapeId="0" xr:uid="{96DF1251-27C3-49D6-B8FC-B5B7FBD2905D}">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JK47" authorId="0" shapeId="0" xr:uid="{E1626A89-E0D6-4282-8295-81CE7D365879}">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JL47" authorId="0" shapeId="0" xr:uid="{E29F0A1D-0656-488A-9EBD-E1925C54C9E1}">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JO47" authorId="0" shapeId="0" xr:uid="{73C1CCFB-6A3E-4F7D-A250-5D2ECCB7B87D}">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 ref="JP47" authorId="0" shapeId="0" xr:uid="{02E0AE79-D196-4CBF-B1B9-0ED4853E6D50}">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JQ47" authorId="0" shapeId="0" xr:uid="{F1AE9F06-A0C0-4A3A-90E6-706C115472EC}">
      <text>
        <r>
          <rPr>
            <b/>
            <sz val="9"/>
            <color indexed="81"/>
            <rFont val="Segoe UI"/>
            <family val="2"/>
          </rPr>
          <t>Peter Lehmann:</t>
        </r>
        <r>
          <rPr>
            <sz val="9"/>
            <color indexed="81"/>
            <rFont val="Segoe UI"/>
            <family val="2"/>
          </rPr>
          <t xml:space="preserve">
Wenn der Mitarbeiter in diesem Monat einen speziellen % Satz für den DL Umsatz erhalten soll, dann geben Sie den % Satz hier ein.</t>
        </r>
      </text>
    </comment>
    <comment ref="JR47" authorId="0" shapeId="0" xr:uid="{DAD7CB0C-0315-4EB0-866E-AB62B4A57ACD}">
      <text>
        <r>
          <rPr>
            <b/>
            <sz val="9"/>
            <color indexed="81"/>
            <rFont val="Segoe UI"/>
            <family val="2"/>
          </rPr>
          <t>Peter Lehmann:</t>
        </r>
        <r>
          <rPr>
            <sz val="9"/>
            <color indexed="81"/>
            <rFont val="Segoe UI"/>
            <family val="2"/>
          </rPr>
          <t xml:space="preserve">
Wenn der Mitarbeiter in diesem Monat einen speziellen % Satz für den VK erhalten soll, dann geben Sie den % Satz hier ein.</t>
        </r>
      </text>
    </comment>
    <comment ref="JS47" authorId="0" shapeId="0" xr:uid="{AB4BFF6F-F452-49AD-A61E-939E1A643C41}">
      <text>
        <r>
          <rPr>
            <b/>
            <sz val="9"/>
            <color indexed="81"/>
            <rFont val="Segoe UI"/>
            <family val="2"/>
          </rPr>
          <t>Peter Lehmann:</t>
        </r>
        <r>
          <rPr>
            <sz val="9"/>
            <color indexed="81"/>
            <rFont val="Segoe UI"/>
            <family val="2"/>
          </rPr>
          <t xml:space="preserve">
Hier geben Sie den tatsächlichen DL Umsatz des Mitarbeiters in diesem Monat ein.</t>
        </r>
      </text>
    </comment>
    <comment ref="JV47" authorId="0" shapeId="0" xr:uid="{806A8011-39CA-48DD-917B-FB5B371B0AE0}">
      <text>
        <r>
          <rPr>
            <b/>
            <sz val="9"/>
            <color indexed="81"/>
            <rFont val="Segoe UI"/>
            <family val="2"/>
          </rPr>
          <t>Peter Lehmann:</t>
        </r>
        <r>
          <rPr>
            <sz val="9"/>
            <color indexed="81"/>
            <rFont val="Segoe UI"/>
            <family val="2"/>
          </rPr>
          <t xml:space="preserve">
Falls in diesem Monat ein spezieller % Satz für die DL Provision für alle Mitarbeiter gelten soll, geben Sie ihn hier ein.
</t>
        </r>
      </text>
    </comment>
    <comment ref="JW47" authorId="0" shapeId="0" xr:uid="{D41262F0-529A-4164-AFA9-A1A2F3B40CA2}">
      <text>
        <r>
          <rPr>
            <b/>
            <sz val="9"/>
            <color indexed="81"/>
            <rFont val="Segoe UI"/>
            <family val="2"/>
          </rPr>
          <t>Peter Lehmann:</t>
        </r>
        <r>
          <rPr>
            <sz val="9"/>
            <color indexed="81"/>
            <rFont val="Segoe UI"/>
            <family val="2"/>
          </rPr>
          <t xml:space="preserve">
Hier geben Sie den tatsächlichen VK Umsatz  des Mitarbeiters in diesem Monat ein.</t>
        </r>
      </text>
    </comment>
    <comment ref="JZ47" authorId="0" shapeId="0" xr:uid="{8B202B4E-647A-4DE4-BDDE-0E97E5677236}">
      <text>
        <r>
          <rPr>
            <b/>
            <sz val="9"/>
            <color indexed="81"/>
            <rFont val="Segoe UI"/>
            <family val="2"/>
          </rPr>
          <t>Peter Lehmann:</t>
        </r>
        <r>
          <rPr>
            <sz val="9"/>
            <color indexed="81"/>
            <rFont val="Segoe UI"/>
            <family val="2"/>
          </rPr>
          <t xml:space="preserve">
Falls in diesem Monat ein spezieller % Satz für die VK Provision für alle Mitarbeiter gelten soll, geben Sie ihn hier ein.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Peter Lehmann 2</author>
  </authors>
  <commentList>
    <comment ref="C11" authorId="0" shapeId="0" xr:uid="{30C83CA5-EBC5-402F-906E-5DA1E9919A28}">
      <text>
        <r>
          <rPr>
            <sz val="9"/>
            <color indexed="81"/>
            <rFont val="Tahoma"/>
            <family val="2"/>
          </rPr>
          <t xml:space="preserve">Übernahme aus Planungsrechnung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C583876B-3EAE-4F1A-AFFB-6E5758CCC758}">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29B96937-9F64-4F26-B13D-352AEFCD6DE5}">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9EBB9AA4-2C37-4A65-9FBA-861D4513CB3B}">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E33339C7-8CB1-4888-AE19-DBC2694039F7}">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6FA5454C-F7D6-4037-B7EE-51C06A58D0F8}">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C374F4CA-E83C-4374-8BA2-0E6F5B64573D}">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6E5429EE-F9C4-4623-82F5-C29D32C7A190}">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4ED54D82-224C-498F-8057-CA359C5999F7}">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4DF6B8E6-0A35-4D96-8DE3-67B0B9CAF9F8}">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07332DA2-7088-466C-B90B-59B1263804AE}">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A84BEC99-E69E-4153-B679-928EFFFF54E6}">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9F865C8A-BFA4-444D-8454-7B7D92D30E4A}">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C6" authorId="0" shapeId="0" xr:uid="{FD760F03-FFAC-49C7-8EA4-E2EBE6592533}">
      <text>
        <r>
          <rPr>
            <b/>
            <sz val="9"/>
            <color indexed="81"/>
            <rFont val="Segoe UI"/>
            <family val="2"/>
          </rPr>
          <t>Peter Lehmann:</t>
        </r>
        <r>
          <rPr>
            <sz val="9"/>
            <color indexed="81"/>
            <rFont val="Segoe UI"/>
            <family val="2"/>
          </rPr>
          <t xml:space="preserve">
</t>
        </r>
        <r>
          <rPr>
            <sz val="11"/>
            <color indexed="81"/>
            <rFont val="Segoe UI"/>
            <family val="2"/>
          </rPr>
          <t>Es kann sein, dass Sie in den Kontenbeschreibungen Spalte A hier in der App nicht alle Konten finden, die in Ihrer BWA vorhanden sind. Ebenso können in der App Kontenbezeichnungen zu finden sein, die Sie nicht in Ihrer BWA finden. BWAs sind von unterschiedlichen Steuerberatern leider unterschiedlich.
In der App können Sie die Bezeichungen in den grauen Feldern z.B. Zeile 21 Spalte A ändern. In den Zellen mit hellerem Grau z.B. Zeile 27, können Sie Beschriftung nicht ändern, weil es für die Rechnung  wichtig ist, den Betrag genau hier einzugeben.
In Spalte B können Sie Zusatzbeschriftungen eingeben.</t>
        </r>
      </text>
    </comment>
    <comment ref="B18" authorId="0" shapeId="0" xr:uid="{D06C6AC6-0C30-4374-BC63-9A3D6D57DE3A}">
      <text>
        <r>
          <rPr>
            <b/>
            <sz val="9"/>
            <color indexed="81"/>
            <rFont val="Segoe UI"/>
            <family val="2"/>
          </rPr>
          <t>Peter Lehmann:</t>
        </r>
        <r>
          <rPr>
            <sz val="9"/>
            <color indexed="81"/>
            <rFont val="Segoe UI"/>
            <family val="2"/>
          </rPr>
          <t xml:space="preserve">
Wenn Sie den Gesamtumsatz eingeben, geben Sie bitte keine weiteren Umsätze ein</t>
        </r>
      </text>
    </comment>
    <comment ref="B19" authorId="0" shapeId="0" xr:uid="{5E9AEEC1-D9C6-45E0-8241-1ED4F1AF4B46}">
      <text>
        <r>
          <rPr>
            <b/>
            <sz val="9"/>
            <color indexed="81"/>
            <rFont val="Segoe UI"/>
            <family val="2"/>
          </rPr>
          <t>Peter Lehmann:</t>
        </r>
        <r>
          <rPr>
            <sz val="9"/>
            <color indexed="81"/>
            <rFont val="Segoe UI"/>
            <family val="2"/>
          </rPr>
          <t xml:space="preserve">
Entweder tragen Sie hier den Dienstleistungsumsatz als Gesamtwert ein oder trennen in D - H - VK usw- ab Zelle C21
</t>
        </r>
      </text>
    </comment>
    <comment ref="B20" authorId="0" shapeId="0" xr:uid="{88AE03B8-A275-4ACB-829E-49841DE2EA70}">
      <text>
        <r>
          <rPr>
            <b/>
            <sz val="9"/>
            <color indexed="81"/>
            <rFont val="Segoe UI"/>
            <family val="2"/>
          </rPr>
          <t>Peter Lehmann:</t>
        </r>
        <r>
          <rPr>
            <sz val="9"/>
            <color indexed="81"/>
            <rFont val="Segoe UI"/>
            <family val="2"/>
          </rPr>
          <t xml:space="preserve">
Normaler Haarpflege - Verkaufsumsatz bitte hier eingeben.</t>
        </r>
      </text>
    </comment>
    <comment ref="A21" authorId="0" shapeId="0" xr:uid="{67F669B0-4AF3-4FA9-A5D3-F4F478259F39}">
      <text>
        <r>
          <rPr>
            <b/>
            <sz val="9"/>
            <color indexed="81"/>
            <rFont val="Segoe UI"/>
            <family val="2"/>
          </rPr>
          <t>Peter Lehmann:</t>
        </r>
        <r>
          <rPr>
            <sz val="9"/>
            <color indexed="81"/>
            <rFont val="Segoe UI"/>
            <family val="2"/>
          </rPr>
          <t xml:space="preserve">
In den Zellen mit diesem Grau können Sie die Bezeichnungen ändern und anpassen. In Zellen mit einem helleren Grau, wie in Zeile 27 geht das nicht.</t>
        </r>
      </text>
    </comment>
    <comment ref="B23" authorId="0" shapeId="0" xr:uid="{00000000-0006-0000-0300-000001000000}">
      <text>
        <r>
          <rPr>
            <b/>
            <sz val="9"/>
            <color indexed="81"/>
            <rFont val="Segoe UI"/>
            <family val="2"/>
          </rPr>
          <t>Peter Lehmann:</t>
        </r>
        <r>
          <rPr>
            <sz val="9"/>
            <color indexed="81"/>
            <rFont val="Segoe UI"/>
            <family val="2"/>
          </rPr>
          <t xml:space="preserve">
Umsatz Kinder wird aufgeteilt: 50 % zu Damen und 50% zu Herren</t>
        </r>
      </text>
    </comment>
    <comment ref="AB23" authorId="0" shapeId="0" xr:uid="{A7DE8DE1-86E8-4A54-8F16-C0924855C4E4}">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B24" authorId="0" shapeId="0" xr:uid="{00000000-0006-0000-0300-000002000000}">
      <text>
        <r>
          <rPr>
            <b/>
            <sz val="9"/>
            <color indexed="81"/>
            <rFont val="Segoe UI"/>
            <family val="2"/>
          </rPr>
          <t>Peter Lehmann:</t>
        </r>
        <r>
          <rPr>
            <sz val="9"/>
            <color indexed="81"/>
            <rFont val="Segoe UI"/>
            <family val="2"/>
          </rPr>
          <t xml:space="preserve">
Perückenumsatz geht zu Damenumsatz
</t>
        </r>
      </text>
    </comment>
    <comment ref="Y24" authorId="0" shapeId="0" xr:uid="{723112AA-7F74-4A6A-8EFD-DA84FC1EBE8D}">
      <text>
        <r>
          <rPr>
            <b/>
            <sz val="9"/>
            <color indexed="81"/>
            <rFont val="Segoe UI"/>
            <family val="2"/>
          </rPr>
          <t>Peter Lehmann:</t>
        </r>
        <r>
          <rPr>
            <sz val="9"/>
            <color indexed="81"/>
            <rFont val="Segoe UI"/>
            <family val="2"/>
          </rPr>
          <t xml:space="preserve">
Der Wert ist die Eingabe aus Spalte C, sie wurde von dort übernommen.
</t>
        </r>
      </text>
    </comment>
    <comment ref="AB25" authorId="0" shapeId="0" xr:uid="{FE360F2D-93CF-4FAC-BA63-1EB7E4DAC94F}">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B26" authorId="0" shapeId="0" xr:uid="{00000000-0006-0000-0300-000004000000}">
      <text>
        <r>
          <rPr>
            <b/>
            <sz val="9"/>
            <color indexed="81"/>
            <rFont val="Segoe UI"/>
            <family val="2"/>
          </rPr>
          <t>Peter Lehmann:</t>
        </r>
        <r>
          <rPr>
            <sz val="9"/>
            <color indexed="81"/>
            <rFont val="Segoe UI"/>
            <family val="2"/>
          </rPr>
          <t xml:space="preserve">
Kosmetikumsätze wandern zu Damen</t>
        </r>
      </text>
    </comment>
    <comment ref="Y26" authorId="0" shapeId="0" xr:uid="{01C88CE4-3544-40E4-BC47-782C47A3E2D3}">
      <text>
        <r>
          <rPr>
            <b/>
            <sz val="9"/>
            <color indexed="81"/>
            <rFont val="Segoe UI"/>
            <family val="2"/>
          </rPr>
          <t>Peter Lehmann:</t>
        </r>
        <r>
          <rPr>
            <sz val="9"/>
            <color indexed="81"/>
            <rFont val="Segoe UI"/>
            <family val="2"/>
          </rPr>
          <t xml:space="preserve">
Der Wert ist die Eingabe aus Spalte C, sie wurde von dort übernommen.
</t>
        </r>
      </text>
    </comment>
    <comment ref="B27" authorId="0" shapeId="0" xr:uid="{00000000-0006-0000-0300-000005000000}">
      <text>
        <r>
          <rPr>
            <b/>
            <sz val="9"/>
            <color indexed="81"/>
            <rFont val="Segoe UI"/>
            <family val="2"/>
          </rPr>
          <t>Peter Lehmann:</t>
        </r>
        <r>
          <rPr>
            <sz val="9"/>
            <color indexed="81"/>
            <rFont val="Segoe UI"/>
            <family val="2"/>
          </rPr>
          <t xml:space="preserve">
Diese Positionen erscheint im Damenumsatz</t>
        </r>
      </text>
    </comment>
    <comment ref="AB27" authorId="0" shapeId="0" xr:uid="{3E772D09-078C-43F3-8A31-7A05D2204ED6}">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B28" authorId="0" shapeId="0" xr:uid="{00000000-0006-0000-0300-000006000000}">
      <text>
        <r>
          <rPr>
            <b/>
            <sz val="9"/>
            <color indexed="81"/>
            <rFont val="Segoe UI"/>
            <family val="2"/>
          </rPr>
          <t>Peter Lehmann:</t>
        </r>
        <r>
          <rPr>
            <sz val="9"/>
            <color indexed="81"/>
            <rFont val="Segoe UI"/>
            <family val="2"/>
          </rPr>
          <t xml:space="preserve">
Diese Positionen erscheint im Damenumsatz</t>
        </r>
      </text>
    </comment>
    <comment ref="Y28" authorId="0" shapeId="0" xr:uid="{6351BD8D-E6E8-406A-9FE1-DA99F3725032}">
      <text>
        <r>
          <rPr>
            <b/>
            <sz val="9"/>
            <color indexed="81"/>
            <rFont val="Segoe UI"/>
            <family val="2"/>
          </rPr>
          <t>Peter Lehmann:</t>
        </r>
        <r>
          <rPr>
            <sz val="9"/>
            <color indexed="81"/>
            <rFont val="Segoe UI"/>
            <family val="2"/>
          </rPr>
          <t xml:space="preserve">
Der Wert ist die Eingabe aus Spalte C, sie wurde von dort übernommen.
</t>
        </r>
      </text>
    </comment>
    <comment ref="B29" authorId="0" shapeId="0" xr:uid="{00000000-0006-0000-0300-000007000000}">
      <text>
        <r>
          <rPr>
            <b/>
            <sz val="9"/>
            <color indexed="81"/>
            <rFont val="Segoe UI"/>
            <family val="2"/>
          </rPr>
          <t>Peter Lehmann:</t>
        </r>
        <r>
          <rPr>
            <sz val="9"/>
            <color indexed="81"/>
            <rFont val="Segoe UI"/>
            <family val="2"/>
          </rPr>
          <t xml:space="preserve">
Hier können Sie weitere Umsatze wie Fotoshooting usw. eingeben. Die Umsätze erscheinen bei Damen</t>
        </r>
      </text>
    </comment>
    <comment ref="AB29" authorId="0" shapeId="0" xr:uid="{4FA53ED1-F475-4D53-AEF1-CC1829AD16FF}">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30" authorId="0" shapeId="0" xr:uid="{D6FC4D42-5DA8-4B51-9145-D17407092AB4}">
      <text>
        <r>
          <rPr>
            <b/>
            <sz val="9"/>
            <color indexed="81"/>
            <rFont val="Segoe UI"/>
            <family val="2"/>
          </rPr>
          <t>Peter Lehmann:</t>
        </r>
        <r>
          <rPr>
            <sz val="9"/>
            <color indexed="81"/>
            <rFont val="Segoe UI"/>
            <family val="2"/>
          </rPr>
          <t xml:space="preserve">
Der Wert ist die Eingabe aus Spalte C, sie wurde von dort übernommen.
</t>
        </r>
      </text>
    </comment>
    <comment ref="AB31" authorId="0" shapeId="0" xr:uid="{56FAE39E-F447-4EB3-9F6A-3124675639C3}">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32" authorId="0" shapeId="0" xr:uid="{92D3C72D-BD58-4DE4-A5F5-91C6CD46FB2C}">
      <text>
        <r>
          <rPr>
            <b/>
            <sz val="9"/>
            <color indexed="81"/>
            <rFont val="Segoe UI"/>
            <family val="2"/>
          </rPr>
          <t>Peter Lehmann:</t>
        </r>
        <r>
          <rPr>
            <sz val="9"/>
            <color indexed="81"/>
            <rFont val="Segoe UI"/>
            <family val="2"/>
          </rPr>
          <t xml:space="preserve">
Der Wert ist die Eingabe aus Spalte C, sie wurde von dort übernommen.
</t>
        </r>
      </text>
    </comment>
    <comment ref="B33" authorId="0" shapeId="0" xr:uid="{F2319540-7FAE-4072-83CE-2483DB170431}">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
</t>
        </r>
      </text>
    </comment>
    <comment ref="I33" authorId="0" shapeId="0" xr:uid="{D809F070-5F02-4256-892C-B7CCBCF781E1}">
      <text>
        <r>
          <rPr>
            <b/>
            <sz val="11"/>
            <color indexed="81"/>
            <rFont val="Segoe UI"/>
            <family val="2"/>
          </rPr>
          <t>Peter Lehmann:</t>
        </r>
        <r>
          <rPr>
            <sz val="11"/>
            <color indexed="81"/>
            <rFont val="Segoe UI"/>
            <family val="2"/>
          </rPr>
          <t xml:space="preserve">
Zur Überprüfung der Eingaben Ihrer BWA nehmen Sie bitte den Wert "Steuerlicher Gewinn" und vergleichen ihn mit dem Wert "Vorläufiges Ergebnis" oder einer ähnlichen Bezeichung, an Ende der kurzfristigen Erfolgsrechnung. Wenn der Wert nicht ganz übereinstimmt, fehlt vielleicht noch einen Eingabe oder ein Wert ist nicht ganz korrekt eingetragen worden. Bei einer kleinen Differenz können Sie trotzdem in die Planung ab Seite 4 wechseln. </t>
        </r>
      </text>
    </comment>
    <comment ref="AB33" authorId="0" shapeId="0" xr:uid="{E65574EC-781F-42A1-88B7-ABB875B8847C}">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34" authorId="0" shapeId="0" xr:uid="{0283BD2E-EAE0-420C-AB92-0934149A2BC2}">
      <text>
        <r>
          <rPr>
            <b/>
            <sz val="9"/>
            <color indexed="81"/>
            <rFont val="Segoe UI"/>
            <family val="2"/>
          </rPr>
          <t>Peter Lehmann:</t>
        </r>
        <r>
          <rPr>
            <sz val="9"/>
            <color indexed="81"/>
            <rFont val="Segoe UI"/>
            <family val="2"/>
          </rPr>
          <t xml:space="preserve">
Der Wert ist die Eingabe aus Spalte C, sie wurde von dort übernommen.
</t>
        </r>
      </text>
    </comment>
    <comment ref="AB35" authorId="0" shapeId="0" xr:uid="{5B964571-63FE-4175-A8CD-28987725073B}">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36" authorId="0" shapeId="0" xr:uid="{487CA0CC-65D5-42A4-917C-9DD37DF70811}">
      <text>
        <r>
          <rPr>
            <b/>
            <sz val="9"/>
            <color indexed="81"/>
            <rFont val="Segoe UI"/>
            <family val="2"/>
          </rPr>
          <t>Peter Lehmann:</t>
        </r>
        <r>
          <rPr>
            <sz val="9"/>
            <color indexed="81"/>
            <rFont val="Segoe UI"/>
            <family val="2"/>
          </rPr>
          <t xml:space="preserve">
Der Wert ist die Eingabe aus Spalte C, sie wurde von dort übernommen.
</t>
        </r>
      </text>
    </comment>
    <comment ref="AB37" authorId="0" shapeId="0" xr:uid="{63F904C6-3B33-4977-AE84-F103C36265F5}">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A38" authorId="0" shapeId="0" xr:uid="{020DB778-DFD6-4A6E-92D5-E6354D440D31}">
      <text>
        <r>
          <rPr>
            <b/>
            <sz val="9"/>
            <color indexed="81"/>
            <rFont val="Segoe UI"/>
            <family val="2"/>
          </rPr>
          <t>Peter Lehmann:</t>
        </r>
        <r>
          <rPr>
            <sz val="9"/>
            <color indexed="81"/>
            <rFont val="Segoe UI"/>
            <family val="2"/>
          </rPr>
          <t xml:space="preserve">
In den Zellen mit diesem Grau können Sie die Bezeichnungen ändern und anpassen. In Zellen mit einem helleren Grau, wie in Zeile 27 geht das nicht.</t>
        </r>
      </text>
    </comment>
    <comment ref="Y38" authorId="0" shapeId="0" xr:uid="{45130A48-5ABF-4857-9BAB-26894097BC6A}">
      <text>
        <r>
          <rPr>
            <b/>
            <sz val="9"/>
            <color indexed="81"/>
            <rFont val="Segoe UI"/>
            <family val="2"/>
          </rPr>
          <t>Peter Lehmann:</t>
        </r>
        <r>
          <rPr>
            <sz val="9"/>
            <color indexed="81"/>
            <rFont val="Segoe UI"/>
            <family val="2"/>
          </rPr>
          <t xml:space="preserve">
Der Wert ist die Eingabe aus Spalte C, sie wurde von dort übernommen.
</t>
        </r>
      </text>
    </comment>
    <comment ref="B51" authorId="0" shapeId="0" xr:uid="{EBEE0506-B800-453D-8B8F-ED25DEB7C15E}">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AB52" authorId="0" shapeId="0" xr:uid="{2F184C15-A8A5-4B2E-A682-DE402315C8F7}">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53" authorId="0" shapeId="0" xr:uid="{7490C489-ABB6-4A40-9476-BEFE9C91B3BD}">
      <text>
        <r>
          <rPr>
            <b/>
            <sz val="9"/>
            <color indexed="81"/>
            <rFont val="Segoe UI"/>
            <family val="2"/>
          </rPr>
          <t>Peter Lehmann:</t>
        </r>
        <r>
          <rPr>
            <sz val="9"/>
            <color indexed="81"/>
            <rFont val="Segoe UI"/>
            <family val="2"/>
          </rPr>
          <t xml:space="preserve">
Der Wert ist die Eingabe aus Spalte C, sie wurde von dort übernommen.
</t>
        </r>
      </text>
    </comment>
    <comment ref="A54" authorId="0" shapeId="0" xr:uid="{BF37875E-586B-46B2-8F6D-58BF8813242E}">
      <text>
        <r>
          <rPr>
            <b/>
            <sz val="9"/>
            <color indexed="81"/>
            <rFont val="Segoe UI"/>
            <family val="2"/>
          </rPr>
          <t>Peter Lehmann:</t>
        </r>
        <r>
          <rPr>
            <sz val="9"/>
            <color indexed="81"/>
            <rFont val="Segoe UI"/>
            <family val="2"/>
          </rPr>
          <t xml:space="preserve">
In den Zellen mit diesem Grau können Sie die Bezeichnungen ändern und anpassen. In Zellen mit einem helleren Grau, wie in Zeile 56 geht das nicht.</t>
        </r>
      </text>
    </comment>
    <comment ref="AB54" authorId="0" shapeId="0" xr:uid="{61357BA5-9ADC-4582-8BDD-02874EB7338C}">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55" authorId="0" shapeId="0" xr:uid="{1E0E62C6-4E55-4290-B015-7EC138623905}">
      <text>
        <r>
          <rPr>
            <b/>
            <sz val="9"/>
            <color indexed="81"/>
            <rFont val="Segoe UI"/>
            <family val="2"/>
          </rPr>
          <t>Peter Lehmann:</t>
        </r>
        <r>
          <rPr>
            <sz val="9"/>
            <color indexed="81"/>
            <rFont val="Segoe UI"/>
            <family val="2"/>
          </rPr>
          <t xml:space="preserve">
Der Wert ist die Eingabe aus Spalte C, sie wurde von dort übernommen.
</t>
        </r>
      </text>
    </comment>
    <comment ref="A56" authorId="0" shapeId="0" xr:uid="{6B7E2173-5BCC-40C9-B241-2081BBFE6B94}">
      <text>
        <r>
          <rPr>
            <b/>
            <sz val="9"/>
            <color indexed="81"/>
            <rFont val="Segoe UI"/>
            <family val="2"/>
          </rPr>
          <t>Peter Lehmann:</t>
        </r>
        <r>
          <rPr>
            <sz val="9"/>
            <color indexed="81"/>
            <rFont val="Segoe UI"/>
            <family val="2"/>
          </rPr>
          <t xml:space="preserve">
Diese 3 Posistionen senken den WE.
</t>
        </r>
      </text>
    </comment>
    <comment ref="AB56" authorId="0" shapeId="0" xr:uid="{C7D3ACAB-1F7E-49C5-B7A4-2591755C83FF}">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57" authorId="0" shapeId="0" xr:uid="{41783C61-1D46-4698-A14D-CCF6DE7EC4AF}">
      <text>
        <r>
          <rPr>
            <b/>
            <sz val="9"/>
            <color indexed="81"/>
            <rFont val="Segoe UI"/>
            <family val="2"/>
          </rPr>
          <t>Peter Lehmann:</t>
        </r>
        <r>
          <rPr>
            <sz val="9"/>
            <color indexed="81"/>
            <rFont val="Segoe UI"/>
            <family val="2"/>
          </rPr>
          <t xml:space="preserve">
Der Wert ist die Eingabe aus Spalte C, sie wurde von dort übernommen.
</t>
        </r>
      </text>
    </comment>
    <comment ref="AB58" authorId="0" shapeId="0" xr:uid="{B10B6F9B-E093-43CE-8ACF-0DD22CC92DC6}">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59" authorId="0" shapeId="0" xr:uid="{6FA5F9BD-525E-4543-8BC2-BF3DE6AFB430}">
      <text>
        <r>
          <rPr>
            <b/>
            <sz val="9"/>
            <color indexed="81"/>
            <rFont val="Segoe UI"/>
            <family val="2"/>
          </rPr>
          <t>Peter Lehmann:</t>
        </r>
        <r>
          <rPr>
            <sz val="9"/>
            <color indexed="81"/>
            <rFont val="Segoe UI"/>
            <family val="2"/>
          </rPr>
          <t xml:space="preserve">
Der Wert ist die Eingabe aus Spalte C, sie wurde von dort übernommen.
</t>
        </r>
      </text>
    </comment>
    <comment ref="AB60" authorId="0" shapeId="0" xr:uid="{020D8995-0E74-4194-AB04-A4ACCF2BFBBD}">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61" authorId="0" shapeId="0" xr:uid="{6FB40A38-9656-48C0-B831-26E858EC57FF}">
      <text>
        <r>
          <rPr>
            <b/>
            <sz val="9"/>
            <color indexed="81"/>
            <rFont val="Segoe UI"/>
            <family val="2"/>
          </rPr>
          <t>Peter Lehmann:</t>
        </r>
        <r>
          <rPr>
            <sz val="9"/>
            <color indexed="81"/>
            <rFont val="Segoe UI"/>
            <family val="2"/>
          </rPr>
          <t xml:space="preserve">
Der Wert ist die Eingabe aus Spalte C, sie wurde von dort übernommen.
</t>
        </r>
      </text>
    </comment>
    <comment ref="AB62" authorId="0" shapeId="0" xr:uid="{1919D417-9CD7-4B46-A742-7082E14A0576}">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63" authorId="0" shapeId="0" xr:uid="{3C1B49B6-384E-404C-BBDE-FB9BCC526009}">
      <text>
        <r>
          <rPr>
            <b/>
            <sz val="9"/>
            <color indexed="81"/>
            <rFont val="Segoe UI"/>
            <family val="2"/>
          </rPr>
          <t>Peter Lehmann:</t>
        </r>
        <r>
          <rPr>
            <sz val="9"/>
            <color indexed="81"/>
            <rFont val="Segoe UI"/>
            <family val="2"/>
          </rPr>
          <t xml:space="preserve">
Der Wert ist die Eingabe aus Spalte C, sie wurde von dort übernommen.
</t>
        </r>
      </text>
    </comment>
    <comment ref="AB64" authorId="0" shapeId="0" xr:uid="{A754F770-6C26-4D98-B8BE-D50FE857A3A5}">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Y65" authorId="0" shapeId="0" xr:uid="{F25781AF-A79B-47A0-AD3F-335DC5B0262B}">
      <text>
        <r>
          <rPr>
            <b/>
            <sz val="9"/>
            <color indexed="81"/>
            <rFont val="Segoe UI"/>
            <family val="2"/>
          </rPr>
          <t>Peter Lehmann:</t>
        </r>
        <r>
          <rPr>
            <sz val="9"/>
            <color indexed="81"/>
            <rFont val="Segoe UI"/>
            <family val="2"/>
          </rPr>
          <t xml:space="preserve">
Der Wert ist die Eingabe aus Spalte C, sie wurde von dort übernommen.
</t>
        </r>
      </text>
    </comment>
    <comment ref="AB66" authorId="0" shapeId="0" xr:uid="{6866C4AE-88C1-4269-BC65-6430F73A6840}">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B67" authorId="0" shapeId="0" xr:uid="{5A118582-8553-4AD8-81B4-D0FA549DC1C4}">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Y67" authorId="0" shapeId="0" xr:uid="{CF30D87D-6434-4EE0-B4F6-6217A126AE2D}">
      <text>
        <r>
          <rPr>
            <b/>
            <sz val="9"/>
            <color indexed="81"/>
            <rFont val="Segoe UI"/>
            <family val="2"/>
          </rPr>
          <t>Peter Lehmann:</t>
        </r>
        <r>
          <rPr>
            <sz val="9"/>
            <color indexed="81"/>
            <rFont val="Segoe UI"/>
            <family val="2"/>
          </rPr>
          <t xml:space="preserve">
Der Wert ist die Eingabe aus Spalte C, sie wurde von dort übernommen.
</t>
        </r>
      </text>
    </comment>
    <comment ref="A78" authorId="0" shapeId="0" xr:uid="{65AAC942-33B4-4FCE-904B-028D990A17A2}">
      <text>
        <r>
          <rPr>
            <b/>
            <sz val="9"/>
            <color indexed="81"/>
            <rFont val="Segoe UI"/>
            <family val="2"/>
          </rPr>
          <t>Peter Lehmann:</t>
        </r>
        <r>
          <rPr>
            <sz val="9"/>
            <color indexed="81"/>
            <rFont val="Segoe UI"/>
            <family val="2"/>
          </rPr>
          <t xml:space="preserve">
Für Eingaben, die Kurzarbeitergeld für den Salon darstellen, keine Zahlungen an MA
</t>
        </r>
      </text>
    </comment>
    <comment ref="A79" authorId="0" shapeId="0" xr:uid="{279EF088-C97D-4407-8278-2DF537282235}">
      <text>
        <r>
          <rPr>
            <b/>
            <sz val="9"/>
            <color indexed="81"/>
            <rFont val="Segoe UI"/>
            <family val="2"/>
          </rPr>
          <t>Peter Lehmann:</t>
        </r>
        <r>
          <rPr>
            <sz val="9"/>
            <color indexed="81"/>
            <rFont val="Segoe UI"/>
            <family val="2"/>
          </rPr>
          <t xml:space="preserve">
Für Eingaben, die Zuschüsse der Agentur für den Salon darstellen</t>
        </r>
      </text>
    </comment>
    <comment ref="A80" authorId="0" shapeId="0" xr:uid="{16855D2A-5D2B-4911-99D9-76EA21910816}">
      <text>
        <r>
          <rPr>
            <b/>
            <sz val="9"/>
            <color indexed="81"/>
            <rFont val="Segoe UI"/>
            <family val="2"/>
          </rPr>
          <t>Peter Lehmann:</t>
        </r>
        <r>
          <rPr>
            <sz val="9"/>
            <color indexed="81"/>
            <rFont val="Segoe UI"/>
            <family val="2"/>
          </rPr>
          <t xml:space="preserve">
Eingaben der Rückflüsse der KK für die Löhne in Krankheitszeiten der MA</t>
        </r>
      </text>
    </comment>
    <comment ref="B86" authorId="0" shapeId="0" xr:uid="{0EF154EE-4967-4CCE-A5A1-5F2F5AB7F0C7}">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99" authorId="0" shapeId="0" xr:uid="{A356458C-9FDB-4320-87AB-0F65EA7A6764}">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118" authorId="0" shapeId="0" xr:uid="{570F7134-767D-4350-BA31-2CA2217F32BF}">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132" authorId="0" shapeId="0" xr:uid="{B674C89E-2575-4A57-A155-F9B4A158A3E3}">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141" authorId="0" shapeId="0" xr:uid="{A2F12730-1238-44D5-BAC5-2745A0FA73BE}">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157" authorId="0" shapeId="0" xr:uid="{FBFA2BCD-3440-409B-87D9-724438E05B88}">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172" authorId="0" shapeId="0" xr:uid="{62BCBC7A-D430-4741-95D0-7D733CF772DC}">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195" authorId="0" shapeId="0" xr:uid="{BAEA8FFC-B2DD-4838-A892-FD2F813433AF}">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B212" authorId="0" shapeId="0" xr:uid="{5EED48E2-875E-469D-B067-0498DEAE29D8}">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 ref="A224" authorId="0" shapeId="0" xr:uid="{22C4AB8F-584C-4746-BD02-62A77C443336}">
      <text>
        <r>
          <rPr>
            <b/>
            <sz val="9"/>
            <color indexed="81"/>
            <rFont val="Segoe UI"/>
            <family val="2"/>
          </rPr>
          <t>Peter Lehmann:</t>
        </r>
        <r>
          <rPr>
            <sz val="9"/>
            <color indexed="81"/>
            <rFont val="Segoe UI"/>
            <family val="2"/>
          </rPr>
          <t xml:space="preserve">
In den grauen Feldern können Sie die Bezeichnung ändern, in hellgrauen nicht.
In Spalte B können Sie Ergänzungen reinschreiben.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D214E8C4-FD18-4557-B771-5E5F05CB6A0B}">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1171FA79-A4B9-497B-821C-9307BED57E27}">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1AE4059D-D993-438E-8259-15EE6A6488D5}">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44AD0ECF-D42F-4D59-9C36-6BB0F52BA302}">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11DC07A4-C57E-4508-A40C-F7C1A077E2E7}">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7BEDEE0C-74D2-4724-81A5-51D79B066992}">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18" authorId="0" shapeId="0" xr:uid="{B90F292D-2AB5-4FA0-B0AE-3D406D72FF2E}">
      <text>
        <r>
          <rPr>
            <b/>
            <sz val="9"/>
            <color indexed="81"/>
            <rFont val="Segoe UI"/>
            <family val="2"/>
          </rPr>
          <t>Peter Lehmann:</t>
        </r>
        <r>
          <rPr>
            <sz val="9"/>
            <color indexed="81"/>
            <rFont val="Segoe UI"/>
            <family val="2"/>
          </rPr>
          <t xml:space="preserve">
Hier können Sie Ihren "alten", bisherigen Preis eingeben
</t>
        </r>
      </text>
    </comment>
    <comment ref="A21" authorId="0" shapeId="0" xr:uid="{AAB08C84-AC65-49B0-ADB8-ED2902127CF4}">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22" authorId="0" shapeId="0" xr:uid="{98700ECC-DDDA-4438-BE65-0CBF637D3518}">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G1" authorId="0" shapeId="0" xr:uid="{3BF49EED-DC46-4FF7-B64A-FB665B60FFB1}">
      <text>
        <r>
          <rPr>
            <b/>
            <sz val="9"/>
            <color indexed="81"/>
            <rFont val="Segoe UI"/>
            <family val="2"/>
          </rPr>
          <t>Peter Lehmann:</t>
        </r>
        <r>
          <rPr>
            <sz val="9"/>
            <color indexed="81"/>
            <rFont val="Segoe UI"/>
            <family val="2"/>
          </rPr>
          <t xml:space="preserve">
Den Namen der Dienstleistung können Sie in den grauen Feldern der einzelem Kalkulationen ändern</t>
        </r>
      </text>
    </comment>
    <comment ref="E11" authorId="0" shapeId="0" xr:uid="{47344220-6FD2-4B62-8B10-8A492AEDBB17}">
      <text>
        <r>
          <rPr>
            <b/>
            <sz val="9"/>
            <color indexed="81"/>
            <rFont val="Segoe UI"/>
            <family val="2"/>
          </rPr>
          <t>Peter Lehmann:</t>
        </r>
        <r>
          <rPr>
            <sz val="9"/>
            <color indexed="81"/>
            <rFont val="Segoe UI"/>
            <family val="2"/>
          </rPr>
          <t xml:space="preserve">
In diese Zelle können Sie den Namen der Dienstleistung eintragen
</t>
        </r>
      </text>
    </comment>
    <comment ref="A28" authorId="0" shapeId="0" xr:uid="{0D73A47A-1B87-445C-A1E9-F234E9347048}">
      <text>
        <r>
          <rPr>
            <b/>
            <sz val="9"/>
            <color indexed="81"/>
            <rFont val="Segoe UI"/>
            <family val="2"/>
          </rPr>
          <t>Peter Lehmann:</t>
        </r>
        <r>
          <rPr>
            <sz val="9"/>
            <color indexed="81"/>
            <rFont val="Segoe UI"/>
            <family val="2"/>
          </rPr>
          <t xml:space="preserve">
Hier können Sie Ihren "alten", bisherigen Preis eingeben
</t>
        </r>
      </text>
    </comment>
    <comment ref="A31" authorId="0" shapeId="0" xr:uid="{A83F0B4F-CDE9-4D6F-954A-3676B5A35ADA}">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32" authorId="0" shapeId="0" xr:uid="{7F5E06D7-06F6-4F0C-B8B4-26710A243ED0}">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49" authorId="0" shapeId="0" xr:uid="{253CE65C-D2EE-4071-AE3C-62894F3D6FFA}">
      <text>
        <r>
          <rPr>
            <b/>
            <sz val="9"/>
            <color indexed="81"/>
            <rFont val="Segoe UI"/>
            <family val="2"/>
          </rPr>
          <t>Peter Lehmann:</t>
        </r>
        <r>
          <rPr>
            <sz val="9"/>
            <color indexed="81"/>
            <rFont val="Segoe UI"/>
            <family val="2"/>
          </rPr>
          <t xml:space="preserve">
In diese Zelle können Sie den Namen der Dienstleistung eintragen
</t>
        </r>
      </text>
    </comment>
    <comment ref="A66" authorId="0" shapeId="0" xr:uid="{4EC1DE7A-91D6-4FE7-A983-20F28D970848}">
      <text>
        <r>
          <rPr>
            <b/>
            <sz val="9"/>
            <color indexed="81"/>
            <rFont val="Segoe UI"/>
            <family val="2"/>
          </rPr>
          <t>Peter Lehmann:</t>
        </r>
        <r>
          <rPr>
            <sz val="9"/>
            <color indexed="81"/>
            <rFont val="Segoe UI"/>
            <family val="2"/>
          </rPr>
          <t xml:space="preserve">
Hier können Sie Ihren "alten", bisherigen Preis eingeben
</t>
        </r>
      </text>
    </comment>
    <comment ref="A69" authorId="0" shapeId="0" xr:uid="{B59EE2FC-692E-4EFF-82F5-95C11581F9A3}">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70" authorId="0" shapeId="0" xr:uid="{E01460CC-2BEF-4411-82D7-E8490D38AF65}">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87" authorId="0" shapeId="0" xr:uid="{4B872508-19C0-45CD-A9E6-98A74188F29F}">
      <text>
        <r>
          <rPr>
            <b/>
            <sz val="9"/>
            <color indexed="81"/>
            <rFont val="Segoe UI"/>
            <family val="2"/>
          </rPr>
          <t>Peter Lehmann:</t>
        </r>
        <r>
          <rPr>
            <sz val="9"/>
            <color indexed="81"/>
            <rFont val="Segoe UI"/>
            <family val="2"/>
          </rPr>
          <t xml:space="preserve">
In diese Zelle können Sie den Namen der Dienstleistung eintragen
</t>
        </r>
      </text>
    </comment>
    <comment ref="A104" authorId="0" shapeId="0" xr:uid="{2C193860-E78C-4BEF-9234-39F76C7C24F8}">
      <text>
        <r>
          <rPr>
            <b/>
            <sz val="9"/>
            <color indexed="81"/>
            <rFont val="Segoe UI"/>
            <family val="2"/>
          </rPr>
          <t>Peter Lehmann:</t>
        </r>
        <r>
          <rPr>
            <sz val="9"/>
            <color indexed="81"/>
            <rFont val="Segoe UI"/>
            <family val="2"/>
          </rPr>
          <t xml:space="preserve">
Hier können Sie Ihren "alten", bisherigen Preis eingeben
</t>
        </r>
      </text>
    </comment>
    <comment ref="A107" authorId="0" shapeId="0" xr:uid="{43C94C8B-588A-4697-A7B8-EA6AAF6BE20B}">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108" authorId="0" shapeId="0" xr:uid="{1FF549E1-1CFB-49BB-BA38-6D63333E1554}">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125" authorId="0" shapeId="0" xr:uid="{CDEB8C46-1866-49E9-BE82-44CF85AB5E0B}">
      <text>
        <r>
          <rPr>
            <b/>
            <sz val="9"/>
            <color indexed="81"/>
            <rFont val="Segoe UI"/>
            <family val="2"/>
          </rPr>
          <t>Peter Lehmann:</t>
        </r>
        <r>
          <rPr>
            <sz val="9"/>
            <color indexed="81"/>
            <rFont val="Segoe UI"/>
            <family val="2"/>
          </rPr>
          <t xml:space="preserve">
In diese Zelle können Sie den Namen der Dienstleistung eintragen
</t>
        </r>
      </text>
    </comment>
    <comment ref="A142" authorId="0" shapeId="0" xr:uid="{E455FA3E-83FE-444A-84C7-8B110190F89E}">
      <text>
        <r>
          <rPr>
            <b/>
            <sz val="9"/>
            <color indexed="81"/>
            <rFont val="Segoe UI"/>
            <family val="2"/>
          </rPr>
          <t>Peter Lehmann:</t>
        </r>
        <r>
          <rPr>
            <sz val="9"/>
            <color indexed="81"/>
            <rFont val="Segoe UI"/>
            <family val="2"/>
          </rPr>
          <t xml:space="preserve">
Hier können Sie Ihren "alten", bisherigen Preis eingeben
</t>
        </r>
      </text>
    </comment>
    <comment ref="A145" authorId="0" shapeId="0" xr:uid="{36C5299D-4F6A-4A52-8A3B-C21CF6F39D55}">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146" authorId="0" shapeId="0" xr:uid="{8F9CC69F-92D8-448E-8805-35E1A476C9E4}">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163" authorId="0" shapeId="0" xr:uid="{403BBF02-E215-47F7-AF27-4785B452FC70}">
      <text>
        <r>
          <rPr>
            <b/>
            <sz val="9"/>
            <color indexed="81"/>
            <rFont val="Segoe UI"/>
            <family val="2"/>
          </rPr>
          <t>Peter Lehmann:</t>
        </r>
        <r>
          <rPr>
            <sz val="9"/>
            <color indexed="81"/>
            <rFont val="Segoe UI"/>
            <family val="2"/>
          </rPr>
          <t xml:space="preserve">
In diese Zelle können Sie den Namen der Dienstleistung eintragen
</t>
        </r>
      </text>
    </comment>
    <comment ref="A180" authorId="0" shapeId="0" xr:uid="{643078CF-BCF6-4D0C-A88E-249FEB018D8A}">
      <text>
        <r>
          <rPr>
            <b/>
            <sz val="9"/>
            <color indexed="81"/>
            <rFont val="Segoe UI"/>
            <family val="2"/>
          </rPr>
          <t>Peter Lehmann:</t>
        </r>
        <r>
          <rPr>
            <sz val="9"/>
            <color indexed="81"/>
            <rFont val="Segoe UI"/>
            <family val="2"/>
          </rPr>
          <t xml:space="preserve">
Hier können Sie Ihren "alten", bisherigen Preis eingeben
</t>
        </r>
      </text>
    </comment>
    <comment ref="A183" authorId="0" shapeId="0" xr:uid="{179B3287-CB6E-4084-9DDF-B40191EFA22A}">
      <text>
        <r>
          <rPr>
            <b/>
            <sz val="9"/>
            <color indexed="81"/>
            <rFont val="Segoe UI"/>
            <family val="2"/>
          </rPr>
          <t>Peter Lehmann:</t>
        </r>
        <r>
          <rPr>
            <sz val="9"/>
            <color indexed="81"/>
            <rFont val="Segoe UI"/>
            <family val="2"/>
          </rPr>
          <t xml:space="preserve">
In dieser Berechnung können Sie die prozentuale Preisanpassung für Ihre Dienstleistung ermitteln. 
So sehen Sie, ob Sie mit Ihrem neuen Preis, den Sie ansetzen, Kunden gewinnen müssen oder auch Kunden verlieren dürfen, um den nötigen Umsatzanteil der Dienstleistung am Gesamtumsatz zu erwirtschaften.  </t>
        </r>
      </text>
    </comment>
    <comment ref="B184" authorId="0" shapeId="0" xr:uid="{E536FD32-31B3-4D42-9381-705A60AE83ED}">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201" authorId="0" shapeId="0" xr:uid="{B5EA33BA-F74E-4923-8458-26F06B5F5762}">
      <text>
        <r>
          <rPr>
            <b/>
            <sz val="9"/>
            <color indexed="81"/>
            <rFont val="Segoe UI"/>
            <family val="2"/>
          </rPr>
          <t>Peter Lehmann:</t>
        </r>
        <r>
          <rPr>
            <sz val="9"/>
            <color indexed="81"/>
            <rFont val="Segoe UI"/>
            <family val="2"/>
          </rPr>
          <t xml:space="preserve">
In diese Zelle können Sie den Namen der Dienstleistung eintragen
</t>
        </r>
      </text>
    </comment>
    <comment ref="A218" authorId="0" shapeId="0" xr:uid="{5ABA099B-9D21-4F71-92A9-6BC618851E35}">
      <text>
        <r>
          <rPr>
            <b/>
            <sz val="9"/>
            <color indexed="81"/>
            <rFont val="Segoe UI"/>
            <family val="2"/>
          </rPr>
          <t>Peter Lehmann:</t>
        </r>
        <r>
          <rPr>
            <sz val="9"/>
            <color indexed="81"/>
            <rFont val="Segoe UI"/>
            <family val="2"/>
          </rPr>
          <t xml:space="preserve">
Hier können Sie Ihren "alten", bisherigen Preis eingeben
</t>
        </r>
      </text>
    </comment>
    <comment ref="B222" authorId="0" shapeId="0" xr:uid="{2F06257C-1D00-4DA4-8815-41B96A0565BE}">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239" authorId="0" shapeId="0" xr:uid="{BFB1A82E-4040-49EB-8370-998098F42B91}">
      <text>
        <r>
          <rPr>
            <b/>
            <sz val="9"/>
            <color indexed="81"/>
            <rFont val="Segoe UI"/>
            <family val="2"/>
          </rPr>
          <t>Peter Lehmann:</t>
        </r>
        <r>
          <rPr>
            <sz val="9"/>
            <color indexed="81"/>
            <rFont val="Segoe UI"/>
            <family val="2"/>
          </rPr>
          <t xml:space="preserve">
In diese Zelle können Sie den Namen der Dienstleistung eintragen
</t>
        </r>
      </text>
    </comment>
    <comment ref="A256" authorId="0" shapeId="0" xr:uid="{6F8EB418-7117-4BAA-8794-77222A46D68C}">
      <text>
        <r>
          <rPr>
            <b/>
            <sz val="9"/>
            <color indexed="81"/>
            <rFont val="Segoe UI"/>
            <family val="2"/>
          </rPr>
          <t>Peter Lehmann:</t>
        </r>
        <r>
          <rPr>
            <sz val="9"/>
            <color indexed="81"/>
            <rFont val="Segoe UI"/>
            <family val="2"/>
          </rPr>
          <t xml:space="preserve">
Hier können Sie Ihren "alten", bisherigen Preis eingeben
</t>
        </r>
      </text>
    </comment>
    <comment ref="B260" authorId="0" shapeId="0" xr:uid="{B85C86B7-59A8-43A7-99E8-9F8160ABBD50}">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277" authorId="0" shapeId="0" xr:uid="{0EDB1875-87E8-42B5-8B22-2B12DA046159}">
      <text>
        <r>
          <rPr>
            <b/>
            <sz val="9"/>
            <color indexed="81"/>
            <rFont val="Segoe UI"/>
            <family val="2"/>
          </rPr>
          <t>Peter Lehmann:</t>
        </r>
        <r>
          <rPr>
            <sz val="9"/>
            <color indexed="81"/>
            <rFont val="Segoe UI"/>
            <family val="2"/>
          </rPr>
          <t xml:space="preserve">
In diese Zelle können Sie den Namen der Dienstleistung eintragen
</t>
        </r>
      </text>
    </comment>
    <comment ref="A294" authorId="0" shapeId="0" xr:uid="{5065F49B-85A1-4CAC-B320-C54430FA948B}">
      <text>
        <r>
          <rPr>
            <b/>
            <sz val="9"/>
            <color indexed="81"/>
            <rFont val="Segoe UI"/>
            <family val="2"/>
          </rPr>
          <t>Peter Lehmann:</t>
        </r>
        <r>
          <rPr>
            <sz val="9"/>
            <color indexed="81"/>
            <rFont val="Segoe UI"/>
            <family val="2"/>
          </rPr>
          <t xml:space="preserve">
Hier können Sie Ihren "alten", bisherigen Preis eingeben
</t>
        </r>
      </text>
    </comment>
    <comment ref="B298" authorId="0" shapeId="0" xr:uid="{5DF2D168-ED79-4161-8F23-5BBBB8FD149A}">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315" authorId="0" shapeId="0" xr:uid="{8A5E3D24-B11E-4740-8748-96056B363BA5}">
      <text>
        <r>
          <rPr>
            <b/>
            <sz val="9"/>
            <color indexed="81"/>
            <rFont val="Segoe UI"/>
            <family val="2"/>
          </rPr>
          <t>Peter Lehmann:</t>
        </r>
        <r>
          <rPr>
            <sz val="9"/>
            <color indexed="81"/>
            <rFont val="Segoe UI"/>
            <family val="2"/>
          </rPr>
          <t xml:space="preserve">
In diese Zelle können Sie den Namen der Dienstleistung eintragen
</t>
        </r>
      </text>
    </comment>
    <comment ref="A332" authorId="0" shapeId="0" xr:uid="{DA85F515-063F-436E-8C5E-DACFDA5DF1AB}">
      <text>
        <r>
          <rPr>
            <b/>
            <sz val="9"/>
            <color indexed="81"/>
            <rFont val="Segoe UI"/>
            <family val="2"/>
          </rPr>
          <t>Peter Lehmann:</t>
        </r>
        <r>
          <rPr>
            <sz val="9"/>
            <color indexed="81"/>
            <rFont val="Segoe UI"/>
            <family val="2"/>
          </rPr>
          <t xml:space="preserve">
Hier können Sie Ihren "alten", bisherigen Preis eingeben
</t>
        </r>
      </text>
    </comment>
    <comment ref="B336" authorId="0" shapeId="0" xr:uid="{A851F6D9-6A5D-4AC9-997D-A63E4399B38A}">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353" authorId="0" shapeId="0" xr:uid="{B5C3EF5A-9DE0-4CFA-8F18-3AC0F5F547DF}">
      <text>
        <r>
          <rPr>
            <b/>
            <sz val="9"/>
            <color indexed="81"/>
            <rFont val="Segoe UI"/>
            <family val="2"/>
          </rPr>
          <t>Peter Lehmann:</t>
        </r>
        <r>
          <rPr>
            <sz val="9"/>
            <color indexed="81"/>
            <rFont val="Segoe UI"/>
            <family val="2"/>
          </rPr>
          <t xml:space="preserve">
In diese Zelle können Sie den Namen der Dienstleistung eintragen
</t>
        </r>
      </text>
    </comment>
    <comment ref="A370" authorId="0" shapeId="0" xr:uid="{6359B00D-2712-4B17-A251-A08ECAF61EA2}">
      <text>
        <r>
          <rPr>
            <b/>
            <sz val="9"/>
            <color indexed="81"/>
            <rFont val="Segoe UI"/>
            <family val="2"/>
          </rPr>
          <t>Peter Lehmann:</t>
        </r>
        <r>
          <rPr>
            <sz val="9"/>
            <color indexed="81"/>
            <rFont val="Segoe UI"/>
            <family val="2"/>
          </rPr>
          <t xml:space="preserve">
Hier können Sie Ihren "alten", bisherigen Preis eingeben
</t>
        </r>
      </text>
    </comment>
    <comment ref="B374" authorId="0" shapeId="0" xr:uid="{484F43A9-904C-4E84-B65C-EAB9A5B51B7F}">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391" authorId="0" shapeId="0" xr:uid="{889536FC-D627-43F4-9DE9-EB5A1F07156E}">
      <text>
        <r>
          <rPr>
            <b/>
            <sz val="9"/>
            <color indexed="81"/>
            <rFont val="Segoe UI"/>
            <family val="2"/>
          </rPr>
          <t>Peter Lehmann:</t>
        </r>
        <r>
          <rPr>
            <sz val="9"/>
            <color indexed="81"/>
            <rFont val="Segoe UI"/>
            <family val="2"/>
          </rPr>
          <t xml:space="preserve">
In diese Zelle können Sie den Namen der Dienstleistung eintragen
</t>
        </r>
      </text>
    </comment>
    <comment ref="A408" authorId="0" shapeId="0" xr:uid="{C9A85DA7-7AE0-4409-8F57-B593268417C9}">
      <text>
        <r>
          <rPr>
            <b/>
            <sz val="9"/>
            <color indexed="81"/>
            <rFont val="Segoe UI"/>
            <family val="2"/>
          </rPr>
          <t>Peter Lehmann:</t>
        </r>
        <r>
          <rPr>
            <sz val="9"/>
            <color indexed="81"/>
            <rFont val="Segoe UI"/>
            <family val="2"/>
          </rPr>
          <t xml:space="preserve">
Hier können Sie Ihren "alten", bisherigen Preis eingeben
</t>
        </r>
      </text>
    </comment>
    <comment ref="B412" authorId="0" shapeId="0" xr:uid="{181F3DCB-043F-4F51-BD98-D62F79BD35DA}">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429" authorId="0" shapeId="0" xr:uid="{DBA62B31-75C1-46D1-BA2B-3723D4BBA4D9}">
      <text>
        <r>
          <rPr>
            <b/>
            <sz val="9"/>
            <color indexed="81"/>
            <rFont val="Segoe UI"/>
            <family val="2"/>
          </rPr>
          <t>Peter Lehmann:</t>
        </r>
        <r>
          <rPr>
            <sz val="9"/>
            <color indexed="81"/>
            <rFont val="Segoe UI"/>
            <family val="2"/>
          </rPr>
          <t xml:space="preserve">
In diese Zelle können Sie den Namen der Dienstleistung eintragen
</t>
        </r>
      </text>
    </comment>
    <comment ref="A446" authorId="0" shapeId="0" xr:uid="{A3E12C13-A59A-42AA-A8E8-907A5171AD4D}">
      <text>
        <r>
          <rPr>
            <b/>
            <sz val="9"/>
            <color indexed="81"/>
            <rFont val="Segoe UI"/>
            <family val="2"/>
          </rPr>
          <t>Peter Lehmann:</t>
        </r>
        <r>
          <rPr>
            <sz val="9"/>
            <color indexed="81"/>
            <rFont val="Segoe UI"/>
            <family val="2"/>
          </rPr>
          <t xml:space="preserve">
Hier können Sie Ihren "alten", bisherigen Preis eingeben
</t>
        </r>
      </text>
    </comment>
    <comment ref="B450" authorId="0" shapeId="0" xr:uid="{B5B2E358-F011-45C2-89E3-F341906FE293}">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467" authorId="0" shapeId="0" xr:uid="{A6C116CE-B4E5-4C54-AD9E-B17EFFF2BE24}">
      <text>
        <r>
          <rPr>
            <b/>
            <sz val="9"/>
            <color indexed="81"/>
            <rFont val="Segoe UI"/>
            <family val="2"/>
          </rPr>
          <t>Peter Lehmann:</t>
        </r>
        <r>
          <rPr>
            <sz val="9"/>
            <color indexed="81"/>
            <rFont val="Segoe UI"/>
            <family val="2"/>
          </rPr>
          <t xml:space="preserve">
In diese Zelle können Sie den Namen der Dienstleistung eintragen
</t>
        </r>
      </text>
    </comment>
    <comment ref="A484" authorId="0" shapeId="0" xr:uid="{DD3C219F-CAE1-4650-AB6A-4F64DEF440BB}">
      <text>
        <r>
          <rPr>
            <b/>
            <sz val="9"/>
            <color indexed="81"/>
            <rFont val="Segoe UI"/>
            <family val="2"/>
          </rPr>
          <t>Peter Lehmann:</t>
        </r>
        <r>
          <rPr>
            <sz val="9"/>
            <color indexed="81"/>
            <rFont val="Segoe UI"/>
            <family val="2"/>
          </rPr>
          <t xml:space="preserve">
Hier können Sie Ihren "alten", bisherigen Preis eingeben
</t>
        </r>
      </text>
    </comment>
    <comment ref="B488" authorId="0" shapeId="0" xr:uid="{FEC72E86-6BBA-4D46-BE3A-1376EA8443C4}">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505" authorId="0" shapeId="0" xr:uid="{F0A55E7F-BBED-409A-BC05-1917AF908E2C}">
      <text>
        <r>
          <rPr>
            <b/>
            <sz val="9"/>
            <color indexed="81"/>
            <rFont val="Segoe UI"/>
            <family val="2"/>
          </rPr>
          <t>Peter Lehmann:</t>
        </r>
        <r>
          <rPr>
            <sz val="9"/>
            <color indexed="81"/>
            <rFont val="Segoe UI"/>
            <family val="2"/>
          </rPr>
          <t xml:space="preserve">
In diese Zelle können Sie den Namen der Dienstleistung eintragen
</t>
        </r>
      </text>
    </comment>
    <comment ref="A522" authorId="0" shapeId="0" xr:uid="{AE99D088-C2CC-4200-9D9B-2B59E67B1A44}">
      <text>
        <r>
          <rPr>
            <b/>
            <sz val="9"/>
            <color indexed="81"/>
            <rFont val="Segoe UI"/>
            <family val="2"/>
          </rPr>
          <t>Peter Lehmann:</t>
        </r>
        <r>
          <rPr>
            <sz val="9"/>
            <color indexed="81"/>
            <rFont val="Segoe UI"/>
            <family val="2"/>
          </rPr>
          <t xml:space="preserve">
Hier können Sie Ihren "alten", bisherigen Preis eingeben
</t>
        </r>
      </text>
    </comment>
    <comment ref="B526" authorId="0" shapeId="0" xr:uid="{A6BAE1E6-EB68-4B3D-9B17-A0DE8E80744A}">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543" authorId="0" shapeId="0" xr:uid="{2FDD11DA-6811-44AD-9BF7-2461F82F5D0E}">
      <text>
        <r>
          <rPr>
            <b/>
            <sz val="9"/>
            <color indexed="81"/>
            <rFont val="Segoe UI"/>
            <family val="2"/>
          </rPr>
          <t>Peter Lehmann:</t>
        </r>
        <r>
          <rPr>
            <sz val="9"/>
            <color indexed="81"/>
            <rFont val="Segoe UI"/>
            <family val="2"/>
          </rPr>
          <t xml:space="preserve">
In diese Zelle können Sie den Namen der Dienstleistung eintragen
</t>
        </r>
      </text>
    </comment>
    <comment ref="A560" authorId="0" shapeId="0" xr:uid="{0C78430D-7C12-4ABC-8F89-505E68B5EB29}">
      <text>
        <r>
          <rPr>
            <b/>
            <sz val="9"/>
            <color indexed="81"/>
            <rFont val="Segoe UI"/>
            <family val="2"/>
          </rPr>
          <t>Peter Lehmann:</t>
        </r>
        <r>
          <rPr>
            <sz val="9"/>
            <color indexed="81"/>
            <rFont val="Segoe UI"/>
            <family val="2"/>
          </rPr>
          <t xml:space="preserve">
Hier können Sie Ihren "alten", bisherigen Preis eingeben
</t>
        </r>
      </text>
    </comment>
    <comment ref="B564" authorId="0" shapeId="0" xr:uid="{E6A43B5C-6F30-4B13-97D0-13660A8DA419}">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 ref="E581" authorId="0" shapeId="0" xr:uid="{BE65C4B9-9D86-4577-85BF-121C450EE1BE}">
      <text>
        <r>
          <rPr>
            <b/>
            <sz val="9"/>
            <color indexed="81"/>
            <rFont val="Segoe UI"/>
            <family val="2"/>
          </rPr>
          <t>Peter Lehmann:</t>
        </r>
        <r>
          <rPr>
            <sz val="9"/>
            <color indexed="81"/>
            <rFont val="Segoe UI"/>
            <family val="2"/>
          </rPr>
          <t xml:space="preserve">
In diese Zelle können Sie den Namen der Dienstleistung eintragen
</t>
        </r>
      </text>
    </comment>
    <comment ref="A598" authorId="0" shapeId="0" xr:uid="{F63E8797-74C2-4115-995C-E7D6A2C62D52}">
      <text>
        <r>
          <rPr>
            <b/>
            <sz val="9"/>
            <color indexed="81"/>
            <rFont val="Segoe UI"/>
            <family val="2"/>
          </rPr>
          <t>Peter Lehmann:</t>
        </r>
        <r>
          <rPr>
            <sz val="9"/>
            <color indexed="81"/>
            <rFont val="Segoe UI"/>
            <family val="2"/>
          </rPr>
          <t xml:space="preserve">
Hier können Sie Ihren "alten", bisherigen Preis eingeben
</t>
        </r>
      </text>
    </comment>
    <comment ref="A602" authorId="0" shapeId="0" xr:uid="{CB429CD2-17F6-494B-9831-5CCD44163FDB}">
      <text>
        <r>
          <rPr>
            <b/>
            <sz val="9"/>
            <color indexed="81"/>
            <rFont val="Segoe UI"/>
            <family val="2"/>
          </rPr>
          <t>Peter Lehmann:</t>
        </r>
        <r>
          <rPr>
            <sz val="9"/>
            <color indexed="81"/>
            <rFont val="Segoe UI"/>
            <family val="2"/>
          </rPr>
          <t xml:space="preserve">
Hier können Sie Ihren Preis, den Sie im Salon nehmen wollen eingeben. 
Sie erhöhen oder senken damit den neu kalkluierten Preis.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tc={651576FE-B198-420A-996F-73F4912D0C7D}</author>
    <author>Peter Lehmann 2</author>
  </authors>
  <commentList>
    <comment ref="G3" authorId="0" shapeId="0" xr:uid="{651576FE-B198-420A-996F-73F4912D0C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Als Anhang App undgeschützt lassen</t>
      </text>
    </comment>
    <comment ref="D26" authorId="1" shapeId="0" xr:uid="{D591FCF7-0A1A-495B-9332-E098254187B8}">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G26" authorId="1" shapeId="0" xr:uid="{B1B50858-6762-4335-B614-05B1CAC7E310}">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D27" authorId="1" shapeId="0" xr:uid="{9CECA90C-18A3-4807-8390-FD1E290C26C3}">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G27" authorId="1" shapeId="0" xr:uid="{4B4A7B81-5738-4C7C-9751-CA2BEF3D43B0}">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D28" authorId="1" shapeId="0" xr:uid="{D419A026-52A7-46E9-B6E2-5A5D9002E6F7}">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G28" authorId="1" shapeId="0" xr:uid="{B0DA4BA1-3EDB-4725-9E82-D886D883CFA4}">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AA2" authorId="0" shapeId="0" xr:uid="{F6056CA6-8906-40FA-AB2F-5C2A3D1E9B65}">
      <text>
        <r>
          <rPr>
            <b/>
            <sz val="9"/>
            <color indexed="81"/>
            <rFont val="Segoe UI"/>
            <family val="2"/>
          </rPr>
          <t>Peter Lehmann:</t>
        </r>
        <r>
          <rPr>
            <sz val="9"/>
            <color indexed="81"/>
            <rFont val="Segoe UI"/>
            <family val="2"/>
          </rPr>
          <t xml:space="preserve">
Bei der Eingabe der Arbeitszeiten der Mitarbeiter (vielleicht auch bei Chef/in) können Besonderheiten auftreten. Jemand arbeitet jede Woche an einem bestimmten Tag verschieden lang oder hat z.b. jede 2. Woche Samstags oder einen anderen Tag frei. Beides können Sie eintragen. Lesen Sie bitte die Hinweise genau durch. </t>
        </r>
      </text>
    </comment>
    <comment ref="I3" authorId="0" shapeId="0" xr:uid="{DFBACD7A-4518-4D05-A214-A54BCD9EDAD1}">
      <text>
        <r>
          <rPr>
            <b/>
            <sz val="9"/>
            <color indexed="81"/>
            <rFont val="Segoe UI"/>
            <family val="2"/>
          </rPr>
          <t>Peter Lehmann:</t>
        </r>
        <r>
          <rPr>
            <sz val="9"/>
            <color indexed="81"/>
            <rFont val="Segoe UI"/>
            <family val="2"/>
          </rPr>
          <t xml:space="preserve">
Problem: in einer Zelle steht  </t>
        </r>
        <r>
          <rPr>
            <b/>
            <sz val="9"/>
            <color indexed="81"/>
            <rFont val="Segoe UI"/>
            <family val="2"/>
          </rPr>
          <t>#Wert!  oder #DIV/0!</t>
        </r>
        <r>
          <rPr>
            <sz val="9"/>
            <color indexed="81"/>
            <rFont val="Segoe UI"/>
            <family val="2"/>
          </rPr>
          <t xml:space="preserve">   
</t>
        </r>
        <r>
          <rPr>
            <b/>
            <sz val="9"/>
            <color indexed="81"/>
            <rFont val="Segoe UI"/>
            <family val="2"/>
          </rPr>
          <t xml:space="preserve">Fehlerquelle 1
</t>
        </r>
        <r>
          <rPr>
            <sz val="9"/>
            <color indexed="81"/>
            <rFont val="Segoe UI"/>
            <family val="2"/>
          </rPr>
          <t xml:space="preserve">Auf keinen Fall graue Zellen "ausschneiden" und woanders "einfügen", das zerstört Verknüpfungen. 
Kopieren ist möglich.
</t>
        </r>
        <r>
          <rPr>
            <b/>
            <sz val="9"/>
            <color indexed="81"/>
            <rFont val="Segoe UI"/>
            <family val="2"/>
          </rPr>
          <t xml:space="preserve">Fehlerquelle 2 
</t>
        </r>
        <r>
          <rPr>
            <sz val="9"/>
            <color indexed="81"/>
            <rFont val="Segoe UI"/>
            <family val="2"/>
          </rPr>
          <t xml:space="preserve">Es fehlen Eingaben.  
Beispiel für die Seiten 4, 5, 6: Wenn ein Name auf den Mitarbeiterseite 4,5,6 eingegeben ist und keine weiteren Eingaben (Lohn, Monate, Wochenstd.), wird das System nicht rechnen können.
</t>
        </r>
        <r>
          <rPr>
            <b/>
            <sz val="9"/>
            <color indexed="81"/>
            <rFont val="Segoe UI"/>
            <family val="2"/>
          </rPr>
          <t xml:space="preserve">Fehlerquelle 3
</t>
        </r>
        <r>
          <rPr>
            <sz val="9"/>
            <color indexed="81"/>
            <rFont val="Segoe UI"/>
            <family val="2"/>
          </rPr>
          <t xml:space="preserve">Wenn ein Punkt anstatt des Kommas einsetzt wird, z.B.: anstatt 2400,00 wird 2400.00 eingegeben, kann das System nicht rechnen.
</t>
        </r>
        <r>
          <rPr>
            <b/>
            <sz val="9"/>
            <color indexed="81"/>
            <rFont val="Segoe UI"/>
            <family val="2"/>
          </rPr>
          <t xml:space="preserve">Lösung: 
</t>
        </r>
        <r>
          <rPr>
            <sz val="9"/>
            <color indexed="81"/>
            <rFont val="Segoe UI"/>
            <family val="2"/>
          </rPr>
          <t xml:space="preserve">1. Schauen Sie nach auf welcher Seite  #Wert!  oder #DIV/0! Zuerst auftritt.
2. Daraus können Sie auf die Eingabefelder schließen, in denen der Fehler vorliegt.
3. Eingabe machen oder ändern.
4. Nachschauen ob sich etwas verändert hat.   
5. Ja  gut gemacht 
6. Nein   Punkte 1 – 3 wiederholen
7. Nachschauen ob sich etwas verändert hat.   
8. Ja  gut gemacht 
9. Nein   Mir eine Mail mit der App als Anhang und Passwort schicken und Problem beschreiben.
</t>
        </r>
      </text>
    </comment>
    <comment ref="AB7" authorId="0" shapeId="0" xr:uid="{B2A21BBD-B5E0-4AFB-9AA3-FC245FF47551}">
      <text>
        <r>
          <rPr>
            <b/>
            <sz val="9"/>
            <color indexed="81"/>
            <rFont val="Segoe UI"/>
            <family val="2"/>
          </rPr>
          <t>Peter Lehmann:</t>
        </r>
        <r>
          <rPr>
            <sz val="9"/>
            <color indexed="81"/>
            <rFont val="Segoe UI"/>
            <family val="2"/>
          </rPr>
          <t xml:space="preserve">
Hier werden die Eingaben von Seite 2 Chefeingabe der 1. Woche übernommen
</t>
        </r>
      </text>
    </comment>
    <comment ref="AH7" authorId="0" shapeId="0" xr:uid="{9986D066-7324-4305-8BF2-660A4FC28D13}">
      <text>
        <r>
          <rPr>
            <b/>
            <sz val="9"/>
            <color indexed="81"/>
            <rFont val="Segoe UI"/>
            <family val="2"/>
          </rPr>
          <t>Peter Lehmann:</t>
        </r>
        <r>
          <rPr>
            <sz val="9"/>
            <color indexed="81"/>
            <rFont val="Segoe UI"/>
            <family val="2"/>
          </rPr>
          <t xml:space="preserve">
Hier werden die Eingaben von Seite 2 Chefeingabe der 1. Woche übernommen
</t>
        </r>
      </text>
    </comment>
    <comment ref="AI7" authorId="0" shapeId="0" xr:uid="{045AFA7E-BEBA-43A7-A158-8CDEB401F9DD}">
      <text>
        <r>
          <rPr>
            <b/>
            <sz val="9"/>
            <color indexed="81"/>
            <rFont val="Segoe UI"/>
            <family val="2"/>
          </rPr>
          <t>Peter Lehmann:</t>
        </r>
        <r>
          <rPr>
            <sz val="9"/>
            <color indexed="81"/>
            <rFont val="Segoe UI"/>
            <family val="2"/>
          </rPr>
          <t xml:space="preserve">
Hier werden die Eingaben von Seite 2 Chefeingabe der 1. Woche übernommen
</t>
        </r>
      </text>
    </comment>
    <comment ref="AJ7" authorId="0" shapeId="0" xr:uid="{05EA6E48-75B1-4BBA-B3CC-22C8EC16CC3F}">
      <text>
        <r>
          <rPr>
            <b/>
            <sz val="9"/>
            <color indexed="81"/>
            <rFont val="Segoe UI"/>
            <family val="2"/>
          </rPr>
          <t>Peter Lehmann:</t>
        </r>
        <r>
          <rPr>
            <sz val="9"/>
            <color indexed="81"/>
            <rFont val="Segoe UI"/>
            <family val="2"/>
          </rPr>
          <t xml:space="preserve">
Hier werden die Eingaben von Seite 2 Chefeingabe der 1. Woche übernommen
</t>
        </r>
      </text>
    </comment>
    <comment ref="AK7" authorId="0" shapeId="0" xr:uid="{851B2BCA-EC6B-4565-A6B8-630925C2BFFE}">
      <text>
        <r>
          <rPr>
            <b/>
            <sz val="9"/>
            <color indexed="81"/>
            <rFont val="Segoe UI"/>
            <family val="2"/>
          </rPr>
          <t>Peter Lehmann:</t>
        </r>
        <r>
          <rPr>
            <sz val="9"/>
            <color indexed="81"/>
            <rFont val="Segoe UI"/>
            <family val="2"/>
          </rPr>
          <t xml:space="preserve">
Hier werden die Eingaben von Seite 2 Chefeingabe der 1. Woche übernommen
</t>
        </r>
      </text>
    </comment>
    <comment ref="AL7" authorId="0" shapeId="0" xr:uid="{B6A3E6A4-B498-4AD7-B99E-2056E04D24D6}">
      <text>
        <r>
          <rPr>
            <b/>
            <sz val="9"/>
            <color indexed="81"/>
            <rFont val="Segoe UI"/>
            <family val="2"/>
          </rPr>
          <t>Peter Lehmann:</t>
        </r>
        <r>
          <rPr>
            <sz val="9"/>
            <color indexed="81"/>
            <rFont val="Segoe UI"/>
            <family val="2"/>
          </rPr>
          <t xml:space="preserve">
Hier werden die Eingaben von Seite 2 Chefeingabe der 1. Woche übernommen
</t>
        </r>
      </text>
    </comment>
    <comment ref="AM7" authorId="0" shapeId="0" xr:uid="{A3695993-D5E0-4B46-BD3A-0383DF2E1991}">
      <text>
        <r>
          <rPr>
            <b/>
            <sz val="9"/>
            <color indexed="81"/>
            <rFont val="Segoe UI"/>
            <family val="2"/>
          </rPr>
          <t>Peter Lehmann:</t>
        </r>
        <r>
          <rPr>
            <sz val="9"/>
            <color indexed="81"/>
            <rFont val="Segoe UI"/>
            <family val="2"/>
          </rPr>
          <t xml:space="preserve">
Hier werden die Eingaben von Seite 2 Chefeingabe der 1. Woche übernommen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 Lehmann 2</author>
  </authors>
  <commentList>
    <comment ref="F20" authorId="0" shapeId="0" xr:uid="{00000000-0006-0000-0B00-000001000000}">
      <text>
        <r>
          <rPr>
            <sz val="9"/>
            <color indexed="81"/>
            <rFont val="Tahoma"/>
            <family val="2"/>
          </rPr>
          <t xml:space="preserve">ok wenn Krankheitskosten bzw Rückvergütung berechnet werden sollen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E7" authorId="0" shapeId="0" xr:uid="{DEE425B6-6C8A-4443-BA23-B997C62397AD}">
      <text>
        <r>
          <rPr>
            <b/>
            <sz val="9"/>
            <color indexed="81"/>
            <rFont val="Segoe UI"/>
            <family val="2"/>
          </rPr>
          <t>Peter Lehmann:</t>
        </r>
        <r>
          <rPr>
            <sz val="9"/>
            <color indexed="81"/>
            <rFont val="Segoe UI"/>
            <family val="2"/>
          </rPr>
          <t xml:space="preserve">
Die Hochrechnung der Einzelwerte bei Steuern, Versicherungen und Beiträgen konnten Sie schon auf Seite 3 korrigieren.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F2" authorId="0" shapeId="0" xr:uid="{EDCBBE2E-7F2A-4A7F-8D97-F56524E33347}">
      <text>
        <r>
          <rPr>
            <b/>
            <sz val="9"/>
            <color indexed="81"/>
            <rFont val="Segoe UI"/>
            <family val="2"/>
          </rPr>
          <t>Peter Lehmann:</t>
        </r>
        <r>
          <rPr>
            <sz val="9"/>
            <color indexed="81"/>
            <rFont val="Segoe UI"/>
            <family val="2"/>
          </rPr>
          <t xml:space="preserve">
Die Zinskosten sind in den Gemeinkosten unter "Zinsen" berücksichtigt, nicht unter neitralem Aufwand.
Gewerbesteuervorauszahlungen unter Steuern und Versicherungen. Seite 12 
Gewerbesteuernachzahlungen unter Neutralem Aufwand. 
Sonstige Erlöse wie Privatverbrauch von z.B. Auto und Telefon sind keine Umsätze, die tatsächlich erzielt wurden oder werden. Sie heben rechnerisch die Kosten für KFZ und Telefon auf und erhöhen so den steuerlichen Gewinn.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N12" authorId="0" shapeId="0" xr:uid="{002D8596-FF59-40A2-917E-BA1FE5E2A294}">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13" authorId="0" shapeId="0" xr:uid="{01B80E29-7433-4CB8-849F-EBBDF8298C95}">
      <text>
        <r>
          <rPr>
            <b/>
            <sz val="9"/>
            <color indexed="81"/>
            <rFont val="Segoe UI"/>
            <family val="2"/>
          </rPr>
          <t>Peter Lehmann:</t>
        </r>
        <r>
          <rPr>
            <sz val="9"/>
            <color indexed="81"/>
            <rFont val="Segoe UI"/>
            <family val="2"/>
          </rPr>
          <t xml:space="preserve">
Der Wert ist die Eingabe aus Spalte C, sie wurde von dort übernommen.
</t>
        </r>
      </text>
    </comment>
    <comment ref="E14" authorId="0" shapeId="0" xr:uid="{7CAB7213-1235-437C-84B7-BB491E2FD1C8}">
      <text>
        <r>
          <rPr>
            <b/>
            <sz val="9"/>
            <color indexed="81"/>
            <rFont val="Segoe UI"/>
            <family val="2"/>
          </rPr>
          <t>Peter Lehmann:</t>
        </r>
        <r>
          <rPr>
            <sz val="9"/>
            <color indexed="81"/>
            <rFont val="Segoe UI"/>
            <family val="2"/>
          </rPr>
          <t xml:space="preserve">
Hier tragen Sie bitte den % Satz des Wareneinsatzes am Netto- Verkaufsumsatz ein.</t>
        </r>
      </text>
    </comment>
    <comment ref="N14" authorId="0" shapeId="0" xr:uid="{2AE8A208-9C96-4561-BE9C-9FBF7495D642}">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15" authorId="0" shapeId="0" xr:uid="{2AF50A3E-4207-4C1A-96CA-8E18AF8607DE}">
      <text>
        <r>
          <rPr>
            <b/>
            <sz val="9"/>
            <color indexed="81"/>
            <rFont val="Segoe UI"/>
            <family val="2"/>
          </rPr>
          <t>Peter Lehmann:</t>
        </r>
        <r>
          <rPr>
            <sz val="9"/>
            <color indexed="81"/>
            <rFont val="Segoe UI"/>
            <family val="2"/>
          </rPr>
          <t xml:space="preserve">
Der Wert ist die Eingabe aus Spalte C, sie wurde von dort übernommen.
</t>
        </r>
      </text>
    </comment>
    <comment ref="N17" authorId="0" shapeId="0" xr:uid="{5254BE25-D411-4CAE-9821-CACB18AE9D29}">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18" authorId="0" shapeId="0" xr:uid="{CE0BC25E-BE71-4CE2-95E3-21A765070EF8}">
      <text>
        <r>
          <rPr>
            <b/>
            <sz val="9"/>
            <color indexed="81"/>
            <rFont val="Segoe UI"/>
            <family val="2"/>
          </rPr>
          <t>Peter Lehmann:</t>
        </r>
        <r>
          <rPr>
            <sz val="9"/>
            <color indexed="81"/>
            <rFont val="Segoe UI"/>
            <family val="2"/>
          </rPr>
          <t xml:space="preserve">
Der Wert ist die Eingabe aus Spalte C, sie wurde von dort übernommen.
</t>
        </r>
      </text>
    </comment>
    <comment ref="N19" authorId="0" shapeId="0" xr:uid="{2C82DFB2-91EC-4540-AA9C-74449066FD55}">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20" authorId="0" shapeId="0" xr:uid="{7BB1865D-4DB8-44F6-9675-95405D26281D}">
      <text>
        <r>
          <rPr>
            <b/>
            <sz val="9"/>
            <color indexed="81"/>
            <rFont val="Segoe UI"/>
            <family val="2"/>
          </rPr>
          <t>Peter Lehmann:</t>
        </r>
        <r>
          <rPr>
            <sz val="9"/>
            <color indexed="81"/>
            <rFont val="Segoe UI"/>
            <family val="2"/>
          </rPr>
          <t xml:space="preserve">
Der Wert ist die Eingabe aus Spalte C, sie wurde von dort übernommen.
</t>
        </r>
      </text>
    </comment>
    <comment ref="N22" authorId="0" shapeId="0" xr:uid="{174C1B4F-3D4B-48B8-97D2-01B1A9977050}">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23" authorId="0" shapeId="0" xr:uid="{AF4F2522-9539-4CAB-86DA-03F95296B74A}">
      <text>
        <r>
          <rPr>
            <b/>
            <sz val="9"/>
            <color indexed="81"/>
            <rFont val="Segoe UI"/>
            <family val="2"/>
          </rPr>
          <t>Peter Lehmann:</t>
        </r>
        <r>
          <rPr>
            <sz val="9"/>
            <color indexed="81"/>
            <rFont val="Segoe UI"/>
            <family val="2"/>
          </rPr>
          <t xml:space="preserve">
Der Wert ist die Eingabe aus Spalte C, sie wurde von dort übernommen.
</t>
        </r>
      </text>
    </comment>
    <comment ref="N24" authorId="0" shapeId="0" xr:uid="{D2F3229A-894D-4463-8F06-DF24DE600882}">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25" authorId="0" shapeId="0" xr:uid="{EDC0E562-A54C-46E9-84D0-BAA21C0F7554}">
      <text>
        <r>
          <rPr>
            <b/>
            <sz val="9"/>
            <color indexed="81"/>
            <rFont val="Segoe UI"/>
            <family val="2"/>
          </rPr>
          <t>Peter Lehmann:</t>
        </r>
        <r>
          <rPr>
            <sz val="9"/>
            <color indexed="81"/>
            <rFont val="Segoe UI"/>
            <family val="2"/>
          </rPr>
          <t xml:space="preserve">
Der Wert ist die Eingabe aus Spalte C, sie wurde von dort übernommen.
</t>
        </r>
      </text>
    </comment>
    <comment ref="N27" authorId="0" shapeId="0" xr:uid="{F307D565-ED07-4171-92E8-38702845C800}">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28" authorId="0" shapeId="0" xr:uid="{665879AF-F37C-43BC-8663-F94BD574E6FD}">
      <text>
        <r>
          <rPr>
            <b/>
            <sz val="9"/>
            <color indexed="81"/>
            <rFont val="Segoe UI"/>
            <family val="2"/>
          </rPr>
          <t>Peter Lehmann:</t>
        </r>
        <r>
          <rPr>
            <sz val="9"/>
            <color indexed="81"/>
            <rFont val="Segoe UI"/>
            <family val="2"/>
          </rPr>
          <t xml:space="preserve">
Der Wert ist die Eingabe aus Spalte C, sie wurde von dort übernommen.
</t>
        </r>
      </text>
    </comment>
    <comment ref="N29" authorId="0" shapeId="0" xr:uid="{EA52F1FD-9CD7-430D-B6E7-985B5F12CF57}">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30" authorId="0" shapeId="0" xr:uid="{D7533C3D-D8F3-4B17-91E9-06593328DFF5}">
      <text>
        <r>
          <rPr>
            <b/>
            <sz val="9"/>
            <color indexed="81"/>
            <rFont val="Segoe UI"/>
            <family val="2"/>
          </rPr>
          <t>Peter Lehmann:</t>
        </r>
        <r>
          <rPr>
            <sz val="9"/>
            <color indexed="81"/>
            <rFont val="Segoe UI"/>
            <family val="2"/>
          </rPr>
          <t xml:space="preserve">
Der Wert ist die Eingabe aus Spalte C, sie wurde von dort übernommen.
</t>
        </r>
      </text>
    </comment>
    <comment ref="N32" authorId="0" shapeId="0" xr:uid="{D5797D87-8542-4DB2-94ED-B829891BA028}">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33" authorId="0" shapeId="0" xr:uid="{C8CAF6B9-3F88-44C9-97C5-98637E858193}">
      <text>
        <r>
          <rPr>
            <b/>
            <sz val="9"/>
            <color indexed="81"/>
            <rFont val="Segoe UI"/>
            <family val="2"/>
          </rPr>
          <t>Peter Lehmann:</t>
        </r>
        <r>
          <rPr>
            <sz val="9"/>
            <color indexed="81"/>
            <rFont val="Segoe UI"/>
            <family val="2"/>
          </rPr>
          <t xml:space="preserve">
Der Wert ist die Eingabe aus Spalte C, sie wurde von dort übernommen.
</t>
        </r>
      </text>
    </comment>
    <comment ref="N34" authorId="0" shapeId="0" xr:uid="{119E2958-0768-4532-A196-58629E53D3F5}">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35" authorId="0" shapeId="0" xr:uid="{3785BA75-AA58-43AB-93C7-EA3E9C5FF873}">
      <text>
        <r>
          <rPr>
            <b/>
            <sz val="9"/>
            <color indexed="81"/>
            <rFont val="Segoe UI"/>
            <family val="2"/>
          </rPr>
          <t>Peter Lehmann:</t>
        </r>
        <r>
          <rPr>
            <sz val="9"/>
            <color indexed="81"/>
            <rFont val="Segoe UI"/>
            <family val="2"/>
          </rPr>
          <t xml:space="preserve">
Der Wert ist die Eingabe aus Spalte C, sie wurde von dort übernommen.
</t>
        </r>
      </text>
    </comment>
    <comment ref="N36" authorId="0" shapeId="0" xr:uid="{FFC34499-E445-4826-8DD8-1C16E45FF33D}">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37" authorId="0" shapeId="0" xr:uid="{DE96F0D3-1042-4F86-A73C-8F1FDE65E65F}">
      <text>
        <r>
          <rPr>
            <b/>
            <sz val="9"/>
            <color indexed="81"/>
            <rFont val="Segoe UI"/>
            <family val="2"/>
          </rPr>
          <t>Peter Lehmann:</t>
        </r>
        <r>
          <rPr>
            <sz val="9"/>
            <color indexed="81"/>
            <rFont val="Segoe UI"/>
            <family val="2"/>
          </rPr>
          <t xml:space="preserve">
Der Wert ist die Eingabe aus Spalte C, sie wurde von dort übernommen.
</t>
        </r>
      </text>
    </comment>
    <comment ref="N38" authorId="0" shapeId="0" xr:uid="{4DBCA1A4-16E2-4DE1-B223-7EB2D4979988}">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39" authorId="0" shapeId="0" xr:uid="{3C033D45-29BC-4996-AAC8-5B356648C72A}">
      <text>
        <r>
          <rPr>
            <b/>
            <sz val="9"/>
            <color indexed="81"/>
            <rFont val="Segoe UI"/>
            <family val="2"/>
          </rPr>
          <t>Peter Lehmann:</t>
        </r>
        <r>
          <rPr>
            <sz val="9"/>
            <color indexed="81"/>
            <rFont val="Segoe UI"/>
            <family val="2"/>
          </rPr>
          <t xml:space="preserve">
Der Wert ist die Eingabe aus Spalte C, sie wurde von dort übernommen.
</t>
        </r>
      </text>
    </comment>
    <comment ref="N40" authorId="0" shapeId="0" xr:uid="{AF1EC73A-90A0-4C8B-9BBD-D5B260CBD98E}">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41" authorId="0" shapeId="0" xr:uid="{27BFDB47-00C6-437E-A031-BEEED34E963F}">
      <text>
        <r>
          <rPr>
            <b/>
            <sz val="9"/>
            <color indexed="81"/>
            <rFont val="Segoe UI"/>
            <family val="2"/>
          </rPr>
          <t>Peter Lehmann:</t>
        </r>
        <r>
          <rPr>
            <sz val="9"/>
            <color indexed="81"/>
            <rFont val="Segoe UI"/>
            <family val="2"/>
          </rPr>
          <t xml:space="preserve">
Der Wert ist die Eingabe aus Spalte C, sie wurde von dort übernommen.
</t>
        </r>
      </text>
    </comment>
    <comment ref="N42" authorId="0" shapeId="0" xr:uid="{4A955A2B-F0CD-40C2-8481-CC212FE2D50A}">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43" authorId="0" shapeId="0" xr:uid="{A62BE004-F1AA-4EB2-BE88-A0D48BCC6860}">
      <text>
        <r>
          <rPr>
            <b/>
            <sz val="9"/>
            <color indexed="81"/>
            <rFont val="Segoe UI"/>
            <family val="2"/>
          </rPr>
          <t>Peter Lehmann:</t>
        </r>
        <r>
          <rPr>
            <sz val="9"/>
            <color indexed="81"/>
            <rFont val="Segoe UI"/>
            <family val="2"/>
          </rPr>
          <t xml:space="preserve">
Der Wert ist die Eingabe aus Spalte C, sie wurde von dort übernommen.
</t>
        </r>
      </text>
    </comment>
    <comment ref="N44" authorId="0" shapeId="0" xr:uid="{7F1B7531-5654-4FE2-8A6A-464937EA803A}">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45" authorId="0" shapeId="0" xr:uid="{D67B4A41-9A5D-4E4F-A07B-47897DD348A3}">
      <text>
        <r>
          <rPr>
            <b/>
            <sz val="9"/>
            <color indexed="81"/>
            <rFont val="Segoe UI"/>
            <family val="2"/>
          </rPr>
          <t>Peter Lehmann:</t>
        </r>
        <r>
          <rPr>
            <sz val="9"/>
            <color indexed="81"/>
            <rFont val="Segoe UI"/>
            <family val="2"/>
          </rPr>
          <t xml:space="preserve">
Der Wert ist die Eingabe aus Spalte C, sie wurde von dort übernommen.
</t>
        </r>
      </text>
    </comment>
    <comment ref="N46" authorId="0" shapeId="0" xr:uid="{C54D56F7-77FE-4098-AB86-EF5FC0E99ABB}">
      <text>
        <r>
          <rPr>
            <b/>
            <sz val="9"/>
            <color indexed="81"/>
            <rFont val="Segoe UI"/>
            <family val="2"/>
          </rPr>
          <t>Peter Lehmann:</t>
        </r>
        <r>
          <rPr>
            <sz val="9"/>
            <color indexed="81"/>
            <rFont val="Segoe UI"/>
            <family val="2"/>
          </rPr>
          <t xml:space="preserve">
In diese Spalte geben Sie den Namen der Erlös oder Umsatz-Rubrik ein. Wie Sie Ihre Erlöse oder Umsaätze  unterteilen wollen</t>
        </r>
      </text>
    </comment>
    <comment ref="K47" authorId="0" shapeId="0" xr:uid="{944BA84B-C670-40E8-8B3A-730C5E95A851}">
      <text>
        <r>
          <rPr>
            <b/>
            <sz val="9"/>
            <color indexed="81"/>
            <rFont val="Segoe UI"/>
            <family val="2"/>
          </rPr>
          <t>Peter Lehmann:</t>
        </r>
        <r>
          <rPr>
            <sz val="9"/>
            <color indexed="81"/>
            <rFont val="Segoe UI"/>
            <family val="2"/>
          </rPr>
          <t xml:space="preserve">
Der Wert ist die Eingabe aus Spalte C, sie wurde von dort übernommen.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Peter Lehmann</author>
  </authors>
  <commentList>
    <comment ref="D9" authorId="0" shapeId="0" xr:uid="{CD845803-27C2-44AF-AF27-16ED7D7CFEF4}">
      <text>
        <r>
          <rPr>
            <b/>
            <sz val="9"/>
            <color indexed="81"/>
            <rFont val="Segoe UI"/>
            <family val="2"/>
          </rPr>
          <t>Peter Lehmann:</t>
        </r>
        <r>
          <rPr>
            <sz val="9"/>
            <color indexed="81"/>
            <rFont val="Segoe UI"/>
            <family val="2"/>
          </rPr>
          <t xml:space="preserve">
Eingabe des neuen % Wertes für den Verkauf
</t>
        </r>
      </text>
    </comment>
    <comment ref="F9" authorId="0" shapeId="0" xr:uid="{63C982FD-DD0B-44BB-9D30-DE6324889EC9}">
      <text>
        <r>
          <rPr>
            <sz val="9"/>
            <color indexed="81"/>
            <rFont val="Segoe UI"/>
            <family val="2"/>
          </rPr>
          <t xml:space="preserve">Peter Lehmann:
Hier müssen Sie den % Wert mit ok bestätigen. 
</t>
        </r>
        <r>
          <rPr>
            <b/>
            <sz val="9"/>
            <color indexed="81"/>
            <rFont val="Segoe UI"/>
            <family val="2"/>
          </rPr>
          <t>Aber bitte lesen zuerst den Text unten.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Peter Lehmann</author>
    <author>Peter Lehmann 2</author>
  </authors>
  <commentList>
    <comment ref="R5" authorId="0" shapeId="0" xr:uid="{37476E11-80CA-4BC9-9D0C-67AEE0C969F7}">
      <text>
        <r>
          <rPr>
            <b/>
            <sz val="9"/>
            <color indexed="81"/>
            <rFont val="Segoe UI"/>
            <family val="2"/>
          </rPr>
          <t>Peter Lehmann:</t>
        </r>
        <r>
          <rPr>
            <sz val="9"/>
            <color indexed="81"/>
            <rFont val="Segoe UI"/>
            <family val="2"/>
          </rPr>
          <t xml:space="preserve">
Erhöhungen aus Zelle P
 18/19 werden berücksichtigt.</t>
        </r>
      </text>
    </comment>
    <comment ref="P19" authorId="0" shapeId="0" xr:uid="{4353F0B0-BC6D-44AD-9705-5A5EEC6C4980}">
      <text>
        <r>
          <rPr>
            <b/>
            <sz val="9"/>
            <color indexed="81"/>
            <rFont val="Segoe UI"/>
            <family val="2"/>
          </rPr>
          <t>Peter Lehmann:</t>
        </r>
        <r>
          <rPr>
            <sz val="9"/>
            <color indexed="81"/>
            <rFont val="Segoe UI"/>
            <family val="2"/>
          </rPr>
          <t xml:space="preserve">
Hier können Sie einen höheren Nettoumsatz eingeben. 
Die Eingaben werden in Zelle R4 berücksichtigt.
</t>
        </r>
      </text>
    </comment>
    <comment ref="BB19" authorId="0" shapeId="0" xr:uid="{C19DDA9D-B024-4E79-B7FB-7E6570E2DFD6}">
      <text>
        <r>
          <rPr>
            <b/>
            <sz val="9"/>
            <color indexed="81"/>
            <rFont val="Segoe UI"/>
            <family val="2"/>
          </rPr>
          <t>Peter Lehmann:</t>
        </r>
        <r>
          <rPr>
            <sz val="9"/>
            <color indexed="81"/>
            <rFont val="Segoe UI"/>
            <family val="2"/>
          </rPr>
          <t xml:space="preserve">
Hier können Sie einen höheren Nettoumsatz eingeben. 
Die Eingaben werden in Zelle BB4 berücksichtigt.
</t>
        </r>
      </text>
    </comment>
    <comment ref="P20" authorId="0" shapeId="0" xr:uid="{9FEC8D3B-1527-4773-B435-ADBC57863827}">
      <text>
        <r>
          <rPr>
            <b/>
            <sz val="9"/>
            <color indexed="81"/>
            <rFont val="Segoe UI"/>
            <family val="2"/>
          </rPr>
          <t>Peter Lehmann:</t>
        </r>
        <r>
          <rPr>
            <sz val="9"/>
            <color indexed="81"/>
            <rFont val="Segoe UI"/>
            <family val="2"/>
          </rPr>
          <t xml:space="preserve">
Hier können Sie einen höheren Nettoumsatz eingeben. 
Die Eingaben werden in Zelle R4 berücksichtigt.
</t>
        </r>
      </text>
    </comment>
    <comment ref="BB20" authorId="0" shapeId="0" xr:uid="{27D65B9C-0E29-416E-9835-7DC0EC9A9EF2}">
      <text>
        <r>
          <rPr>
            <b/>
            <sz val="9"/>
            <color indexed="81"/>
            <rFont val="Segoe UI"/>
            <family val="2"/>
          </rPr>
          <t>Peter Lehmann:</t>
        </r>
        <r>
          <rPr>
            <sz val="9"/>
            <color indexed="81"/>
            <rFont val="Segoe UI"/>
            <family val="2"/>
          </rPr>
          <t xml:space="preserve">
Hier können Sie einen höheren Nettoumsatz eingeben. 
Die Eingaben werden in Zelle BB4 berücksichtigt.
</t>
        </r>
      </text>
    </comment>
    <comment ref="D26" authorId="0" shapeId="0" xr:uid="{EC7D8610-7453-4561-B2F1-8E39FF5BBDE0}">
      <text>
        <r>
          <rPr>
            <b/>
            <sz val="9"/>
            <color indexed="81"/>
            <rFont val="Segoe UI"/>
            <family val="2"/>
          </rPr>
          <t>Peter Lehmann:</t>
        </r>
        <r>
          <rPr>
            <sz val="9"/>
            <color indexed="81"/>
            <rFont val="Segoe UI"/>
            <family val="2"/>
          </rPr>
          <t xml:space="preserve">
Ergebnis des betrieblichen Leistungsprozesses (Gewinn oder Verlust), das durch die Gegenüberstellung von Kosten und Erträgen ermittelt wird. </t>
        </r>
      </text>
    </comment>
    <comment ref="G26" authorId="0" shapeId="0" xr:uid="{62BBCF63-A120-4826-AD98-FA88B7B01118}">
      <text>
        <r>
          <rPr>
            <b/>
            <sz val="9"/>
            <color indexed="81"/>
            <rFont val="Segoe UI"/>
            <family val="2"/>
          </rPr>
          <t>Peter Lehmann:</t>
        </r>
        <r>
          <rPr>
            <sz val="9"/>
            <color indexed="81"/>
            <rFont val="Segoe UI"/>
            <family val="2"/>
          </rPr>
          <t xml:space="preserve">
Ergebnis des betrieblichen Leistungsprozesses (Gewinn oder Verlust), das durch die Gegenüberstellung von Kosten und Erträgen ermittelt wird. </t>
        </r>
      </text>
    </comment>
    <comment ref="D27" authorId="0" shapeId="0" xr:uid="{111308A3-4499-4DF6-B7C6-FA3C704024DE}">
      <text>
        <r>
          <rPr>
            <b/>
            <sz val="9"/>
            <color indexed="81"/>
            <rFont val="Segoe UI"/>
            <family val="2"/>
          </rPr>
          <t>Peter Lehmann:</t>
        </r>
        <r>
          <rPr>
            <sz val="9"/>
            <color indexed="81"/>
            <rFont val="Segoe UI"/>
            <family val="2"/>
          </rPr>
          <t xml:space="preserve">
Was sind neutrale Aufwendungen?
Unter dem Begriff neutrale Aufwendungen sind alle Aufwendungen zusammengefasst, die nicht mit der direkten betrieblichen Leistungserstellung (auch Zweckaufwendungen genannt) in Verbindung stehen.
</t>
        </r>
        <r>
          <rPr>
            <b/>
            <sz val="9"/>
            <color indexed="81"/>
            <rFont val="Segoe UI"/>
            <family val="2"/>
          </rPr>
          <t>Hier ohne Zinsen, diese sind in den Gemeinkosten berücksichtigt.</t>
        </r>
      </text>
    </comment>
    <comment ref="G27" authorId="0" shapeId="0" xr:uid="{D814480A-3FF3-4C3D-8B2C-C313A7D71E90}">
      <text>
        <r>
          <rPr>
            <b/>
            <sz val="9"/>
            <color indexed="81"/>
            <rFont val="Segoe UI"/>
            <family val="2"/>
          </rPr>
          <t>Peter Lehmann:</t>
        </r>
        <r>
          <rPr>
            <sz val="9"/>
            <color indexed="81"/>
            <rFont val="Segoe UI"/>
            <family val="2"/>
          </rPr>
          <t xml:space="preserve">
Was sind neutrale Aufwendungen?
Unter dem Begriff neutrale Aufwendungen sind alle Aufwendungen zusammengefasst, die nicht mit der direkten betrieblichen Leistungserstellung (auch Zweckaufwendungen genannt) in Verbindung stehen.
</t>
        </r>
        <r>
          <rPr>
            <b/>
            <sz val="9"/>
            <color indexed="81"/>
            <rFont val="Segoe UI"/>
            <family val="2"/>
          </rPr>
          <t>Hier ohne Zinsen, diese sind in den Gemeinkosten berücksichtigt.</t>
        </r>
      </text>
    </comment>
    <comment ref="J27" authorId="0" shapeId="0" xr:uid="{ABD8E343-929A-4F81-88A9-3FAE9703792F}">
      <text>
        <r>
          <rPr>
            <b/>
            <sz val="9"/>
            <color indexed="81"/>
            <rFont val="Segoe UI"/>
            <family val="2"/>
          </rPr>
          <t>Peter Lehmann:</t>
        </r>
        <r>
          <rPr>
            <sz val="9"/>
            <color indexed="81"/>
            <rFont val="Segoe UI"/>
            <family val="2"/>
          </rPr>
          <t xml:space="preserve">
Bei Eingabe von: nein  wird die Postion nicht in die Berechnung einfliesen. 
Bei Eingabe von: ja     fliesst die Position in die Berechnung ein.
</t>
        </r>
      </text>
    </comment>
    <comment ref="D28" authorId="0" shapeId="0" xr:uid="{0D525C43-6BC3-4568-865F-0D8CBF2CA487}">
      <text>
        <r>
          <rPr>
            <b/>
            <sz val="9"/>
            <color indexed="81"/>
            <rFont val="Segoe UI"/>
            <family val="2"/>
          </rPr>
          <t>Peter Lehmann:</t>
        </r>
        <r>
          <rPr>
            <sz val="9"/>
            <color indexed="81"/>
            <rFont val="Segoe UI"/>
            <family val="2"/>
          </rPr>
          <t xml:space="preserve">
Neutrale Erträge: Definition. 
Als neutrale Erträge bezeichnet man einen Zufluss von materiellen Werten, der weder in die Preiskalkulation noch in die Kosten- und Leistungsrechnung einfließt.
Außerordentliche Erträge. ...
Betriebsfremde Erträge. ...
Periodenfremde Erträge. ...</t>
        </r>
      </text>
    </comment>
    <comment ref="G28" authorId="0" shapeId="0" xr:uid="{FDC3E8D6-AA8B-4002-B56D-2523A805F1A7}">
      <text>
        <r>
          <rPr>
            <b/>
            <sz val="9"/>
            <color indexed="81"/>
            <rFont val="Segoe UI"/>
            <family val="2"/>
          </rPr>
          <t>Peter Lehmann:</t>
        </r>
        <r>
          <rPr>
            <sz val="9"/>
            <color indexed="81"/>
            <rFont val="Segoe UI"/>
            <family val="2"/>
          </rPr>
          <t xml:space="preserve">
Neutrale Erträge: Definition. 
Als neutrale Erträge bezeichnet man einen Zufluss von materiellen Werten, der weder in die Preiskalkulation noch in die Kosten- und Leistungsrechnung einfließt.
Außerordentliche Erträge. ...
Betriebsfremde Erträge. ...
Periodenfremde Erträge. ...</t>
        </r>
      </text>
    </comment>
    <comment ref="J28" authorId="0" shapeId="0" xr:uid="{D360D327-D274-4C2F-991F-30A4B47282CF}">
      <text>
        <r>
          <rPr>
            <b/>
            <sz val="9"/>
            <color indexed="81"/>
            <rFont val="Segoe UI"/>
            <family val="2"/>
          </rPr>
          <t>Peter Lehmann:</t>
        </r>
        <r>
          <rPr>
            <sz val="9"/>
            <color indexed="81"/>
            <rFont val="Segoe UI"/>
            <family val="2"/>
          </rPr>
          <t xml:space="preserve">
Bei Eingabe von: nein  wird die Postion nicht in die Berechnung einfliesen. 
Bei Eingabe von: ja     fliesst die Position in die Berechnung ein.
</t>
        </r>
      </text>
    </comment>
    <comment ref="D29" authorId="0" shapeId="0" xr:uid="{AE9D38C5-1C5F-43B7-8440-39CB3ADDAA56}">
      <text>
        <r>
          <rPr>
            <b/>
            <sz val="9"/>
            <color indexed="81"/>
            <rFont val="Segoe UI"/>
            <family val="2"/>
          </rPr>
          <t>Peter Lehmann:</t>
        </r>
        <r>
          <rPr>
            <sz val="9"/>
            <color indexed="81"/>
            <rFont val="Segoe UI"/>
            <family val="2"/>
          </rPr>
          <t xml:space="preserve">
Was sind sonstige betriebliche Erlöse?
Dazu gehören Erlöse, die sich nicht den Finanzerträgen, den Umsatzerlösen, den Bestandserhöhungen oder, bei Anwendung des Gesamtkostenverfahrens, den aktivierten Eigenleistungen zurechnen lassen. Die eindeutige Abgrenzung der sonstigen betrieblichen Erträge von den Umsatzerlösen ist nicht immer ganz einfach.
Beispiele für sonstige betriebliche Erträge sind Gewinne aus der Veräußerung von Maschinen oder PKW des Anlagevermögens, Preisgelder (z.B. Gründerpreis), Kursgewinne aus der Fremdwährungsumrechnung, erhaltener Schadensersatz oder Erträge aus der Auflösung von Rückstellungen und Wertberichtigungen.
</t>
        </r>
        <r>
          <rPr>
            <b/>
            <sz val="9"/>
            <color indexed="81"/>
            <rFont val="Segoe UI"/>
            <family val="2"/>
          </rPr>
          <t>Sonstige Erlöse wie Privatverbrauch</t>
        </r>
        <r>
          <rPr>
            <sz val="9"/>
            <color indexed="81"/>
            <rFont val="Segoe UI"/>
            <family val="2"/>
          </rPr>
          <t xml:space="preserve"> von z.B. Auto und Telefon sind keine Umsätze, die tatsächlich erzielt wurden oder werden. Sie heben rechnerisch die Kosten für KFZ und Telefon auf und erhöhen so den steuerlichen Gewinn.
</t>
        </r>
      </text>
    </comment>
    <comment ref="G29" authorId="0" shapeId="0" xr:uid="{B696B848-C83A-492C-81A5-1099BA4598CA}">
      <text>
        <r>
          <rPr>
            <b/>
            <sz val="9"/>
            <color indexed="81"/>
            <rFont val="Segoe UI"/>
            <family val="2"/>
          </rPr>
          <t>Peter Lehmann:</t>
        </r>
        <r>
          <rPr>
            <sz val="9"/>
            <color indexed="81"/>
            <rFont val="Segoe UI"/>
            <family val="2"/>
          </rPr>
          <t xml:space="preserve">
Was sind sonstige betriebliche Erlöse?
Dazu gehören Erlöse, die sich nicht den Finanzerträgen, den Umsatzerlösen, den Bestandserhöhungen oder, bei Anwendung des Gesamtkostenverfahrens, den aktivierten Eigenleistungen zurechnen lassen. Die eindeutige Abgrenzung der sonstigen betrieblichen Erträge von den Umsatzerlösen ist nicht immer ganz einfach.
Beispiele für sonstige betriebliche Erträge sind Gewinne aus der Veräußerung von Maschinen oder PKW des Anlagevermögens, Preisgelder (z.B. Gründerpreis), Kursgewinne aus der Fremdwährungsumrechnung, erhaltener Schadensersatz oder Erträge aus der Auflösung von Rückstellungen und Wertberichtigungen.
</t>
        </r>
        <r>
          <rPr>
            <b/>
            <sz val="9"/>
            <color indexed="81"/>
            <rFont val="Segoe UI"/>
            <family val="2"/>
          </rPr>
          <t xml:space="preserve">Sonstige Erlöse wie Privatverbrauch </t>
        </r>
        <r>
          <rPr>
            <sz val="9"/>
            <color indexed="81"/>
            <rFont val="Segoe UI"/>
            <family val="2"/>
          </rPr>
          <t>von z.B. Auto und Telefon sind keine Umsätze, die tatsächlich erzielt wurden oder werden. Sie heben rechnerisch die Kosten für KFZ und Telefon auf und erhöhen so den steuerlichen Gewinn.</t>
        </r>
      </text>
    </comment>
    <comment ref="J29" authorId="0" shapeId="0" xr:uid="{B2B0D538-F3B8-4FB8-A3B2-5B24124287A3}">
      <text>
        <r>
          <rPr>
            <b/>
            <sz val="9"/>
            <color indexed="81"/>
            <rFont val="Segoe UI"/>
            <family val="2"/>
          </rPr>
          <t>Peter Lehmann:</t>
        </r>
        <r>
          <rPr>
            <sz val="9"/>
            <color indexed="81"/>
            <rFont val="Segoe UI"/>
            <family val="2"/>
          </rPr>
          <t xml:space="preserve">
Bei Eingabe von: nein  wird die Postion nicht in die Berechnung einfliesen. 
Bei Eingabe von: ja     fliesst die Position in die Berechnung ein.
</t>
        </r>
      </text>
    </comment>
    <comment ref="D58" authorId="1" shapeId="0" xr:uid="{D9EF5D34-E73C-427F-9CCC-BB096ABB8727}">
      <text>
        <r>
          <rPr>
            <sz val="9"/>
            <color indexed="81"/>
            <rFont val="Tahoma"/>
            <family val="2"/>
          </rPr>
          <t xml:space="preserve">wenn ü dann Übernahme von Rechnungen rechts
</t>
        </r>
      </text>
    </comment>
    <comment ref="J61" authorId="1" shapeId="0" xr:uid="{78B9504E-7F98-4740-BE64-ED310D2C9F93}">
      <text>
        <r>
          <rPr>
            <b/>
            <sz val="9"/>
            <color indexed="81"/>
            <rFont val="Tahoma"/>
            <family val="2"/>
          </rPr>
          <t xml:space="preserve">Es wird mit einem Herrenanteil von (angebener % Satz) des DL Umsatzes gerechnet
</t>
        </r>
      </text>
    </comment>
    <comment ref="G80" authorId="1" shapeId="0" xr:uid="{65EB00FE-6D24-429C-8061-A9FFA37DB93C}">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G81" authorId="1" shapeId="0" xr:uid="{5B678180-33E3-4F2C-9F4A-BCA84F784133}">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 ref="G82" authorId="1" shapeId="0" xr:uid="{40535ED1-B34D-406A-9AD3-73E86B5FB4FA}">
      <text>
        <r>
          <rPr>
            <b/>
            <sz val="9"/>
            <color indexed="81"/>
            <rFont val="Tahoma"/>
            <family val="2"/>
          </rPr>
          <t>Peter Lehmann:</t>
        </r>
        <r>
          <rPr>
            <sz val="9"/>
            <color indexed="81"/>
            <rFont val="Tahoma"/>
            <family val="2"/>
          </rPr>
          <t xml:space="preserve">
Diese Positionen werden in der Planungsrechnung nicht berücksichtig. Sie werden erst später dem Umsatz zugerechnet. </t>
        </r>
      </text>
    </comment>
  </commentList>
</comments>
</file>

<file path=xl/sharedStrings.xml><?xml version="1.0" encoding="utf-8"?>
<sst xmlns="http://schemas.openxmlformats.org/spreadsheetml/2006/main" count="12688" uniqueCount="1465">
  <si>
    <t>Mitarbeiter</t>
  </si>
  <si>
    <t>Bruttolohn pro Monat</t>
  </si>
  <si>
    <t>Gesamt</t>
  </si>
  <si>
    <t>Azubis</t>
  </si>
  <si>
    <t>Personalkostenplanung</t>
  </si>
  <si>
    <t>+ Kosten Auszubildende</t>
  </si>
  <si>
    <t>Euro</t>
  </si>
  <si>
    <t>Rohgewinn ll</t>
  </si>
  <si>
    <t xml:space="preserve"> =</t>
  </si>
  <si>
    <t>Raumkosten</t>
  </si>
  <si>
    <t>Fahrzeugkosten</t>
  </si>
  <si>
    <t>Werbekosten/Weiterb.</t>
  </si>
  <si>
    <t>Zinsen</t>
  </si>
  <si>
    <t>Instandh., Werkz., GWG</t>
  </si>
  <si>
    <t>Abschreibung</t>
  </si>
  <si>
    <t>Verschiedene Kosten</t>
  </si>
  <si>
    <t>Summe Gemeinkosten</t>
  </si>
  <si>
    <t>+</t>
  </si>
  <si>
    <t>Betriebsergebnis</t>
  </si>
  <si>
    <t>Position</t>
  </si>
  <si>
    <t>Gemeinkostenplanung</t>
  </si>
  <si>
    <t>monatlich</t>
  </si>
  <si>
    <t>jährlich</t>
  </si>
  <si>
    <t>Rentenversicherung</t>
  </si>
  <si>
    <t>= Gesamtsumme persönlicher Bedarf</t>
  </si>
  <si>
    <t>Nettowerte</t>
  </si>
  <si>
    <t>Vorjahr</t>
  </si>
  <si>
    <t>Planung</t>
  </si>
  <si>
    <t>%</t>
  </si>
  <si>
    <t>Damen</t>
  </si>
  <si>
    <t>Herren</t>
  </si>
  <si>
    <t>Dienstleistung</t>
  </si>
  <si>
    <t>Verkauf</t>
  </si>
  <si>
    <t xml:space="preserve"> = Umsatz Betrieb</t>
  </si>
  <si>
    <t>Rohgewinn l</t>
  </si>
  <si>
    <t>Personalkosten</t>
  </si>
  <si>
    <t>Neutraler Aufwand</t>
  </si>
  <si>
    <t>Neutraler Ertrag</t>
  </si>
  <si>
    <t>-</t>
  </si>
  <si>
    <t>sonstige Erlöse</t>
  </si>
  <si>
    <t>Steuerlicher Gewinn</t>
  </si>
  <si>
    <t xml:space="preserve"> -</t>
  </si>
  <si>
    <t>Cash Flow</t>
  </si>
  <si>
    <t>Einlagen</t>
  </si>
  <si>
    <t></t>
  </si>
  <si>
    <t>Rechenweg</t>
  </si>
  <si>
    <t>Planungsrechnung</t>
  </si>
  <si>
    <t>Ermittlung des Sollumsatzes der Mitarbeiter</t>
  </si>
  <si>
    <t>=</t>
  </si>
  <si>
    <t>x Lohn-faktor</t>
  </si>
  <si>
    <t>Wareneinsatz / -einkauf*</t>
  </si>
  <si>
    <t>Sollumsatzberechnung für umsatzschreibende Mitarbeiter nach Lohnfaktor</t>
  </si>
  <si>
    <t>Steuern, Versich., Beiträge</t>
  </si>
  <si>
    <t>Rechnung 1</t>
  </si>
  <si>
    <t>PSF</t>
  </si>
  <si>
    <t>Brutto-lohn pro Monat</t>
  </si>
  <si>
    <t xml:space="preserve"> = Sollumsatz pro Arbeits-monat</t>
  </si>
  <si>
    <t>Gesamt-sollum-satz pro Tag</t>
  </si>
  <si>
    <t>Werbung</t>
  </si>
  <si>
    <t>Weiterbildung</t>
  </si>
  <si>
    <t>Std</t>
  </si>
  <si>
    <t>Umsatz</t>
  </si>
  <si>
    <t>pro Woche</t>
  </si>
  <si>
    <t>p. Std</t>
  </si>
  <si>
    <t>Std -</t>
  </si>
  <si>
    <t>Lohn</t>
  </si>
  <si>
    <t>ü</t>
  </si>
  <si>
    <t>pro Tag</t>
  </si>
  <si>
    <t>Mon</t>
  </si>
  <si>
    <t>Woche</t>
  </si>
  <si>
    <t>Tage pro</t>
  </si>
  <si>
    <t>Monat</t>
  </si>
  <si>
    <t>Tilgung</t>
  </si>
  <si>
    <t>Jährlich</t>
  </si>
  <si>
    <t>Tilgungsplan</t>
  </si>
  <si>
    <t>Mindestumsatz zur Deckung aller berechneten Kosten</t>
  </si>
  <si>
    <t>Brutto</t>
  </si>
  <si>
    <t xml:space="preserve">Falls die Sollumsätze (durch den Lohnfaktor über 4) nicht erreichbar sind, könnte ein </t>
  </si>
  <si>
    <t>zusätzlicher Mitarbeiter den Lohnfaktor und die Sollumsätze senken.</t>
  </si>
  <si>
    <t>Der Mindestumsatz für den Salon steigt, aber der Umsatz für den einzelnen MA sinkt.</t>
  </si>
  <si>
    <t>Sollumsatz pro Anwesen-heitstag</t>
  </si>
  <si>
    <t>Betriebswirtschaftlicher Gewinn</t>
  </si>
  <si>
    <t>Berechnung des Lohnfaktors</t>
  </si>
  <si>
    <t>Formel</t>
  </si>
  <si>
    <t>Rest-Bruttoumsatz Dienstleistung pro Arbeitsmonat</t>
  </si>
  <si>
    <t>monatliche Bruttolohnsumme der umsatzschreibenden Mitarbeiter</t>
  </si>
  <si>
    <t>ohne Rechnung 2 + 4</t>
  </si>
  <si>
    <t>Bei einem</t>
  </si>
  <si>
    <t>Leerlauf von</t>
  </si>
  <si>
    <t>U. p. Std</t>
  </si>
  <si>
    <t>Persönliche Entnahmen 
(evtl. Meisterlohn)</t>
  </si>
  <si>
    <t>Übernahme in Planung</t>
  </si>
  <si>
    <t>netto</t>
  </si>
  <si>
    <t>Umsatz ges</t>
  </si>
  <si>
    <t>Summe</t>
  </si>
  <si>
    <t>Persönliche Entnahmen 
(evtl. Unternehmerlohn Büro))</t>
  </si>
  <si>
    <t>MA in Soll- umsatz-berechnung</t>
  </si>
  <si>
    <t>ja</t>
  </si>
  <si>
    <t>= Personalkosten (ohne Chef)</t>
  </si>
  <si>
    <t>Vorjahr in Euro</t>
  </si>
  <si>
    <t>Dekoration</t>
  </si>
  <si>
    <t>Aufmerksamkeiten</t>
  </si>
  <si>
    <t>Summe Werbung</t>
  </si>
  <si>
    <t>Seminare</t>
  </si>
  <si>
    <t>Steuern, 
Versicherungen, 
Beiträge</t>
  </si>
  <si>
    <t>p. Woche</t>
  </si>
  <si>
    <t>Jahresumsatz</t>
  </si>
  <si>
    <t>= Personalkosten Gesamt</t>
  </si>
  <si>
    <t>Erstattung KV vom Bruttolohn 60% v. 0,5 Monate</t>
  </si>
  <si>
    <t>Chef/in</t>
  </si>
  <si>
    <t xml:space="preserve">    Kosten Mitarbeiter (Arbeit am Kunden)</t>
  </si>
  <si>
    <t>Tilgung Geschäft</t>
  </si>
  <si>
    <t>Dieser Wert zeigt wie oft ein Mitarbeiter seinen Bruttolohn pro Monat umsetzen soll</t>
  </si>
  <si>
    <t>+ Kosten Zuarbeit oder Rezeption</t>
  </si>
  <si>
    <t>Zusammenfassung der Personalkosten</t>
  </si>
  <si>
    <t xml:space="preserve">Mindestumsatz, mit dem alle geplanten Beträge </t>
  </si>
  <si>
    <t>gedeckt sind.</t>
  </si>
  <si>
    <t>Öff-tg pro Jahr</t>
  </si>
  <si>
    <t>Öff-tg Mon.</t>
  </si>
  <si>
    <t>Rechnung incl. Verkaufsumsatz</t>
  </si>
  <si>
    <t>Wird in "Neutraler Aufwamd" übernommen</t>
  </si>
  <si>
    <t>Mon.</t>
  </si>
  <si>
    <t xml:space="preserve">Eventuell könnte eine länger bestehende Kontoüberziehung </t>
  </si>
  <si>
    <t>bei Rückführung als Tilgung hinzugerechnet werden.</t>
  </si>
  <si>
    <t xml:space="preserve">Umsatz Chef/in </t>
  </si>
  <si>
    <t>Betrag aus Planung</t>
  </si>
  <si>
    <t>Differenz</t>
  </si>
  <si>
    <t>DL</t>
  </si>
  <si>
    <t>VK</t>
  </si>
  <si>
    <t>(hier in 
versch. Kost.)</t>
  </si>
  <si>
    <t>Hier werden die Weiterbildungskosten in den verschiedenen Kosten dargestellt.</t>
  </si>
  <si>
    <t>Pro Öff-tg Brutto</t>
  </si>
  <si>
    <t>Umsatz Mon Br</t>
  </si>
  <si>
    <t>Rep., Werkz., GWG</t>
  </si>
  <si>
    <t>netto aktuelle Planung</t>
  </si>
  <si>
    <t>brutto aktuelle Planung</t>
  </si>
  <si>
    <t>Netto Vorjahr</t>
  </si>
  <si>
    <t>Brutto Vorjahr</t>
  </si>
  <si>
    <t>Arbeits-tage pro Woche</t>
  </si>
  <si>
    <t xml:space="preserve">Arbeits-stunden pro Woche </t>
  </si>
  <si>
    <t>Stunden - Lohn</t>
  </si>
  <si>
    <t>Std im Monat</t>
  </si>
  <si>
    <t>Werbekosten</t>
  </si>
  <si>
    <t>Gesamt Seminare</t>
  </si>
  <si>
    <t>Gesamt Reisekosten</t>
  </si>
  <si>
    <t>Kfz-Versicherungen</t>
  </si>
  <si>
    <t>Porto</t>
  </si>
  <si>
    <t>Telefon</t>
  </si>
  <si>
    <t>Bürobedarf</t>
  </si>
  <si>
    <t>Rechts- und Beratungskosten</t>
  </si>
  <si>
    <t>Lebensversicherung</t>
  </si>
  <si>
    <t>Krankenversicherung</t>
  </si>
  <si>
    <t>Miete / Hausbelastung (inkl. Nebenkosten)</t>
  </si>
  <si>
    <t>andere private Vers. (z. B. Hausrat, priv. Haftpfl.)</t>
  </si>
  <si>
    <t>Sonstige Entnahmen (Lebenshaltungskosten)</t>
  </si>
  <si>
    <t>Einkommensteuer geschätzt</t>
  </si>
  <si>
    <t>Private Einlagen</t>
  </si>
  <si>
    <t xml:space="preserve">bis </t>
  </si>
  <si>
    <t>AG-anteil</t>
  </si>
  <si>
    <t>Einmalige 
Sonderzahl.</t>
  </si>
  <si>
    <t>Bruttolohn incl. Zusatzzahlungen</t>
  </si>
  <si>
    <t>Bruttolohn ohne Zusatzzahlungen</t>
  </si>
  <si>
    <t xml:space="preserve">Bruttolohn incl. Zusatzzahlungen </t>
  </si>
  <si>
    <t xml:space="preserve">neue Monatszahl. 
Steuerfrei </t>
  </si>
  <si>
    <t xml:space="preserve">Monatszahl. 
Steuerfrei </t>
  </si>
  <si>
    <t>Monatl. 
Sonderzahl.</t>
  </si>
  <si>
    <t>St.-pfl. Bruttolohn mit st-pfl. Zusatzz.</t>
  </si>
  <si>
    <t>Summe PK incl. 
st-freien Zusatzz.</t>
  </si>
  <si>
    <t>Montag</t>
  </si>
  <si>
    <t>Dienstag</t>
  </si>
  <si>
    <t>Mittwoch</t>
  </si>
  <si>
    <t>Donnerstag</t>
  </si>
  <si>
    <t>Freitag</t>
  </si>
  <si>
    <t>Samstag</t>
  </si>
  <si>
    <t>PSF im Planungszeitraum</t>
  </si>
  <si>
    <t>Eingabe Monate</t>
  </si>
  <si>
    <t>Eingabe Wochenstunden</t>
  </si>
  <si>
    <t>Beispiel</t>
  </si>
  <si>
    <t>Buchführungskosten</t>
  </si>
  <si>
    <t>Hier tragen Sie die Summe der Tilgungen für Darlehen ein,</t>
  </si>
  <si>
    <t>die Sie im Planungsjahr zu zahlen haben.</t>
  </si>
  <si>
    <t>Rückführung Konto</t>
  </si>
  <si>
    <t>Vorjahr Wareneinsatz in %</t>
  </si>
  <si>
    <t>Vorjahr Verkaufsumsatz in %</t>
  </si>
  <si>
    <r>
      <t xml:space="preserve">Hier wird der </t>
    </r>
    <r>
      <rPr>
        <b/>
        <i/>
        <u/>
        <sz val="12"/>
        <rFont val="Tahoma"/>
        <family val="2"/>
      </rPr>
      <t>Wareneinsatz</t>
    </r>
    <r>
      <rPr>
        <b/>
        <i/>
        <sz val="12"/>
        <rFont val="Tahoma"/>
        <family val="2"/>
      </rPr>
      <t xml:space="preserve"> als %Wert geplant</t>
    </r>
  </si>
  <si>
    <t>Vorjahr Gesamtumsatz in €</t>
  </si>
  <si>
    <t>für Salon geplant</t>
  </si>
  <si>
    <t>Planung sonstige betriebliche Erlöse</t>
  </si>
  <si>
    <t>DL- Umsatz</t>
  </si>
  <si>
    <t>VK- Umsatz</t>
  </si>
  <si>
    <t>pro M.</t>
  </si>
  <si>
    <t>Soll-umsatz pro Tag gerundet</t>
  </si>
  <si>
    <t>DL- Umsatz
pro Tag</t>
  </si>
  <si>
    <t>davon Verkaufs-
anteil p.T.</t>
  </si>
  <si>
    <t>Wareneinsatz / -einkauf</t>
  </si>
  <si>
    <t>= Bruttoumsatz</t>
  </si>
  <si>
    <t xml:space="preserve"> = Bruttoumsatz, den die MA erwirtschaften sollen</t>
  </si>
  <si>
    <t>Dieser Wert wird auf der nächsten Seite durch die Bruttolohnsumme der umsatzschreibenden Mitarbeiter geteilt.</t>
  </si>
  <si>
    <t>Verkaufs-anteil</t>
  </si>
  <si>
    <r>
      <t xml:space="preserve">Gemeinkostenplanung   -  </t>
    </r>
    <r>
      <rPr>
        <b/>
        <sz val="10"/>
        <rFont val="Tahoma"/>
        <family val="2"/>
      </rPr>
      <t>Sonstige (oder verschiedene) Kosten</t>
    </r>
  </si>
  <si>
    <t>Arb.-Std. pro Woche einer Vollzeitkraft       nach Tarif</t>
  </si>
  <si>
    <t xml:space="preserve">Wochenstd.   x  4,33  =  
Arb. -Std. pro Monat </t>
  </si>
  <si>
    <t>Friseure</t>
  </si>
  <si>
    <t>Organisation</t>
  </si>
  <si>
    <r>
      <t xml:space="preserve">entspricht einem Lohnfaktor von 
</t>
    </r>
    <r>
      <rPr>
        <sz val="8"/>
        <rFont val="Tahoma"/>
        <family val="2"/>
      </rPr>
      <t>(als Beispiel z. Vergleich mit MA auf Arb.-Mon. gerechnet)</t>
    </r>
  </si>
  <si>
    <t>VK %</t>
  </si>
  <si>
    <t>Rechnung 2</t>
  </si>
  <si>
    <t xml:space="preserve">Es sind unterschiedliche Lohnfaktoren, die aufgrund der unterschiedlichen Rechnungen als Ergebnisse zu sehen sind. Auf der folgenden Seiten wird gezeigt, dass trotz unterschiedlichenm Lohnfaktor der Sollumsatz pro Arteitstag für den Mitarbeiter gleich bleibt. 
Die Unterschiedlichkeit der Lohnfaktoren spielt bei der Kommunikation zum Mitarbeiter eine Rolle. Daher ist es wichtig zu überlegen, ob Sie und wenn mit welchem Lohnfaktor Sie den Mitarbeitern kommunizieren.  </t>
  </si>
  <si>
    <t>In dieser Rechnung werden vesrschiedenen Lohnfaktor ermittelt. Es wird aufgezeigt, dass die unterschiedlichen Lohnfaktoren in der Sollumsatzumsatzberechnung alle zum gleichen Tageswert führen. 
Meist enstehen nur geringe Abweichungen durch "Rundungsfehler".</t>
  </si>
  <si>
    <t xml:space="preserve">Hier können Sie den wahrscheinlichen Leerlauf eingeben. </t>
  </si>
  <si>
    <t>Bei einem Leerlauf von</t>
  </si>
  <si>
    <t xml:space="preserve"> =Sollumsatz pro Arbeits-monat</t>
  </si>
  <si>
    <r>
      <t xml:space="preserve">Hier planen Sie die sonstigen Kosten (heißen manchmal auch verschiedene Kosten). 
Sie können sie als </t>
    </r>
    <r>
      <rPr>
        <u/>
        <sz val="10"/>
        <rFont val="Tahoma"/>
        <family val="2"/>
      </rPr>
      <t>Gesamtbetrag</t>
    </r>
    <r>
      <rPr>
        <sz val="10"/>
        <rFont val="Tahoma"/>
        <family val="2"/>
      </rPr>
      <t xml:space="preserve"> </t>
    </r>
    <r>
      <rPr>
        <b/>
        <sz val="10"/>
        <rFont val="Tahoma"/>
        <family val="2"/>
      </rPr>
      <t>oder</t>
    </r>
    <r>
      <rPr>
        <sz val="10"/>
        <rFont val="Tahoma"/>
        <family val="2"/>
      </rPr>
      <t xml:space="preserve"> </t>
    </r>
    <r>
      <rPr>
        <u/>
        <sz val="10"/>
        <rFont val="Tahoma"/>
        <family val="2"/>
      </rPr>
      <t>einzeln</t>
    </r>
    <r>
      <rPr>
        <sz val="10"/>
        <rFont val="Tahoma"/>
        <family val="2"/>
      </rPr>
      <t xml:space="preserve"> planen. </t>
    </r>
  </si>
  <si>
    <r>
      <t xml:space="preserve">Die einzelnen Bezeichnungen in den </t>
    </r>
    <r>
      <rPr>
        <i/>
        <u/>
        <sz val="10"/>
        <rFont val="Tahoma"/>
        <family val="2"/>
      </rPr>
      <t>grauen Feldern</t>
    </r>
    <r>
      <rPr>
        <i/>
        <sz val="10"/>
        <rFont val="Tahoma"/>
        <family val="2"/>
      </rPr>
      <t xml:space="preserve"> können Sie so ändern wie Sie möchten.</t>
    </r>
  </si>
  <si>
    <t>Hier geben Sie Ihre Zinskosten für das Planungsjahr ein</t>
  </si>
  <si>
    <t>Bruttolohn p. Mon. incl. st-freien und st-pfl. Monats-sonderzahlungen und jährl. Einmalzahlungen</t>
  </si>
  <si>
    <t>Rechnung ohne Verkaufsumsatz. Später wir der VK dazu gerechnet.</t>
  </si>
  <si>
    <t>St. p. Tag</t>
  </si>
  <si>
    <t>Umsatzverteilung auf Wochentage</t>
  </si>
  <si>
    <t>Lohnfaktor</t>
  </si>
  <si>
    <t>x</t>
  </si>
  <si>
    <t>Seitennamen</t>
  </si>
  <si>
    <t>Erklärung</t>
  </si>
  <si>
    <t>das ist diese Seite</t>
  </si>
  <si>
    <t>Verteilung auf Monate MA</t>
  </si>
  <si>
    <t>Verteilung auf Monate Orga</t>
  </si>
  <si>
    <t>Verteilung auf Monate Azubis</t>
  </si>
  <si>
    <t>GK Planung</t>
  </si>
  <si>
    <t>Werbung Weiterbildung</t>
  </si>
  <si>
    <t>Zins und Tilgung</t>
  </si>
  <si>
    <t>Sonstige Kosten</t>
  </si>
  <si>
    <t>Hier planen Sie die Gemeinkosten</t>
  </si>
  <si>
    <t>Hier planen Sie Werbung und Weiterbildung</t>
  </si>
  <si>
    <t>Hier planen Sie die sonstigen Kosten</t>
  </si>
  <si>
    <t>Sollumsatz pro Arbeitsmonat</t>
  </si>
  <si>
    <t>Hier wird der Sollumsatz der Mitarbeiter pro Arbeitsmonat ermittelt</t>
  </si>
  <si>
    <t>Auf dieser Seit wird der Lohnfaktor ermittelt</t>
  </si>
  <si>
    <t>Umsatz pro Tag</t>
  </si>
  <si>
    <t>Hier wird der Sollumsatz der MA bei unterschiedlichen Stunden pro Tag dargestellt</t>
  </si>
  <si>
    <t>Welches Lehrjahr?
Schreiben Sie 
     1, 2 oder 3</t>
  </si>
  <si>
    <r>
      <t xml:space="preserve">Neue Planung der
sonstigen Kosten </t>
    </r>
    <r>
      <rPr>
        <b/>
        <i/>
        <sz val="9"/>
        <rFont val="Tahoma"/>
        <family val="2"/>
      </rPr>
      <t>(einzeln)</t>
    </r>
  </si>
  <si>
    <t>Sonstige Kosten
mit Fortbildung</t>
  </si>
  <si>
    <t>o.Provision</t>
  </si>
  <si>
    <t>Planung der Zinskosten</t>
  </si>
  <si>
    <t>Andere neutrale Aufwendungen</t>
  </si>
  <si>
    <t>Neutrale Erträge</t>
  </si>
  <si>
    <t>Wird in "Neutrale Erträge" übernommen</t>
  </si>
  <si>
    <t>Max</t>
  </si>
  <si>
    <t>Durch</t>
  </si>
  <si>
    <t>höchster Bruttolohn im Jahr incl. Erhöhungen im Jahr</t>
  </si>
  <si>
    <r>
      <rPr>
        <b/>
        <sz val="9"/>
        <rFont val="Tahoma"/>
        <family val="2"/>
      </rPr>
      <t xml:space="preserve">Lohn  für andere Tätigkeit z.B. 
Ausbildung der Azubis.
</t>
    </r>
    <r>
      <rPr>
        <sz val="9"/>
        <rFont val="Tahoma"/>
        <family val="2"/>
      </rPr>
      <t>Wenn Sie einem Mitarbeiter für eine besondere Aufgabe einen Ausgleich zukommen lassen möchten und das soll kein zusätzlicher Lohn sein, können Sie auch den Sollumsatz um einen gewissen Betrag senken. Dann kann der Mitarbeiter seinen niedrigeren Sollumsatz früher erreichen. Tragen Sie hier den Betrag ein.</t>
    </r>
  </si>
  <si>
    <t>Berechnung der monatlichen Bruttolohnsumme aller umsatzschreibenden Mitarbeiter</t>
  </si>
  <si>
    <t>Eventuell haben Sie Bruttlohn- oder Zusatzzahlungerhöhungen im Laufe des Jahres geplant. 
Hier werden diese verschiedenen Werte, die daraus entstanden sind, dargestellt und Sie können den für Sie passenden Bruttolohn auswählen.</t>
  </si>
  <si>
    <t>Betrag für andere Tätigkeiten 
(lesen Sie bitte oben)</t>
  </si>
  <si>
    <t>Privateinlage</t>
  </si>
  <si>
    <r>
      <t xml:space="preserve">In der </t>
    </r>
    <r>
      <rPr>
        <u/>
        <sz val="10"/>
        <rFont val="Tahoma"/>
        <family val="2"/>
      </rPr>
      <t>linken Rechnung</t>
    </r>
    <r>
      <rPr>
        <sz val="10"/>
        <rFont val="Tahoma"/>
        <family val="2"/>
      </rPr>
      <t xml:space="preserve"> wird der Lohnfaktor ohne Verkaufsumsatz errechnet. Der Verkaufsumsatz wird später mit dem geplanten %Satz dazugerechnet. 
In der </t>
    </r>
    <r>
      <rPr>
        <u/>
        <sz val="10"/>
        <rFont val="Tahoma"/>
        <family val="2"/>
      </rPr>
      <t>rechten Rechnung</t>
    </r>
    <r>
      <rPr>
        <sz val="10"/>
        <rFont val="Tahoma"/>
        <family val="2"/>
      </rPr>
      <t xml:space="preserve"> wird der Lohnfaktor mit dem Gesamtumsatz errechnet.</t>
    </r>
  </si>
  <si>
    <t>Gesamtumsatz</t>
  </si>
  <si>
    <t xml:space="preserve"> + MwSt.</t>
  </si>
  <si>
    <t>+ MwSt.</t>
  </si>
  <si>
    <t xml:space="preserve"> = Bruttoumsatz Friseure</t>
  </si>
  <si>
    <t>./. Jährl. Chefumsatz inkl. MwSt.</t>
  </si>
  <si>
    <t xml:space="preserve"> = Bruttoumsatz Dienstleistung 
pro Arbeitsmonat ohne Chef</t>
  </si>
  <si>
    <t xml:space="preserve"> = Gesamt Bruttoumsatz 
pro Arbeitsmonat ohne Chef</t>
  </si>
  <si>
    <t>: 10 Arbeitsmonate</t>
  </si>
  <si>
    <t>Dienstleistungs-Umsatz</t>
  </si>
  <si>
    <t>dazu hier "ok" eingeben</t>
  </si>
  <si>
    <t>Bruttolöhne der 
umsatzschreibenden Mitarbeiter</t>
  </si>
  <si>
    <t>neuer Bruttolohn</t>
  </si>
  <si>
    <t>Bruttolohn ohne Zus.</t>
  </si>
  <si>
    <t>ALLE Zusatzz st.frei</t>
  </si>
  <si>
    <t>AG Anteil</t>
  </si>
  <si>
    <t>PK</t>
  </si>
  <si>
    <t>PK Friseure</t>
  </si>
  <si>
    <t>PK Orga</t>
  </si>
  <si>
    <t>PK Azubis</t>
  </si>
  <si>
    <t>PK Ges</t>
  </si>
  <si>
    <t xml:space="preserve">Öffnungstage pro Woche </t>
  </si>
  <si>
    <r>
      <t xml:space="preserve">Mitarbeiterliste 
</t>
    </r>
    <r>
      <rPr>
        <sz val="12"/>
        <color rgb="FFFF0000"/>
        <rFont val="Tahoma"/>
        <family val="2"/>
      </rPr>
      <t>Rezeptionist/innen, Organisationskräfte und Assistenz</t>
    </r>
  </si>
  <si>
    <t>Mitarbeiterliste Azubis</t>
  </si>
  <si>
    <t>Eingabe Friseure</t>
  </si>
  <si>
    <t>hier geben Sie die Bruttolöhne und die Arbeitszeiten der Mitarbeiter ein, die den Umsatz verantworten</t>
  </si>
  <si>
    <t>Eingabe Organisationskräfte</t>
  </si>
  <si>
    <t>hier geben Sie die Bruttolöhne und die Arbeitszeiten der Mitarbeiter ein, die zuarbeiten oder in der Organisation tätig sind</t>
  </si>
  <si>
    <t>Eingabe Azubis</t>
  </si>
  <si>
    <t>hier geben Sie die Bruttolöhne und Lehrjahre der Auszubildenden ein</t>
  </si>
  <si>
    <t>Gesamt PK</t>
  </si>
  <si>
    <t>PK Kosten Diagramm</t>
  </si>
  <si>
    <t xml:space="preserve">Hier wird die Höhe Personalkosten im Jahresverlauf pro Monat als Diagramm dargestellt. </t>
  </si>
  <si>
    <t>Auf dieser Seite sammeln sich alle Ihre Eingaben zum geplanten Mindestumsatz</t>
  </si>
  <si>
    <t>In die</t>
  </si>
  <si>
    <t>können Sie Ihre Daten eingeben. Alle anderen Felder sind geschützt.</t>
  </si>
  <si>
    <t>grauen Felder</t>
  </si>
  <si>
    <t>Chef</t>
  </si>
  <si>
    <t>Sie können die Werte monatlich oder jährlich eingeben</t>
  </si>
  <si>
    <t xml:space="preserve">Denken Sie daran, dass bei den Zahlungen an die Bank oft Zins und Tilgung in einem Betrag abgebucht werden. </t>
  </si>
  <si>
    <t>Zielumsatz Planungsjahr</t>
  </si>
  <si>
    <t>Internet / Facebook</t>
  </si>
  <si>
    <t>Zeitschriften</t>
  </si>
  <si>
    <t>VK Anteil Chef</t>
  </si>
  <si>
    <t>Die Nutzungzeit dieser Datei endet am:</t>
  </si>
  <si>
    <t>Personal-faktor / VBE</t>
  </si>
  <si>
    <t>Öffnungstage pro Woche</t>
  </si>
  <si>
    <t>Überprüfung der Anwesenheitszeit</t>
  </si>
  <si>
    <t>Bruttolohnsumme</t>
  </si>
  <si>
    <t>Auf dieser Seit wird die Bruttolohnsumme zur Ermittlung des Lohnfaktors errechnet</t>
  </si>
  <si>
    <t>Aufteilung in   VK</t>
  </si>
  <si>
    <t xml:space="preserve"> und DL</t>
  </si>
  <si>
    <t xml:space="preserve"> : Arbeitsmonate (Eingabe oben) = pro Monat</t>
  </si>
  <si>
    <t xml:space="preserve">Privatentnahme + Chefumsatz </t>
  </si>
  <si>
    <t>Hier planen Sie Ihre persönlichen Entnahmen und den eigenen Umsatz</t>
  </si>
  <si>
    <r>
      <rPr>
        <b/>
        <i/>
        <sz val="10"/>
        <rFont val="Tahoma"/>
        <family val="2"/>
      </rPr>
      <t>Beispiel</t>
    </r>
    <r>
      <rPr>
        <b/>
        <sz val="10"/>
        <rFont val="Tahoma"/>
        <family val="2"/>
      </rPr>
      <t>:</t>
    </r>
    <r>
      <rPr>
        <b/>
        <sz val="12"/>
        <rFont val="Tahoma"/>
        <family val="2"/>
      </rPr>
      <t xml:space="preserve"> Raumkosten</t>
    </r>
  </si>
  <si>
    <t>Übernahme in die Planungsrechnung</t>
  </si>
  <si>
    <t>In dieser Zeile können Sie diese Kostenpositionen als Gesamtwert eingeben</t>
  </si>
  <si>
    <r>
      <t xml:space="preserve">Sonstige Kosten </t>
    </r>
    <r>
      <rPr>
        <b/>
        <i/>
        <sz val="9"/>
        <color indexed="10"/>
        <rFont val="Tahoma"/>
        <family val="2"/>
      </rPr>
      <t>Vorjahr</t>
    </r>
  </si>
  <si>
    <t>Wie ist Ihre eigene Chefarbeitszeit am Stuhl bzw. am Kunden?</t>
  </si>
  <si>
    <t xml:space="preserve">Monate </t>
  </si>
  <si>
    <t>her können Sie Ihre Vorjahreswerte der BWA eingeben, es ist kein "Muss", geht auch ohne</t>
  </si>
  <si>
    <t>Brutto DL</t>
  </si>
  <si>
    <t>Brutto VK</t>
  </si>
  <si>
    <t>Brutto Ges</t>
  </si>
  <si>
    <t>Geplant sind</t>
  </si>
  <si>
    <t>Wie ist die Chefarbeitszeit des 2. Chefs am Stuhl bzw. am Kunden?</t>
  </si>
  <si>
    <t>Summe Vorjahr</t>
  </si>
  <si>
    <t>Wenn Sie noch weitere "Friseur" Mitarbeiter haben, nutzen Sie die weiteren Zeilen. Für die anderen Mitarbeiter, wie Organisationskräfte oder Azubis, geht es auf den Folgeseiten weiter.</t>
  </si>
  <si>
    <t>Weitere Mitarbeiter</t>
  </si>
  <si>
    <t>Heute ist der</t>
  </si>
  <si>
    <t>geplanter Bruttolohn pro Monat incl. aller Zusatzzahlungen ohne Provison</t>
  </si>
  <si>
    <r>
      <t>Wie schon erwähnt, befinden sich die "</t>
    </r>
    <r>
      <rPr>
        <u/>
        <sz val="10"/>
        <rFont val="Tahoma"/>
        <family val="2"/>
      </rPr>
      <t>Fortbildungskosten"</t>
    </r>
    <r>
      <rPr>
        <sz val="10"/>
        <rFont val="Tahoma"/>
        <family val="2"/>
      </rPr>
      <t xml:space="preserve"> als Kostenposition zumeist innerhalb der </t>
    </r>
    <r>
      <rPr>
        <u/>
        <sz val="10"/>
        <rFont val="Tahoma"/>
        <family val="2"/>
      </rPr>
      <t>"Sonstigen Kosten"</t>
    </r>
    <r>
      <rPr>
        <sz val="10"/>
        <rFont val="Tahoma"/>
        <family val="2"/>
      </rPr>
      <t>. Wenn Sie die Fortbildungskosten auf dem vorherigen Blatt geplant haben, werden sie auf diesem Blatt in die "Sonstigen Kosten" übernommen. Zur späteren Kontrolle in der BWA können die "Sonstigen Kosten" mit oder ohne Fortbildungskosten dargestellt werden.</t>
    </r>
  </si>
  <si>
    <t xml:space="preserve">Hier planen Sie die Zinskosten, die sonstigen betrieblichen Erlöse, neutrale Aufwendungen und Erträge sowie die Tilgungen </t>
  </si>
  <si>
    <t>Ermittlung Personalkosten pro Minute</t>
  </si>
  <si>
    <t>€</t>
  </si>
  <si>
    <t>aus Ihrer Planung</t>
  </si>
  <si>
    <t>Kalkulatorischer Meisterlohn</t>
  </si>
  <si>
    <t>: Arbeitstage / PSF / Jahr</t>
  </si>
  <si>
    <t>: PSF</t>
  </si>
  <si>
    <t xml:space="preserve"> = Personalkosten   pro Tag pro PSF</t>
  </si>
  <si>
    <t xml:space="preserve">: Std. p. Tag </t>
  </si>
  <si>
    <t xml:space="preserve"> = PK pro Stunde</t>
  </si>
  <si>
    <t xml:space="preserve"> : Minuten</t>
  </si>
  <si>
    <t xml:space="preserve"> = PK pro Minute</t>
  </si>
  <si>
    <t>100% Auslastung</t>
  </si>
  <si>
    <t>Gemeinkosten pro Minute</t>
  </si>
  <si>
    <t>Gemeinkosten</t>
  </si>
  <si>
    <t>: Arbeitstage/ Jahr.</t>
  </si>
  <si>
    <t>: Arbeitsstunden/Tag</t>
  </si>
  <si>
    <t>: Minuten/Stunde</t>
  </si>
  <si>
    <t>Netto - Materialverbrauch pro Behandlung</t>
  </si>
  <si>
    <t>Föhnen</t>
  </si>
  <si>
    <t>% vom Nettopreis</t>
  </si>
  <si>
    <t xml:space="preserve"> + Personalkosten </t>
  </si>
  <si>
    <t>Arbeitsminuten DL</t>
  </si>
  <si>
    <t>Minuten</t>
  </si>
  <si>
    <t>Arbeitszeit in Minuten</t>
  </si>
  <si>
    <t>PK pro Minute €</t>
  </si>
  <si>
    <t xml:space="preserve"> = Einzelkosten</t>
  </si>
  <si>
    <t xml:space="preserve"> + Gemeinkosten </t>
  </si>
  <si>
    <t>GK pro Minute €</t>
  </si>
  <si>
    <t xml:space="preserve"> = Selbstkosten</t>
  </si>
  <si>
    <t xml:space="preserve"> + Gewinn</t>
  </si>
  <si>
    <t>Gewinnaufschlag</t>
  </si>
  <si>
    <t xml:space="preserve"> = Nettopreis</t>
  </si>
  <si>
    <t>Herrenhaarschnitt</t>
  </si>
  <si>
    <t>Farbetube</t>
  </si>
  <si>
    <t>H2O2</t>
  </si>
  <si>
    <t>Strähnen</t>
  </si>
  <si>
    <t>Personalkosten pro Minute bei einer Auslastung von</t>
  </si>
  <si>
    <t>ok</t>
  </si>
  <si>
    <t xml:space="preserve"> = Gemeinkosten des Salons pro Minute bei einer Auslastung von</t>
  </si>
  <si>
    <t>Den Auslastungswert, den Sie mit ok markieren, wird übernommen</t>
  </si>
  <si>
    <t xml:space="preserve">Der "Meisterlohn", Pos. 27, wird kalkulatorisch mit die Personalkosten </t>
  </si>
  <si>
    <t>übernommen.</t>
  </si>
  <si>
    <t>Dieser Wert wird in die Preiskalkulation übernommen</t>
  </si>
  <si>
    <t>Preiskalkulation</t>
  </si>
  <si>
    <t>Wenn Sie nach Ihrem Gefühl für eine Dienstleistung einen höheren Preis als den errechneten Preis erzielen könnne, nehmen Sie den höheren Preis.</t>
  </si>
  <si>
    <t xml:space="preserve">Preiskalkulation </t>
  </si>
  <si>
    <t>offen</t>
  </si>
  <si>
    <t>geschlossen</t>
  </si>
  <si>
    <t>Ermittlung des Soll- oder Mindestumsatzes eines Jahres für Ihren Salon aufgrund aller Kosten und Ihres eigenen Einkommens.</t>
  </si>
  <si>
    <t>Für die Mitarbeiter können Sollumsätze auf Monats- Wochen, Tages- und Stundenbasis erstellt werden (Lohnfaktorrechnung)</t>
  </si>
  <si>
    <t>Eine Preiskalkulation über den Minutenpreis aufgrund der Kosten und Zeiten.</t>
  </si>
  <si>
    <t>Jahreslizenz</t>
  </si>
  <si>
    <t>Gesamtpaket</t>
  </si>
  <si>
    <t>Alle Preis zzgl.MwSt</t>
  </si>
  <si>
    <t>PK pro Minute</t>
  </si>
  <si>
    <t>GK pro Minute</t>
  </si>
  <si>
    <t>Preis Fönen</t>
  </si>
  <si>
    <t>Preis Haarschnitt (+Fönen)</t>
  </si>
  <si>
    <t>Preis Herrenhaarschnitt</t>
  </si>
  <si>
    <t>Preis Farbe</t>
  </si>
  <si>
    <t>Preis Farbe 2</t>
  </si>
  <si>
    <t>Preis Strähnen</t>
  </si>
  <si>
    <t>Beginn der Preiskalkulation</t>
  </si>
  <si>
    <t>Der Gewinnaufschlag wird erklärt und errechnet</t>
  </si>
  <si>
    <t>Wie hoch sind die (kalk.) Personalkosten pro Minute?</t>
  </si>
  <si>
    <t>Wie hoch sind die Gemeinkosten pro Minute?</t>
  </si>
  <si>
    <t>Auf diesen drei Seiten können Sie geplante Änderungen oder zusätzliche Zahlungen wie Weihnachtsgeld im Laufe des Jahres eingeben, z.B. Sie planen eine Lohnerhöhung oder geben ungeplant im Laufe des Jahres eine Lohnerhöhung.</t>
  </si>
  <si>
    <t>bis</t>
  </si>
  <si>
    <t>Hier können Sie sich gerne Infos zu Ihrer Planung eintragen:</t>
  </si>
  <si>
    <t>Ermittlung des Gewinn %-Satzes, der den Selbstkosten zugeschlagen wird</t>
  </si>
  <si>
    <t xml:space="preserve">wenn die Tilgung höher als die Abschreibung ist. </t>
  </si>
  <si>
    <t>Differenz zugunsten der Tilgung</t>
  </si>
  <si>
    <t>Kalkulatorische Personalkosten</t>
  </si>
  <si>
    <t>Unternehmerlohn</t>
  </si>
  <si>
    <t>Summe Gewinnaufschlag</t>
  </si>
  <si>
    <t>Verkaufsumsatz</t>
  </si>
  <si>
    <t>Dienstleistungsumsatz</t>
  </si>
  <si>
    <t>Mein Fazit:</t>
  </si>
  <si>
    <t>Planungsrechnung mit erhöhten Werten</t>
  </si>
  <si>
    <t>Wenn Sie den Verkaufsumsatz erhöhen möchten, schlage ich folgendes vor:</t>
  </si>
  <si>
    <t>18 Zielumsatz Planungsjahr</t>
  </si>
  <si>
    <t>Dies können Sie tun auf Seite:</t>
  </si>
  <si>
    <t>von DL-Umsatz und/oder Verkaufsumsatz</t>
  </si>
  <si>
    <t xml:space="preserve">Diese Datei wurde am </t>
  </si>
  <si>
    <t xml:space="preserve"> gekauft von:</t>
  </si>
  <si>
    <t>Ges</t>
  </si>
  <si>
    <t>Berechnung WE in % durch die Erhöhung</t>
  </si>
  <si>
    <t>Auf den folgenden Seiten wird der Sollumsatz der einzelnen Mitarbeiter nach den errechneten Lohnfaktoren errechnet. 
Sie können auf diesen Seiten weiter unten die gleiche Rechnung mit von Ihnen, nach Ihren Vorstellungen, geänderten Lohnfaktoren machen.</t>
  </si>
  <si>
    <t>In dieser Rechnung werden die gesamten Personalkosten auf die Arbeitszeit des Teams verteilt. Die zeitliche Arbeitskraft der Mitarbeiter, der Personalfaktor, wird addiert und fließt als Team-Wert in die Berechnung ein. Wenn Mitarbeiter unterschiedliche Löhen haben, müssten eigentlich die Preise für jeden Mitarbeiter anders aussehen, was im wiklichen Leben in einem Friseursalon den Kunden schwer darzusetllen wäre. Daher wird der Team-Wert zur Preiskalkulation herangezogen.
Wenn die Preis nach Kategorien  dargestellte werden z.B. Stylist, Master-Stylist, Cut-Direktor o. ä., dann könnte man die unterschiedlichen Personlkosten pro Ma heranziehen. Ein Beispiel dazu im farbigen Kasten.</t>
  </si>
  <si>
    <t>Brutto-Lohn</t>
  </si>
  <si>
    <t>Incl. AG-Anteil</t>
  </si>
  <si>
    <t>Arbeits-Tage</t>
  </si>
  <si>
    <t>Jahres-Wert</t>
  </si>
  <si>
    <t>Kosten pro Tag</t>
  </si>
  <si>
    <t>Kosten pro Min</t>
  </si>
  <si>
    <t>Kosten pro Std.</t>
  </si>
  <si>
    <t>Dann nähern sich die Werte von Chef und Mitarbeiter an. 
Jetzt müsste der "Chef-Lohn für die Büroarbeit" auf alle verteilt werden, zum Beispiel über die Gemeinkosten oder über die "Gesamt-Personalkosten-Rechnung", dann steigt der "Gesamt-Minuten-Preis" für alle an.</t>
  </si>
  <si>
    <t>heutiges Datum eingeben</t>
  </si>
  <si>
    <t>* Vorjahres Wert Wareneinsatz in €</t>
  </si>
  <si>
    <t xml:space="preserve"> * Vorjahres Wert Verkaufsumsatz in €</t>
  </si>
  <si>
    <t>Personalkosten laut Planung</t>
  </si>
  <si>
    <t>Mindestumsatzplanung</t>
  </si>
  <si>
    <t>Preis DL offen</t>
  </si>
  <si>
    <t>Hier können Sie Ihre Wunschdienstleistung kalkulieren</t>
  </si>
  <si>
    <t>Für die Verwendung der Planwerte übernehme ich keine Haftung. Überprüfen Sie die Ergebnisse noch einmal. Bei Fragen oder Unsicherheiten melden Sie sich bitte.</t>
  </si>
  <si>
    <t>(Ihren "Lohn" bzw. Ihre Privatentnahmen werden Sie später eingeben)</t>
  </si>
  <si>
    <t>Website</t>
  </si>
  <si>
    <t>Flyer</t>
  </si>
  <si>
    <r>
      <t xml:space="preserve">Wareneinsatz Gesamt               </t>
    </r>
    <r>
      <rPr>
        <b/>
        <sz val="10"/>
        <rFont val="Tahoma"/>
        <family val="2"/>
      </rPr>
      <t>Vorjahr</t>
    </r>
  </si>
  <si>
    <r>
      <t xml:space="preserve">Wareneinsatz DL = Gesamt WE - VK Einkauf  </t>
    </r>
    <r>
      <rPr>
        <b/>
        <sz val="10"/>
        <rFont val="Tahoma"/>
        <family val="2"/>
      </rPr>
      <t>Vj</t>
    </r>
  </si>
  <si>
    <t>Kenntnisse über die eigene BWA und über die Zusammenhänge der Salonzahlen sind sehr empfehlenswert. Die Preis-Lohnfaktor-App wurde von mir nach bestem Wissen und Gewissen erstellt und umfasst diejenigen Rechnungen, die ich für erforderlich halte. Für die Richtigkeit der Rechnungen übernehmen ich keine Haftung. Rechtsansprüche aus der Benutzung der App können nicht geltend gemacht werden. Ich stelle anheim, bei Entscheidungen von großer Tragweite eine Wirtschafts­prüfungs- oder Steuerberatungsgesellschaft einzuschalten.</t>
  </si>
  <si>
    <t>Der betriebswirtschaftliche Gewinn.</t>
  </si>
  <si>
    <t>Der kalkulatorische Meisterlohn (ist für die Arbeit am Kunden).</t>
  </si>
  <si>
    <t>Der kalkulatorische Unternehmerlohn (ist für die Arbeit im "Büro").</t>
  </si>
  <si>
    <t xml:space="preserve">Gewinn (Pos. 32) und die Differenz von Tilgung (Pos. 29) und Abschreibung (Pos. 25) </t>
  </si>
  <si>
    <t xml:space="preserve">Positionen dem Gewinnaufschlag. Den Unternehmerlohn (Pos. 28), den betriebswirtschaftlichen </t>
  </si>
  <si>
    <t>Kontrolle 1</t>
  </si>
  <si>
    <t>Kontrolle 2</t>
  </si>
  <si>
    <t>Kontrolle 3</t>
  </si>
  <si>
    <t>Differenz zum Vorjahr</t>
  </si>
  <si>
    <t>Hier werden alle geplanten Kosten von unten nach oben gerechnet, um den geplanten Mindestumsatz für das nächsten Planungsjahr zu erhalten.</t>
  </si>
  <si>
    <t>BWG Friseure</t>
  </si>
  <si>
    <t>BWG Orga</t>
  </si>
  <si>
    <t>BWG Azubi</t>
  </si>
  <si>
    <t>BGW</t>
  </si>
  <si>
    <t>PK Ges o BGW</t>
  </si>
  <si>
    <t>Rep., Werkz., GWG, Sofort. Abschreibung</t>
  </si>
  <si>
    <t>Abschreibung (ohne Sofort-Abschreibung</t>
  </si>
  <si>
    <t>Abschreibung auf Sachanlagen</t>
  </si>
  <si>
    <t>In diesem Schaubild sehen Sie die Höhe der geplanten Personalkosten pro Monat. 
Der Monat Mai beinhaltet die Zahlung an die Berufsgenossenschaft. Die Zahlung wurde aufgrund der diesjährigen Personalkosten berechnet, nicht aufgrund der Vorjahreszahlen. 
Daher ist das nur ein ungefährer Wert und nicht genau.</t>
  </si>
  <si>
    <r>
      <t xml:space="preserve">Reparaturen, Werkzeuge, 
Instandhaltungen, 
</t>
    </r>
    <r>
      <rPr>
        <b/>
        <i/>
        <sz val="9"/>
        <rFont val="Tahoma"/>
        <family val="2"/>
      </rPr>
      <t>Sofort-Abschreibungen</t>
    </r>
  </si>
  <si>
    <t>pro Quartal</t>
  </si>
  <si>
    <t>Mo</t>
  </si>
  <si>
    <t>Di</t>
  </si>
  <si>
    <t>Mi</t>
  </si>
  <si>
    <t>Do</t>
  </si>
  <si>
    <t>Fr</t>
  </si>
  <si>
    <t>Sa</t>
  </si>
  <si>
    <t>Handelt es sich um eine GmbH?</t>
  </si>
  <si>
    <t>Betriebswirtschafll.
Gewinn od. Verlust</t>
  </si>
  <si>
    <t>Brutto - Umsätze pro Tag nach Mitarbeiteranwesenheit</t>
  </si>
  <si>
    <t>Brutto - Umsätze pro Tag nach Öffnungszeiten</t>
  </si>
  <si>
    <t>Material</t>
  </si>
  <si>
    <t>Gewinn</t>
  </si>
  <si>
    <t>MwSt</t>
  </si>
  <si>
    <r>
      <rPr>
        <b/>
        <sz val="8"/>
        <color rgb="FFFF0000"/>
        <rFont val="Tahoma"/>
        <family val="2"/>
      </rPr>
      <t xml:space="preserve">Organisation
</t>
    </r>
    <r>
      <rPr>
        <b/>
        <sz val="8"/>
        <rFont val="Tahoma"/>
        <family val="2"/>
      </rPr>
      <t xml:space="preserve">Mitarbeiter, 
</t>
    </r>
    <r>
      <rPr>
        <sz val="8"/>
        <rFont val="Tahoma"/>
        <family val="2"/>
      </rPr>
      <t xml:space="preserve">die zuarbeiten (Assistenten usw., ggf auch Reinigungskräfte)   
</t>
    </r>
  </si>
  <si>
    <t>für</t>
  </si>
  <si>
    <t>Inhalt ml</t>
  </si>
  <si>
    <t>in ml</t>
  </si>
  <si>
    <t>Gebrauchsmenge</t>
  </si>
  <si>
    <t>ggf. Wertrabatt</t>
  </si>
  <si>
    <t>ggf. Bonus</t>
  </si>
  <si>
    <t>€ p.Tube</t>
  </si>
  <si>
    <t>€ p. Fl.</t>
  </si>
  <si>
    <r>
      <rPr>
        <b/>
        <sz val="8"/>
        <color rgb="FFFF0000"/>
        <rFont val="Tahoma"/>
        <family val="2"/>
      </rPr>
      <t>Azubis</t>
    </r>
    <r>
      <rPr>
        <sz val="8"/>
        <rFont val="Tahoma"/>
        <family val="2"/>
      </rPr>
      <t xml:space="preserve">
Wenn im laufenden Jahr Lehrjahr + Lohn wechseln, bitte pro Azubi 2 Zeilen nutzen, pro Lehjahr eine.</t>
    </r>
  </si>
  <si>
    <t>Nutzung der App in:</t>
  </si>
  <si>
    <t>Deutschland</t>
  </si>
  <si>
    <t>Österreich</t>
  </si>
  <si>
    <t>Sonderzahlung z.B.Weihnachts-geld</t>
  </si>
  <si>
    <t>Sonderzahlung z.B. Urlaubsgeld</t>
  </si>
  <si>
    <t>Wieviele bezahlte Anwesend-heitsmonate in diesem Planungsjahr</t>
  </si>
  <si>
    <t>regelmäßige monatl. Sonder-zahlung steuerfrei</t>
  </si>
  <si>
    <t>regelmäßige monatl. Sonder-zahlung (z.B.Werkzeuggeld, VWL usw.)</t>
  </si>
  <si>
    <t>Summe Url.-+Weihn.-Geld monatlich</t>
  </si>
  <si>
    <t>Brutto Jahreslohn-summe</t>
  </si>
  <si>
    <t>Gesamtlohn. Alle Sonderzahl-ungen sind auf 1 Monat gerechtet</t>
  </si>
  <si>
    <t>Dies ergibt einen durchschnittlicher Gesamtumsatz in € p. Monat von</t>
  </si>
  <si>
    <t>Daher können wir den kal. Meisterlohn den Personalkosten zuschlagen und die anderen</t>
  </si>
  <si>
    <t>Hier sehen Sie die Berechnung der BGW, sie entspricht ca. 1% des Bruttoentgeltes</t>
  </si>
  <si>
    <t>Sie können gerne einen anderen Prozentwert zur Planung nutzen und hier eingeben</t>
  </si>
  <si>
    <r>
      <t xml:space="preserve">Sie stellt somit </t>
    </r>
    <r>
      <rPr>
        <u/>
        <sz val="14"/>
        <rFont val="Calibri"/>
        <family val="2"/>
        <scheme val="minor"/>
      </rPr>
      <t>den unteren Rand</t>
    </r>
    <r>
      <rPr>
        <sz val="14"/>
        <rFont val="Calibri"/>
        <family val="2"/>
        <scheme val="minor"/>
      </rPr>
      <t xml:space="preserve"> der Preisgestaltung dar. </t>
    </r>
  </si>
  <si>
    <t>Beispiel Berechnung der BGW
Friseurin/Friseur - pflichtversich. Unternehmer
Jahresbrutto 25.000 Euro        
25.000,-- Euro x Gefahrklasse 3,80 x Beitragsfuß 2,05                           .                ──────────────────────────────────                = 194,75 Euro
1000</t>
  </si>
  <si>
    <t>Preiskalkulation für diese Dienstleistung</t>
  </si>
  <si>
    <t>21-Tage Testversion</t>
  </si>
  <si>
    <t>Kennwort 3</t>
  </si>
  <si>
    <t>Nutzung bis</t>
  </si>
  <si>
    <t>Summe der Einzelpositionen</t>
  </si>
  <si>
    <t>Der Chefumsatz wird hier mit dem für den Salon angegeben VK-Umsatz in % geplant.</t>
  </si>
  <si>
    <t>Übernahme zur Berechnung Lohnfaktor</t>
  </si>
  <si>
    <t>Zur Berechnung des Lohnfaktors wird der geplante Vk-Anteil des Salons in % zur Berechnung heran gezogen</t>
  </si>
  <si>
    <r>
      <t xml:space="preserve">Lohnfaktor aus Rechnung 2
Es wird der </t>
    </r>
    <r>
      <rPr>
        <b/>
        <sz val="11"/>
        <rFont val="Tahoma"/>
        <family val="2"/>
      </rPr>
      <t>Gesamtumsatz incl. Verkaufsumsatz</t>
    </r>
    <r>
      <rPr>
        <sz val="11"/>
        <rFont val="Tahoma"/>
        <family val="2"/>
      </rPr>
      <t xml:space="preserve"> erechnet </t>
    </r>
  </si>
  <si>
    <r>
      <t xml:space="preserve">Lohnfaktor aus Rechnung 1
Es wird der </t>
    </r>
    <r>
      <rPr>
        <b/>
        <sz val="10"/>
        <rFont val="Tahoma"/>
        <family val="2"/>
      </rPr>
      <t xml:space="preserve">Dienstleistungssollumsatz ermittelt und der Verkaufsumsatz wird %ual dazu gerechnet </t>
    </r>
  </si>
  <si>
    <r>
      <t xml:space="preserve">In dieser Rechnung wird der Lohnfaktor aus "Rechnung 1" der vorherigen Seite ("21 Lohnfaktor") benutzt. 
Das heißt, es wird der </t>
    </r>
    <r>
      <rPr>
        <i/>
        <u/>
        <sz val="14"/>
        <color theme="0"/>
        <rFont val="Tahoma"/>
        <family val="2"/>
      </rPr>
      <t>Dienstleistungssollumsatz ermittelt und der Verkaufsumsatz wird %ual dazu gerechnet</t>
    </r>
    <r>
      <rPr>
        <sz val="14"/>
        <color theme="0"/>
        <rFont val="Tahoma"/>
        <family val="2"/>
      </rPr>
      <t xml:space="preserve">. 
Auf der nächsten Seite "23 Rechnung 2" wird der </t>
    </r>
    <r>
      <rPr>
        <i/>
        <u/>
        <sz val="14"/>
        <color theme="0"/>
        <rFont val="Tahoma"/>
        <family val="2"/>
      </rPr>
      <t>Gesamtumsatz incl. Verkaufsumsatz</t>
    </r>
    <r>
      <rPr>
        <sz val="14"/>
        <color theme="0"/>
        <rFont val="Tahoma"/>
        <family val="2"/>
      </rPr>
      <t xml:space="preserve"> mit dem Lohnfaktor aus "Rechnung 2" errechnet. </t>
    </r>
  </si>
  <si>
    <r>
      <t xml:space="preserve">Weiter unten (Zeile 49) können Sie einen eigenen Wunsch-Lohnfaktor eingeben, um zusehen, was dann mit den Umsätze der Mitarbeiter passiert! Ebenso sehen Sie rechts den neuen Gesamtumsatz. </t>
    </r>
    <r>
      <rPr>
        <i/>
        <sz val="12"/>
        <color theme="0"/>
        <rFont val="Tahoma"/>
        <family val="2"/>
      </rPr>
      <t>Dort können Sie auch den Lohnfaktor aufrunden.</t>
    </r>
  </si>
  <si>
    <t>DL-Umsatz</t>
  </si>
  <si>
    <t>VK-Umsatz</t>
  </si>
  <si>
    <t>In diese grauen Felder unten können Sie für jeden MA einzeln einen Lohnfaktor eingeben</t>
  </si>
  <si>
    <t>Sollumsatz pro MA</t>
  </si>
  <si>
    <t>LF individuell</t>
  </si>
  <si>
    <t>Hier können Sie Ihre Lohnfaktoren individuell eingeben</t>
  </si>
  <si>
    <t>Mittels des Lohnfaktors wird der Sollumsatz pro Monat, pro Tag, pro Stunde errechnet</t>
  </si>
  <si>
    <t>Lohnfaktor individuell</t>
  </si>
  <si>
    <t>LF</t>
  </si>
  <si>
    <r>
      <t xml:space="preserve">schreiben Sie bitte jeweils "1" bei einem vollen oder "0,5" bei einem halben Monat in die Felder, wenn der Mitarbeiter in dem Monat angestellt ist.         </t>
    </r>
    <r>
      <rPr>
        <b/>
        <sz val="8"/>
        <color rgb="FFFF0000"/>
        <rFont val="Tahoma"/>
        <family val="2"/>
      </rPr>
      <t>Bitte geben Sie keine 0 ein.</t>
    </r>
  </si>
  <si>
    <t>Vereinsbeiträge privat (Kinder)</t>
  </si>
  <si>
    <t>Zeile 19 Spalte P</t>
  </si>
  <si>
    <t/>
  </si>
  <si>
    <t xml:space="preserve"> erstellt von Peter Lehmann</t>
  </si>
  <si>
    <t>Peter Lehmann</t>
  </si>
  <si>
    <t>Leyendeckerstr. 45</t>
  </si>
  <si>
    <t>50825 Köln</t>
  </si>
  <si>
    <t>Die Weitergabe der Ap vom oben genannten Käufer an Andere ist verboten.</t>
  </si>
  <si>
    <t>Beiträge</t>
  </si>
  <si>
    <r>
      <t xml:space="preserve">In Ihrer BWA erscheinen die </t>
    </r>
    <r>
      <rPr>
        <b/>
        <sz val="11"/>
        <rFont val="Tahoma"/>
        <family val="2"/>
      </rPr>
      <t>Fortbildungskosten</t>
    </r>
    <r>
      <rPr>
        <sz val="11"/>
        <rFont val="Tahoma"/>
        <family val="2"/>
      </rPr>
      <t xml:space="preserve"> meistens in den sonstigen (oder verschiedenen) Kosten. Der Übersichtlichkeit, der besseren Kontrolle und Planung wegen ist es ratsam, diese Positionen getrennt zu planen. 
Die </t>
    </r>
    <r>
      <rPr>
        <b/>
        <sz val="11"/>
        <rFont val="Tahoma"/>
        <family val="2"/>
      </rPr>
      <t>Reisekosten</t>
    </r>
    <r>
      <rPr>
        <sz val="11"/>
        <rFont val="Tahoma"/>
        <family val="2"/>
      </rPr>
      <t xml:space="preserve"> sind normalerweise im Bereich Werbung gebucht. Diese Reisekosten entstehen im Friseurhandwerk zumeist wegen </t>
    </r>
    <r>
      <rPr>
        <b/>
        <sz val="11"/>
        <rFont val="Tahoma"/>
        <family val="2"/>
      </rPr>
      <t>Fortbildungsreisen</t>
    </r>
    <r>
      <rPr>
        <sz val="11"/>
        <rFont val="Tahoma"/>
        <family val="2"/>
      </rPr>
      <t xml:space="preserve">, also können sie mit den </t>
    </r>
    <r>
      <rPr>
        <b/>
        <sz val="11"/>
        <rFont val="Tahoma"/>
        <family val="2"/>
      </rPr>
      <t>Fortbildungskosten</t>
    </r>
    <r>
      <rPr>
        <sz val="11"/>
        <rFont val="Tahoma"/>
        <family val="2"/>
      </rPr>
      <t xml:space="preserve"> zusammen geplant werden. Es ist auch möglich, Sie gemeinsam in der BWA darzustellen.</t>
    </r>
  </si>
  <si>
    <t>gewährte Rabatte</t>
  </si>
  <si>
    <t>Gewerbesteuer 
(ggf. auch Kaptialst.)</t>
  </si>
  <si>
    <t>Raumkosten als Gesamtwert      ---&gt;</t>
  </si>
  <si>
    <t>Steuern, Versich., 
Beiträge als Gesamtwert   ---&gt;</t>
  </si>
  <si>
    <t>KFZ-Kosten als Gesamtwert    ---&gt;</t>
  </si>
  <si>
    <t>"Rep., Werkz., Instandh.,Sofort-Ab. als Gesamtwert ---&gt;</t>
  </si>
  <si>
    <t>Abschreibungen als Gesamtwert    ---&gt;</t>
  </si>
  <si>
    <t>geplanter Grund-Bruttolohn ohne steuerfr., monatl.  Zusatzzahlungen</t>
  </si>
  <si>
    <t>Hier sollen nur die langfristigen Abschreibungen eingetragen werden.</t>
  </si>
  <si>
    <t>Erlöse Herren</t>
  </si>
  <si>
    <t>Erlöse Verkauf</t>
  </si>
  <si>
    <t>Verrechn. sonstige Sachbezüge Kfz 19%</t>
  </si>
  <si>
    <t>Verwendung von Gegenst.(Kfz) ohne USt</t>
  </si>
  <si>
    <t>Verwendung von Gegenst.Telefon</t>
  </si>
  <si>
    <t>Wareneingang</t>
  </si>
  <si>
    <t>Erhaltene Skonti</t>
  </si>
  <si>
    <t>Erhaltene Boni</t>
  </si>
  <si>
    <t>Erhaltene Rabatte</t>
  </si>
  <si>
    <t>Bestand</t>
  </si>
  <si>
    <t>Erstattungen AufwendungsausgleichsG</t>
  </si>
  <si>
    <t>Gesetzliche Sozialaufwendungen</t>
  </si>
  <si>
    <t xml:space="preserve">Freiwillige soziale Aufwendung. LSt-pfl. </t>
  </si>
  <si>
    <t>Pauschale Steuer auf sonstige Bezüge</t>
  </si>
  <si>
    <t>Sachzuwendungen und Dienstleistg. an AN</t>
  </si>
  <si>
    <t>Aufwendungen für Altersversorgung</t>
  </si>
  <si>
    <t>Pauschale Steuer für Versicherungen</t>
  </si>
  <si>
    <t>Fahrtkostenerstatt. Whg./Arbeitsstätte</t>
  </si>
  <si>
    <t>Pauschale Steuern Minijobber</t>
  </si>
  <si>
    <t>Löhne für Minijobs</t>
  </si>
  <si>
    <t>Miet- und Pachtnebenkosten</t>
  </si>
  <si>
    <t xml:space="preserve">Gas, Strom, Wasser </t>
  </si>
  <si>
    <t>Reinigung</t>
  </si>
  <si>
    <t>Instandhaltung betrieblicher Räume</t>
  </si>
  <si>
    <t>Versicherungen</t>
  </si>
  <si>
    <t>Sonstige Abgaben</t>
  </si>
  <si>
    <t>Laufende Kfz-Betriebskosten</t>
  </si>
  <si>
    <t xml:space="preserve">Kfz-Reparaturen </t>
  </si>
  <si>
    <t>Garagenmieten</t>
  </si>
  <si>
    <t>Leasing Auto 2</t>
  </si>
  <si>
    <t>Sonstige Kfz-Kosten</t>
  </si>
  <si>
    <t>Geschenke</t>
  </si>
  <si>
    <t>Repräsentationskosten</t>
  </si>
  <si>
    <t>Bewirtungskosten</t>
  </si>
  <si>
    <t>Nicht abzugsfähige Bewirtungskosten</t>
  </si>
  <si>
    <t>Reisekosten Arbeitnehmer</t>
  </si>
  <si>
    <t>Reisekosten Arbeitnehmer, Fahrtkosten</t>
  </si>
  <si>
    <t>Reisekosten AN Verpfleg.mehraufwand</t>
  </si>
  <si>
    <t>Reisekosten AN Übernachtungsaufwand</t>
  </si>
  <si>
    <t>Reisekosten Unternehmer, Fahrtkosten</t>
  </si>
  <si>
    <t>Reisekosten UN Verpfleg.mehraufwand</t>
  </si>
  <si>
    <t xml:space="preserve">Reisekosten UN Übernacht./Nebenkost </t>
  </si>
  <si>
    <t>Kosten der Warenabgabe</t>
  </si>
  <si>
    <t>Reparatur/Instandh. Betriebs- u. Gesch.</t>
  </si>
  <si>
    <t>Wartungskosten für Hard- und Software</t>
  </si>
  <si>
    <t>Mietleasing bewegl. WG techn. Anlagen</t>
  </si>
  <si>
    <t>Abschreibungen auf Sachanlagen</t>
  </si>
  <si>
    <t xml:space="preserve">Abschreibungen auf Gebäude </t>
  </si>
  <si>
    <t>Sofortabschreibung GWG</t>
  </si>
  <si>
    <t>Sonstige betriebliche Aufwendungen</t>
  </si>
  <si>
    <t>Zeitschriften, Bücher (Fachliteratur)</t>
  </si>
  <si>
    <t>Fortbildungskosten</t>
  </si>
  <si>
    <t>Abschluss- und Prüfungskosten</t>
  </si>
  <si>
    <t xml:space="preserve">Mieten für Einrichtungen bewegliche WG </t>
  </si>
  <si>
    <t>Aufwand Abraum-/Abfallbeseitigung</t>
  </si>
  <si>
    <t>Nebenkosten des Geldverkehrs</t>
  </si>
  <si>
    <t>Sonstiger Betriebsbedarf</t>
  </si>
  <si>
    <t>Werkzeuge und Kleingeräte</t>
  </si>
  <si>
    <t>neutraler Aufwand</t>
  </si>
  <si>
    <t xml:space="preserve">Zinsaufwendungen f.kfr.Verbindlichkeit. </t>
  </si>
  <si>
    <t>Zinsaufwendungen f.lfr.Verbindlichkeit.</t>
  </si>
  <si>
    <t>GewSt-Nachzahlung</t>
  </si>
  <si>
    <t>Zinserträge</t>
  </si>
  <si>
    <t>Sonstige Erträge unregelmäßig</t>
  </si>
  <si>
    <t xml:space="preserve">Versich.entschädigung, Schadenersatz </t>
  </si>
  <si>
    <t>Privatentnahmen allgemein</t>
  </si>
  <si>
    <t>Privatsteuern</t>
  </si>
  <si>
    <t>Renteversicherung</t>
  </si>
  <si>
    <t>Zuwendungen, Spenden</t>
  </si>
  <si>
    <t>Grundstücksaufwand</t>
  </si>
  <si>
    <t>Unentgeltliche Wertabgaben</t>
  </si>
  <si>
    <t>Privateinlagen</t>
  </si>
  <si>
    <t>Darlehen Tilgung</t>
  </si>
  <si>
    <t>Darlehen 3</t>
  </si>
  <si>
    <t>Darlehen 4</t>
  </si>
  <si>
    <t>Darlehen 5</t>
  </si>
  <si>
    <t>Darlehen 6</t>
  </si>
  <si>
    <t>Summe Rep., Werkz., GWG, Sofort. Abschreibung</t>
  </si>
  <si>
    <t>weitere Erlöse</t>
  </si>
  <si>
    <t>Kfz-Steuern (oder bei KFZ)</t>
  </si>
  <si>
    <t>Kfz-Steuern (oder in Steuern)</t>
  </si>
  <si>
    <t>Mietleasing Auto 1</t>
  </si>
  <si>
    <t>Verwendung von Gegenst.(Kfz) 19%</t>
  </si>
  <si>
    <t>Erstattung. AufwendungsausgleichsG</t>
  </si>
  <si>
    <t>andere Steuer</t>
  </si>
  <si>
    <r>
      <t xml:space="preserve">Hier können Sie Summe der gesamten Personalkosten eintragen </t>
    </r>
    <r>
      <rPr>
        <b/>
        <u/>
        <sz val="10"/>
        <color theme="1" tint="0.499984740745262"/>
        <rFont val="Tahoma"/>
        <family val="2"/>
      </rPr>
      <t>oder</t>
    </r>
    <r>
      <rPr>
        <sz val="10"/>
        <color theme="1" tint="0.499984740745262"/>
        <rFont val="Tahoma"/>
        <family val="2"/>
      </rPr>
      <t xml:space="preserve"> unten die Einzelpositionen der PK</t>
    </r>
  </si>
  <si>
    <t>Kfz Kosten</t>
  </si>
  <si>
    <r>
      <t xml:space="preserve">Hier können Sie Summe der gesamten Kfz Kosten eintragen </t>
    </r>
    <r>
      <rPr>
        <b/>
        <u/>
        <sz val="10"/>
        <color theme="1" tint="0.499984740745262"/>
        <rFont val="Tahoma"/>
        <family val="2"/>
      </rPr>
      <t>oder</t>
    </r>
    <r>
      <rPr>
        <sz val="10"/>
        <color theme="1" tint="0.499984740745262"/>
        <rFont val="Tahoma"/>
        <family val="2"/>
      </rPr>
      <t xml:space="preserve"> unten die Einzelpositionen</t>
    </r>
  </si>
  <si>
    <t>Summe Kfz Kosten</t>
  </si>
  <si>
    <t>Summe Werbekosten</t>
  </si>
  <si>
    <r>
      <t xml:space="preserve">Hier können Sie Summe der gesamten Werbekosten eintragen </t>
    </r>
    <r>
      <rPr>
        <b/>
        <u/>
        <sz val="10"/>
        <color theme="1" tint="0.499984740745262"/>
        <rFont val="Tahoma"/>
        <family val="2"/>
      </rPr>
      <t>oder</t>
    </r>
    <r>
      <rPr>
        <sz val="10"/>
        <color theme="1" tint="0.499984740745262"/>
        <rFont val="Tahoma"/>
        <family val="2"/>
      </rPr>
      <t xml:space="preserve"> unten die Einzelpositionen</t>
    </r>
  </si>
  <si>
    <t>Erlöse</t>
  </si>
  <si>
    <r>
      <t xml:space="preserve">Hier können Sie Summe der gesamten Raumkosten eintragen </t>
    </r>
    <r>
      <rPr>
        <b/>
        <u/>
        <sz val="10"/>
        <color theme="1" tint="0.499984740745262"/>
        <rFont val="Tahoma"/>
        <family val="2"/>
      </rPr>
      <t>oder</t>
    </r>
    <r>
      <rPr>
        <sz val="10"/>
        <color theme="1" tint="0.499984740745262"/>
        <rFont val="Tahoma"/>
        <family val="2"/>
      </rPr>
      <t xml:space="preserve"> unten die Einzelpositionen der PK</t>
    </r>
  </si>
  <si>
    <t>Summe Raumkosten</t>
  </si>
  <si>
    <t>Summe Abschreibungen</t>
  </si>
  <si>
    <r>
      <t xml:space="preserve">Hier können Sie Summe von den sonstigen oder verschiedenen Kosten eintragen </t>
    </r>
    <r>
      <rPr>
        <b/>
        <u/>
        <sz val="8"/>
        <color theme="1" tint="0.34998626667073579"/>
        <rFont val="Tahoma"/>
        <family val="2"/>
      </rPr>
      <t>oder</t>
    </r>
    <r>
      <rPr>
        <sz val="8"/>
        <color theme="1" tint="0.34998626667073579"/>
        <rFont val="Tahoma"/>
        <family val="2"/>
      </rPr>
      <t xml:space="preserve"> unten die Einzelpositionen</t>
    </r>
  </si>
  <si>
    <t>anderer Neutr. Aufwand</t>
  </si>
  <si>
    <t>Zahlungen FA - Vorsteuer</t>
  </si>
  <si>
    <t>andere neutraler Aufwand</t>
  </si>
  <si>
    <t>Summe neutrale Erträge</t>
  </si>
  <si>
    <t>Neutrale Erträge können Zinserträge oder Erträge, die nicht direkt zu "Friseur" zuzuordnen sind oder auch Rückzahlungen z.B. wie Steuern oder Versicherungsleistungen sein.</t>
  </si>
  <si>
    <t>Umsatzsteuereinnahme</t>
  </si>
  <si>
    <t>Private Entnahmen</t>
  </si>
  <si>
    <t>Summe Wareneingang</t>
  </si>
  <si>
    <t>Sonstige Erlöse</t>
  </si>
  <si>
    <t>Summe Tilgung</t>
  </si>
  <si>
    <t>Vorsteuer</t>
  </si>
  <si>
    <t>In dieser Spalte werden die nebenstehenden Kosten auf 12 Monate hochgerechnet. Die Kosten werden gerundet angezeitg</t>
  </si>
  <si>
    <t>Falls Kosten nicht regelmäßig über 12 Monate anfallen (z.B. Versicherung, diese fallen zumeist nur im Frühjahr an), tragen Sie in dieser Spalte Ihre Schätzung ein, was im Jahr an diesen Kosten anfallen. Zur Kontrolle hilft auch ein Blick ins Jahr zuvor.</t>
  </si>
  <si>
    <t>Abschreibungan auf KFZ</t>
  </si>
  <si>
    <r>
      <t xml:space="preserve">Schreiben Sie bitte jeweils "1" bei einem vollen oder "0,5" bei einem halben Monat in die Felder, wenn der Mitarbeiter in dem Monat eingeplant ist.          </t>
    </r>
    <r>
      <rPr>
        <b/>
        <sz val="8"/>
        <color rgb="FFFF0000"/>
        <rFont val="Tahoma"/>
        <family val="2"/>
      </rPr>
      <t>Bitte geben Sie keine 0 ein.</t>
    </r>
  </si>
  <si>
    <t>Stunden - Lohn 
Bruttolohn incl. aller Zusatz-zahlungen</t>
  </si>
  <si>
    <t>Gewerbesteuer oder -nachzahlungen sind manchmal in neutralen Erträgen zu finden</t>
  </si>
  <si>
    <t>Summe Privatentnahmen</t>
  </si>
  <si>
    <t xml:space="preserve">Die sonstigen Erlöse sind oft ein rechnerischer Aufschlag zur Versteuerung der private Verwendung von Gegenständen z.B. Auto, Telefon. Es können auch die Zahlungen der Krankenkassen für kranke Mitarbeiter darin enhalten sein (Erstattungen Aufwendungsausgleichsgesetz, manchmal auch LFG). Diese Einnahnmen sind, nach meiner Meinung, besser in den Personalkosten gebucht. </t>
  </si>
  <si>
    <r>
      <t xml:space="preserve">Mit der Berechnung verschiedener Lohnfaktoren wollte ich Ihnen nur zeigen, dass es wichtig ist zu wissen, auf welcher Rechenbasis der Lohnfaktor enstanden ist.
Hier können Sie aus diesen zwei Rechnungen bzw. zwei Lohnfaktoren wählen, die auf der vorherigen Seite ermittelt wurden. 
Diese beiden Berechnungen haben bis auf geringe Rundungsdifferenzen das gleiche Ergebnis.
Mit dem Lohnfaktor aus Rechnung 1 wird der </t>
    </r>
    <r>
      <rPr>
        <i/>
        <u/>
        <sz val="12"/>
        <rFont val="Tahoma"/>
        <family val="2"/>
      </rPr>
      <t xml:space="preserve">Dienstleistungssollumsatz ermittelt und der Verkaufsumsatz wird %ual dazu gerechnet 
</t>
    </r>
    <r>
      <rPr>
        <sz val="12"/>
        <rFont val="Tahoma"/>
        <family val="2"/>
      </rPr>
      <t xml:space="preserve">Mit dem Lohnfaktor aus Rechnung 2" wird der </t>
    </r>
    <r>
      <rPr>
        <i/>
        <u/>
        <sz val="12"/>
        <rFont val="Tahoma"/>
        <family val="2"/>
      </rPr>
      <t>Gesamtumsatz incl. Verkaufsumsatz</t>
    </r>
    <r>
      <rPr>
        <sz val="12"/>
        <rFont val="Tahoma"/>
        <family val="2"/>
      </rPr>
      <t xml:space="preserve"> errechnet.
</t>
    </r>
    <r>
      <rPr>
        <b/>
        <i/>
        <sz val="12"/>
        <rFont val="Tahoma"/>
        <family val="2"/>
      </rPr>
      <t xml:space="preserve">Bitte tragen Sie in das graue Feld Ihrer Wahl unten ok ein.
</t>
    </r>
    <r>
      <rPr>
        <i/>
        <sz val="12"/>
        <rFont val="Tahoma"/>
        <family val="2"/>
      </rPr>
      <t>Mein Vorschlag zur weiteren Berechnung ist der schon mit "ok" gewählte Lohnfaktor. Für die andere Berechnung dort "ok" eingeben.</t>
    </r>
  </si>
  <si>
    <t>Erlöse Gutscheine</t>
  </si>
  <si>
    <t>Mit welchen Provisionszahlungen möchten Sie rechnen?</t>
  </si>
  <si>
    <r>
      <t xml:space="preserve">Hier können Sie einen jährlichen </t>
    </r>
    <r>
      <rPr>
        <u/>
        <sz val="10"/>
        <color rgb="FFFF0000"/>
        <rFont val="Tahoma"/>
        <family val="2"/>
      </rPr>
      <t>oder</t>
    </r>
    <r>
      <rPr>
        <sz val="10"/>
        <rFont val="Tahoma"/>
        <family val="2"/>
      </rPr>
      <t xml:space="preserve"> monatlichen Bruttobetrag eingeben</t>
    </r>
  </si>
  <si>
    <r>
      <t xml:space="preserve">Bruttolohn incl. monatl. Zusatzzahlungen </t>
    </r>
    <r>
      <rPr>
        <sz val="7"/>
        <rFont val="Tahoma"/>
        <family val="2"/>
      </rPr>
      <t>ohne Weihnachts-, Urlaubsgeld, Porvisionen</t>
    </r>
  </si>
  <si>
    <t>einmalige Sonderzahlung z.B.Weihnachts-geld</t>
  </si>
  <si>
    <t>einmalige steuerfreie Sonder-zahlung</t>
  </si>
  <si>
    <t>Summe Url.-+Weihn.-Geld usw. monatlich</t>
  </si>
  <si>
    <t>Einmal Zahl zB Weihnacht</t>
  </si>
  <si>
    <t>Einmal Zahl zB Url.</t>
  </si>
  <si>
    <t>Monatl Zuzahl</t>
  </si>
  <si>
    <t>Steuerfrei einmal</t>
  </si>
  <si>
    <t>Steuerfrei monatl.</t>
  </si>
  <si>
    <t xml:space="preserve">einmalige Sonderzahlung z.B. Urlaubsgeld </t>
  </si>
  <si>
    <t>Einmalige Sonder-zahlung steuerfrei</t>
  </si>
  <si>
    <t>veränderte Zusatzzahlung St-frei  ==&gt;</t>
  </si>
  <si>
    <t>↓</t>
  </si>
  <si>
    <t>Diese Zahlungen müssen, so wie sie anfallen werden , in die Monate verteilt werden</t>
  </si>
  <si>
    <t>neue Planung</t>
  </si>
  <si>
    <t xml:space="preserve">Dies sind in €  </t>
  </si>
  <si>
    <t>Dieser Wert wird in den Mai übernommen</t>
  </si>
  <si>
    <t>Personalkosten incl. BGW
pro Monat</t>
  </si>
  <si>
    <t>pro Monat</t>
  </si>
  <si>
    <t>Wenn Sie quartalswiese zahlen, geben Sie hier ein "ok" ein</t>
  </si>
  <si>
    <t>Provisionen</t>
  </si>
  <si>
    <t>Wenn Sie monatlich zahlen, geben Sie bitte hier ein "ok" ein</t>
  </si>
  <si>
    <t>in diese Zeile eingeben</t>
  </si>
  <si>
    <t>jährliche Sonder-zahlung steuerfrei</t>
  </si>
  <si>
    <t>Gesamtsumme sonstige Kosten</t>
  </si>
  <si>
    <t>SKR 03  -  8400
SKR 04  -  4000</t>
  </si>
  <si>
    <t>SKR 03  -  8600
SKR 04  -  4600</t>
  </si>
  <si>
    <t>SKR 03  -  3000
SKR 04  -  5000</t>
  </si>
  <si>
    <t>SKR 03  -  4100
SKR 04  -  6000</t>
  </si>
  <si>
    <t>SKR 03  -  4200
SKR 04  -  6305</t>
  </si>
  <si>
    <t>SKR 03  -  4300
SKR 04  -  6400</t>
  </si>
  <si>
    <t>SKR 03  -  4800
SKR 04  -  6200  6450</t>
  </si>
  <si>
    <t>SKR 03  -  4500
SKR 04  -  6500</t>
  </si>
  <si>
    <t>SKR 03  -  4600
SKR 04  -  6600</t>
  </si>
  <si>
    <t>Reisekosten</t>
  </si>
  <si>
    <t>SKR 03  -  4700
SKR 04  -  6700</t>
  </si>
  <si>
    <t>SKR 03 4945 
SKR 04 6821</t>
  </si>
  <si>
    <t>SKR 03  -  4900
SKR 04  -  6800</t>
  </si>
  <si>
    <t>SKR 03  -  2000
SKR 04  -  6884</t>
  </si>
  <si>
    <t>SKR 03  -  2100
SKR 04  -  6900</t>
  </si>
  <si>
    <t>SKR 03  -  1800
SKR 04  -  2100</t>
  </si>
  <si>
    <t>SKR 03  -  0600
SKR 04  -  0930</t>
  </si>
  <si>
    <t xml:space="preserve">SKR 03  -  4400
SKR 04  -  </t>
  </si>
  <si>
    <r>
      <rPr>
        <sz val="9"/>
        <rFont val="Tahoma"/>
        <family val="2"/>
      </rPr>
      <t>Die Nummern der Konten in der BWA entstammen dem Kontenrahmen, den der Steuerberater verwendet. Zwei Kontenrahmen sind sehr verbreitet, SKR 03 und SKR 04. Unten sind die jeweiligen Kontennr. angeben, damit Sie die Daten in Ihrer BWA leichter finden. Z.B.:</t>
    </r>
    <r>
      <rPr>
        <sz val="10"/>
        <rFont val="Tahoma"/>
        <family val="2"/>
      </rPr>
      <t xml:space="preserve">
</t>
    </r>
    <r>
      <rPr>
        <b/>
        <sz val="8"/>
        <rFont val="Tahoma"/>
        <family val="2"/>
      </rPr>
      <t xml:space="preserve">     SKR 03  -  8400
     SKR 04  -  4000</t>
    </r>
  </si>
  <si>
    <t>Abschreibung, Reparatur, 
Instandhaltung</t>
  </si>
  <si>
    <t>sonstige (oder verschiedene) Kosten</t>
  </si>
  <si>
    <t>Monatl. steuerpfl.
Sonderzahl.</t>
  </si>
  <si>
    <t>Monatl. steuerfreie
Sonderzahl.</t>
  </si>
  <si>
    <t>einmal Sonderzahl. z.B.Weihn.-geld</t>
  </si>
  <si>
    <t xml:space="preserve">einmal Sonderzahl. z.B. Urlaubsgeld </t>
  </si>
  <si>
    <t>Neue Planung</t>
  </si>
  <si>
    <t>Körperschaftssteuer</t>
  </si>
  <si>
    <t>Wird in "sonstige Erlöse" übernommen</t>
  </si>
  <si>
    <t>Tilgung im nächsten Jahr mit Rückführung Konto in €</t>
  </si>
  <si>
    <t>Diese Preis-Lohnfaktor-App ist eine Kalkulations- und Planungshilfe und kann Ihnen bei folgenden Berechnungen helfen:</t>
  </si>
  <si>
    <t>1. Schritt</t>
  </si>
  <si>
    <t>2. Schritt</t>
  </si>
  <si>
    <t>Auf der Seite "Verteilung Monate nach Plan" werden die geplanten Jahres-Kosten auf die Monate gleichmäßig verteilt.</t>
  </si>
  <si>
    <t>Der geplante Umsatz im Jahr wird nach Arbeitstagen pro Monate auf die Monate verteilt</t>
  </si>
  <si>
    <t xml:space="preserve">Diese Verteilung der Umsätze und Kosten wird im Laufe des Jahres natürlich nicht so kommen. </t>
  </si>
  <si>
    <t>Manche Kostenpositionen, z.B. Raumkosten, werden relativ gleichmäßig anfallen, andere z.B. Werbung,</t>
  </si>
  <si>
    <t>werden sehr ungleichmäßig anfallen. Auch der Umsatz unterliegt, neben den Arbeitstagen, Schwankungen durch Feiertage und Jahreszeiten.</t>
  </si>
  <si>
    <t>3. Schritt</t>
  </si>
  <si>
    <t>Auf der Seite "Liquiditätsberechnung" können Sie den Umsatz und die Kosten in der Höhe in die Monate eintragen, wie sie nach Ihrer Ansicht</t>
  </si>
  <si>
    <t xml:space="preserve">wahrscheinlich anfallen werden. </t>
  </si>
  <si>
    <t>In dieser Tabelle sehen Sie unten, wie sich Ihre Liquidität sich verändert.</t>
  </si>
  <si>
    <t>Auf der nächsten Seite "Liquiditätsplan" ist die Veränderung übersichtlicher dargestellt.</t>
  </si>
  <si>
    <t>4. Schritt</t>
  </si>
  <si>
    <t>Auf der Seite "Eingabe Controlling" geben Sie Ihre kummulierten Monatswerte ein und sehen die Differenz zu Ihrer Planung.</t>
  </si>
  <si>
    <t>Da die Möglichkeit besteht die kummulierten Werte einzugeben, müssen Sie dies nicht unbedingt jeden Monat machen.</t>
  </si>
  <si>
    <t>gebucht bis:</t>
  </si>
  <si>
    <t>sonstige Erlöse 
(Verwendung v. Gegenständen)</t>
  </si>
  <si>
    <t>Gesamt  Arbeitstage</t>
  </si>
  <si>
    <t>Durchschnitt</t>
  </si>
  <si>
    <t>DL - Soll</t>
  </si>
  <si>
    <t>DL - Ist</t>
  </si>
  <si>
    <t>VK - Soll</t>
  </si>
  <si>
    <t>VK -Ist</t>
  </si>
  <si>
    <t>Gesamt - Ist</t>
  </si>
  <si>
    <t>Gesamt - Soll</t>
  </si>
  <si>
    <t>Waren- einsatz</t>
  </si>
  <si>
    <t>Personal kosten</t>
  </si>
  <si>
    <t>Gemein- kosten</t>
  </si>
  <si>
    <t>Unter/ Über-deckung</t>
  </si>
  <si>
    <t>Ist</t>
  </si>
  <si>
    <t>Soll</t>
  </si>
  <si>
    <t>Liquiditätsberechnung</t>
  </si>
  <si>
    <t>geplante Liquidität</t>
  </si>
  <si>
    <t>Auf dieser Seite sehen Sie die Zusammenfassung Ihrer nach Wahrscheinlichkeit neu verteilten Umsätze und Kosten.</t>
  </si>
  <si>
    <t>Liquiditätsplan</t>
  </si>
  <si>
    <t>Privatentnahmen gesamt neu</t>
  </si>
  <si>
    <t>Eingabe Controlling</t>
  </si>
  <si>
    <t>Plan</t>
  </si>
  <si>
    <t>Neutraler Ertrag /son. Erl.</t>
  </si>
  <si>
    <t>1. Quartal</t>
  </si>
  <si>
    <t>2. Quartal</t>
  </si>
  <si>
    <t>3. Quartal</t>
  </si>
  <si>
    <t>4. Quartal</t>
  </si>
  <si>
    <t>Mit den folgenden Seiten wird Ihre Sollumsatzplanung um eine Liquiditätsplanung und ein Controllingtool erweitert.</t>
  </si>
  <si>
    <t xml:space="preserve">Die Daten werden aus der Sollumsatzplanung auf die Seite "39 Datenübernahme" übernommen.  </t>
  </si>
  <si>
    <t>Liquidität</t>
  </si>
  <si>
    <t>Datenübernahme</t>
  </si>
  <si>
    <t>Verteilung auf Monate</t>
  </si>
  <si>
    <t>Quartale</t>
  </si>
  <si>
    <t>Information über die folgenden Seiten</t>
  </si>
  <si>
    <t>Datenübernahme aus Planung</t>
  </si>
  <si>
    <t>Verteilung der Jahreszahlen auf Monate</t>
  </si>
  <si>
    <t>Eingabe der wahrscheinlichen Werte</t>
  </si>
  <si>
    <t>Übersicht</t>
  </si>
  <si>
    <t>Eingabe kummulierter Werte aus der aktuellen BWA</t>
  </si>
  <si>
    <t>Darstellung der Quartalswerte</t>
  </si>
  <si>
    <t>eine Liquiditätsplanung (eventuell auch für die Bank)</t>
  </si>
  <si>
    <t>Betriebswirtschaftlicher Gewinn oder Rücklage</t>
  </si>
  <si>
    <t>Hochrechnung</t>
  </si>
  <si>
    <t>Diese drei Spalten dienen zur Hochrechnung, wenn Sie im Laufe des Jahres planen wollen. Bei Eingabe der Dezemberwerte brauchen Sie hier nichts einzugeben. .</t>
  </si>
  <si>
    <t>Die Werte (in blau) aus dieser Spalte werden weiter oben in die Liste des Vorjahres über-nommen, sind optisch gerundet. D.h. ohne Kommastellen, die nicht angezeigt werden, aber in die Rechnung einfliessen.</t>
  </si>
  <si>
    <t>Zur Planungshilfe erscheinen auf den weiteren Seiten Ihre Eingaben zum Vorjahr. 
Die Felder haben immer diese Farbe.</t>
  </si>
  <si>
    <t>Vorjahreswerte aus BWA oder Jahresabschluss</t>
  </si>
  <si>
    <r>
      <t xml:space="preserve">Hier können Sie, zum Vergleich und zur besseren Planung, Ihre Vorjahreswerte eintragen. Die eingetragenen Werte erscheinen dann auf den Seiten der zu planenden Positionen. Sie können </t>
    </r>
    <r>
      <rPr>
        <u/>
        <sz val="12"/>
        <rFont val="Tahoma"/>
        <family val="2"/>
      </rPr>
      <t>auch ohne diese Eingabe</t>
    </r>
    <r>
      <rPr>
        <sz val="12"/>
        <rFont val="Tahoma"/>
        <family val="2"/>
      </rPr>
      <t xml:space="preserve"> eine Jahresplanung und Preiskalkulation durchführen, die Eingabe erleichert die Planung.
Wenn die aktuelle BWA Werte bis Juli oder Aug enthält, ist es sinnvoll die BWA des Vorjahres einzugeben. </t>
    </r>
    <r>
      <rPr>
        <b/>
        <sz val="12"/>
        <rFont val="Tahoma"/>
        <family val="2"/>
      </rPr>
      <t xml:space="preserve">Ab Aug oder noch besser Sep können Sie die Möglichkeit der Monatseingabe unten nutzen und </t>
    </r>
    <r>
      <rPr>
        <b/>
        <u/>
        <sz val="12"/>
        <color theme="5"/>
        <rFont val="Tahoma"/>
        <family val="2"/>
      </rPr>
      <t>eine Hochrechnung erstellen</t>
    </r>
    <r>
      <rPr>
        <b/>
        <sz val="12"/>
        <rFont val="Tahoma"/>
        <family val="2"/>
      </rPr>
      <t>. 
Dann werden die Werte der Hochrechnung übernommen.</t>
    </r>
  </si>
  <si>
    <t>Kumuliert</t>
  </si>
  <si>
    <t>Um ein Fortbildungsbudget zu planen, werden hier die Werte von Reisekosten und Fortbildung zusammen getragen.
Die Reisekosten werden von den Werbekosten und die Fortbildungskosten von den sonstigen oder verschiedenen Kosten abgezogen. Beide Beträge wandern hier in die Weiterbildung.</t>
  </si>
  <si>
    <t>Ab hier können Sie Ihre Planung als Einzelwert eingeben.</t>
  </si>
  <si>
    <t>Diese Bezeichnungen sind als Beispiele hier eingeben. In den dunkleren grauen Feldern Sie können diese auch ändern.</t>
  </si>
  <si>
    <t>Gesamtzinsen</t>
  </si>
  <si>
    <t>Sonstige betrieb. Erlöse</t>
  </si>
  <si>
    <t>Zugang Forderungen</t>
  </si>
  <si>
    <t>Zugang Verbindlichkeiten</t>
  </si>
  <si>
    <t>Privatentnahmen Vorjahr</t>
  </si>
  <si>
    <t>Zahlungen FA / Ust. Zahlung</t>
  </si>
  <si>
    <t>Stuhlmiete</t>
  </si>
  <si>
    <t>kreditprov.</t>
  </si>
  <si>
    <t>Sonderausgaben beschränkt abzugsfähig</t>
  </si>
  <si>
    <t>Sonderausgaben unbeschränkt abzugsfähig</t>
  </si>
  <si>
    <t>Außergewöhnliche Belastungen</t>
  </si>
  <si>
    <t>Betriebswirtschaftlicher Gewinn/Rücklage</t>
  </si>
  <si>
    <t>Die Gesamtsumme von Reparatur, Instandhaltung usw. können auch in Zelle C145 schreiben.</t>
  </si>
  <si>
    <t>Sofort-Abschreibung bitte hier in Zelle C148</t>
  </si>
  <si>
    <t>Anlagenzugänge</t>
  </si>
  <si>
    <t>Erhöhung steuerpfl. Nicht regelmäßig</t>
  </si>
  <si>
    <t>Erhöhung steuerfrei nicht regelmäßig</t>
  </si>
  <si>
    <t>Bruttolohn ohne Zusatzzahlung</t>
  </si>
  <si>
    <t>Falls Sie einen anderen € Wert eingeben möchten, können Sie das hier tun.</t>
  </si>
  <si>
    <t>sonstige Posten</t>
  </si>
  <si>
    <t>Anlagenabgänge</t>
  </si>
  <si>
    <t>Stunden - Lohn 
Bruttolohn incl. aller Zusatz-zahlungen</t>
  </si>
  <si>
    <t>Bitte die Daten "per Hand" eingeben, nicht kopieren oder ausschneiden!</t>
  </si>
  <si>
    <t>Erlöse Damen</t>
  </si>
  <si>
    <t>Erhaltene Anzahlung</t>
  </si>
  <si>
    <t>Abschreibungen auf immatr. Vmög.</t>
  </si>
  <si>
    <t>Summe Personalkost.</t>
  </si>
  <si>
    <t>Internetkosten</t>
  </si>
  <si>
    <t>Übernahme aus Rechnung rechts</t>
  </si>
  <si>
    <t>Umsatzsteuererstattung</t>
  </si>
  <si>
    <r>
      <t xml:space="preserve">Aktueller Monat der BWA. 
Tragen Sie bitte ein
</t>
    </r>
    <r>
      <rPr>
        <b/>
        <sz val="8"/>
        <rFont val="Tahoma"/>
        <family val="2"/>
      </rPr>
      <t>Jan = 1
Feb = 2 
usw.
Dez = 12</t>
    </r>
  </si>
  <si>
    <t>Eingabe</t>
  </si>
  <si>
    <t>Webinar</t>
  </si>
  <si>
    <t>Balayage</t>
  </si>
  <si>
    <t>weitere Erlöse (Friseur)</t>
  </si>
  <si>
    <t>Beiträge BGW</t>
  </si>
  <si>
    <t>Miete (unbewegliche Wirtschaftsgüter)</t>
  </si>
  <si>
    <t>ohne Zinsen</t>
  </si>
  <si>
    <t>Entnahme Gegenstände</t>
  </si>
  <si>
    <t>Miete für z.b. Kosmetikraum</t>
  </si>
  <si>
    <t>Verwend. Gegenstände</t>
  </si>
  <si>
    <t>Gesamt Weiterbildung und Reisekosten</t>
  </si>
  <si>
    <t>Summe Neutr. Aufwand</t>
  </si>
  <si>
    <t>Summe Neutr. Ertrag</t>
  </si>
  <si>
    <r>
      <rPr>
        <b/>
        <sz val="18"/>
        <color rgb="FFFF0000"/>
        <rFont val="Tahoma"/>
        <family val="2"/>
      </rPr>
      <t xml:space="preserve">④ </t>
    </r>
    <r>
      <rPr>
        <sz val="8"/>
        <rFont val="Tahoma"/>
        <family val="2"/>
      </rPr>
      <t xml:space="preserve">Bei der </t>
    </r>
    <r>
      <rPr>
        <b/>
        <sz val="8"/>
        <rFont val="Tahoma"/>
        <family val="2"/>
      </rPr>
      <t>Eingabe der bezahlten Arbeitsmonate</t>
    </r>
    <r>
      <rPr>
        <sz val="8"/>
        <rFont val="Tahoma"/>
        <family val="2"/>
      </rPr>
      <t xml:space="preserve"> haben Sie zwei Möglichkeiten. Für Mitarbeiter, die Sie ein ganzes Jahr (12 Monate) einplanen, nehmen Sie die linke Spalte. Für Mitarbeiter, die keine 12 Monate eingeplant sind, die einzelnen Monate.</t>
    </r>
  </si>
  <si>
    <r>
      <t xml:space="preserve">Bitte lesen Sie die Texte </t>
    </r>
    <r>
      <rPr>
        <b/>
        <sz val="16"/>
        <color rgb="FFFF0000"/>
        <rFont val="Calibri"/>
        <family val="2"/>
      </rPr>
      <t>①  ②  ③</t>
    </r>
    <r>
      <rPr>
        <b/>
        <sz val="16"/>
        <color rgb="FFFF0000"/>
        <rFont val="Tahoma"/>
        <family val="2"/>
      </rPr>
      <t xml:space="preserve"> </t>
    </r>
    <r>
      <rPr>
        <b/>
        <sz val="16"/>
        <color rgb="FFFF0000"/>
        <rFont val="Calibri"/>
        <family val="2"/>
      </rPr>
      <t>④</t>
    </r>
  </si>
  <si>
    <r>
      <t xml:space="preserve">schreiben Sie bitte jeweils "1" bei einem vollen oder "0,5" bei einem halben Monat in die Felder, wenn der Mitarbeiter in dem Monat angestellt ist.            </t>
    </r>
    <r>
      <rPr>
        <b/>
        <sz val="8"/>
        <color rgb="FFFF0000"/>
        <rFont val="Tahoma"/>
        <family val="2"/>
      </rPr>
      <t>Bitte geben Sie keine 0 ein.</t>
    </r>
  </si>
  <si>
    <t xml:space="preserve">④ </t>
  </si>
  <si>
    <t>Arbeitet der Mitarbeiter fachlich am Kunden?
Bitte tragen Sie ein zu wie viel %</t>
  </si>
  <si>
    <t>z.B. 50%  
oder nichts</t>
  </si>
  <si>
    <t>Sie können hier die Eingabe ändern und sehen, dass sich der Wert des Gesamtumsatzes sich nicht verändert.</t>
  </si>
  <si>
    <t>Wenn sie den Verkaufsumsatz erhöhen wollen, planen Sie zuerst mit dem gleichen %-Betrag wie im letzten Jahr und erhöhen dann den Eurowert des Verkaufsumsatzes.</t>
  </si>
  <si>
    <t>Rücklage (kann unten extra eingetragen werden)</t>
  </si>
  <si>
    <t>Private Entnahmen (incl. Einlagen)</t>
  </si>
  <si>
    <t>Löhne und Gehälter</t>
  </si>
  <si>
    <t xml:space="preserve">Wenn Sie die Kosten als Gesamtkosten in Zelle C165 eintragen möchten, tragen Sie bitte den Gesamtbetrag incl. Fortbildungs-kosten ein und die Fortbildungskosten noch mal in Zelle C172.
</t>
  </si>
  <si>
    <t>Bitte tragen Sie die Reisekosten unten getrennt von den anderen Werbekosten ein.</t>
  </si>
  <si>
    <t>Falls es zwei Chef-Eingaben gibt, werden sie hier als Summe dargestellt</t>
  </si>
  <si>
    <t>Geplanter Chefumsatz brutto DL und VK (jährlich)</t>
  </si>
  <si>
    <t>←</t>
  </si>
  <si>
    <t>Die Umsatzsteuer wird auf den Netto-umsatz oben hinzugerechnet, die sonst. Erlöse werden hier nicht berücksichtig</t>
  </si>
  <si>
    <t xml:space="preserve">Iin die grauen Felder können Sie Ihre Daten eingeben. Die Preise für Farbe und H2O2 mit  ggf. Rabatt und Boni  und wie viel ml Farbmasse und H2O2 sie verwenden möchten. </t>
  </si>
  <si>
    <r>
      <t xml:space="preserve">Berechnung der Wareneinsatzes </t>
    </r>
    <r>
      <rPr>
        <b/>
        <sz val="7"/>
        <rFont val="Tahoma"/>
        <family val="2"/>
      </rPr>
      <t>(oder Materialverbrauch)</t>
    </r>
  </si>
  <si>
    <t>Wenn Sie einen anderen als den oberen Wert nehmen möchten, können Sie ihn hier eingeben</t>
  </si>
  <si>
    <t>Zusatzkosten ggf. für Neutralisation oder Pflege können Sie hier eingeben</t>
  </si>
  <si>
    <t>Summe Wareneinsatz in €</t>
  </si>
  <si>
    <t>falls Sie einen anderen Gewinnaufschlag nehmen möchten, können Sie ihn hier eingeben</t>
  </si>
  <si>
    <t>Rechenweg für den Gewinnaufschag</t>
  </si>
  <si>
    <t>Geplant sind in €</t>
  </si>
  <si>
    <t>Dieser Wert wird in die Preiskalkulation übernommen. Gemeinkosten plus "neutraler Aufwand" minus "neutraler Ertrag"</t>
  </si>
  <si>
    <t>aus PL</t>
  </si>
  <si>
    <t>Sie haben auf Seite  -18 Zielumsatz Planungsjahr-  den Dienstleistungsumsatz erhöht. Um diese Erhöhung muss jetzt der Dienstleistungspreis angepasst werden. Denn der Preis wurde bisher aufgrund der Kosten errechnet und die Erhöhung des Dienstleistungsumsatzes ist nicht berücksichtig.</t>
  </si>
  <si>
    <t>Gewinnaufschlag =</t>
  </si>
  <si>
    <t>Selbstkosten = Nettopreis minus Gewinnaufschlag</t>
  </si>
  <si>
    <t>Selbstkosten =</t>
  </si>
  <si>
    <t>Davon</t>
  </si>
  <si>
    <t xml:space="preserve">Der Nettopreis = </t>
  </si>
  <si>
    <t>Wenn Sie einen anderen Wert nehmen möchten, können Sie ihn hier eingeben</t>
  </si>
  <si>
    <t>Zusatzkosten ggf. für Pflege können Sie hier eingeben</t>
  </si>
  <si>
    <t>Denken Sie ggf. an die Beratungszeit</t>
  </si>
  <si>
    <t>Berechnung Wareneinsatz</t>
  </si>
  <si>
    <t>Deckungsbeitrag des Netto-Verkaufsumsatzes in €</t>
  </si>
  <si>
    <t>Für Solo-Unternehmer/innen:</t>
  </si>
  <si>
    <t>Planungsrechnung mit Preiskalkulation</t>
  </si>
  <si>
    <t>incl. Planungsrechnung für den Salon</t>
  </si>
  <si>
    <t>incl. Mitarbeitersollumsätze über Lohnfaktor</t>
  </si>
  <si>
    <t>incl. Preiskalkulation</t>
  </si>
  <si>
    <t>incl. Liqiuditätsplanung</t>
  </si>
  <si>
    <t>geplanter Dienstleistungsumsatz</t>
  </si>
  <si>
    <t>Übernahme</t>
  </si>
  <si>
    <t>neu</t>
  </si>
  <si>
    <t>Preise- Lohnfaktor-App</t>
  </si>
  <si>
    <t>Mit die Eingabe der Mitarbeiterdaten und aller Kosten und Werte, die für die Errechnung des Soll- oder Mindestumsatzes erforderlich sind, wird eine Jahresplanung erstellt. In der weiteren Rechnung wird dieser Wert, der den Mindest- oder Sollumsatz des Jahres darstellt, auf die Mitarbeiter durch eine Lohnfaktorrechnung verteilt und ein Tagessollumsatz für den einzelnen Mitarbeiter ermittelt. Die Preiskalkulation wird aus den eingeben Daten über den Zeitfaktor und Minutenpreis ermöglicht.</t>
  </si>
  <si>
    <t>Ganz unten links auf Ihrem Bildschirm können Sie mit den beiden mittleren "Pfeilspitzen"  &lt;  &gt;  die Reiter oder Seiten verschieben. 
Ganz unten rechts auf Ihrem Bildschirm können Sie die Größe der Seiten beeinflussen, 100% - 0%</t>
  </si>
  <si>
    <t>* Zur Aufteilung des WE Gesamt unten in WE DL und VK müssen oben die Vorjahreswerte von WE Ges und VK-Umsatz eingegeben sein.</t>
  </si>
  <si>
    <r>
      <rPr>
        <i/>
        <sz val="10"/>
        <rFont val="Tahoma"/>
        <family val="2"/>
      </rPr>
      <t xml:space="preserve">In dieser Zeile können Sie die </t>
    </r>
    <r>
      <rPr>
        <b/>
        <i/>
        <sz val="10"/>
        <rFont val="Tahoma"/>
        <family val="2"/>
      </rPr>
      <t xml:space="preserve">Werbungskosten als Gesamtwert </t>
    </r>
    <r>
      <rPr>
        <i/>
        <sz val="10"/>
        <rFont val="Tahoma"/>
        <family val="2"/>
      </rPr>
      <t>planen</t>
    </r>
  </si>
  <si>
    <r>
      <t xml:space="preserve">In dieser Zeile können Sie die </t>
    </r>
    <r>
      <rPr>
        <b/>
        <i/>
        <sz val="10"/>
        <rFont val="Tahoma"/>
        <family val="2"/>
      </rPr>
      <t>Fortbildungskosten als Gesamtwert</t>
    </r>
    <r>
      <rPr>
        <i/>
        <sz val="10"/>
        <rFont val="Tahoma"/>
        <family val="2"/>
      </rPr>
      <t xml:space="preserve"> planen</t>
    </r>
  </si>
  <si>
    <t>Datum der heutigen Planungsrechnung</t>
  </si>
  <si>
    <t>% Gewinnaufschlag vom geplanten DL - Umsatz</t>
  </si>
  <si>
    <t>MwSt.</t>
  </si>
  <si>
    <t>Zinskosten</t>
  </si>
  <si>
    <t>andere neutrale Aufwendungen</t>
  </si>
  <si>
    <t>neutrale Erträge</t>
  </si>
  <si>
    <t>sonstige betriebliche Erlöse</t>
  </si>
  <si>
    <t>Eingabe in den grauen Feldern.</t>
  </si>
  <si>
    <t>Verrechnung Sachbezüge</t>
  </si>
  <si>
    <t>Nachzahlungen Steuern usw.</t>
  </si>
  <si>
    <t>Erstattungen, Erträge, Erlöse usw.</t>
  </si>
  <si>
    <t>Kalkulatorische Miete</t>
  </si>
  <si>
    <t>Diese Positionen warten auf Ihre Eingabe:</t>
  </si>
  <si>
    <t>geplanter Verkaufsumsatz</t>
  </si>
  <si>
    <t xml:space="preserve">Materialeinsatz ges. </t>
  </si>
  <si>
    <t>Wareneinsatz VK</t>
  </si>
  <si>
    <t>Materialeinsatz DL</t>
  </si>
  <si>
    <t>Deckungsbeitrag VK</t>
  </si>
  <si>
    <t>Rest Unternehmerlohn</t>
  </si>
  <si>
    <t xml:space="preserve"> = Umsatz</t>
  </si>
  <si>
    <t>Die Positionen sind aus unten stehender Planung</t>
  </si>
  <si>
    <t>Planungsrechnung für die Preiskalkulation</t>
  </si>
  <si>
    <t>Planungsrechnung (Übernahme von Seite 18)</t>
  </si>
  <si>
    <t xml:space="preserve">Änderung </t>
  </si>
  <si>
    <t>→</t>
  </si>
  <si>
    <t>Unternehmerlohn geplant</t>
  </si>
  <si>
    <t>Provision</t>
  </si>
  <si>
    <t>Hier können Sie Ihre % Angaben einsetzen</t>
  </si>
  <si>
    <t>Der Deckungsbeitrag Verkauf deckt rechnerisch einen Teil des Unternehmerlohnes ab und senkt den Wert, 
den wir als Unternehmerlohn in den Gewinnaufschlag einrechnen müssen.</t>
  </si>
  <si>
    <t>Nettowerte  Rechnung 1</t>
  </si>
  <si>
    <t>Nettowerte  Rechnung 2</t>
  </si>
  <si>
    <t>Rech. 2</t>
  </si>
  <si>
    <t>Rech. 1</t>
  </si>
  <si>
    <t>wird in die Preiskalkulation übernommen</t>
  </si>
  <si>
    <t xml:space="preserve">Um den Gewinnaufschlag für die Dienstleistungspreiskalkulation zu ermitteln ist es ratsam kurz zu überlegen, welche Kosten sollen vom Netto-Dienstleistungsumsatz gedeckt werden und welche Kosten vom Netto-Verkaufsumsatz. Der Netto-VK-Umsatz ist in den meisten Salon eher eine kleinere Größe und eignet sich nicht für eine Vollkostenkalkulation, sondern eher für eine Deckungsbeitragsrechnung. Auf den Deckungsbeitrag von Verkaufsprodukten gehen wir in Kapitel 6.0 Preise für Verkaufsprodukte noch mal gesondert ein. Auf jeden Fall gibt es einen Deckungsbeitrag des Verkaufsumsatzes, den wir zu Minderung von Kosten z. B. des Unternehmerlohnes, in der Preiskalkulation nutzen können.  </t>
  </si>
  <si>
    <t xml:space="preserve">Um den Gewinnaufschlag für die Dienstleistungspreiskalkulation zu ermitteln ist es ratsam kurz zu überlegen, welche Kosten sollen vom Netto-Dienstleistungsumsatz gedeckt werden und welche Kosten vom Netto-Verkaufsumsatz. Der Netto-VK-Umsatz ist in den meisten Salon eher eine kleinere Größe und eignet sich nicht für eine Vollkostenkalkulation, sondern eher für eine Deckungsbeitragsrechnung. Auf den Deckungsbeitrag von Verkaufsprodukten gehen wir in Kapitel 6.0 Preise für Verkaufsprodukte noch mal gesondert ein. Auf jeden Fall gibt es einen Deckungsbeitrag des Verkaufsumsatzes, den wir zu Minderung von Kosten z. B. des Unternehmerlohnes, in der Preiskalkulation nutzen können. 
Der Deckungsbeitrag des geplanten Verkaufsumsatzes ist, wenn wir von einem Wareneinsatz von z.B. 50 % vom Nettopreis ausgehen, ebenfalls 50 % des Nettopreises und wenn wir von 60 % Wareneinsatz ausgehen, ist der Deckungsbeitrag 40 % des Netto-VK-Umsatzes. Arbeiten Sie mit einer Provision auf den Verkaufsumsatz, vermindert diese den Deckungsbeitrag. Nehmen wir an, die Provision beläuft sich auf z.B. 10 %, dann würde ich der Einfachheit halber diese 10% vom Deckungsbeitrag abziehen, ohne den Verkaufsumsatz des Chefs (der die Provision mindert), die MwSt. des Brutto-Verkaufsumsatz, sowie die fälligen AG-Anteile auf die Provision (diese Werte erhöhen die Provisionszahlung) mit in die Berechnung einzubeziehen, da sie den Gewinnaufschlag nur marginal verändern. </t>
  </si>
  <si>
    <t>Der Wareneinsatz VK wird durch den Verkaufsumsatz erwirtschaftet und muss nicht die Dienstleistungspreiskalkulation einbezogen werden. Somit können wir den Wareneinsatz Verkauf vom gesamten Waren- oder Materialeinsatz abziehen und erhalten den Materialeinsatz DL (oder Materialeinsatz Kabinett genannt). Diesen Wert nehmen wir in die Berechnung zum Sollumsatz DL.</t>
  </si>
  <si>
    <t>Somit haben wir einen neuen Wert des Unternehmerlohnes zur Errechnung des Dienstleistungssollumsatzes für die Preiskalkulation.</t>
  </si>
  <si>
    <t>Fortbildung aus 4400 oder Fortbildung aus Sonstige Kosten</t>
  </si>
  <si>
    <t>Reisekosten aus 4400 oder Reisekosten aus Werbekosten</t>
  </si>
  <si>
    <t>Dieser Bruttolohn wird zur Berechnung des Sollumsatz herangezogen</t>
  </si>
  <si>
    <t>Auf dieser Seite können Sie die errechneten Lohnfaktoren ändern. 
Entweder für alle Mitarbeiter den gleichen Lohnfaktor ändern oder für jeden einzeln einen anderen Lohnfaktor eingeben.</t>
  </si>
  <si>
    <t>Mindestumsatz, mit dem alle geplanten Beträge gedeckt sind.</t>
  </si>
  <si>
    <t>Monate</t>
  </si>
  <si>
    <t>Wareneinsatz</t>
  </si>
  <si>
    <t>Chefumsatz</t>
  </si>
  <si>
    <r>
      <t xml:space="preserve">In dieser Rechnung wird der </t>
    </r>
    <r>
      <rPr>
        <i/>
        <u/>
        <sz val="14"/>
        <color theme="0"/>
        <rFont val="Tahoma"/>
        <family val="2"/>
      </rPr>
      <t>Gesamtumsatz incl. Verkaufsumsatz</t>
    </r>
    <r>
      <rPr>
        <sz val="14"/>
        <color theme="0"/>
        <rFont val="Tahoma"/>
        <family val="2"/>
      </rPr>
      <t xml:space="preserve"> mit dem Lohnfaktor aus "Rechnung 2" errechnet. </t>
    </r>
  </si>
  <si>
    <t>Je höher die Auslastung bei der Preiskalkulation angenommen wird, um so niedriger wird der Preis. Es ist ratsam, die geschätzte Auslastung nicht zu hoch anzusetzen. Wenn Sie einen anderen Wert als die links vorgeschlagenen nehmen möchten, dann tragen Sie ihn in das graue Feld B18 ein  und markieren ihn links in der oberen grauen Zeile E18</t>
  </si>
  <si>
    <t xml:space="preserve">Ihr eigener Verkaufsumsatz wird mit dem Salonwert geplant </t>
  </si>
  <si>
    <t>mit Auslastung von</t>
  </si>
  <si>
    <t>↖</t>
  </si>
  <si>
    <t>ohne Vk-Provision</t>
  </si>
  <si>
    <r>
      <t xml:space="preserve">Wir nehmen zur Planung im ersten Schritt den gleichen Verkaufsanteil in %, den Sie im vergangenen Zeitraum hatten. Dies geschieht automatisch, ausser Sie </t>
    </r>
    <r>
      <rPr>
        <b/>
        <sz val="12"/>
        <color rgb="FFFF0000"/>
        <rFont val="Tahoma"/>
        <family val="2"/>
      </rPr>
      <t>bestätigen Ihre Erhöhung der VK-Prozente mit ok in Zelle M10</t>
    </r>
    <r>
      <rPr>
        <sz val="12"/>
        <rFont val="Tahoma"/>
        <family val="2"/>
      </rPr>
      <t>.
Dann prüfen Sie bitte, ob Sie Ihren Sollumsatz im VK durch die Kosteneingabe auf Seite 18 schon gesteigert haben, also mehr Verkaufsumsatz in € im nächsten Planungszeitraum geplant haben und somit erzielen wollen.
Falls Sie den Verkaufsumsatz weiter erhöhen wollen, hat es keinen Zweck den %-Satz einfach höher zu setzen, denn im Planungsprozess, wenn der Sollumsatz 100% darstellt, ändern wir nur die Verteilung zwischen dem Dienstleistungsumsatz und dem Verkaufsumsatz. Das heißt, wenn wir Verkaufsanteil prozentual erhöhen, senken wir in gleichem Masse den Dienstleistungsumsatz.
Siehe Beispiel:</t>
    </r>
  </si>
  <si>
    <t>Mitarbeiter LF als Vergleich</t>
  </si>
  <si>
    <r>
      <rPr>
        <b/>
        <sz val="18"/>
        <color rgb="FFFF0000"/>
        <rFont val="Tahoma"/>
        <family val="2"/>
      </rPr>
      <t xml:space="preserve">① </t>
    </r>
    <r>
      <rPr>
        <b/>
        <i/>
        <sz val="12"/>
        <rFont val="Tahoma"/>
        <family val="2"/>
      </rPr>
      <t>Planung des Chefumsatzes</t>
    </r>
  </si>
  <si>
    <r>
      <rPr>
        <b/>
        <sz val="18"/>
        <color rgb="FFFF0000"/>
        <rFont val="Tahoma"/>
        <family val="2"/>
      </rPr>
      <t>④</t>
    </r>
    <r>
      <rPr>
        <b/>
        <sz val="10"/>
        <rFont val="Tahoma"/>
        <family val="2"/>
      </rPr>
      <t xml:space="preserve"> </t>
    </r>
  </si>
  <si>
    <t>Kontrolle</t>
  </si>
  <si>
    <t>Summe Privatentnahmen und 
Betriebswirtschftlicher Gewinn bzw. Rücklage</t>
  </si>
  <si>
    <t>Für Solo- Unternehmer/in</t>
  </si>
  <si>
    <t>Gema</t>
  </si>
  <si>
    <r>
      <rPr>
        <b/>
        <sz val="18"/>
        <color rgb="FFFF0000"/>
        <rFont val="Tahoma"/>
        <family val="2"/>
      </rPr>
      <t>③</t>
    </r>
    <r>
      <rPr>
        <sz val="12"/>
        <rFont val="Tahoma"/>
        <family val="2"/>
      </rPr>
      <t xml:space="preserve"> </t>
    </r>
    <r>
      <rPr>
        <b/>
        <u/>
        <sz val="12"/>
        <rFont val="Tahoma"/>
        <family val="2"/>
      </rPr>
      <t>Eventuelles Weihnachts- oder Urlaubsgeld</t>
    </r>
    <r>
      <rPr>
        <sz val="12"/>
        <rFont val="Tahoma"/>
        <family val="2"/>
      </rPr>
      <t xml:space="preserve"> und andere Einmalzahlungen im Laufe des Jahres können Sie auf den Folgeseiten eintragen:   </t>
    </r>
    <r>
      <rPr>
        <b/>
        <sz val="12"/>
        <rFont val="Tahoma"/>
        <family val="2"/>
      </rPr>
      <t xml:space="preserve">9 </t>
    </r>
    <r>
      <rPr>
        <b/>
        <i/>
        <sz val="12"/>
        <rFont val="Tahoma"/>
        <family val="2"/>
      </rPr>
      <t>Verteil. auf Monate Azubis</t>
    </r>
  </si>
  <si>
    <r>
      <rPr>
        <b/>
        <sz val="18"/>
        <color rgb="FFFF0000"/>
        <rFont val="Tahoma"/>
        <family val="2"/>
      </rPr>
      <t>③</t>
    </r>
    <r>
      <rPr>
        <sz val="12"/>
        <rFont val="Tahoma"/>
        <family val="2"/>
      </rPr>
      <t xml:space="preserve"> </t>
    </r>
    <r>
      <rPr>
        <b/>
        <u/>
        <sz val="12"/>
        <rFont val="Tahoma"/>
        <family val="2"/>
      </rPr>
      <t>Eventuelles Weihnachts- oder Urlaubsgeld</t>
    </r>
    <r>
      <rPr>
        <sz val="12"/>
        <rFont val="Tahoma"/>
        <family val="2"/>
      </rPr>
      <t xml:space="preserve"> und andere Einmalzahlungen im Laufe des Jahres können Sie auf den Folgeseiten eintragen:   </t>
    </r>
    <r>
      <rPr>
        <b/>
        <sz val="12"/>
        <rFont val="Tahoma"/>
        <family val="2"/>
      </rPr>
      <t xml:space="preserve">8 </t>
    </r>
    <r>
      <rPr>
        <b/>
        <i/>
        <sz val="12"/>
        <rFont val="Tahoma"/>
        <family val="2"/>
      </rPr>
      <t>Verteil. auf Monate Orga</t>
    </r>
  </si>
  <si>
    <r>
      <rPr>
        <b/>
        <sz val="18"/>
        <color rgb="FFFF0000"/>
        <rFont val="Tahoma"/>
        <family val="2"/>
      </rPr>
      <t>②</t>
    </r>
    <r>
      <rPr>
        <b/>
        <sz val="18"/>
        <rFont val="Tahoma"/>
        <family val="2"/>
      </rPr>
      <t xml:space="preserve"> </t>
    </r>
    <r>
      <rPr>
        <b/>
        <sz val="11"/>
        <rFont val="Tahoma"/>
        <family val="2"/>
      </rPr>
      <t xml:space="preserve">In die grauen Felder tragen Sie bitte die beschriebenen Daten ein.  
Es müssen </t>
    </r>
    <r>
      <rPr>
        <b/>
        <u/>
        <sz val="11"/>
        <rFont val="Tahoma"/>
        <family val="2"/>
      </rPr>
      <t>alle zu bezahlenden Arbeitsmonate und Arbeitstage</t>
    </r>
    <r>
      <rPr>
        <b/>
        <sz val="11"/>
        <rFont val="Tahoma"/>
        <family val="2"/>
      </rPr>
      <t xml:space="preserve"> pro Mitarbeiter eingegeben werden.  
Bitte tragen Sie die Bruttolöhne ohne Provision ein. 
</t>
    </r>
    <r>
      <rPr>
        <sz val="11"/>
        <rFont val="Tahoma"/>
        <family val="2"/>
      </rPr>
      <t xml:space="preserve">Provisionen können, falls Sie sie mitplanen wollen, später eingegeben werden. 
</t>
    </r>
    <r>
      <rPr>
        <b/>
        <sz val="9"/>
        <rFont val="Tahoma"/>
        <family val="2"/>
      </rPr>
      <t xml:space="preserve">
Lohn- und Arbeitszeitänderung:</t>
    </r>
    <r>
      <rPr>
        <sz val="9"/>
        <rFont val="Tahoma"/>
        <family val="2"/>
      </rPr>
      <t xml:space="preserve">
Falls für Mitarbeiter im Laufe des Planungszeitraums eine Änderung des Bruttolohnes oder der Arbeitszeit ansteht, geben Sie den Mitarbeiter bitte ein 2. Mal ein. Die erste Eingabe mit dem bisherigen Bruttolohn und Arbeitszeit (Eingabe Wochenstunden) in die Monate in denen dieser Lohn gezahlt wird. Die 2. Eingabe mit den neuen Daten in die anderen Monate.                                                                                                        
</t>
    </r>
  </si>
  <si>
    <r>
      <rPr>
        <b/>
        <sz val="18"/>
        <color rgb="FFFF0000"/>
        <rFont val="Tahoma"/>
        <family val="2"/>
      </rPr>
      <t>①</t>
    </r>
    <r>
      <rPr>
        <sz val="10"/>
        <rFont val="Tahoma"/>
        <family val="2"/>
      </rPr>
      <t xml:space="preserve"> Hier werden die Personalkosten der Organisationskräfte geplant. Sie planen die Mitarbeiter, die im nächsten Jahr in Ihrem Salon arbeiten werden oder sollen. Auch die, die Sie noch einstellen oder die das Unternehmen, evtl. auch zeitweise, verlassen werden. 
Starten Sie mit den im Planungsjahr geplanten Löhnen. 
Auch Lohnerhöhungen können Sie mit einer 2. Eingabe des Mitarbeiters planen. Lesen Sie Punkt 2.</t>
    </r>
  </si>
  <si>
    <r>
      <rPr>
        <b/>
        <sz val="18"/>
        <color rgb="FFFF0000"/>
        <rFont val="Tahoma"/>
        <family val="2"/>
      </rPr>
      <t>①</t>
    </r>
    <r>
      <rPr>
        <sz val="10"/>
        <rFont val="Tahoma"/>
        <family val="2"/>
      </rPr>
      <t xml:space="preserve"> Hier werden die Personalkosten der Auszubidenden geplant. Sie planen die Auszubidenden, die im nächsten Jahr in Ihrem Salon arbeiten werden oder sollen. Auch die, die Sie noch einstellen oder die das Unternehmen, evtl. auch zeitweise, verlassen werden. 
Starten Sie mit den im PLanungsjahr geplanten Löhnen.  Lehrjahrwechsel und Lohnerhöhungen im Laufe des Jahres können Sie mit einer 2. Eingabe planen. 
Lesen Sie Punkt 2.</t>
    </r>
  </si>
  <si>
    <r>
      <rPr>
        <b/>
        <sz val="18"/>
        <color rgb="FFFF0000"/>
        <rFont val="Tahoma"/>
        <family val="2"/>
      </rPr>
      <t>②</t>
    </r>
    <r>
      <rPr>
        <b/>
        <sz val="12"/>
        <color rgb="FFFF0000"/>
        <rFont val="Tahoma"/>
        <family val="2"/>
      </rPr>
      <t xml:space="preserve"> </t>
    </r>
    <r>
      <rPr>
        <b/>
        <sz val="12"/>
        <rFont val="Tahoma"/>
        <family val="2"/>
      </rPr>
      <t xml:space="preserve">In die grauen Felder tragen Sie bitte die beschriebenen Daten ein. 
Es müssen </t>
    </r>
    <r>
      <rPr>
        <b/>
        <u/>
        <sz val="12"/>
        <rFont val="Tahoma"/>
        <family val="2"/>
      </rPr>
      <t>alle Arbeitsmonate</t>
    </r>
    <r>
      <rPr>
        <b/>
        <sz val="12"/>
        <rFont val="Tahoma"/>
        <family val="2"/>
      </rPr>
      <t xml:space="preserve"> pro Azubi eingegeben werden
Wenn der Azubi im Laufe des Jahres das Lehrjahr wechselt, legen Sie den Azubis ein zweites Mal in einer weiteren Zeile mit dem neuen Lehrjahr, dem neuen Lohn und den passenden Monaten an.</t>
    </r>
  </si>
  <si>
    <t>einmal steuerfreie Sonderzahlung ==&gt;</t>
  </si>
  <si>
    <t>Weihnachts- + Urlaubsgeld ==&gt;</t>
  </si>
  <si>
    <t>Sum. St., Vers., Beitr.</t>
  </si>
  <si>
    <t xml:space="preserve">Die Eingabe von Versicherungen, Beiträge und Steuern können Sie links unten eingeben. In manchen BWAs ist die Gewerbesteuer unter "Steuern vom Einkommen" zu sehen. </t>
  </si>
  <si>
    <t>Hier können Sie die Beträge von Steuern, Versicherungen, Beiträgen usw.eintragen.</t>
  </si>
  <si>
    <t>12</t>
  </si>
  <si>
    <t>BWA Kontrolle</t>
  </si>
  <si>
    <t>Erlöse Kinder</t>
  </si>
  <si>
    <t>Erlöse Perücken</t>
  </si>
  <si>
    <t>Erlöse Getränke</t>
  </si>
  <si>
    <t>Auf dieser Seite werden die Personalkosten auf die einzelnen Monate verteilt, um einen genaueren Sollumsatz pro Monat für den Salon und um ggf. auch eine Liquditätsplanung zu erstellen.</t>
  </si>
  <si>
    <t>&lt;</t>
  </si>
  <si>
    <t>Corona</t>
  </si>
  <si>
    <t xml:space="preserve">Hier wird der Gewinnaufschlag errechnet. </t>
  </si>
  <si>
    <t xml:space="preserve">Um den Gewinnaufschlag für die Dienstleistungspreiskalkulation zu ermitteln ist es ratsam kurz zu überlegen, welche Kosten sollen vom Netto-Dienstleistungsumsatz gedeckt werden und welche Kosten vom Netto-Verkaufsumsatz. Der Netto-VK-Umsatz ist in den meisten Salon eher eine kleinere Größe und eignet sich nicht für eine Vollkostenkalkulation, sondern eher für eine Deckungsbeitragsrechnung. Auf den Deckungsbeitrag von Verkaufsprodukten gehe ich in meinem Buch "Neue Preise" in Kapitel 6.0 Preise für Verkaufsprodukte noch mal gesondert ein. Auf jeden Fall gibt es einen Deckungsbeitrag des Verkaufsumsatzes, den wir zu Minderung von Kosten z. B. des Unternehmerlohnes, in der Preiskalkulation nutzen können. 
Der Deckungsbeitrag des geplanten Verkaufsumsatzes ist, wenn wir von einem Wareneinsatz von z.B. 50 % vom Nettopreis ausgehen, ebenfalls 50 % des Nettopreises und wenn wir von 60 % Wareneinsatz ausgehen, ist der Deckungsbeitrag 40 % des Netto-VK-Umsatzes. Arbeiten Sie mit einer Provision auf den Verkaufsumsatz, vermindert diese den Deckungsbeitrag. Nehmen wir an, die Provision beläuft sich auf z.B. 10 %, dann würde ich der Einfachheit halber diese 10% vom Deckungsbeitrag abziehen, ohne den Verkaufsumsatz des Chefs (der die Provision mindert), die MwSt. des Brutto-Verkaufsumsatz, sowie die fälligen AG-Anteile auf die Provision (diese Werte erhöhen die Provisionszahlung) mit in die Berechnung einzubeziehen, da sie den Gewinnaufschlag nur marginal verändern. </t>
  </si>
  <si>
    <t>&lt;-- andern auf Seite 22</t>
  </si>
  <si>
    <t>Einträge unten in die grauen Zellen</t>
  </si>
  <si>
    <t xml:space="preserve">Preise-Lohnfaktor-App             </t>
  </si>
  <si>
    <t>W pro Mon</t>
  </si>
  <si>
    <t>Wochen</t>
  </si>
  <si>
    <t>Wo p Jahr</t>
  </si>
  <si>
    <t xml:space="preserve"> - % Feiertg</t>
  </si>
  <si>
    <t>Öff op Jahr</t>
  </si>
  <si>
    <t>Tage p M</t>
  </si>
  <si>
    <t>Öffungstage</t>
  </si>
  <si>
    <t>Geöffnete Monate</t>
  </si>
  <si>
    <r>
      <t xml:space="preserve">Wareneinsatz VK = ca. 50%-60% des VK Umsatzes 
im </t>
    </r>
    <r>
      <rPr>
        <b/>
        <sz val="10"/>
        <rFont val="Tahoma"/>
        <family val="2"/>
      </rPr>
      <t>Vj</t>
    </r>
    <r>
      <rPr>
        <sz val="10"/>
        <rFont val="Tahoma"/>
        <family val="2"/>
      </rPr>
      <t xml:space="preserve">  </t>
    </r>
    <r>
      <rPr>
        <sz val="6"/>
        <rFont val="Tahoma"/>
        <family val="2"/>
      </rPr>
      <t>Sie können gerne einen anderen Wert eingeben</t>
    </r>
  </si>
  <si>
    <t>in %</t>
  </si>
  <si>
    <t>Waren-einsatz €</t>
  </si>
  <si>
    <t>Arb tage 12 Mon</t>
  </si>
  <si>
    <t>Arb tage 10 Mon</t>
  </si>
  <si>
    <t>Daraus resultierende wahrschein-liche Arbeitstage im Jahr</t>
  </si>
  <si>
    <t>Arb tag</t>
  </si>
  <si>
    <t>p Mon</t>
  </si>
  <si>
    <t>p. Jahr</t>
  </si>
  <si>
    <t>Feiertage</t>
  </si>
  <si>
    <t>Arb tage</t>
  </si>
  <si>
    <r>
      <t xml:space="preserve">Öff-tg Mon. </t>
    </r>
    <r>
      <rPr>
        <sz val="6"/>
        <rFont val="Tahoma"/>
        <family val="2"/>
      </rPr>
      <t>(gerundet)</t>
    </r>
  </si>
  <si>
    <r>
      <t xml:space="preserve">Öff-tg pro Jahr </t>
    </r>
    <r>
      <rPr>
        <sz val="6"/>
        <rFont val="Tahoma"/>
        <family val="2"/>
      </rPr>
      <t>(gerundet)</t>
    </r>
  </si>
  <si>
    <r>
      <rPr>
        <sz val="7"/>
        <rFont val="Tahoma"/>
        <family val="2"/>
      </rPr>
      <t>Pro Öff-tg Brutto</t>
    </r>
    <r>
      <rPr>
        <sz val="8"/>
        <rFont val="Tahoma"/>
        <family val="2"/>
      </rPr>
      <t xml:space="preserve">
 </t>
    </r>
    <r>
      <rPr>
        <sz val="6"/>
        <rFont val="Tahoma"/>
        <family val="2"/>
      </rPr>
      <t>(gerundet)</t>
    </r>
  </si>
  <si>
    <t>Arb o Url usw</t>
  </si>
  <si>
    <t>Arb t 83% pro Mon</t>
  </si>
  <si>
    <t>Damit der Umsatz mit der Mitarbeiterleistung vergleichbar ist, rechnen wir mit diesen Monaten</t>
  </si>
  <si>
    <t>: Arbeitsmonate</t>
  </si>
  <si>
    <r>
      <t xml:space="preserve">In dieser Zeile können Sie die </t>
    </r>
    <r>
      <rPr>
        <b/>
        <i/>
        <sz val="10"/>
        <rFont val="Tahoma"/>
        <family val="2"/>
      </rPr>
      <t>Reisekosten als Gesamtwert</t>
    </r>
    <r>
      <rPr>
        <i/>
        <sz val="10"/>
        <rFont val="Tahoma"/>
        <family val="2"/>
      </rPr>
      <t xml:space="preserve"> planen</t>
    </r>
  </si>
  <si>
    <r>
      <rPr>
        <sz val="8"/>
        <rFont val="Tahoma"/>
        <family val="2"/>
      </rPr>
      <t>Übernahme von unten</t>
    </r>
    <r>
      <rPr>
        <sz val="12"/>
        <rFont val="Tahoma"/>
        <family val="2"/>
      </rPr>
      <t xml:space="preserve"> 
                   </t>
    </r>
    <r>
      <rPr>
        <sz val="10"/>
        <rFont val="Tahoma"/>
        <family val="2"/>
      </rPr>
      <t>Seminare</t>
    </r>
  </si>
  <si>
    <t xml:space="preserve">                     Reisekosten</t>
  </si>
  <si>
    <t>Lohnsteuer</t>
  </si>
  <si>
    <t>Aufw für Gewährleistung</t>
  </si>
  <si>
    <t>Falls die monatlichen Tilgungen nicht gleichmäßig über ganze Jahr laufen, können Sie hier die monatlichen Zahlungen eingeben.</t>
  </si>
  <si>
    <t>monatlich, ein Jahr lang</t>
  </si>
  <si>
    <t>Falls der Tilgungsbetrag geschätzt wurde, ist es ratsam, ihn durch einen Tilgungsplan der Bank zu erfragen.</t>
  </si>
  <si>
    <t>Summe jährlich</t>
  </si>
  <si>
    <t>Im Laufe des Jahres sind verschiedene Mitarbeiter krank und ein Teil des Lohnes kommt über die Krankenkasse zurück.                       Dies wird hier zum Teil berücksichtig. Ca. 60% eines halben Monatslohnes aller Mitarbeiter wird eingeplant. (Personalkosten minus AG-Anteil geteilt durch 12 x 0,5 x 60%)</t>
  </si>
  <si>
    <t>Hier können Sie sich gerne Notzen zu Ihrer Planung eintragen:</t>
  </si>
  <si>
    <t>Hier können Sie sich gerne Notizen zu Ihrer Planung eintragen:</t>
  </si>
  <si>
    <t>Notizen zu Ihrer Planung können Sie weiter rechts in das graue Feld eintragen: --&gt;</t>
  </si>
  <si>
    <t>Notizen zu Ihrer Planung:</t>
  </si>
  <si>
    <t>Auslastung</t>
  </si>
  <si>
    <t>Pers.Kost.</t>
  </si>
  <si>
    <t>Gem.Kost</t>
  </si>
  <si>
    <t>Sie haben keine Erhöhung des Dienstleistungsumsatzes auf Seite 18 Zelle P18 eingetragen, daher ist keine neue Rechnung notwendig.</t>
  </si>
  <si>
    <t>Den genauen Rechenweg des Gewinnaufschlages finden Sie hier:</t>
  </si>
  <si>
    <t>Bestimmung des Bruttopreises</t>
  </si>
  <si>
    <t>Wa, Sch, Fö</t>
  </si>
  <si>
    <t>Farbe 1</t>
  </si>
  <si>
    <t>Der Gewinnaufschlag rutscht aufgrund des hohen Deckungsbeitrags des Verkaufs auf einen Minusbetrag unter 0,0%, daher wird er auf 0,0% angesetzt. Sie können ihn in der Preiskalkulation bei jedem Preis erhöhen, wenn Sie einen höheren Preis für richtig erachten. Bei Fragen melden Sie sich bitte bei mir!";"")</t>
  </si>
  <si>
    <t>Farbe 2</t>
  </si>
  <si>
    <t>Hier ist die gleiche Tabelle wie oben zu sehen, die einzige Änderung ist die Aufteilung und Verteilung der Weiterbildungskosten in Reisekosten (zu Werbekosten) und Fortbildungskosten (zu sonstige oder verschiedene Kosten).</t>
  </si>
  <si>
    <t>Rechenweg von unten nach oben</t>
  </si>
  <si>
    <t>→ ←</t>
  </si>
  <si>
    <t>WE aus G11</t>
  </si>
  <si>
    <t>G9 x AH6</t>
  </si>
  <si>
    <t>AA11</t>
  </si>
  <si>
    <t>Y9*AH6</t>
  </si>
  <si>
    <t>Y8*AH16</t>
  </si>
  <si>
    <t>AH16</t>
  </si>
  <si>
    <t>Neue %DL</t>
  </si>
  <si>
    <t>aus S 16</t>
  </si>
  <si>
    <t xml:space="preserve">Wollen Sie den Umsatz (DL oder VK) über den errechneten Mindestumsatz steigern, können Sie in Zelle P18 + P19 einen höheren Netto - Zielumsatz eingeben. </t>
  </si>
  <si>
    <t>Die "Was wäre wenn" - Seite</t>
  </si>
  <si>
    <t>↙</t>
  </si>
  <si>
    <t>↗</t>
  </si>
  <si>
    <t>↘</t>
  </si>
  <si>
    <t>Rechenweg von oben nach unten</t>
  </si>
  <si>
    <t>Änderungsrichtung zur Planung</t>
  </si>
  <si>
    <r>
      <t xml:space="preserve">Änderung  </t>
    </r>
    <r>
      <rPr>
        <sz val="10"/>
        <rFont val="Tahoma"/>
        <family val="2"/>
      </rPr>
      <t>(Eingabe in die grauen Felder)</t>
    </r>
  </si>
  <si>
    <t>Übernahme der Zahlen aus der Planung</t>
  </si>
  <si>
    <t>Öffungsmonate</t>
  </si>
  <si>
    <t>Tage</t>
  </si>
  <si>
    <t>Stunden</t>
  </si>
  <si>
    <t>Arb Mon</t>
  </si>
  <si>
    <t>x20 x z17</t>
  </si>
  <si>
    <t>Arb Tag 83%</t>
  </si>
  <si>
    <t>Std. 83%</t>
  </si>
  <si>
    <t>Arbeitgeber-anteile</t>
  </si>
  <si>
    <t>&lt;-- incl. BGW</t>
  </si>
  <si>
    <t>AG-Anteil normal</t>
  </si>
  <si>
    <r>
      <t xml:space="preserve">Dienstleistungsumsatz 
</t>
    </r>
    <r>
      <rPr>
        <sz val="8"/>
        <color theme="1" tint="0.34998626667073579"/>
        <rFont val="Tahoma"/>
        <family val="2"/>
      </rPr>
      <t>(Damen, Herren, Kinder)</t>
    </r>
  </si>
  <si>
    <t>Wollen Sie den Umsatz (DL oder VK) über den errechneten Mindestumsatz steigern, können Sie hier einen höheren Netto - Zielumsatz eingeben. Alle anderen Planwerte bleiben wie geplant.</t>
  </si>
  <si>
    <t>Durchschnitts-Bruttolohn im Jahr incl. Zusatzzahlung</t>
  </si>
  <si>
    <r>
      <rPr>
        <b/>
        <sz val="8"/>
        <rFont val="Tahoma"/>
        <family val="2"/>
      </rPr>
      <t>Mitarbeiter*-arbeitstage</t>
    </r>
    <r>
      <rPr>
        <sz val="8"/>
        <rFont val="Tahoma"/>
        <family val="2"/>
      </rPr>
      <t xml:space="preserve"> (einberechnet anteilig Urlaub + Krankheit)</t>
    </r>
  </si>
  <si>
    <t>Beide Werte gerundet*
Werte können sich durch Feiertage unterscheiden</t>
  </si>
  <si>
    <r>
      <t xml:space="preserve">Wenn Sie Ihren Wareneinsatz ändern wollen, geben Sie hier Ihren geplanten Wareneinsatz in Prozent ein.                Ohne % Zeichen   </t>
    </r>
    <r>
      <rPr>
        <b/>
        <i/>
        <sz val="16"/>
        <color rgb="FFFF0000"/>
        <rFont val="Tahoma"/>
        <family val="2"/>
      </rPr>
      <t xml:space="preserve"> </t>
    </r>
    <r>
      <rPr>
        <b/>
        <sz val="16"/>
        <color rgb="FFFF0000"/>
        <rFont val="Calibri"/>
        <family val="2"/>
      </rPr>
      <t>→</t>
    </r>
  </si>
  <si>
    <t>Betriebsferien</t>
  </si>
  <si>
    <t>Lockdown</t>
  </si>
  <si>
    <t>Öffnungstage*</t>
  </si>
  <si>
    <r>
      <t xml:space="preserve">In den Zeilen 25 bis 33 können Sie Ihre einzelnen privaten Ausgaben auflisten. 
Der monatliche Wert wird aufs Jahr (x12) hochgerechnet.
Anschließend geben Sie bitte unten in die Zellen C40- C44 ein, welchen Eurobetrag Sie selbst verdienen wollen für 
- Ihre eigene Arbeit an Ihren Kunden (Meisterlohn) und 
- für Ihre unternehmerische Arbeit. (Unternehmerlohn)
Der Unternehmerlohn wird später in den Preis kalkuliert werden, damit Ihre Mitarbeiter diesen für Sie erwirtschaften können. 
Bedenken Sie bitte, dass es sich um Privatentnahmen handelt, von denen Sie alle privaten Ausgaben decken müssen, auch die eigenen Versicherungen und die Einkommensteuer. 
Wenn Sie darüber hinaus noch einen </t>
    </r>
    <r>
      <rPr>
        <b/>
        <sz val="10"/>
        <color theme="0"/>
        <rFont val="Tahoma"/>
        <family val="2"/>
      </rPr>
      <t xml:space="preserve">betriebswirtschaftlichen Gewinn oder eine Rücklage </t>
    </r>
    <r>
      <rPr>
        <sz val="10"/>
        <color theme="0"/>
        <rFont val="Tahoma"/>
        <family val="2"/>
      </rPr>
      <t>einplanen wollen, geben Sie den Wert dort ein. Der betriebswirtschaftliche Gewinn (oder die Rücklage), der über den Cheflohn hinausgeht, ist der wirkliche Gewinn des Unternehmens.</t>
    </r>
  </si>
  <si>
    <t xml:space="preserve">Der "Meisterlohn" wird kalkulatorisch mit die Personalkosten </t>
  </si>
  <si>
    <t>Solidaritätszuschlag</t>
  </si>
  <si>
    <t>nein</t>
  </si>
  <si>
    <r>
      <t xml:space="preserve">Auf dieser Seite findet die Übernahme der Planzahlen aus der Preise-Lohnfaktor-App Seite 18, </t>
    </r>
    <r>
      <rPr>
        <b/>
        <sz val="12"/>
        <rFont val="Tahoma"/>
        <family val="2"/>
      </rPr>
      <t>incl. Erhöhungen und eventuellen Provisionplanungen.</t>
    </r>
    <r>
      <rPr>
        <sz val="12"/>
        <rFont val="Tahoma"/>
        <family val="2"/>
      </rPr>
      <t xml:space="preserve"> 
Auf den nächsten Seite können Sie mit diesen weiter arbeiten.</t>
    </r>
  </si>
  <si>
    <t>Die Fortbildungskosten werden in der BWA normalerweise in den "verschiedenen Kosten" (manchmal auch "sonstige Kosten" genannt) dargestellt.
Die Reisekosten tauchen in der Regel in den Werbekosten auf. 
Hier werden die Fortbildungskosten gemeinsam mit den Reisekosten unter Weiterbildung dargestellt.</t>
  </si>
  <si>
    <r>
      <t xml:space="preserve">Auf dieser Seite können Sie verschieden Szenarien testen, zum Beispiel: 
Was passiert, wenn die Kosten für Personal steigen?
Oder der Umsatz für Dl oder VK? 
Rechts sehen Sie wie viel Umsatz mehr benötigt wird, um den gleichen betriebswirtschaftlichen Gewinn zu erzielen. 
Links sehen Sie, auf welchen Wert der betriebswirtschaftliche Gewinn sinkt. 
</t>
    </r>
    <r>
      <rPr>
        <b/>
        <sz val="12"/>
        <rFont val="Tahoma"/>
        <family val="2"/>
      </rPr>
      <t xml:space="preserve">Die geänderten Daten auf dieser Seite haben nur Einfluss auf diese Seite, sie werden nicht übernommen. 
</t>
    </r>
  </si>
  <si>
    <t>In den Spalten A - K sehen Sie die Zusammenfassung der Werte Ihrer Planung von den bisherigen Seiten.</t>
  </si>
  <si>
    <t>In den Spalten V - AA wird die Umsatzerhöhung aus P18 + P19 berechnet.</t>
  </si>
  <si>
    <t>In den Spalten P - S sind Vergleichsswerte errechnet.
Weiterhin gibt es die Möglichkeit, falls Sie lieber mit höheren geplanten Umsatzwerten weiterrechnen wollen, die Werte von DL und VK in den Zellen P18 + P19 zu erhöhen. 
Das Ergebnis sehen Sie in den Spalten V - AA</t>
  </si>
  <si>
    <t xml:space="preserve">In den Spalten A - K sehen Sie die Zusammenfassung der Werte Ihrer Planung von den bisherigen Seiten. Die Personalkosten sind die Summe der Bruttolöhne plus AG - Anteil ohne die wahrscheinlichen Provisionszahlungen, die Sieggf.  auf Seite 11 eingeben haben. Ab Spalte AM (gelb unterlegt) sind die Provisionszahlungen in der Rechnung enthalten. </t>
  </si>
  <si>
    <t>Tage Laufzeit</t>
  </si>
  <si>
    <t>Passwort</t>
  </si>
  <si>
    <t>Trilogie</t>
  </si>
  <si>
    <t>Perücken</t>
  </si>
  <si>
    <t>Zuschüsse Agentur für Arbeit</t>
  </si>
  <si>
    <t>Kurzarbeitergeld</t>
  </si>
  <si>
    <t>1. Woche</t>
  </si>
  <si>
    <t>2. Woche</t>
  </si>
  <si>
    <t>3. Woche</t>
  </si>
  <si>
    <t>4- Woche</t>
  </si>
  <si>
    <r>
      <t xml:space="preserve">Hier können Sie den Gesamt-umsatz, den Dienstleistungsumsatz und den Verkaufsumsatz eintragen </t>
    </r>
    <r>
      <rPr>
        <b/>
        <u/>
        <sz val="9"/>
        <rFont val="Tahoma"/>
        <family val="2"/>
      </rPr>
      <t>oder</t>
    </r>
    <r>
      <rPr>
        <sz val="9"/>
        <rFont val="Tahoma"/>
        <family val="2"/>
      </rPr>
      <t xml:space="preserve"> DL-Umsatz und VK-Umsatz unten die Einzelpositionen ab Zelle C21</t>
    </r>
  </si>
  <si>
    <t>Schreiben Sie bitte die durchschnittlichen Arbeitsstunden des Tages in die Felder. Falls Mitarbeiter abwechselnd z.B. einen Samstag frei haben und einen Samstag arbeiten, nehmen Sie bitte den Durchschnitt. 
Falls jemand im Wochenwechsel einen Tag arbeitet und frei hat, nehmen Sie hier auch den Durchschnitt der Std.</t>
  </si>
  <si>
    <t>Sollumsatz DL pro Anwesen-heitstag €</t>
  </si>
  <si>
    <t>Verkaufs-anteil €</t>
  </si>
  <si>
    <t>Verkaufsanteil in  €</t>
  </si>
  <si>
    <t>Gesamt-sollum-satz pro Tag €</t>
  </si>
  <si>
    <t>Alle Werte in €</t>
  </si>
  <si>
    <t>Brutto-lohn pro Monat €</t>
  </si>
  <si>
    <t>mögliche Fehlerquellen: hier mit der Maus hinfahren</t>
  </si>
  <si>
    <t>Bruttolöhne Q</t>
  </si>
  <si>
    <t>Ums.Soll Q</t>
  </si>
  <si>
    <t>LF Q</t>
  </si>
  <si>
    <t>LF M</t>
  </si>
  <si>
    <t>nach Arbtag Quartal</t>
  </si>
  <si>
    <t>Pro Monat</t>
  </si>
  <si>
    <t>Bruttolöhne M</t>
  </si>
  <si>
    <t>Private Entnahmen 
(kalkulatorischer Meisterlohn)</t>
  </si>
  <si>
    <t>Private Entnahmen 
(Unternehmerlohn)</t>
  </si>
  <si>
    <t>Privatentnahmen 
Kalkulatorischer Meisterlohn</t>
  </si>
  <si>
    <t>Privatentnahmen 
Unternehmerlohn</t>
  </si>
  <si>
    <t>Kontostand Ende des Jahres /  Monats</t>
  </si>
  <si>
    <t>kummuliert von</t>
  </si>
  <si>
    <t>Summe Bruttolöhne</t>
  </si>
  <si>
    <t>12 Monate</t>
  </si>
  <si>
    <t>10 Monate</t>
  </si>
  <si>
    <t xml:space="preserve"> </t>
  </si>
  <si>
    <t>Summe der MA</t>
  </si>
  <si>
    <t>Arbeitstage</t>
  </si>
  <si>
    <t>Umsatzverteilung auf Monate nach Arbeitstagen</t>
  </si>
  <si>
    <t>Tragen Sie hier den Bruttolohn ein, der zur Berechnung des Sollumsatzes herangezogen werden soll. 
Wenn Sie nichts eintragen wird der Grundlohn ohne monatl. Zusatzzahl.(ganz links) genommen</t>
  </si>
  <si>
    <t>unten geht es weiter Zeile 36</t>
  </si>
  <si>
    <t>MA Soll ges Br.</t>
  </si>
  <si>
    <t>Ums.Soll M Br.</t>
  </si>
  <si>
    <r>
      <t xml:space="preserve">Wie viel Stunden arbeiten Sie pro </t>
    </r>
    <r>
      <rPr>
        <b/>
        <sz val="10"/>
        <rFont val="Tahoma"/>
        <family val="2"/>
      </rPr>
      <t xml:space="preserve">Tag am </t>
    </r>
    <r>
      <rPr>
        <b/>
        <u/>
        <sz val="10"/>
        <rFont val="Tahoma"/>
        <family val="2"/>
      </rPr>
      <t>Kunden</t>
    </r>
    <r>
      <rPr>
        <b/>
        <sz val="10"/>
        <rFont val="Tahoma"/>
        <family val="2"/>
      </rPr>
      <t>?</t>
    </r>
    <r>
      <rPr>
        <sz val="10"/>
        <rFont val="Tahoma"/>
        <family val="2"/>
      </rPr>
      <t xml:space="preserve"> Büroarbeit zählt hier nicht dazu, nur die Arbeit am Kunden.</t>
    </r>
  </si>
  <si>
    <t>Chef(s)</t>
  </si>
  <si>
    <r>
      <rPr>
        <b/>
        <sz val="8"/>
        <color rgb="FF00B050"/>
        <rFont val="Tahoma"/>
        <family val="2"/>
      </rPr>
      <t>Grün+</t>
    </r>
    <r>
      <rPr>
        <b/>
        <sz val="8"/>
        <rFont val="Tahoma"/>
        <family val="2"/>
      </rPr>
      <t xml:space="preserve">  </t>
    </r>
    <r>
      <rPr>
        <b/>
        <sz val="8"/>
        <color rgb="FFFF0000"/>
        <rFont val="Tahoma"/>
        <family val="2"/>
      </rPr>
      <t>Rot-</t>
    </r>
  </si>
  <si>
    <t>Ums/DL</t>
  </si>
  <si>
    <t>Ums/VK</t>
  </si>
  <si>
    <t>Ist Ums DL</t>
  </si>
  <si>
    <t>Ist Ums VK</t>
  </si>
  <si>
    <t>Soll DL</t>
  </si>
  <si>
    <t>Soll VK</t>
  </si>
  <si>
    <t>Ums/Ges</t>
  </si>
  <si>
    <t>Umsatz Chef(s) Zeile 26/27</t>
  </si>
  <si>
    <t>Umsatz Friseure Zeile 10-45</t>
  </si>
  <si>
    <t>Urlaubstage</t>
  </si>
  <si>
    <t>Krankentage</t>
  </si>
  <si>
    <t>Friseure/Chef</t>
  </si>
  <si>
    <t>Geplanter oder tatsächlicher</t>
  </si>
  <si>
    <t>Gesamt Umsatz</t>
  </si>
  <si>
    <t>DL Umsatz</t>
  </si>
  <si>
    <t>VK Umsatz</t>
  </si>
  <si>
    <t>Umsatz Azubis ab Zeile 50</t>
  </si>
  <si>
    <t xml:space="preserve">Gesamt Salon pro Monat               </t>
  </si>
  <si>
    <r>
      <t>Falls die Sollumsätze (z.B. durch einen Lohnfaktor über 4) nicht erreichbar erscheinen, könnte der Grund sein, dass für die Gemeinkosten zu wenig Mitarbeiter im Salon arbeiten.</t>
    </r>
    <r>
      <rPr>
        <b/>
        <sz val="12"/>
        <rFont val="Tahoma"/>
        <family val="2"/>
      </rPr>
      <t xml:space="preserve"> Ein zusätzlicher Mitarbeiter könnte den Lohnfaktor und die Sollumsätze senken</t>
    </r>
    <r>
      <rPr>
        <sz val="12"/>
        <rFont val="Tahoma"/>
        <family val="2"/>
      </rPr>
      <t xml:space="preserve">. Der Mindestumsatz für den Salon steigt, aber der Umsatz für den einzelnen MA sinkt. </t>
    </r>
  </si>
  <si>
    <t>% DL</t>
  </si>
  <si>
    <t>% VK</t>
  </si>
  <si>
    <t>Provision %</t>
  </si>
  <si>
    <r>
      <t xml:space="preserve">Falls Azubis eigenen Umsatz an Kunden erwirtschaften, können Sie den geplanten Umsatz unten </t>
    </r>
    <r>
      <rPr>
        <b/>
        <sz val="10"/>
        <color rgb="FFFF0000"/>
        <rFont val="Tahoma"/>
        <family val="2"/>
      </rPr>
      <t>ab Zeile 50</t>
    </r>
    <r>
      <rPr>
        <sz val="10"/>
        <color rgb="FFAD1D4D"/>
        <rFont val="Tahoma"/>
        <family val="2"/>
      </rPr>
      <t xml:space="preserve"> mit den Arbeits-, Urlaubs- und Krankentagen eingeben.</t>
    </r>
  </si>
  <si>
    <t>Differenz Soll/Ist</t>
  </si>
  <si>
    <t>Grün+  Rot-</t>
  </si>
  <si>
    <t>Monate im +</t>
  </si>
  <si>
    <t>Arbeits-monate</t>
  </si>
  <si>
    <t>Provison</t>
  </si>
  <si>
    <t>Hier wird die Mehrleistung über den Sollumsatz in DL und VK berechnet. Sie geben den tatsächlichen Umsatz DL und VK sowie die % Sätze ein, die der Mitarbeiter als Provison bekommen soll und das System berechnet die Mehrleistung bzw. die Provision in €</t>
  </si>
  <si>
    <t>Berechnung der Mehrleistung / Provision</t>
  </si>
  <si>
    <t>Hier ist die Übersicht über die Quartale. Es werden nur volle Quartale angezeigt.</t>
  </si>
  <si>
    <t xml:space="preserve">
In der Personalkostenplanung werden die Basiskosten geplant. Das heißt, die Bruttolöhne plus die regelmäßigen Zahlungen wie Fahrtkostenpauschale, zusätzliche Rentenversicherung, Werkzeuggeld, monatliche Gutscheine, die steuerfrei sind usw. 
Diese Kosten werden benutzt um erst den Lohnfaktor und später den Sollumsatz pro Mitarbeiter pro Tag und Monat zu errechnen.   
Daher sind Provisionen, die eventuell im letzten Jahr gezahlt wurden nicht berücksichtigt, weil diese ja erst entstehen, wenn die Sollumsätze erreicht sind. 
Für eine eventuelle Vorausschau können wir kommende Provisionszahlungen annehmen und in eine zweite Berechnung einfliessen lassen. Falls Sie übers Jahr verteilt hohe Provisionen zahlen, tragen Sie unten die Provisionen ein, von denen Sie denken, dass diese wieder gezahlt werden. 
Diese Berechnung ist zu sehen auf der Seite:                            
Seite 18 Zielumsatz Planungsjahr ab Spalte AN</t>
  </si>
  <si>
    <t>In dieser Rechnung wird in einem ersten Schritt zur Lohnfaktor-Ermittlung der rechnerische Sollumsatz eines "Arbeits-Monats" ermittelt. Dazu wird der Umsatz, den die "Friseure" erreichen sollen durch die "Arbeits-Monate" geteilt. Durch Urlaub und evlt. Krankheits- und Seminarzeiten arbeitet der durchschnittliche Mitarbeiter 10 Monate pro Jahr. Mit "Friseure" sind die Mitarbeiter gemeint, die auch am Umsatz gemessen werden. 
Azubis oder Assistenten haben oft keinen "Sollumsatz", erwirtschaften aber Umsatz und dieser wird manchmal auch festgehalten. Dieser Betrag senkt den Umsatz, den die Friseure erwirtschaften müssen. Diesen wahrscheinlichen Jahresumsatz geben Sie auf Seite 11 Gesamt PK Zelle B26 ein. 
Falls Sie für Azubis und Assistenten auch einen Sollumsatz errechnen wollen, helfe ich Ihnen gerne.</t>
  </si>
  <si>
    <t>Hier geben Sie die Provisions % Sätze für DL und VK ein. Diese gelten übers ganze Jahr für alle Friseur/innen auf die Mehrleistung über dem Sollumsatz.</t>
  </si>
  <si>
    <r>
      <t>Für</t>
    </r>
    <r>
      <rPr>
        <b/>
        <sz val="8"/>
        <rFont val="Tahoma"/>
        <family val="2"/>
      </rPr>
      <t xml:space="preserve"> einzeln Monate</t>
    </r>
    <r>
      <rPr>
        <sz val="8"/>
        <rFont val="Tahoma"/>
        <family val="2"/>
      </rPr>
      <t xml:space="preserve"> können Sie die Provision als % in den Monaten ändern (graues Feld) und für </t>
    </r>
    <r>
      <rPr>
        <b/>
        <sz val="8"/>
        <rFont val="Tahoma"/>
        <family val="2"/>
      </rPr>
      <t>einzelne Mitarbeiter</t>
    </r>
    <r>
      <rPr>
        <sz val="8"/>
        <rFont val="Tahoma"/>
        <family val="2"/>
      </rPr>
      <t xml:space="preserve"> können Sie die Provision als % pro Monat in Feldern hinten den Namen eingeben (graues Feld).</t>
    </r>
  </si>
  <si>
    <t>MA über Soll</t>
  </si>
  <si>
    <t>Gesamt Prov.</t>
  </si>
  <si>
    <t>DL pro Tag</t>
  </si>
  <si>
    <t>VK pro Tag</t>
  </si>
  <si>
    <t>Ges Pro Tag</t>
  </si>
  <si>
    <t>Anrühren + auftragen + abwaschen 
und denken Sie ggf. an die Beratungszeit</t>
  </si>
  <si>
    <t>geschätzer Umsatz pro Monat von</t>
  </si>
  <si>
    <t>geschätzer Umsatz pro Jahr von</t>
  </si>
  <si>
    <r>
      <t xml:space="preserve">Weiterbildung 
</t>
    </r>
    <r>
      <rPr>
        <sz val="8"/>
        <rFont val="Tahoma"/>
        <family val="2"/>
      </rPr>
      <t>(dieses Konto wird unter SKR 04 meistens nicht benutzt)</t>
    </r>
  </si>
  <si>
    <t>In den meisten BWAs wird dieses Konto nicht zu finden sein, weil es nicht genutzt wird. Das Konto Weiterbildung kann unter SKR 03 angelegt werden, die Bezeichung heißt dann auf der Seite Kurzfristige Erfolgsrechnung "Besondere Kosten". Hier in der App wird es zur besseren Planung der Fortbildungskosten benutzt.</t>
  </si>
  <si>
    <t>Unten ist es wichtig, die Tilgungszahlungen des Vorjahres pro Darlehen einzutragen.</t>
  </si>
  <si>
    <t>Zusammenfassung und Kontrolle Ihrer Eingaben</t>
  </si>
  <si>
    <t>Im ersten Kontrollschritt muss der "Steuerliche Gewinn" in Zeile 33 mit dem "Vorläufigen Ergebnis" Ihrer BWA übereinstimmen. Falls das nicht so ist, kontrollieren Sie vom Umsatz in Zeile 14 ausgehend Schritt für Schritt nach unten Ihre Eingaben mit der BWA.</t>
  </si>
  <si>
    <t>Zur Info mit der Maus hierhinfahren</t>
  </si>
  <si>
    <t>Verrechn.Priv. Entnah. mit Einlagen</t>
  </si>
  <si>
    <t>Verrechnung private Entnahmen mit Privateinlagen</t>
  </si>
  <si>
    <t>weitere Erlöse (z.B. Webshop)</t>
  </si>
  <si>
    <t>Eine weitere Kontrollmöglichkeit Ihrer BWA eingaben finden Sie in Spalte T + U</t>
  </si>
  <si>
    <t xml:space="preserve">Erlöse Perücken </t>
  </si>
  <si>
    <t>Um den Materialeinsatz in verschiedene Rubiken zu errechnen, ist es nötig, Umsätze und Einkauf aufzuteilen</t>
  </si>
  <si>
    <t>Beispiel:</t>
  </si>
  <si>
    <t>Name Erlös  --&gt;</t>
  </si>
  <si>
    <t>Hier haben Sie die Möglichkeit, die Umsätze auf einzelne Rubriken zu verteilen. Die gleichen Unterteilungen finden Sie auch beim Einkauf</t>
  </si>
  <si>
    <t>Perücken 1</t>
  </si>
  <si>
    <t>Perücken v. Schmidt</t>
  </si>
  <si>
    <t>Hier geben Sie die Namen Ihrer Umsatz-Rubrik ein. Wie Sie es in Ihrer Kasse oder BWA aufgeteilt haben</t>
  </si>
  <si>
    <t>Bestands-Veränderungen</t>
  </si>
  <si>
    <t>Erlöse Haar-Verlängerung</t>
  </si>
  <si>
    <t>In diese Zeile geben Sie den Umsatz ein</t>
  </si>
  <si>
    <t>Name WE  --&gt;</t>
  </si>
  <si>
    <t>Hier geben Sie die Namen Ihrer Kosten-Rubrik ein. Wie Sie es in Ihrer BWA aufgeteilt haben</t>
  </si>
  <si>
    <t>In diese Zeile geben Sie den Wert ein</t>
  </si>
  <si>
    <t xml:space="preserve">Perücken </t>
  </si>
  <si>
    <t>Wareneingang Kabinett</t>
  </si>
  <si>
    <t>Wareneingang Verkauf</t>
  </si>
  <si>
    <t>Wareneingang ohne Unterteilung in Kabinett und Verkauf</t>
  </si>
  <si>
    <t>Hier geben Sie die Namen Ihrer WE-Rubrik ein. Wie Sie es in Ihrer BWA aufgeteilt haben</t>
  </si>
  <si>
    <t>In diese Zeile geben Sie den WE der Rubrik ein</t>
  </si>
  <si>
    <t>Bezugs-Nebenkosten</t>
  </si>
  <si>
    <t>Hier geben Sie die Namen Ihrer WE-Rubrik ein. 
Wie Sie es in Ihrer BWA aufgeteilt haben</t>
  </si>
  <si>
    <t>Haarverlängerung</t>
  </si>
  <si>
    <t xml:space="preserve">EU-Erwerb </t>
  </si>
  <si>
    <t>Werte aus Spalte C</t>
  </si>
  <si>
    <t>Hier haben Sie die Möglichkeit, die Einkäufe auf einzelne Rubriken zu verteilen. Die gleichen Unterteilungen finden Sie auch beim Umsatz</t>
  </si>
  <si>
    <t>Spalte Y</t>
  </si>
  <si>
    <t>Spalte Y Seite 3</t>
  </si>
  <si>
    <t>Diese Werte des Wareneingangs habe Sie auf Seite 3 eingegeben.</t>
  </si>
  <si>
    <t>Diese Werte des Umsatzes habe Sie auf Seite 3 eingegeben.</t>
  </si>
  <si>
    <t xml:space="preserve">Um in den Unterteilungen das Verhältnis WE zu Umsatz in % (WE in %) errechnen zu können, müssen die Aufteilungen im WE (ab Zeile 53) genau gleich sein. Das heißt, der Wert in der Zeile 24 (Perückenumsatz) Spalte AC, wird ins Verhältnis zum WE Wert in Zeile 53 (WE Perücken) Spalte AC gesetzt. Das Ergebnis sehen Sie auf Seite 16 ab Zeile </t>
  </si>
  <si>
    <t>Perücken  Mayer</t>
  </si>
  <si>
    <t>Haarverlängerung 
Wareneinkauf und Umsatz</t>
  </si>
  <si>
    <t>Verkauf 
Wareneinkauf und Umsatz</t>
  </si>
  <si>
    <t>Perücken 
Wareneinkauf und Umsatz</t>
  </si>
  <si>
    <t>Wareneinsatz in %</t>
  </si>
  <si>
    <t>Falls Sie die Werte ab hier noch in die Berechnung mit einfliessen lassen möchten, müssen Sie dies leider per Hand machen. 
Das ist im Vorfeld nicht möglich zuzuordnen. 
Falls Sie dies automatisieren möchten. Melden Sie sich bei mir, wir finden eine Lösung.</t>
  </si>
  <si>
    <t xml:space="preserve">Auf dieser Seite können Sie den Wareneinsatz aufgrund Ihrer Eingaben auf Seite 3 der Wareneinsatz analysieren und planen.
</t>
  </si>
  <si>
    <t>Ab Zeile 10 kann der Wareneinsatz analysiert werden.</t>
  </si>
  <si>
    <t>In der Spalte Y sehen Sie das Ergebnis/die Veränderung</t>
  </si>
  <si>
    <r>
      <t xml:space="preserve">Hier wird der </t>
    </r>
    <r>
      <rPr>
        <b/>
        <i/>
        <u/>
        <sz val="12"/>
        <rFont val="Tahoma"/>
        <family val="2"/>
      </rPr>
      <t>Verkaufsumsatz</t>
    </r>
    <r>
      <rPr>
        <b/>
        <i/>
        <sz val="12"/>
        <rFont val="Tahoma"/>
        <family val="2"/>
      </rPr>
      <t xml:space="preserve"> als %Wert ermittelt und geplant:</t>
    </r>
  </si>
  <si>
    <t>Planung des Verkaufumsatzes</t>
  </si>
  <si>
    <t>Planung und Analyse des Wareneinsatzes</t>
  </si>
  <si>
    <t>Hier planen Sie die Zinsen, Tilgung, neutrale Erträge und Aufwendungen und sonstige Erlöse</t>
  </si>
  <si>
    <t>Auflistung der gesamten Personalkosten und Eingabe Umsatz Azubis und Rechnung schreibende Mitarbeiter, sowie Provisionen</t>
  </si>
  <si>
    <t>Sollumsatz nach Arbeitstagen</t>
  </si>
  <si>
    <t>Hier geben Sie die geplanten Arbeitstage der Mitarbeiter ein, daraus wird der Sollumsatz errechnet</t>
  </si>
  <si>
    <t>Provisionsberechnung</t>
  </si>
  <si>
    <t>Durch Eingabe des tarsächlichen Umsatzes wird die Mehrleistung und die Provision errechnet</t>
  </si>
  <si>
    <t>ggf. Webshop</t>
  </si>
  <si>
    <t>Web-Shop 
Wareneinkauf und Umsatz</t>
  </si>
  <si>
    <t>Neutrale Erträge, neutrale Aufwendung und sonstige Erlöse sind Zuflüsse bzw, Abflüsse von materiellen Werten, die weder in die Preiskalkulation noch in die Kosten- und Leistungsrechnung einfließen sollten. Neutrale Erträge und sonstige Erlöse senken den für die Mitarbeiter zu erreichenden Umsatz. Die neutralen Aufwendungen steigern den zu erreichenden Umsatz</t>
  </si>
  <si>
    <t>Dieser Teil der sonstigen Erlöse wandern in die neutralen Erträge, weil sie Erträge sind die tatsächlich geflossen sind, aber nicht direkt aus dem Friseurbereich kommen.</t>
  </si>
  <si>
    <t>→  →</t>
  </si>
  <si>
    <r>
      <t xml:space="preserve">Es ist nicht sinnvoll sonstige Erlöse in der Umsatzplanung und Preis-kalkulation mitzurechnen 
</t>
    </r>
    <r>
      <rPr>
        <b/>
        <sz val="6"/>
        <color theme="0"/>
        <rFont val="Tahoma"/>
        <family val="2"/>
      </rPr>
      <t>(siehe Eingabe Seite 18 
Spalte J Zeile 27)</t>
    </r>
    <r>
      <rPr>
        <sz val="6"/>
        <color theme="0"/>
        <rFont val="Tahoma"/>
        <family val="2"/>
      </rPr>
      <t>.
 Sie senken den zu erreichenden Umsatz und auch die Preise in der Kalkulation</t>
    </r>
  </si>
  <si>
    <r>
      <t xml:space="preserve">Es ist nicht sinnvoll neutrale Erträge in der Umsatzplanung und Preis-kalkulation mitzurechnen 
</t>
    </r>
    <r>
      <rPr>
        <b/>
        <sz val="6"/>
        <color theme="0"/>
        <rFont val="Tahoma"/>
        <family val="2"/>
      </rPr>
      <t>(siehe Eingabe Seite 18 
Spalte J Zeile 27)</t>
    </r>
    <r>
      <rPr>
        <sz val="6"/>
        <color theme="0"/>
        <rFont val="Tahoma"/>
        <family val="2"/>
      </rPr>
      <t>.
 Sie senken den zu erreichenden Umsatz und auch die Preise in der Kalkulation</t>
    </r>
  </si>
  <si>
    <r>
      <t xml:space="preserve">Es ist nicht sinnvoll Steuernachzahlungen in der Umsatzplanung und Preis-kalkulation mitzurechnen 
</t>
    </r>
    <r>
      <rPr>
        <b/>
        <sz val="6"/>
        <color theme="0"/>
        <rFont val="Tahoma"/>
        <family val="2"/>
      </rPr>
      <t>(siehe Eingabe Seite 18 
Spalte J Zeile 27)</t>
    </r>
    <r>
      <rPr>
        <sz val="6"/>
        <color theme="0"/>
        <rFont val="Tahoma"/>
        <family val="2"/>
      </rPr>
      <t>.
 Ggf. Vorauszahlungen erhöhen oder Rücklagen bilden und diese zur Begleichnung von Nachzahlungen nutzen</t>
    </r>
  </si>
  <si>
    <t>für weitere Infos mit der Maus hinfahren</t>
  </si>
  <si>
    <t>Nur wenn Sie den Wareneinkauf auf Seite 3 in mehrere Positionen aufgeteilt haben</t>
  </si>
  <si>
    <t>Ab Zeile 15 tragen Sie 
bitte Ihre Werte ein.</t>
  </si>
  <si>
    <t>In Zellen mit roter Ecke sind Informationen zu sehen. Zum Ansehen mit der Maus drauffahren.</t>
  </si>
  <si>
    <t>GewSt-Erstattung (oder andere Steuer)</t>
  </si>
  <si>
    <t>Erlöse Sachanlageverkäufe</t>
  </si>
  <si>
    <t>Darlehen 1</t>
  </si>
  <si>
    <t>Darlehen 2</t>
  </si>
  <si>
    <r>
      <t xml:space="preserve">Auf dieser Controlling-Seite ist der jeweils kummulierte Wert des Zeitraums zu sehen.
Geben Sie bitte </t>
    </r>
    <r>
      <rPr>
        <u/>
        <sz val="12"/>
        <rFont val="Calibri"/>
        <family val="2"/>
        <scheme val="minor"/>
      </rPr>
      <t>den kummlierten Wert</t>
    </r>
    <r>
      <rPr>
        <sz val="12"/>
        <rFont val="Calibri"/>
        <family val="2"/>
        <scheme val="minor"/>
      </rPr>
      <t xml:space="preserve"> Ihrer monatlichen BWA in die grauen Felder ein. 
Falls Sie mal einen Monat auslassen, kein Problem, einfach den neuen Monat eingeben.</t>
    </r>
  </si>
  <si>
    <t>Meine Empfehlung: erst mal ohne ok planen und später prüfen.</t>
  </si>
  <si>
    <t>Fremdarbeiten Verpackung</t>
  </si>
  <si>
    <t>Kosten der Warenabgabe / Verpackung</t>
  </si>
  <si>
    <t>mögliche Arb.-Std. pro Woche einer Vollzeitkraft</t>
  </si>
  <si>
    <t>1. Wo</t>
  </si>
  <si>
    <t>2. Wo</t>
  </si>
  <si>
    <t>3. Wo</t>
  </si>
  <si>
    <t>4. Wo</t>
  </si>
  <si>
    <t>Std Woche</t>
  </si>
  <si>
    <t>Tage Woche</t>
  </si>
  <si>
    <t>Tg Mon</t>
  </si>
  <si>
    <t>Tg Wo</t>
  </si>
  <si>
    <t>Mitarbeiterin xy arbeitet im Wechsel einen Samstag und in der nächsten Woche nicht, da hat sie den Samstag frei. 
Hier im Beispiel arbeitet Sie auch andere Stunden an anderen Tagen.</t>
  </si>
  <si>
    <t>Tragen Sie einfach die Wochen ein, in denen wechselnde Arbeitzeiten vorkommen. 
Wenn es im 2 Wochenwechsel ist, dann tragen Sie 2 Wochen ein, sonst dementsprechend mehr.</t>
  </si>
  <si>
    <t>4. Woche</t>
  </si>
  <si>
    <t>Betriebsurlaub</t>
  </si>
  <si>
    <t>Arbtg MA</t>
  </si>
  <si>
    <t xml:space="preserve">Die Gewerbesteuervorauszahlungen sind meist auf dem Konto" Betriebl. Steuern" oder "Steuern, Versich., Beiträge" gebucht. </t>
  </si>
  <si>
    <t>Summe betrieb. Erl. 1</t>
  </si>
  <si>
    <t>Summe betrieb. Erl. 2</t>
  </si>
  <si>
    <t xml:space="preserve">      2. Chef / in                            2. Chef / in</t>
  </si>
  <si>
    <t>Verwendung S4 AI 1</t>
  </si>
  <si>
    <t>Hier tragen Sie bitte Ihre Netto-Werte des Vorjahres in die grauen Felder ein.</t>
  </si>
  <si>
    <r>
      <t xml:space="preserve">Immer 
Netto-Werte eintragen 
</t>
    </r>
    <r>
      <rPr>
        <i/>
        <sz val="11"/>
        <color rgb="FF002060"/>
        <rFont val="Calibri"/>
        <family val="2"/>
      </rPr>
      <t>↓↓</t>
    </r>
  </si>
  <si>
    <t>Name DL offen</t>
  </si>
  <si>
    <t xml:space="preserve">      1. Chef / in                            1. Chef / in</t>
  </si>
  <si>
    <t>ab</t>
  </si>
  <si>
    <t>Name freier MA, der Rechnung schreibt</t>
  </si>
  <si>
    <t>Wenn die Azubis oder Assistenten eigenen Umsatz aufschreiben (ohne einen Soll-Umsatz zu haben), geben Sie hier bitte den geschätzen Umsatz pro Jahr aller Azubis oder Assistenten ein, anderenfalls bitte nichts eingeben.</t>
  </si>
  <si>
    <t>Kalkulation des Bruttopreises</t>
  </si>
  <si>
    <t>f</t>
  </si>
  <si>
    <t xml:space="preserve">Lizenz zur Eigennutzung  bis </t>
  </si>
  <si>
    <t xml:space="preserve">          Die Weitergabe der Preise-Lohnfaktor-App an andere Personen ist nicht gestattet. </t>
  </si>
  <si>
    <t>Sie haben auf Seite  -18 Zielumsatz Planungsjahr-  den Dienstleistungsumsatz erhöht. Um diese Erhöhung muss jetzt der Dienstleistungspreis angepasst werden. Denn der Preis wurde bisher aufgrund der Kosten errechnet und die Erhöhung des Dienstleistungsumsatzes wird unten berücksichtig.</t>
  </si>
  <si>
    <t>Sie haben keine Veränderung des Dienstleistungsumsatzes auf Seite 18 Zelle P18 eingetragen, daher ist keine neue Rechnung notwendig.</t>
  </si>
  <si>
    <t>Sie haben auf Seite  -18 Zielumsatz Planungsjahr-  den Dienstleistungsumsatz niedriger als in der Planung eingesetzt. Um diese Änderung muss jetzt der Dienstleistungspreis angepasst werden. Denn der Preis wurde bisher aufgrund der Kosten errechnet und die Veränderung des Dienstleistungsumsatzes wird unten berücksichtig.</t>
  </si>
  <si>
    <t>Wimpernfarbe</t>
  </si>
  <si>
    <t>Strobel</t>
  </si>
  <si>
    <t>Die folgende Planungsrechnung wird für den Zeitraum eines Jahres erstellt, nicht unbedingt Jan - Dez, kann auch z. B. März bis Februar sein. 
Bitte Planungszeitraum unten eingeben!!</t>
  </si>
  <si>
    <t>Betriebsferien?</t>
  </si>
  <si>
    <t>Planungszeitraum ab</t>
  </si>
  <si>
    <t>Welche Monate haben Sie geöffnet?  
Bitte geben Sie eine 1 oder 0,5 ein, keine 0.
Für Betriebsferien oder Lockdown z.b. 0,5 oder frei lassen.</t>
  </si>
  <si>
    <t>Chefeingabe</t>
  </si>
  <si>
    <t>Unternehmensdaten</t>
  </si>
  <si>
    <t>hier geben Sie den Planungszeitraum und die Öffnungszeiten ein</t>
  </si>
  <si>
    <t>hier geben Sie Ihren Namen und die Chefarbeitszeiten ein</t>
  </si>
  <si>
    <t>a</t>
  </si>
  <si>
    <t>Ab hier planen Sie die Gemeinkosten in den graunen Feldern. Die Kontenbeschreibung in den grauen Feldern sind Beispiele, diese können Sie so ändern wie Sie möchten. Notizen zu Ihren Planung können Sie unten einfügen</t>
  </si>
  <si>
    <t>Die folgende Preiskalkulation basiert auf den geplanten Kosten, Ihrem Gewinn, dem Auslastunggrad und den angenommenen Arbeitszeiten für die Dienstleistungen (diese geben Sie auf den folgenden Seiten ein).</t>
  </si>
  <si>
    <t>Manchmal wird Ihnen der errechnete Preis (nach Kosten) niedrig und ein anderer Preis hoch erscheinen.</t>
  </si>
  <si>
    <t xml:space="preserve">Wenn Sie nur im Büro und nicht an Kunden arbeiten löschen Sie die 1 aus allen Monaten. Wenn Sie durch Krankheit oder aus einem anderen Grund (z.B. Schwangerschaft, Elternzeit, Lockdown) längere Zeit nicht arbeiten können oder wollen, löschen Sie bitte die 1 aus diesen Monaten.  - - - - Damit ist nicht der normale Urlaub gemeint.                           </t>
  </si>
  <si>
    <t>Handelt es sich um eine GbR?</t>
  </si>
  <si>
    <t>Tragen Sie unten bitte die Öffnungsstunden pro Tag Ihres Salons ein</t>
  </si>
  <si>
    <t>Wenn Sie nicht jede Woche die gleiche Anzahl an Stunden oder Tagen geöffnet haben z.B. jeden 2. Samstag geschlossen, geben Sie bitte unten die unterschiedlichen Stunden oder Tage pro Woche ein. 
Wenn es jede Woche gleich ist, dann nur die 1. Woche</t>
  </si>
  <si>
    <t xml:space="preserve">      3. Chef / in                            3. Chef / in</t>
  </si>
  <si>
    <t>Erstattung AAG (Krank.Kas)</t>
  </si>
  <si>
    <t xml:space="preserve">Wenn Sie die Privatentnahmen als Gesamtbetrag eingeben möchte, bitte C222 eintragen. </t>
  </si>
  <si>
    <t>Wenn Sie den neutralen Ertrag ials Gesamtbetrag eintragen möchten, dann in C209, sonst nutzen Sie unten die Einzelpositionen</t>
  </si>
  <si>
    <t>Wenn Sie den neutralen Ertrag ials Gesamtbetrag eintragen möchten, dann in C193, sonst nutzen Sie unten die Einzelpositionen</t>
  </si>
  <si>
    <t>Nutzen Sie bitte unten die Einzelpositionen</t>
  </si>
  <si>
    <t>Für die Summe des Wareneingangs nutzen Sie C50, sonst unten die Einzelpositionen des WE</t>
  </si>
  <si>
    <r>
      <t xml:space="preserve">Schreiben Sie bitte </t>
    </r>
    <r>
      <rPr>
        <b/>
        <sz val="10"/>
        <color rgb="FFFF0000"/>
        <rFont val="Tahoma"/>
        <family val="2"/>
      </rPr>
      <t>ja</t>
    </r>
    <r>
      <rPr>
        <sz val="10"/>
        <rFont val="Tahoma"/>
        <family val="2"/>
      </rPr>
      <t xml:space="preserve"> oder </t>
    </r>
    <r>
      <rPr>
        <b/>
        <sz val="10"/>
        <color rgb="FFFF0000"/>
        <rFont val="Tahoma"/>
        <family val="2"/>
      </rPr>
      <t>nein</t>
    </r>
    <r>
      <rPr>
        <sz val="10"/>
        <rFont val="Tahoma"/>
        <family val="2"/>
      </rPr>
      <t xml:space="preserve"> in das Kästchen</t>
    </r>
  </si>
  <si>
    <t>mögliche Fehlerquelle -hier mit der Maus hinfahren</t>
  </si>
  <si>
    <r>
      <rPr>
        <b/>
        <sz val="18"/>
        <color rgb="FFFF0000"/>
        <rFont val="Tahoma"/>
        <family val="2"/>
      </rPr>
      <t xml:space="preserve">③ </t>
    </r>
    <r>
      <rPr>
        <sz val="8"/>
        <rFont val="Tahoma"/>
        <family val="2"/>
      </rPr>
      <t xml:space="preserve">Bei der </t>
    </r>
    <r>
      <rPr>
        <b/>
        <sz val="8"/>
        <rFont val="Tahoma"/>
        <family val="2"/>
      </rPr>
      <t>Eingabe der bezahlten Arbeitsmonate</t>
    </r>
    <r>
      <rPr>
        <sz val="8"/>
        <rFont val="Tahoma"/>
        <family val="2"/>
      </rPr>
      <t xml:space="preserve"> haben Sie zwei Möglichkeiten. Für Mitarbeiter, die Sie ein ganzes Jahr (12 Monate) einplanen, nehmen Sie die linke Spalte. Für Mitarbeiter, die keine 12 Monate eingeplant sind, die einzelnen Monate.</t>
    </r>
  </si>
  <si>
    <r>
      <rPr>
        <b/>
        <sz val="16"/>
        <color rgb="FFFF0000"/>
        <rFont val="Tahoma"/>
        <family val="2"/>
      </rPr>
      <t>④</t>
    </r>
    <r>
      <rPr>
        <b/>
        <sz val="13"/>
        <rFont val="Tahoma"/>
        <family val="2"/>
      </rPr>
      <t xml:space="preserve"> Eingabe Wochen-stunden</t>
    </r>
  </si>
  <si>
    <t>Notizen zu Ihrer Planung können Sie in das graue Feld eintragen: --&gt;</t>
  </si>
  <si>
    <t>Bruttolohn pro Stunde</t>
  </si>
  <si>
    <t>Arbeits-stunden pro Woche</t>
  </si>
  <si>
    <r>
      <t xml:space="preserve">Bruttolohn pro Monat 
</t>
    </r>
    <r>
      <rPr>
        <sz val="8"/>
        <rFont val="Tahoma"/>
        <family val="2"/>
      </rPr>
      <t>ohne Provision</t>
    </r>
  </si>
  <si>
    <r>
      <rPr>
        <b/>
        <sz val="16"/>
        <color rgb="FFFF0000"/>
        <rFont val="Tahoma"/>
        <family val="2"/>
      </rPr>
      <t>Mitarbeiterliste Friseure</t>
    </r>
    <r>
      <rPr>
        <b/>
        <sz val="14"/>
        <color rgb="FFFF0000"/>
        <rFont val="Tahoma"/>
        <family val="2"/>
      </rPr>
      <t xml:space="preserve"> 
</t>
    </r>
    <r>
      <rPr>
        <sz val="12"/>
        <rFont val="Tahoma"/>
        <family val="2"/>
      </rPr>
      <t xml:space="preserve">
die Umsatz verantworten. Organisationskräfte, Assistenz und Azubis auf den Folgeseiten.</t>
    </r>
  </si>
  <si>
    <r>
      <rPr>
        <b/>
        <sz val="10"/>
        <color rgb="FFFF0000"/>
        <rFont val="Tahoma"/>
        <family val="2"/>
      </rPr>
      <t>Friseure</t>
    </r>
    <r>
      <rPr>
        <b/>
        <sz val="10"/>
        <rFont val="Tahoma"/>
        <family val="2"/>
      </rPr>
      <t xml:space="preserve">
</t>
    </r>
    <r>
      <rPr>
        <sz val="10"/>
        <rFont val="Tahoma"/>
        <family val="2"/>
      </rPr>
      <t xml:space="preserve">Name der Mitarbeiter, 
die eigenständigen Umsatz machen    </t>
    </r>
  </si>
  <si>
    <t xml:space="preserve">        In die leere weißen Zeilen können Sie nichts eintragen, diese werden durch die Chefeingaben auf Seite 2a gefüllt.</t>
  </si>
  <si>
    <r>
      <rPr>
        <b/>
        <sz val="12"/>
        <color rgb="FFFF0000"/>
        <rFont val="Tahoma"/>
        <family val="2"/>
      </rPr>
      <t xml:space="preserve"> ①</t>
    </r>
    <r>
      <rPr>
        <sz val="12"/>
        <rFont val="Tahoma"/>
        <family val="2"/>
      </rPr>
      <t xml:space="preserve"> Hier werden die </t>
    </r>
    <r>
      <rPr>
        <b/>
        <sz val="12"/>
        <rFont val="Tahoma"/>
        <family val="2"/>
      </rPr>
      <t>Personalkosten des nächsten Jahres</t>
    </r>
    <r>
      <rPr>
        <sz val="12"/>
        <rFont val="Tahoma"/>
        <family val="2"/>
      </rPr>
      <t xml:space="preserve"> geplant. 
Sie planen die Mitarbeiter, die im nächsten Jahr in Ihrem Salon arbeiten werden oder sollen. Auch die, die Sie noch einstellen oder die das Unternehmen, evtl. auch zeitweise, verlassen werden. 
</t>
    </r>
    <r>
      <rPr>
        <u/>
        <sz val="12"/>
        <rFont val="Tahoma"/>
        <family val="2"/>
      </rPr>
      <t>Wenn Sie Azubis als Mitarbeiter übernehmen, planen Sie diesen neuen Arbeitsabschnitt bitte bei "Friseure"</t>
    </r>
    <r>
      <rPr>
        <sz val="12"/>
        <rFont val="Tahoma"/>
        <family val="2"/>
      </rPr>
      <t>.
Starten Sie mit den im Planungsjahr geplanten Löhnen. Auch Lohnerhöhungen können Sie mit einer 2. Eingabe des Mitarbeiters planen. Lesen Sie Punkt 2</t>
    </r>
  </si>
  <si>
    <t>Übernahme Bruttolohn pro Monat</t>
  </si>
  <si>
    <r>
      <t xml:space="preserve">anderes Land 
</t>
    </r>
    <r>
      <rPr>
        <sz val="8"/>
        <rFont val="Tahoma"/>
        <family val="2"/>
      </rPr>
      <t>(Östereich oder Schweiz)</t>
    </r>
  </si>
  <si>
    <t>Kreuzen Sie bitte mit einem x das Land an. (kleines x)</t>
  </si>
  <si>
    <t xml:space="preserve">Die Werte unten können Sie entsprechend ändern. </t>
  </si>
  <si>
    <t>Arbeiten die Mitarbeiter wochenweise an unterschiedlichen Tagen, werden alle Tage im Durchschnitt dargestellt</t>
  </si>
  <si>
    <t>Der Umsatz pro Tag wird nach dem Lohnfaktor, individuell oder Salonfaktor, errechnet. Je nachdem wie Sie ihn eingeben haben.</t>
  </si>
  <si>
    <t>In der Zeile 1 können Sie Österreich oder Schweiz eingeben</t>
  </si>
  <si>
    <t>Zeile 1</t>
  </si>
  <si>
    <t>Zeile 2</t>
  </si>
  <si>
    <t>Die Zeilen 7, 8, 9 sind für Chefs reserviert.
 MA ab Zeile 10</t>
  </si>
  <si>
    <r>
      <t xml:space="preserve">Hier können Sie die geplanten (und im Nachhinein die tatsächlichen) Arbeits-, Urlaubs und Krankentage von Mitarbeitern und </t>
    </r>
    <r>
      <rPr>
        <b/>
        <sz val="10"/>
        <color rgb="FFFF0000"/>
        <rFont val="Tahoma"/>
        <family val="2"/>
      </rPr>
      <t>Chef/in</t>
    </r>
    <r>
      <rPr>
        <sz val="10"/>
        <color rgb="FFFF0000"/>
        <rFont val="Tahoma"/>
        <family val="2"/>
      </rPr>
      <t xml:space="preserve"> </t>
    </r>
    <r>
      <rPr>
        <sz val="10"/>
        <color rgb="FFAD1D4D"/>
        <rFont val="Tahoma"/>
        <family val="2"/>
      </rPr>
      <t>eingeben, um den Sollumsatz pro Monat auf Basis des Sollumsatzes pro Tag von Seite 22 bzw. 23 zu ermitteln.</t>
    </r>
  </si>
  <si>
    <r>
      <t xml:space="preserve">Hier geben Sie </t>
    </r>
    <r>
      <rPr>
        <b/>
        <u/>
        <sz val="12"/>
        <rFont val="Tahoma"/>
        <family val="2"/>
      </rPr>
      <t>entweder</t>
    </r>
    <r>
      <rPr>
        <sz val="12"/>
        <rFont val="Tahoma"/>
        <family val="2"/>
      </rPr>
      <t xml:space="preserve"> die
Arbeitsstunden </t>
    </r>
    <r>
      <rPr>
        <b/>
        <sz val="12"/>
        <color rgb="FFFF0000"/>
        <rFont val="Tahoma"/>
        <family val="2"/>
      </rPr>
      <t>1</t>
    </r>
    <r>
      <rPr>
        <sz val="12"/>
        <rFont val="Tahoma"/>
        <family val="2"/>
      </rPr>
      <t xml:space="preserve"> pro Woche und den Brutto-Stundenlohn </t>
    </r>
    <r>
      <rPr>
        <b/>
        <sz val="12"/>
        <color rgb="FFFF0000"/>
        <rFont val="Tahoma"/>
        <family val="2"/>
      </rPr>
      <t>2</t>
    </r>
    <r>
      <rPr>
        <sz val="12"/>
        <rFont val="Tahoma"/>
        <family val="2"/>
      </rPr>
      <t xml:space="preserve"> ein 
</t>
    </r>
    <r>
      <rPr>
        <b/>
        <u/>
        <sz val="12"/>
        <rFont val="Tahoma"/>
        <family val="2"/>
      </rPr>
      <t>oder</t>
    </r>
    <r>
      <rPr>
        <sz val="12"/>
        <rFont val="Tahoma"/>
        <family val="2"/>
      </rPr>
      <t xml:space="preserve"> 
den Bruttolohn pro Monat </t>
    </r>
    <r>
      <rPr>
        <b/>
        <sz val="12"/>
        <color rgb="FFFF0000"/>
        <rFont val="Tahoma"/>
        <family val="2"/>
      </rPr>
      <t>3</t>
    </r>
  </si>
  <si>
    <t>Bitte geben Sie hier die Arbeitstunden pro Woche ein. Falls die Mitarbeiter wechselweise pro Woche arbeiten, nutzen Sie die weiteren Wochen. 
Siehe Beispiel!</t>
  </si>
  <si>
    <t>… oder ab hier als Einzelwerte</t>
  </si>
  <si>
    <t>Chefumsatzleistung pro Monat €</t>
  </si>
  <si>
    <t>Chef Leistung jährlich in €</t>
  </si>
  <si>
    <t>Ihr geplaner Meisterlohn für Salonarbeit in €</t>
  </si>
  <si>
    <r>
      <t xml:space="preserve">Der Jahreswert 
</t>
    </r>
    <r>
      <rPr>
        <b/>
        <sz val="9"/>
        <rFont val="Tahoma"/>
        <family val="2"/>
      </rPr>
      <t>"Kalkulatorischer Lohn für Arbeit am Kunden"</t>
    </r>
    <r>
      <rPr>
        <sz val="9"/>
        <rFont val="Tahoma"/>
        <family val="2"/>
      </rPr>
      <t xml:space="preserve"> </t>
    </r>
  </si>
  <si>
    <t>entspricht ungefähr einem monatlichen 
kalkulatorischen Meisterlohn von Brutto</t>
  </si>
  <si>
    <t>entspricht ungefähr einem monatlichen kalkulatorischen Bruttolohn von</t>
  </si>
  <si>
    <t>entspricht ungefähr einem monatlichen 
kalkulatorischen Unternehmerlohn von Brutto</t>
  </si>
  <si>
    <t>entspricht ungefähr einem monatlichen 
kalkulatorischen Bruttolohn von</t>
  </si>
  <si>
    <t xml:space="preserve">Umrechnung von Chefumsatz und Entnahme zu entsprechenden Meisterlohn und Lohnfaktor </t>
  </si>
  <si>
    <r>
      <t xml:space="preserve">Der </t>
    </r>
    <r>
      <rPr>
        <b/>
        <sz val="9"/>
        <rFont val="Tahoma"/>
        <family val="2"/>
      </rPr>
      <t xml:space="preserve">Gesamtlohn aus Meister- und Unternehmerlohn </t>
    </r>
  </si>
  <si>
    <t>Std. p. Monat</t>
  </si>
  <si>
    <t>Stunde</t>
  </si>
  <si>
    <t>Jahr</t>
  </si>
  <si>
    <r>
      <t xml:space="preserve">Der Jahreswert
</t>
    </r>
    <r>
      <rPr>
        <b/>
        <sz val="9"/>
        <rFont val="Tahoma"/>
        <family val="2"/>
      </rPr>
      <t>"Kalkulatorischer Unternehmerlohn"</t>
    </r>
    <r>
      <rPr>
        <sz val="9"/>
        <rFont val="Tahoma"/>
        <family val="2"/>
      </rPr>
      <t xml:space="preserve"> </t>
    </r>
  </si>
  <si>
    <t>geringfügig Beschäftigte</t>
  </si>
  <si>
    <t>Vers. Anteil Arbeitgeber</t>
  </si>
  <si>
    <t>Arbeit a. Kunden</t>
  </si>
  <si>
    <t>Büroarbeit</t>
  </si>
  <si>
    <t>Ges Std. p. Monat</t>
  </si>
  <si>
    <t>Meine Empfehlung für Ihren kalkulatorischen Meisterlohn nach dem Lohnfaktor für Ihre Mitarbeiter sehen Sie links unten. Übertragen Sie diese Werte bitte unten in die grauen Zellen rechts.</t>
  </si>
  <si>
    <t>Meine Empfehlung für Ihren kalkulatorischen Meisterlohn nach der Verteilung Ihrer Arbeitszeit von Büro und Arbeit am Kunden sehen Sie links unten. Übertragen Sie diese Werte bitte unten in die grauen Zellen rechts.</t>
  </si>
  <si>
    <t xml:space="preserve">Die mögliche Privatentnahmen aus Meister-, Unternehmerlohn und Rücklage </t>
  </si>
  <si>
    <r>
      <rPr>
        <b/>
        <sz val="18"/>
        <color rgb="FFFF0000"/>
        <rFont val="Tahoma"/>
        <family val="2"/>
      </rPr>
      <t>③</t>
    </r>
    <r>
      <rPr>
        <sz val="9"/>
        <rFont val="Tahoma"/>
        <family val="2"/>
      </rPr>
      <t xml:space="preserve"> Diese Liste können Sie nutzen um Ihre Privatentnahmen aufzuschreiben. Die Positionen unten stehen nicht alle in der BWA, sie sollen nur dazu dienen, Ihre Entnahmen einmal aufzulisten. Sie werden </t>
    </r>
    <r>
      <rPr>
        <b/>
        <u/>
        <sz val="9"/>
        <rFont val="Tahoma"/>
        <family val="2"/>
      </rPr>
      <t>nicht in die Planung übernommen.</t>
    </r>
    <r>
      <rPr>
        <sz val="9"/>
        <rFont val="Tahoma"/>
        <family val="2"/>
      </rPr>
      <t xml:space="preserve">  Für die Planung tragen Sie Ihre Daten ab Zeile 40 ein.</t>
    </r>
  </si>
  <si>
    <t>Reisekosten unten</t>
  </si>
  <si>
    <r>
      <t>Diese Preise-Lohnfaktor-App ist so aufgebaut, dass Sie auf jeder Seite der App</t>
    </r>
    <r>
      <rPr>
        <sz val="14"/>
        <rFont val="Calibri"/>
        <family val="2"/>
      </rPr>
      <t xml:space="preserve"> ihre Daten eingeben können. 
Der Name jeder Seite ist ganz unten zu sehen, z.B.: 1 Erklärung, 2 Unternehmensdaten, 2a Chefeingaben, 3 Vorjahr usw. 
Auf dieser Seite ist weiter unten zu sehen, was auf den einzelen Seiten dieser App errechnet wird.</t>
    </r>
  </si>
  <si>
    <t>Wahrscheinlich werden Sie das ganze Jahr für Ihren Salon arbeiten, 
natürlich einschließlich Urlaub.</t>
  </si>
  <si>
    <t>Auf dieser Seite befinden sich 16 Preiskalkulationen für weitere Dienstleistungen. Unter jeder Preiskalkulation bzw. nach jedem pinkem Balken beginnt die nächste Möglichkeit.</t>
  </si>
  <si>
    <t>16 weitere Preiskalkulationen</t>
  </si>
  <si>
    <t>Name</t>
  </si>
  <si>
    <t>Gesamtlohn. Alle Sonderzahl-ungen sind auf 1 Monat gerechnet</t>
  </si>
  <si>
    <t>Verkaufs-anteil %</t>
  </si>
  <si>
    <t>Bruttolohn pro Monat 
ohne Provision</t>
  </si>
  <si>
    <t>einmalige Sonder-zahlung (Weihnachts-geld)</t>
  </si>
  <si>
    <t>einmalige Sonder zahlung  (Urlaubsgeld)</t>
  </si>
  <si>
    <r>
      <t xml:space="preserve">regelmäßige monatl. Sonder-zahlung 
</t>
    </r>
    <r>
      <rPr>
        <sz val="8"/>
        <rFont val="Calibri"/>
        <family val="2"/>
        <scheme val="minor"/>
      </rPr>
      <t>(VWL, Werkz.)</t>
    </r>
  </si>
  <si>
    <t>Gesamtlohn incl. Sonder-zahlungen auf 1 Monat gerechnet</t>
  </si>
  <si>
    <t>Bezahlte Anwesenheits-monate in diesem Planungsjahr</t>
  </si>
  <si>
    <t>Brutto 
Jahreslohn-summe</t>
  </si>
  <si>
    <t>pro Std. incl. aller Zusatz-zahlungen</t>
  </si>
  <si>
    <t>Wochen Std.</t>
  </si>
  <si>
    <t xml:space="preserve">Arb. -Std. pro Monat </t>
  </si>
  <si>
    <t>Tage pro Woche</t>
  </si>
  <si>
    <t>Tage pro Monat</t>
  </si>
  <si>
    <t>voraus-sichtliche 
AT im Jahr</t>
  </si>
  <si>
    <t>Personalfaktor / VBE</t>
  </si>
  <si>
    <t>Soll - Umsatz 
pro Monat, pro Tag, pro Stunde</t>
  </si>
  <si>
    <t>Soll / Ist Differenz</t>
  </si>
  <si>
    <t>DL Differenz Soll/Ist</t>
  </si>
  <si>
    <t>Verkauf Differenz Soll/Ist</t>
  </si>
  <si>
    <t>Ges. Ums. Ist</t>
  </si>
  <si>
    <t>Ges. Ums. Soll</t>
  </si>
  <si>
    <t xml:space="preserve"> + / -</t>
  </si>
  <si>
    <t>Arbeitsmonate</t>
  </si>
  <si>
    <t>DL Monate im +</t>
  </si>
  <si>
    <t>VK Monate im +</t>
  </si>
  <si>
    <t>Verkaufs-anteil € pro Tag</t>
  </si>
  <si>
    <t>Gesamtumsatz pro M.</t>
  </si>
  <si>
    <t>DL-Umsatz pro M.</t>
  </si>
  <si>
    <t>VK-Umsatz pro M.</t>
  </si>
  <si>
    <t>Umsatz p. Woche</t>
  </si>
  <si>
    <t>Umsatz p. Std</t>
  </si>
  <si>
    <t>Umsatz p. Std mit Leerlauf</t>
  </si>
  <si>
    <t>Gesamt-sollumsatz pro Tag €</t>
  </si>
  <si>
    <r>
      <t xml:space="preserve">Bruttolohn pro Monat 
</t>
    </r>
    <r>
      <rPr>
        <sz val="8"/>
        <color theme="0"/>
        <rFont val="Calibri"/>
        <family val="2"/>
        <scheme val="minor"/>
      </rPr>
      <t>ohne Provision</t>
    </r>
  </si>
  <si>
    <r>
      <t xml:space="preserve">Auf dieser Seite sind die Daten von </t>
    </r>
    <r>
      <rPr>
        <b/>
        <sz val="12"/>
        <rFont val="Calibri"/>
        <family val="2"/>
        <scheme val="minor"/>
      </rPr>
      <t>10 Mitarbeitern, die man ausdrucken kann.</t>
    </r>
    <r>
      <rPr>
        <sz val="12"/>
        <rFont val="Calibri"/>
        <family val="2"/>
        <scheme val="minor"/>
      </rPr>
      <t xml:space="preserve"> 
Wenn Sie mehr MA beschäftigen sende ich Ihnen gerne eine entsprechende Hilfs-App zu.</t>
    </r>
  </si>
  <si>
    <t>Hier können Sie die Auslastung und den Preis ändern.</t>
  </si>
  <si>
    <t>Sie haben auf Seite  -18 Zielumsatz Planungsjahr-  den Dienstleistungsumsatz erhöht. Um diese Erhöhung muss jetzt der Dienstleistungspreis angepasst werden. Denn der Preis wurde bisher aufgrund der Kosten errechnet und die Erhöhung des Dienstleistungsumsatzes wird jetzt berücksichtig.</t>
  </si>
  <si>
    <t>Sie haben auf Seite  -18 Zielumsatz Planungsjahr-  den Dienstleistungsumsatz niedriger als in der Planung eingesetzt. Um diese Änderung muss jetzt der Dienstleistungspreis angepasst werden. Denn der Preis wurde bisher aufgrund der Kosten errechnet und die Veränderung des Dienstleistungsumsatzes wird jetzt berücksichtig.</t>
  </si>
  <si>
    <t>Mit dem neuen Preis von</t>
  </si>
  <si>
    <t>Erhöhung zum 
bisherigen Preis (1)</t>
  </si>
  <si>
    <t>Erhöhung zum bisherigem Preis (1) von</t>
  </si>
  <si>
    <t>Für diese Dienstleistung gilt:</t>
  </si>
  <si>
    <t xml:space="preserve"> = Bruttopreis (2)</t>
  </si>
  <si>
    <t>Übernahme des neu kalkulierten Preises (2) von oben</t>
  </si>
  <si>
    <t xml:space="preserve">Hier geben Sie Ihren
 bisherigen Preis (1) ein </t>
  </si>
  <si>
    <t>Änderung zum oben neu kalkulierten Preis (2)</t>
  </si>
  <si>
    <t>Nur die ersten 10 Seiten drucken !!</t>
  </si>
  <si>
    <t>Januar bis jetzt</t>
  </si>
  <si>
    <t xml:space="preserve">Bitte geben Sie unten den Monat ein, der bei den MA gezeigt werden soll. </t>
  </si>
  <si>
    <t>Soll / Ist Differenz aktuell</t>
  </si>
  <si>
    <t>März</t>
  </si>
  <si>
    <r>
      <rPr>
        <b/>
        <sz val="9"/>
        <color rgb="FFFF0000"/>
        <rFont val="Tahoma"/>
        <family val="2"/>
      </rPr>
      <t>Bitte bei den Stunden keine 0,0  
eingeben, besser Zelle freilassen</t>
    </r>
    <r>
      <rPr>
        <b/>
        <sz val="9"/>
        <rFont val="Tahoma"/>
        <family val="2"/>
      </rPr>
      <t xml:space="preserve">
</t>
    </r>
    <r>
      <rPr>
        <b/>
        <sz val="8"/>
        <rFont val="Tahoma"/>
        <family val="2"/>
      </rPr>
      <t xml:space="preserve">
  1. Woche</t>
    </r>
  </si>
  <si>
    <t>Eingabe Monat:</t>
  </si>
  <si>
    <t>Januar</t>
  </si>
  <si>
    <t>Februar</t>
  </si>
  <si>
    <t>April</t>
  </si>
  <si>
    <t>usw.</t>
  </si>
  <si>
    <t>GbR Wo</t>
  </si>
  <si>
    <t>Std. p. Jahr</t>
  </si>
  <si>
    <t>Arbeit a. Kund. + Büroarbeit</t>
  </si>
  <si>
    <r>
      <t xml:space="preserve">Std. Lohn Entnahme kalk. Meisterlohn nach </t>
    </r>
    <r>
      <rPr>
        <b/>
        <sz val="8"/>
        <color rgb="FFAD1D4D"/>
        <rFont val="Tahoma"/>
        <family val="2"/>
      </rPr>
      <t>Arbeits-monaten</t>
    </r>
  </si>
  <si>
    <r>
      <t xml:space="preserve">Std. Lohn Entnahme Unternehmer-lohn nach </t>
    </r>
    <r>
      <rPr>
        <b/>
        <sz val="8"/>
        <color rgb="FFAD1D4D"/>
        <rFont val="Tahoma"/>
        <family val="2"/>
      </rPr>
      <t>Arbeits-monaten</t>
    </r>
  </si>
  <si>
    <r>
      <t xml:space="preserve">Std. Lohn gesamt Entnahme incl. Rücklage nach </t>
    </r>
    <r>
      <rPr>
        <b/>
        <sz val="8"/>
        <color rgb="FFAD1D4D"/>
        <rFont val="Tahoma"/>
        <family val="2"/>
      </rPr>
      <t>Arbeits-monaten</t>
    </r>
  </si>
  <si>
    <t>Stundenlohn für Arbeitsmonate sind die bezahlten Stunden Monaten, in denen tatsächlich gearbeitet wurde, im Gegensatz Stundenlohn für Jahresmonate, die denen der Lohn auch auf Urlaub- und Krankheitszeiten verteilt wurde.</t>
  </si>
  <si>
    <t>Entspricht Bruttolohn pro Monat  € (12 Monate)</t>
  </si>
  <si>
    <t>Kontrolle Umsatz MA zu Planung</t>
  </si>
  <si>
    <r>
      <t xml:space="preserve">Erklärung: </t>
    </r>
    <r>
      <rPr>
        <sz val="8"/>
        <color rgb="FFFF0000"/>
        <rFont val="Tahoma"/>
        <family val="2"/>
      </rPr>
      <t>mit Maus hinfahren</t>
    </r>
  </si>
  <si>
    <r>
      <t xml:space="preserve"> BWA - Nachhilfe
</t>
    </r>
    <r>
      <rPr>
        <sz val="12"/>
        <rFont val="Tahoma"/>
        <family val="2"/>
      </rPr>
      <t>Auf meiner Website besteht die Möglichkeit ein Webinar - Video zu buchen, in dem erklärt wird, wie Sie die BWA besser lesen und verstehen können. 
Nachdem Sie das Passwort bekommen haben, können Sie das Video zu jeder Zeit drei Monate lang ansehen.</t>
    </r>
    <r>
      <rPr>
        <b/>
        <sz val="12"/>
        <rFont val="Tahoma"/>
        <family val="2"/>
      </rPr>
      <t xml:space="preserve">        
                                                                                                 </t>
    </r>
    <r>
      <rPr>
        <b/>
        <sz val="10"/>
        <rFont val="Tahoma"/>
        <family val="2"/>
      </rPr>
      <t>Zur Video-Bestellung einfach schicken Sie mir bitte eine Mail</t>
    </r>
  </si>
  <si>
    <t>lehmann@unternehmenstraining.com</t>
  </si>
  <si>
    <t xml:space="preserve"> 23-02</t>
  </si>
  <si>
    <t>Mitarbeiter einzeln</t>
  </si>
  <si>
    <t>Horst</t>
  </si>
  <si>
    <t>Maria</t>
  </si>
  <si>
    <t>Jutta</t>
  </si>
  <si>
    <t>Karina</t>
  </si>
  <si>
    <t>Cordula</t>
  </si>
  <si>
    <t>Salli</t>
  </si>
  <si>
    <t>Christa</t>
  </si>
  <si>
    <t>Gina</t>
  </si>
  <si>
    <t>Lena</t>
  </si>
  <si>
    <t>Sten</t>
  </si>
  <si>
    <t>Demo</t>
  </si>
  <si>
    <t>Version</t>
  </si>
  <si>
    <t>Linda</t>
  </si>
  <si>
    <t>Demo Version</t>
  </si>
  <si>
    <t>Sie haben auf Seite 11 keine Provisonszahlungen eingeben</t>
  </si>
  <si>
    <t>Diese Rechnung ist nur gültig, wenn Sie in Zelle P18 oder P19 etwas eingeben haben.</t>
  </si>
  <si>
    <t>Diese Rechnung ist nur gültig, wenn Sie in Zelle BB18 oder BB19 etwas eingeben haben.</t>
  </si>
  <si>
    <t>MwSt. Deutschland</t>
  </si>
  <si>
    <t>Herren-Umsatz-Anteil in % 
(ohne % Zeichen eingeben)</t>
  </si>
  <si>
    <t>Umsatzsteigerung zum Vorjahr</t>
  </si>
  <si>
    <t>Die Weiterbildungskosten wurden in der Planung gesondert geplant und nicht in den verschiedenen Kosten</t>
  </si>
  <si>
    <t>Aus diesem Grund können Sie hier entscheiden, ob diese Werte in den Soll-Umsatz und die Preiskalkulation einfliessen oder nicht</t>
  </si>
  <si>
    <t>Die sonst. Erlöse (KFZ/Tel) werden in der Planung nicht berücksichtig</t>
  </si>
  <si>
    <t>Mit der Eingabe - nein - werden die Werte nicht mit berechnet, durch Eingabe von - ja - werden sie mit berechnet</t>
  </si>
  <si>
    <t>Persönliche Entnahmen          (evtl. Meisterlohn)</t>
  </si>
  <si>
    <t>90000 Geplante Privatentnahme ges.</t>
  </si>
  <si>
    <t>Persönliche Entnahmen 
(evtl. Unternehmerlohn Büro)</t>
  </si>
  <si>
    <t>Wenn die Weiterbildungskosten einzeln dargestellt sind, werden Sie in der nächsten unterenTabelle in den verschiedenen Kosten dargestellt. Das in einigen BWA's so, jenachdem wie der Stb. bucht. So können Sie die BWA Zahlen besser kontrollieren.</t>
  </si>
  <si>
    <t>siehe unten</t>
  </si>
  <si>
    <t>Chefs sind nicht vom Lohnfaktor betroffen und werden daher unten nicht aufgeführt.</t>
  </si>
  <si>
    <t>Lohnfaktor aus Rechnung 2
Es wird der Gesamtumsatz incl. Verkaufsumsatz erechnet</t>
  </si>
  <si>
    <t>Hier können Sie einen neuen Lohnfaktor Ihrer Wahl eingeben. Dann werden alle Mitarbeiterumsätze mit diesem Lohnfaktor gerechnet</t>
  </si>
  <si>
    <t>Hier nichts eingeben</t>
  </si>
  <si>
    <t>--&gt;   Auf Seite 20 wurden Bruttolöhne geändert</t>
  </si>
  <si>
    <t>% aus Planung</t>
  </si>
  <si>
    <t>Sollumsatz pro Arbeits-monat €</t>
  </si>
  <si>
    <t xml:space="preserve">Linda </t>
  </si>
  <si>
    <t>Wenn der MA für ein Jahr geplant wird, geben Sie hier 12  ein sonst nichts !!</t>
  </si>
  <si>
    <t>!</t>
  </si>
  <si>
    <t>MA arbeiten p. Woche unter-schiedlich</t>
  </si>
  <si>
    <t>berechneter Gewinnaufschlag</t>
  </si>
  <si>
    <t>pro Minute</t>
  </si>
  <si>
    <t>Geben Sie Ihren zukünftigen Preis ein</t>
  </si>
  <si>
    <t>benötigen Sie ca.</t>
  </si>
  <si>
    <t>mehr Kunden</t>
  </si>
  <si>
    <t>um den neu kalkulierten Umsatz zu erwirtschaften</t>
  </si>
  <si>
    <t>benötigen Sie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</si>
</sst>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0"/>
    <numFmt numFmtId="165" formatCode="0.0_ ;[Red]\-0.0\ "/>
    <numFmt numFmtId="166" formatCode="0.0"/>
    <numFmt numFmtId="167" formatCode="#,##0_ ;[Red]\-#,##0\ "/>
    <numFmt numFmtId="168" formatCode="#,##0.0"/>
    <numFmt numFmtId="169" formatCode="0.0%"/>
    <numFmt numFmtId="170" formatCode="#,##0\ &quot;€&quot;"/>
    <numFmt numFmtId="171" formatCode="#,##0\ _€"/>
    <numFmt numFmtId="172" formatCode="[$-407]d/\ mmmm\ yyyy;@"/>
    <numFmt numFmtId="173" formatCode="[$-407]d/\ mmm/\ yy;@"/>
    <numFmt numFmtId="174" formatCode="0.000"/>
    <numFmt numFmtId="175" formatCode="#,##0.00\ &quot;DM&quot;"/>
    <numFmt numFmtId="176" formatCode="#,##0.00\ &quot;€&quot;;[Red]#,##0.00\ &quot;€&quot;"/>
    <numFmt numFmtId="177" formatCode="#,##0.00\ &quot;€&quot;"/>
    <numFmt numFmtId="178" formatCode="[$-407]General"/>
    <numFmt numFmtId="179" formatCode="0_ ;[Red]\-0\ "/>
    <numFmt numFmtId="180" formatCode="#,##0.000000_ ;[Red]\-#,##0.000000\ "/>
    <numFmt numFmtId="181" formatCode="[$-407]d/\ mmm\ yy;@"/>
    <numFmt numFmtId="182" formatCode="[$-407]d/\ mmm/;@"/>
    <numFmt numFmtId="183" formatCode="#,##0.00_ ;[Red]\-#,##0.00\ "/>
    <numFmt numFmtId="184" formatCode="[$-407]mmmm\ yy;@"/>
    <numFmt numFmtId="185" formatCode="#,##0.0\ &quot;€&quot;"/>
    <numFmt numFmtId="186" formatCode="0.00_ ;[Red]\-0.00\ "/>
  </numFmts>
  <fonts count="359">
    <font>
      <sz val="10"/>
      <name val="WellaCorporateLight"/>
    </font>
    <font>
      <sz val="11"/>
      <color theme="1"/>
      <name val="Calibri"/>
      <family val="2"/>
      <scheme val="minor"/>
    </font>
    <font>
      <sz val="10"/>
      <name val="WellaCorporateLight"/>
    </font>
    <font>
      <sz val="12"/>
      <name val="WellaCorporateLight"/>
    </font>
    <font>
      <sz val="8"/>
      <name val="WellaCorporateLight"/>
    </font>
    <font>
      <sz val="12"/>
      <name val="Wingdings"/>
      <charset val="2"/>
    </font>
    <font>
      <b/>
      <sz val="14"/>
      <name val="Tahoma"/>
      <family val="2"/>
    </font>
    <font>
      <sz val="12"/>
      <name val="Tahoma"/>
      <family val="2"/>
    </font>
    <font>
      <b/>
      <sz val="14"/>
      <color indexed="10"/>
      <name val="Tahoma"/>
      <family val="2"/>
    </font>
    <font>
      <b/>
      <sz val="10"/>
      <name val="Tahoma"/>
      <family val="2"/>
    </font>
    <font>
      <b/>
      <sz val="10"/>
      <color indexed="10"/>
      <name val="Tahoma"/>
      <family val="2"/>
    </font>
    <font>
      <sz val="8"/>
      <name val="Tahoma"/>
      <family val="2"/>
    </font>
    <font>
      <b/>
      <sz val="12"/>
      <color indexed="10"/>
      <name val="Tahoma"/>
      <family val="2"/>
    </font>
    <font>
      <b/>
      <sz val="12"/>
      <name val="Tahoma"/>
      <family val="2"/>
    </font>
    <font>
      <sz val="14"/>
      <name val="Tahoma"/>
      <family val="2"/>
    </font>
    <font>
      <sz val="10"/>
      <name val="Tahoma"/>
      <family val="2"/>
    </font>
    <font>
      <b/>
      <sz val="14"/>
      <color indexed="12"/>
      <name val="Tahoma"/>
      <family val="2"/>
    </font>
    <font>
      <b/>
      <sz val="12"/>
      <color indexed="12"/>
      <name val="Tahoma"/>
      <family val="2"/>
    </font>
    <font>
      <b/>
      <i/>
      <sz val="12"/>
      <name val="Tahoma"/>
      <family val="2"/>
    </font>
    <font>
      <sz val="7"/>
      <name val="Tahoma"/>
      <family val="2"/>
    </font>
    <font>
      <i/>
      <sz val="8"/>
      <name val="Tahoma"/>
      <family val="2"/>
    </font>
    <font>
      <b/>
      <sz val="16"/>
      <name val="Tahoma"/>
      <family val="2"/>
    </font>
    <font>
      <b/>
      <sz val="8"/>
      <name val="Tahoma"/>
      <family val="2"/>
    </font>
    <font>
      <sz val="9"/>
      <name val="Tahoma"/>
      <family val="2"/>
    </font>
    <font>
      <sz val="6"/>
      <name val="Tahoma"/>
      <family val="2"/>
    </font>
    <font>
      <i/>
      <sz val="10"/>
      <name val="Tahoma"/>
      <family val="2"/>
    </font>
    <font>
      <sz val="16"/>
      <name val="Tahoma"/>
      <family val="2"/>
    </font>
    <font>
      <b/>
      <sz val="18"/>
      <name val="Tahoma"/>
      <family val="2"/>
    </font>
    <font>
      <sz val="11"/>
      <name val="Tahoma"/>
      <family val="2"/>
    </font>
    <font>
      <b/>
      <sz val="11"/>
      <name val="Tahoma"/>
      <family val="2"/>
    </font>
    <font>
      <b/>
      <i/>
      <sz val="8"/>
      <name val="Tahoma"/>
      <family val="2"/>
    </font>
    <font>
      <b/>
      <sz val="7"/>
      <name val="Tahoma"/>
      <family val="2"/>
    </font>
    <font>
      <sz val="7"/>
      <name val="WellaCorporateLight"/>
    </font>
    <font>
      <i/>
      <sz val="12"/>
      <name val="Tahoma"/>
      <family val="2"/>
    </font>
    <font>
      <b/>
      <sz val="11"/>
      <color indexed="12"/>
      <name val="Tahoma"/>
      <family val="2"/>
    </font>
    <font>
      <sz val="5"/>
      <name val="Tahoma"/>
      <family val="2"/>
    </font>
    <font>
      <sz val="9"/>
      <color indexed="81"/>
      <name val="Tahoma"/>
      <family val="2"/>
    </font>
    <font>
      <b/>
      <sz val="9"/>
      <color indexed="81"/>
      <name val="Tahoma"/>
      <family val="2"/>
    </font>
    <font>
      <sz val="9"/>
      <color indexed="81"/>
      <name val="Wingdings"/>
      <charset val="2"/>
    </font>
    <font>
      <b/>
      <sz val="18"/>
      <name val="Wingdings"/>
      <charset val="2"/>
    </font>
    <font>
      <sz val="4"/>
      <name val="Tahoma"/>
      <family val="2"/>
    </font>
    <font>
      <b/>
      <sz val="28"/>
      <name val="Tahoma"/>
      <family val="2"/>
    </font>
    <font>
      <b/>
      <sz val="12"/>
      <name val="Wingdings"/>
      <charset val="2"/>
    </font>
    <font>
      <i/>
      <sz val="9"/>
      <name val="Tahoma"/>
      <family val="2"/>
    </font>
    <font>
      <b/>
      <sz val="6"/>
      <name val="Tahoma"/>
      <family val="2"/>
    </font>
    <font>
      <sz val="10"/>
      <name val="Wingdings"/>
      <charset val="2"/>
    </font>
    <font>
      <b/>
      <sz val="11"/>
      <color indexed="10"/>
      <name val="Tahoma"/>
      <family val="2"/>
    </font>
    <font>
      <b/>
      <sz val="10"/>
      <name val="Wingdings"/>
      <charset val="2"/>
    </font>
    <font>
      <sz val="6"/>
      <name val="WellaCorporateLight"/>
    </font>
    <font>
      <b/>
      <i/>
      <sz val="10"/>
      <name val="Tahoma"/>
      <family val="2"/>
    </font>
    <font>
      <b/>
      <i/>
      <u/>
      <sz val="12"/>
      <name val="Tahoma"/>
      <family val="2"/>
    </font>
    <font>
      <b/>
      <sz val="9"/>
      <name val="Tahoma"/>
      <family val="2"/>
    </font>
    <font>
      <b/>
      <i/>
      <sz val="9"/>
      <name val="Tahoma"/>
      <family val="2"/>
    </font>
    <font>
      <sz val="14"/>
      <name val="Calibri"/>
      <family val="2"/>
    </font>
    <font>
      <sz val="10"/>
      <color rgb="FFFF0000"/>
      <name val="Tahoma"/>
      <family val="2"/>
    </font>
    <font>
      <sz val="10"/>
      <color rgb="FF007A37"/>
      <name val="Tahoma"/>
      <family val="2"/>
    </font>
    <font>
      <b/>
      <sz val="12"/>
      <color rgb="FFFF0000"/>
      <name val="Tahoma"/>
      <family val="2"/>
    </font>
    <font>
      <b/>
      <sz val="8"/>
      <color theme="0" tint="-0.249977111117893"/>
      <name val="Tahoma"/>
      <family val="2"/>
    </font>
    <font>
      <b/>
      <sz val="8"/>
      <color rgb="FFFF0000"/>
      <name val="Tahoma"/>
      <family val="2"/>
    </font>
    <font>
      <b/>
      <sz val="7"/>
      <color rgb="FFFF0000"/>
      <name val="Tahoma"/>
      <family val="2"/>
    </font>
    <font>
      <b/>
      <sz val="10"/>
      <color rgb="FFFF0000"/>
      <name val="Tahoma"/>
      <family val="2"/>
    </font>
    <font>
      <i/>
      <sz val="10"/>
      <color theme="0"/>
      <name val="Tahoma"/>
      <family val="2"/>
    </font>
    <font>
      <sz val="12"/>
      <color theme="0"/>
      <name val="Tahoma"/>
      <family val="2"/>
    </font>
    <font>
      <sz val="12"/>
      <color theme="3"/>
      <name val="Tahoma"/>
      <family val="2"/>
    </font>
    <font>
      <sz val="8"/>
      <color rgb="FFFF0000"/>
      <name val="Tahoma"/>
      <family val="2"/>
    </font>
    <font>
      <b/>
      <sz val="6"/>
      <color theme="0" tint="-0.249977111117893"/>
      <name val="Tahoma"/>
      <family val="2"/>
    </font>
    <font>
      <sz val="9"/>
      <color theme="3"/>
      <name val="Tahoma"/>
      <family val="2"/>
    </font>
    <font>
      <b/>
      <sz val="12"/>
      <color theme="3"/>
      <name val="Tahoma"/>
      <family val="2"/>
    </font>
    <font>
      <b/>
      <sz val="10"/>
      <color theme="0" tint="-0.34998626667073579"/>
      <name val="Tahoma"/>
      <family val="2"/>
    </font>
    <font>
      <sz val="10"/>
      <color theme="0"/>
      <name val="Tahoma"/>
      <family val="2"/>
    </font>
    <font>
      <sz val="15"/>
      <name val="Calibri"/>
      <family val="2"/>
      <scheme val="minor"/>
    </font>
    <font>
      <sz val="12"/>
      <name val="Calibri"/>
      <family val="2"/>
      <scheme val="minor"/>
    </font>
    <font>
      <sz val="14"/>
      <name val="Calibri"/>
      <family val="2"/>
      <scheme val="minor"/>
    </font>
    <font>
      <sz val="14"/>
      <color rgb="FFFF0000"/>
      <name val="Calibri"/>
      <family val="2"/>
      <scheme val="minor"/>
    </font>
    <font>
      <sz val="12"/>
      <color rgb="FFFF0000"/>
      <name val="Tahoma"/>
      <family val="2"/>
    </font>
    <font>
      <sz val="7"/>
      <color rgb="FFFF0000"/>
      <name val="Tahoma"/>
      <family val="2"/>
    </font>
    <font>
      <sz val="13"/>
      <name val="Calibri"/>
      <family val="2"/>
      <scheme val="minor"/>
    </font>
    <font>
      <i/>
      <sz val="14"/>
      <name val="Calibri"/>
      <family val="2"/>
      <scheme val="minor"/>
    </font>
    <font>
      <u/>
      <sz val="10"/>
      <name val="Tahoma"/>
      <family val="2"/>
    </font>
    <font>
      <b/>
      <sz val="8"/>
      <color theme="0"/>
      <name val="Tahoma"/>
      <family val="2"/>
    </font>
    <font>
      <b/>
      <sz val="11"/>
      <color theme="0"/>
      <name val="Tahoma"/>
      <family val="2"/>
    </font>
    <font>
      <b/>
      <sz val="11"/>
      <color theme="0"/>
      <name val="Wingdings"/>
      <charset val="2"/>
    </font>
    <font>
      <sz val="8"/>
      <color theme="0"/>
      <name val="Tahoma"/>
      <family val="2"/>
    </font>
    <font>
      <b/>
      <i/>
      <sz val="14"/>
      <name val="Tahoma"/>
      <family val="2"/>
    </font>
    <font>
      <i/>
      <u/>
      <sz val="10"/>
      <name val="Tahoma"/>
      <family val="2"/>
    </font>
    <font>
      <sz val="10"/>
      <name val="Calibri"/>
      <family val="2"/>
      <scheme val="minor"/>
    </font>
    <font>
      <sz val="16"/>
      <color rgb="FFFF0000"/>
      <name val="Tahoma"/>
      <family val="2"/>
    </font>
    <font>
      <sz val="10"/>
      <color theme="5" tint="-0.249977111117893"/>
      <name val="Tahoma"/>
      <family val="2"/>
    </font>
    <font>
      <b/>
      <sz val="14"/>
      <color rgb="FFFF0000"/>
      <name val="Tahoma"/>
      <family val="2"/>
    </font>
    <font>
      <i/>
      <sz val="7"/>
      <color theme="0"/>
      <name val="Tahoma"/>
      <family val="2"/>
    </font>
    <font>
      <i/>
      <sz val="11"/>
      <name val="Tahoma"/>
      <family val="2"/>
    </font>
    <font>
      <b/>
      <sz val="16"/>
      <color rgb="FFFF0000"/>
      <name val="Tahoma"/>
      <family val="2"/>
    </font>
    <font>
      <sz val="10"/>
      <name val="Wingdings 3"/>
      <family val="1"/>
      <charset val="2"/>
    </font>
    <font>
      <sz val="16"/>
      <color rgb="FFFF0000"/>
      <name val="Wingdings 3"/>
      <family val="1"/>
      <charset val="2"/>
    </font>
    <font>
      <sz val="10"/>
      <name val="Arial"/>
      <family val="2"/>
    </font>
    <font>
      <sz val="18"/>
      <name val="Calibri"/>
      <family val="2"/>
      <scheme val="minor"/>
    </font>
    <font>
      <u/>
      <sz val="12"/>
      <name val="Tahoma"/>
      <family val="2"/>
    </font>
    <font>
      <b/>
      <i/>
      <sz val="9"/>
      <color indexed="10"/>
      <name val="Tahoma"/>
      <family val="2"/>
    </font>
    <font>
      <i/>
      <sz val="12"/>
      <color theme="9" tint="-0.249977111117893"/>
      <name val="Tahoma"/>
      <family val="2"/>
    </font>
    <font>
      <b/>
      <sz val="6"/>
      <color rgb="FFFF0000"/>
      <name val="Tahoma"/>
      <family val="2"/>
    </font>
    <font>
      <sz val="15"/>
      <color theme="0"/>
      <name val="Calibri"/>
      <family val="2"/>
      <scheme val="minor"/>
    </font>
    <font>
      <b/>
      <i/>
      <sz val="14"/>
      <color rgb="FFFF0000"/>
      <name val="Tahoma"/>
      <family val="2"/>
    </font>
    <font>
      <b/>
      <sz val="18"/>
      <color rgb="FFFF0000"/>
      <name val="Wingdings"/>
      <charset val="2"/>
    </font>
    <font>
      <i/>
      <sz val="8"/>
      <color rgb="FFFF0000"/>
      <name val="Tahoma"/>
      <family val="2"/>
    </font>
    <font>
      <b/>
      <sz val="9"/>
      <color rgb="FFFF0000"/>
      <name val="Tahoma"/>
      <family val="2"/>
    </font>
    <font>
      <b/>
      <sz val="11"/>
      <color rgb="FFFF0000"/>
      <name val="Tahoma"/>
      <family val="2"/>
    </font>
    <font>
      <sz val="11"/>
      <color rgb="FFFF0000"/>
      <name val="Tahoma"/>
      <family val="2"/>
    </font>
    <font>
      <b/>
      <u/>
      <sz val="12"/>
      <name val="Tahoma"/>
      <family val="2"/>
    </font>
    <font>
      <sz val="6"/>
      <color theme="0"/>
      <name val="Tahoma"/>
      <family val="2"/>
    </font>
    <font>
      <sz val="9"/>
      <color theme="0"/>
      <name val="Tahoma"/>
      <family val="2"/>
    </font>
    <font>
      <b/>
      <i/>
      <sz val="16"/>
      <name val="Tahoma"/>
      <family val="2"/>
    </font>
    <font>
      <b/>
      <sz val="12"/>
      <name val="Calibri"/>
      <family val="2"/>
      <scheme val="minor"/>
    </font>
    <font>
      <b/>
      <sz val="14"/>
      <name val="Wingdings"/>
      <charset val="2"/>
    </font>
    <font>
      <b/>
      <sz val="14"/>
      <color theme="0"/>
      <name val="Wingdings"/>
      <charset val="2"/>
    </font>
    <font>
      <b/>
      <sz val="12"/>
      <color theme="0"/>
      <name val="Calibri"/>
      <family val="2"/>
      <scheme val="minor"/>
    </font>
    <font>
      <b/>
      <sz val="14"/>
      <color rgb="FFFF0000"/>
      <name val="Calibri"/>
      <family val="2"/>
      <scheme val="minor"/>
    </font>
    <font>
      <sz val="9"/>
      <color rgb="FFFF0000"/>
      <name val="Tahoma"/>
      <family val="2"/>
    </font>
    <font>
      <b/>
      <sz val="8"/>
      <color rgb="FF0070C0"/>
      <name val="Tahoma"/>
      <family val="2"/>
    </font>
    <font>
      <b/>
      <sz val="10"/>
      <color rgb="FF0070C0"/>
      <name val="Tahoma"/>
      <family val="2"/>
    </font>
    <font>
      <b/>
      <sz val="20"/>
      <name val="Tahoma"/>
      <family val="2"/>
    </font>
    <font>
      <b/>
      <sz val="36"/>
      <name val="Calibri"/>
      <family val="2"/>
      <scheme val="minor"/>
    </font>
    <font>
      <sz val="8"/>
      <name val="Calibri"/>
      <family val="2"/>
      <scheme val="minor"/>
    </font>
    <font>
      <sz val="10"/>
      <color theme="0"/>
      <name val="Calibri"/>
      <family val="2"/>
      <scheme val="minor"/>
    </font>
    <font>
      <sz val="12"/>
      <color theme="0"/>
      <name val="Calibri"/>
      <family val="2"/>
      <scheme val="minor"/>
    </font>
    <font>
      <sz val="10"/>
      <color theme="1"/>
      <name val="WellaCorporateLight"/>
    </font>
    <font>
      <sz val="7.5"/>
      <name val="Tahoma"/>
      <family val="2"/>
    </font>
    <font>
      <sz val="8"/>
      <color theme="3"/>
      <name val="Tahoma"/>
      <family val="2"/>
    </font>
    <font>
      <sz val="12"/>
      <color rgb="FFFF0000"/>
      <name val="Calibri"/>
      <family val="2"/>
      <scheme val="minor"/>
    </font>
    <font>
      <b/>
      <sz val="16"/>
      <color rgb="FFFF0000"/>
      <name val="Wingdings"/>
      <charset val="2"/>
    </font>
    <font>
      <sz val="16"/>
      <color rgb="FFFF0000"/>
      <name val="Calibri"/>
      <family val="2"/>
      <scheme val="minor"/>
    </font>
    <font>
      <b/>
      <u/>
      <sz val="10"/>
      <name val="Tahoma"/>
      <family val="2"/>
    </font>
    <font>
      <b/>
      <sz val="12"/>
      <color rgb="FF002060"/>
      <name val="Tahoma"/>
      <family val="2"/>
    </font>
    <font>
      <b/>
      <sz val="48"/>
      <color rgb="FFFF0000"/>
      <name val="Tahoma"/>
      <family val="2"/>
    </font>
    <font>
      <sz val="36"/>
      <color rgb="FFFF0000"/>
      <name val="Tahoma"/>
      <family val="2"/>
    </font>
    <font>
      <u/>
      <sz val="14"/>
      <name val="Calibri"/>
      <family val="2"/>
      <scheme val="minor"/>
    </font>
    <font>
      <b/>
      <sz val="28"/>
      <name val="Calibri"/>
      <family val="2"/>
      <scheme val="minor"/>
    </font>
    <font>
      <b/>
      <sz val="7.5"/>
      <name val="Tahoma"/>
      <family val="2"/>
    </font>
    <font>
      <b/>
      <sz val="7.5"/>
      <color theme="3"/>
      <name val="Tahoma"/>
      <family val="2"/>
    </font>
    <font>
      <b/>
      <i/>
      <sz val="7.5"/>
      <name val="Tahoma"/>
      <family val="2"/>
    </font>
    <font>
      <sz val="8"/>
      <color theme="4" tint="-0.249977111117893"/>
      <name val="Tahoma"/>
      <family val="2"/>
    </font>
    <font>
      <b/>
      <sz val="12"/>
      <color theme="0"/>
      <name val="Tahoma"/>
      <family val="2"/>
    </font>
    <font>
      <b/>
      <sz val="10"/>
      <color theme="0"/>
      <name val="Tahoma"/>
      <family val="2"/>
    </font>
    <font>
      <b/>
      <sz val="6"/>
      <color theme="0"/>
      <name val="Tahoma"/>
      <family val="2"/>
    </font>
    <font>
      <sz val="13"/>
      <name val="Tahoma"/>
      <family val="2"/>
    </font>
    <font>
      <b/>
      <sz val="13"/>
      <name val="Tahoma"/>
      <family val="2"/>
    </font>
    <font>
      <sz val="7"/>
      <color theme="0"/>
      <name val="Tahoma"/>
      <family val="2"/>
    </font>
    <font>
      <b/>
      <sz val="8"/>
      <color rgb="FF000000"/>
      <name val="Arial"/>
      <family val="2"/>
    </font>
    <font>
      <b/>
      <sz val="22"/>
      <color rgb="FFFF0000"/>
      <name val="Wingdings 3"/>
      <family val="1"/>
      <charset val="2"/>
    </font>
    <font>
      <b/>
      <i/>
      <sz val="14"/>
      <color rgb="FF002060"/>
      <name val="Tahoma"/>
      <family val="2"/>
    </font>
    <font>
      <b/>
      <sz val="14"/>
      <color theme="0"/>
      <name val="Tahoma"/>
      <family val="2"/>
    </font>
    <font>
      <b/>
      <sz val="16"/>
      <color theme="0"/>
      <name val="Tahoma"/>
      <family val="2"/>
    </font>
    <font>
      <sz val="14"/>
      <color theme="0"/>
      <name val="Tahoma"/>
      <family val="2"/>
    </font>
    <font>
      <i/>
      <u/>
      <sz val="14"/>
      <color theme="0"/>
      <name val="Tahoma"/>
      <family val="2"/>
    </font>
    <font>
      <i/>
      <sz val="14"/>
      <color theme="0"/>
      <name val="Tahoma"/>
      <family val="2"/>
    </font>
    <font>
      <i/>
      <sz val="12"/>
      <color theme="0"/>
      <name val="Tahoma"/>
      <family val="2"/>
    </font>
    <font>
      <sz val="5"/>
      <color theme="0"/>
      <name val="Tahoma"/>
      <family val="2"/>
    </font>
    <font>
      <sz val="11"/>
      <color theme="0"/>
      <name val="Tahoma"/>
      <family val="2"/>
    </font>
    <font>
      <i/>
      <u/>
      <sz val="12"/>
      <name val="Tahoma"/>
      <family val="2"/>
    </font>
    <font>
      <sz val="72"/>
      <color rgb="FFFF0000"/>
      <name val="Tahoma"/>
      <family val="2"/>
    </font>
    <font>
      <b/>
      <sz val="36"/>
      <color rgb="FFFF0000"/>
      <name val="Wingdings 3"/>
      <family val="1"/>
      <charset val="2"/>
    </font>
    <font>
      <sz val="8"/>
      <color theme="0" tint="-0.499984740745262"/>
      <name val="Tahoma"/>
      <family val="2"/>
    </font>
    <font>
      <b/>
      <sz val="12"/>
      <color rgb="FF0070C0"/>
      <name val="Tahoma"/>
      <family val="2"/>
    </font>
    <font>
      <sz val="8"/>
      <color theme="1" tint="0.499984740745262"/>
      <name val="Tahoma"/>
      <family val="2"/>
    </font>
    <font>
      <sz val="8"/>
      <color theme="1" tint="0.34998626667073579"/>
      <name val="Tahoma"/>
      <family val="2"/>
    </font>
    <font>
      <sz val="10"/>
      <color theme="1" tint="0.34998626667073579"/>
      <name val="Tahoma"/>
      <family val="2"/>
    </font>
    <font>
      <sz val="9"/>
      <color theme="1" tint="0.34998626667073579"/>
      <name val="Tahoma"/>
      <family val="2"/>
    </font>
    <font>
      <b/>
      <u/>
      <sz val="12"/>
      <color theme="5"/>
      <name val="Tahoma"/>
      <family val="2"/>
    </font>
    <font>
      <b/>
      <sz val="12"/>
      <color rgb="FFFF0000"/>
      <name val="Calibri"/>
      <family val="2"/>
      <scheme val="minor"/>
    </font>
    <font>
      <sz val="12"/>
      <color theme="9" tint="-0.249977111117893"/>
      <name val="Tahoma"/>
      <family val="2"/>
    </font>
    <font>
      <sz val="10"/>
      <color theme="9" tint="-0.249977111117893"/>
      <name val="Tahoma"/>
      <family val="2"/>
    </font>
    <font>
      <sz val="9"/>
      <color theme="1" tint="0.499984740745262"/>
      <name val="Tahoma"/>
      <family val="2"/>
    </font>
    <font>
      <b/>
      <sz val="11"/>
      <color theme="1"/>
      <name val="Tahoma"/>
      <family val="2"/>
    </font>
    <font>
      <sz val="10"/>
      <color theme="1" tint="0.499984740745262"/>
      <name val="Tahoma"/>
      <family val="2"/>
    </font>
    <font>
      <b/>
      <u/>
      <sz val="10"/>
      <color theme="1" tint="0.499984740745262"/>
      <name val="Tahoma"/>
      <family val="2"/>
    </font>
    <font>
      <b/>
      <u/>
      <sz val="8"/>
      <color theme="1" tint="0.34998626667073579"/>
      <name val="Tahoma"/>
      <family val="2"/>
    </font>
    <font>
      <b/>
      <sz val="10"/>
      <color rgb="FFFF0000"/>
      <name val="Calibri"/>
      <family val="2"/>
      <scheme val="minor"/>
    </font>
    <font>
      <sz val="10"/>
      <color theme="0" tint="-0.499984740745262"/>
      <name val="Tahoma"/>
      <family val="2"/>
    </font>
    <font>
      <u/>
      <sz val="10"/>
      <color rgb="FFFF0000"/>
      <name val="Tahoma"/>
      <family val="2"/>
    </font>
    <font>
      <sz val="20"/>
      <color rgb="FFFF0000"/>
      <name val="Calibri"/>
      <family val="2"/>
    </font>
    <font>
      <sz val="7.5"/>
      <color rgb="FFFF0000"/>
      <name val="Tahoma"/>
      <family val="2"/>
    </font>
    <font>
      <sz val="7.5"/>
      <color theme="7" tint="-0.499984740745262"/>
      <name val="Tahoma"/>
      <family val="2"/>
    </font>
    <font>
      <b/>
      <sz val="10"/>
      <color theme="1"/>
      <name val="Tahoma"/>
      <family val="2"/>
    </font>
    <font>
      <b/>
      <i/>
      <sz val="9"/>
      <color theme="0"/>
      <name val="Tahoma"/>
      <family val="2"/>
    </font>
    <font>
      <sz val="10"/>
      <color theme="0"/>
      <name val="Arial"/>
      <family val="2"/>
    </font>
    <font>
      <u/>
      <sz val="12"/>
      <name val="Calibri"/>
      <family val="2"/>
      <scheme val="minor"/>
    </font>
    <font>
      <b/>
      <sz val="14"/>
      <name val="Arial"/>
      <family val="2"/>
    </font>
    <font>
      <sz val="14"/>
      <name val="Arial"/>
      <family val="2"/>
    </font>
    <font>
      <sz val="7"/>
      <name val="Arial"/>
      <family val="2"/>
    </font>
    <font>
      <sz val="20"/>
      <name val="Tahoma"/>
      <family val="2"/>
    </font>
    <font>
      <b/>
      <sz val="10"/>
      <color theme="0" tint="-0.499984740745262"/>
      <name val="Tahoma"/>
      <family val="2"/>
    </font>
    <font>
      <sz val="10"/>
      <color theme="0" tint="-0.499984740745262"/>
      <name val="Arial"/>
      <family val="2"/>
    </font>
    <font>
      <sz val="7.5"/>
      <color theme="0" tint="-0.499984740745262"/>
      <name val="Tahoma"/>
      <family val="2"/>
    </font>
    <font>
      <i/>
      <sz val="7.5"/>
      <color theme="0" tint="-0.499984740745262"/>
      <name val="Tahoma"/>
      <family val="2"/>
    </font>
    <font>
      <b/>
      <sz val="10"/>
      <name val="Calibri"/>
      <family val="2"/>
      <scheme val="minor"/>
    </font>
    <font>
      <b/>
      <sz val="8"/>
      <name val="Calibri"/>
      <family val="2"/>
      <scheme val="minor"/>
    </font>
    <font>
      <sz val="7"/>
      <color theme="1" tint="0.249977111117893"/>
      <name val="Calibri"/>
      <family val="2"/>
      <scheme val="minor"/>
    </font>
    <font>
      <i/>
      <sz val="10"/>
      <name val="Calibri"/>
      <family val="2"/>
      <scheme val="minor"/>
    </font>
    <font>
      <sz val="6"/>
      <name val="Calibri"/>
      <family val="2"/>
      <scheme val="minor"/>
    </font>
    <font>
      <sz val="9"/>
      <name val="Calibri"/>
      <family val="2"/>
      <scheme val="minor"/>
    </font>
    <font>
      <sz val="7"/>
      <name val="Calibri"/>
      <family val="2"/>
      <scheme val="minor"/>
    </font>
    <font>
      <i/>
      <sz val="10"/>
      <color theme="0" tint="-0.499984740745262"/>
      <name val="Tahoma"/>
      <family val="2"/>
    </font>
    <font>
      <sz val="14"/>
      <color theme="0"/>
      <name val="Arial"/>
      <family val="2"/>
    </font>
    <font>
      <b/>
      <sz val="8"/>
      <color rgb="FF00B050"/>
      <name val="Tahoma"/>
      <family val="2"/>
    </font>
    <font>
      <b/>
      <sz val="6"/>
      <color theme="0" tint="-0.34998626667073579"/>
      <name val="Tahoma"/>
      <family val="2"/>
    </font>
    <font>
      <i/>
      <sz val="9"/>
      <color theme="0"/>
      <name val="Tahoma"/>
      <family val="2"/>
    </font>
    <font>
      <b/>
      <i/>
      <sz val="11"/>
      <name val="Tahoma"/>
      <family val="2"/>
    </font>
    <font>
      <b/>
      <sz val="10"/>
      <color rgb="FF002060"/>
      <name val="Tahoma"/>
      <family val="2"/>
    </font>
    <font>
      <b/>
      <i/>
      <sz val="9"/>
      <color rgb="FFFF0000"/>
      <name val="Tahoma"/>
      <family val="2"/>
    </font>
    <font>
      <b/>
      <sz val="7"/>
      <color theme="0"/>
      <name val="Tahoma"/>
      <family val="2"/>
    </font>
    <font>
      <sz val="18"/>
      <color rgb="FFFF0000"/>
      <name val="Wingdings"/>
      <charset val="2"/>
    </font>
    <font>
      <sz val="10"/>
      <color theme="4" tint="-0.249977111117893"/>
      <name val="Tahoma"/>
      <family val="2"/>
    </font>
    <font>
      <sz val="7"/>
      <color theme="4" tint="-0.249977111117893"/>
      <name val="Tahoma"/>
      <family val="2"/>
    </font>
    <font>
      <sz val="7"/>
      <color theme="9" tint="-0.249977111117893"/>
      <name val="Tahoma"/>
      <family val="2"/>
    </font>
    <font>
      <b/>
      <u/>
      <sz val="9"/>
      <name val="Tahoma"/>
      <family val="2"/>
    </font>
    <font>
      <i/>
      <sz val="12"/>
      <color rgb="FFFF0000"/>
      <name val="Tahoma"/>
      <family val="2"/>
    </font>
    <font>
      <b/>
      <sz val="16"/>
      <color rgb="FFFF0000"/>
      <name val="Calibri"/>
      <family val="2"/>
    </font>
    <font>
      <sz val="6"/>
      <color theme="1" tint="0.499984740745262"/>
      <name val="Tahoma"/>
      <family val="2"/>
    </font>
    <font>
      <sz val="7"/>
      <color theme="1" tint="0.499984740745262"/>
      <name val="Tahoma"/>
      <family val="2"/>
    </font>
    <font>
      <sz val="50"/>
      <color rgb="FFFF0000"/>
      <name val="Tahoma"/>
      <family val="2"/>
    </font>
    <font>
      <b/>
      <sz val="14"/>
      <color rgb="FFFF0000"/>
      <name val="Calibri"/>
      <family val="2"/>
    </font>
    <font>
      <b/>
      <sz val="18"/>
      <color rgb="FFFF0000"/>
      <name val="Tahoma"/>
      <family val="2"/>
    </font>
    <font>
      <b/>
      <u/>
      <sz val="11"/>
      <name val="Tahoma"/>
      <family val="2"/>
    </font>
    <font>
      <b/>
      <sz val="16"/>
      <color theme="0" tint="-0.499984740745262"/>
      <name val="Tahoma"/>
      <family val="2"/>
    </font>
    <font>
      <sz val="22"/>
      <color rgb="FFFF0000"/>
      <name val="Calibri"/>
      <family val="2"/>
    </font>
    <font>
      <b/>
      <sz val="24"/>
      <color rgb="FFFF0000"/>
      <name val="Tahoma"/>
      <family val="2"/>
    </font>
    <font>
      <sz val="18"/>
      <name val="Calibri"/>
      <family val="2"/>
    </font>
    <font>
      <sz val="11"/>
      <name val="Calibri"/>
      <family val="2"/>
    </font>
    <font>
      <b/>
      <sz val="10"/>
      <color rgb="FF00B050"/>
      <name val="Wingdings"/>
      <charset val="2"/>
    </font>
    <font>
      <sz val="14"/>
      <color rgb="FFFF0000"/>
      <name val="Tahoma"/>
      <family val="2"/>
    </font>
    <font>
      <sz val="9"/>
      <color indexed="81"/>
      <name val="Segoe UI"/>
      <family val="2"/>
    </font>
    <font>
      <b/>
      <sz val="9"/>
      <color indexed="81"/>
      <name val="Segoe UI"/>
      <family val="2"/>
    </font>
    <font>
      <b/>
      <sz val="6"/>
      <color theme="0" tint="-0.499984740745262"/>
      <name val="Tahoma"/>
      <family val="2"/>
    </font>
    <font>
      <sz val="10"/>
      <color theme="9" tint="0.39997558519241921"/>
      <name val="Tahoma"/>
      <family val="2"/>
    </font>
    <font>
      <b/>
      <sz val="13"/>
      <name val="Calibri"/>
      <family val="2"/>
      <scheme val="minor"/>
    </font>
    <font>
      <i/>
      <sz val="8"/>
      <color theme="0"/>
      <name val="Tahoma"/>
      <family val="2"/>
    </font>
    <font>
      <sz val="13"/>
      <color theme="0"/>
      <name val="Calibri"/>
      <family val="2"/>
      <scheme val="minor"/>
    </font>
    <font>
      <sz val="10"/>
      <color theme="0"/>
      <name val="WellaCorporateLight"/>
    </font>
    <font>
      <sz val="20"/>
      <color rgb="FFFF0000"/>
      <name val="Tahoma"/>
      <family val="2"/>
    </font>
    <font>
      <b/>
      <sz val="14"/>
      <color theme="0" tint="-0.499984740745262"/>
      <name val="Tahoma"/>
      <family val="2"/>
    </font>
    <font>
      <b/>
      <sz val="20"/>
      <color theme="1"/>
      <name val="Calibri"/>
      <family val="2"/>
    </font>
    <font>
      <u/>
      <sz val="10"/>
      <color theme="10"/>
      <name val="WellaCorporateLight"/>
    </font>
    <font>
      <b/>
      <sz val="7"/>
      <color theme="0" tint="-0.499984740745262"/>
      <name val="Tahoma"/>
      <family val="2"/>
    </font>
    <font>
      <sz val="8.5"/>
      <color theme="0"/>
      <name val="Tahoma"/>
      <family val="2"/>
    </font>
    <font>
      <sz val="10"/>
      <color theme="3"/>
      <name val="Tahoma"/>
      <family val="2"/>
    </font>
    <font>
      <b/>
      <sz val="10"/>
      <color theme="3"/>
      <name val="Tahoma"/>
      <family val="2"/>
    </font>
    <font>
      <b/>
      <sz val="18"/>
      <color rgb="FFFF0000"/>
      <name val="Calibri"/>
      <family val="2"/>
    </font>
    <font>
      <sz val="8"/>
      <color theme="9" tint="-0.249977111117893"/>
      <name val="Tahoma"/>
      <family val="2"/>
    </font>
    <font>
      <i/>
      <sz val="8"/>
      <color theme="9" tint="-0.249977111117893"/>
      <name val="Tahoma"/>
      <family val="2"/>
    </font>
    <font>
      <sz val="10"/>
      <color theme="0"/>
      <name val="Calibri"/>
      <family val="2"/>
    </font>
    <font>
      <b/>
      <sz val="16"/>
      <color theme="0" tint="-0.34998626667073579"/>
      <name val="Calibri"/>
      <family val="2"/>
    </font>
    <font>
      <sz val="12"/>
      <name val="Calibri"/>
      <family val="2"/>
    </font>
    <font>
      <sz val="20"/>
      <color theme="9" tint="-0.499984740745262"/>
      <name val="Tahoma"/>
      <family val="2"/>
    </font>
    <font>
      <sz val="12"/>
      <color theme="7" tint="-0.249977111117893"/>
      <name val="Tahoma"/>
      <family val="2"/>
    </font>
    <font>
      <b/>
      <sz val="16"/>
      <color theme="0" tint="-0.249977111117893"/>
      <name val="Calibri"/>
      <family val="2"/>
    </font>
    <font>
      <sz val="12"/>
      <color rgb="FFFFFF00"/>
      <name val="Tahoma"/>
      <family val="2"/>
    </font>
    <font>
      <sz val="10"/>
      <color theme="0" tint="-0.34998626667073579"/>
      <name val="Tahoma"/>
      <family val="2"/>
    </font>
    <font>
      <i/>
      <sz val="11"/>
      <color rgb="FFFF0000"/>
      <name val="Tahoma"/>
      <family val="2"/>
    </font>
    <font>
      <b/>
      <i/>
      <sz val="16"/>
      <color rgb="FFFF0000"/>
      <name val="Tahoma"/>
      <family val="2"/>
    </font>
    <font>
      <b/>
      <i/>
      <sz val="10"/>
      <color theme="0"/>
      <name val="Tahoma"/>
      <family val="2"/>
    </font>
    <font>
      <sz val="30"/>
      <color rgb="FFFF0000"/>
      <name val="Tahoma"/>
      <family val="2"/>
    </font>
    <font>
      <u/>
      <sz val="11"/>
      <color theme="10"/>
      <name val="Calibri"/>
      <family val="2"/>
      <scheme val="minor"/>
    </font>
    <font>
      <sz val="10"/>
      <color rgb="FFFF0000"/>
      <name val="Calibri"/>
      <family val="2"/>
      <scheme val="minor"/>
    </font>
    <font>
      <b/>
      <i/>
      <sz val="8"/>
      <color rgb="FFFF0000"/>
      <name val="Tahoma"/>
      <family val="2"/>
    </font>
    <font>
      <sz val="12"/>
      <color rgb="FFAD1D4D"/>
      <name val="Tahoma"/>
      <family val="2"/>
    </font>
    <font>
      <sz val="7"/>
      <color rgb="FFAD1D4D"/>
      <name val="Tahoma"/>
      <family val="2"/>
    </font>
    <font>
      <sz val="8"/>
      <color rgb="FFAD1D4D"/>
      <name val="Tahoma"/>
      <family val="2"/>
    </font>
    <font>
      <sz val="7"/>
      <color theme="3"/>
      <name val="Tahoma"/>
      <family val="2"/>
    </font>
    <font>
      <sz val="8"/>
      <color rgb="FF00B050"/>
      <name val="Tahoma"/>
      <family val="2"/>
    </font>
    <font>
      <sz val="7"/>
      <color theme="1"/>
      <name val="Tahoma"/>
      <family val="2"/>
    </font>
    <font>
      <sz val="9"/>
      <color rgb="FFC00000"/>
      <name val="Tahoma"/>
      <family val="2"/>
    </font>
    <font>
      <b/>
      <sz val="12"/>
      <color rgb="FFC00000"/>
      <name val="Tahoma"/>
      <family val="2"/>
    </font>
    <font>
      <sz val="8"/>
      <color theme="4" tint="-0.499984740745262"/>
      <name val="Tahoma"/>
      <family val="2"/>
    </font>
    <font>
      <sz val="10"/>
      <color rgb="FFAD1D4D"/>
      <name val="Tahoma"/>
      <family val="2"/>
    </font>
    <font>
      <sz val="12"/>
      <color theme="1" tint="0.34998626667073579"/>
      <name val="Tahoma"/>
      <family val="2"/>
    </font>
    <font>
      <b/>
      <sz val="8"/>
      <color theme="1" tint="0.34998626667073579"/>
      <name val="Tahoma"/>
      <family val="2"/>
    </font>
    <font>
      <sz val="12"/>
      <color theme="0" tint="-0.249977111117893"/>
      <name val="Tahoma"/>
      <family val="2"/>
    </font>
    <font>
      <sz val="6"/>
      <color theme="0" tint="-4.9989318521683403E-2"/>
      <name val="Tahoma"/>
      <family val="2"/>
    </font>
    <font>
      <b/>
      <sz val="9"/>
      <color theme="1"/>
      <name val="Tahoma"/>
      <family val="2"/>
    </font>
    <font>
      <sz val="11"/>
      <color indexed="81"/>
      <name val="Segoe UI"/>
      <family val="2"/>
    </font>
    <font>
      <b/>
      <sz val="14"/>
      <color rgb="FFFF0000"/>
      <name val="Wingdings"/>
      <charset val="2"/>
    </font>
    <font>
      <b/>
      <sz val="9"/>
      <color theme="0"/>
      <name val="Tahoma"/>
      <family val="2"/>
    </font>
    <font>
      <sz val="6"/>
      <color theme="5" tint="-0.249977111117893"/>
      <name val="Tahoma"/>
      <family val="2"/>
    </font>
    <font>
      <b/>
      <sz val="6"/>
      <color theme="5" tint="-0.249977111117893"/>
      <name val="Tahoma"/>
      <family val="2"/>
    </font>
    <font>
      <b/>
      <sz val="14"/>
      <color theme="0"/>
      <name val="Calibri"/>
      <family val="2"/>
    </font>
    <font>
      <sz val="8"/>
      <color theme="5" tint="-0.249977111117893"/>
      <name val="Tahoma"/>
      <family val="2"/>
    </font>
    <font>
      <sz val="8"/>
      <color theme="6" tint="-0.499984740745262"/>
      <name val="Tahoma"/>
      <family val="2"/>
    </font>
    <font>
      <sz val="7"/>
      <color theme="5" tint="-0.499984740745262"/>
      <name val="Tahoma"/>
      <family val="2"/>
    </font>
    <font>
      <b/>
      <sz val="7"/>
      <color theme="5" tint="-0.499984740745262"/>
      <name val="Tahoma"/>
      <family val="2"/>
    </font>
    <font>
      <sz val="6"/>
      <color theme="1" tint="0.34998626667073579"/>
      <name val="Tahoma"/>
      <family val="2"/>
    </font>
    <font>
      <b/>
      <sz val="10"/>
      <color rgb="FFFF3399"/>
      <name val="Tahoma"/>
      <family val="2"/>
    </font>
    <font>
      <b/>
      <sz val="7"/>
      <color rgb="FF7030A0"/>
      <name val="Tahoma"/>
      <family val="2"/>
    </font>
    <font>
      <sz val="10"/>
      <color rgb="FF7030A0"/>
      <name val="Tahoma"/>
      <family val="2"/>
    </font>
    <font>
      <sz val="36"/>
      <color rgb="FFFF3399"/>
      <name val="Calibri"/>
      <family val="2"/>
    </font>
    <font>
      <b/>
      <sz val="16"/>
      <color rgb="FFFF3399"/>
      <name val="Tahoma"/>
      <family val="2"/>
    </font>
    <font>
      <b/>
      <sz val="16"/>
      <color rgb="FFFF0000"/>
      <name val="Calibri"/>
      <family val="2"/>
      <scheme val="minor"/>
    </font>
    <font>
      <sz val="14"/>
      <color theme="5" tint="-0.249977111117893"/>
      <name val="Wingdings"/>
      <charset val="2"/>
    </font>
    <font>
      <b/>
      <sz val="22"/>
      <color theme="0"/>
      <name val="Calibri"/>
      <family val="2"/>
      <scheme val="minor"/>
    </font>
    <font>
      <b/>
      <sz val="10"/>
      <color rgb="FFFFFF00"/>
      <name val="Tahoma"/>
      <family val="2"/>
    </font>
    <font>
      <i/>
      <sz val="11"/>
      <color rgb="FF002060"/>
      <name val="Tahoma"/>
      <family val="2"/>
    </font>
    <font>
      <i/>
      <sz val="11"/>
      <color rgb="FF002060"/>
      <name val="Calibri"/>
      <family val="2"/>
    </font>
    <font>
      <b/>
      <sz val="16"/>
      <color theme="0"/>
      <name val="Wingdings"/>
      <charset val="2"/>
    </font>
    <font>
      <sz val="10"/>
      <color theme="4" tint="0.79998168889431442"/>
      <name val="Tahoma"/>
      <family val="2"/>
    </font>
    <font>
      <sz val="12"/>
      <color theme="0" tint="-0.14999847407452621"/>
      <name val="Calibri"/>
      <family val="2"/>
      <scheme val="minor"/>
    </font>
    <font>
      <sz val="14"/>
      <color rgb="FFFF0000"/>
      <name val="Wingdings"/>
      <charset val="2"/>
    </font>
    <font>
      <b/>
      <sz val="28"/>
      <color theme="0"/>
      <name val="Tahoma"/>
      <family val="2"/>
    </font>
    <font>
      <sz val="30"/>
      <color theme="0"/>
      <name val="Tahoma"/>
      <family val="2"/>
    </font>
    <font>
      <b/>
      <sz val="26"/>
      <name val="Tahoma"/>
      <family val="2"/>
    </font>
    <font>
      <sz val="8"/>
      <color theme="0"/>
      <name val="Calibri"/>
      <family val="2"/>
      <scheme val="minor"/>
    </font>
    <font>
      <sz val="8"/>
      <color theme="0"/>
      <name val="Wingdings"/>
      <charset val="2"/>
    </font>
    <font>
      <sz val="40"/>
      <color rgb="FFFF0000"/>
      <name val="Tahoma"/>
      <family val="2"/>
    </font>
    <font>
      <sz val="10"/>
      <color rgb="FFFF0000"/>
      <name val="Calibri"/>
      <family val="2"/>
    </font>
    <font>
      <sz val="10"/>
      <color theme="1"/>
      <name val="Tahoma"/>
      <family val="2"/>
    </font>
    <font>
      <b/>
      <sz val="8"/>
      <color theme="1"/>
      <name val="Tahoma"/>
      <family val="2"/>
    </font>
    <font>
      <b/>
      <sz val="22"/>
      <color rgb="FFFF0000"/>
      <name val="Calibri"/>
      <family val="2"/>
    </font>
    <font>
      <b/>
      <sz val="13"/>
      <color rgb="FFFF0000"/>
      <name val="Calibri"/>
      <family val="2"/>
      <scheme val="minor"/>
    </font>
    <font>
      <i/>
      <sz val="14"/>
      <name val="Tahoma"/>
      <family val="2"/>
    </font>
    <font>
      <sz val="6"/>
      <color rgb="FFFF0000"/>
      <name val="Tahoma"/>
      <family val="2"/>
    </font>
    <font>
      <sz val="12"/>
      <color indexed="10"/>
      <name val="Tahoma"/>
      <family val="2"/>
    </font>
    <font>
      <i/>
      <sz val="12"/>
      <color indexed="10"/>
      <name val="Tahoma"/>
      <family val="2"/>
    </font>
    <font>
      <sz val="20"/>
      <color rgb="FF008000"/>
      <name val="Wingdings 3"/>
      <family val="1"/>
      <charset val="2"/>
    </font>
    <font>
      <sz val="10"/>
      <color rgb="FF008000"/>
      <name val="Tahoma"/>
      <family val="2"/>
    </font>
    <font>
      <sz val="12"/>
      <color rgb="FF008000"/>
      <name val="Tahoma"/>
      <family val="2"/>
    </font>
    <font>
      <b/>
      <sz val="10"/>
      <color rgb="FF008000"/>
      <name val="Tahoma"/>
      <family val="2"/>
    </font>
    <font>
      <sz val="9"/>
      <color rgb="FF464A56"/>
      <name val="Open Sans"/>
      <family val="2"/>
    </font>
    <font>
      <sz val="8"/>
      <color rgb="FF008000"/>
      <name val="Tahoma"/>
      <family val="2"/>
    </font>
    <font>
      <b/>
      <sz val="10"/>
      <color theme="9" tint="-0.499984740745262"/>
      <name val="Tahoma"/>
      <family val="2"/>
    </font>
    <font>
      <sz val="10"/>
      <color theme="9" tint="-0.499984740745262"/>
      <name val="Tahoma"/>
      <family val="2"/>
    </font>
    <font>
      <b/>
      <sz val="11"/>
      <color indexed="81"/>
      <name val="Segoe UI"/>
      <family val="2"/>
    </font>
    <font>
      <b/>
      <sz val="8"/>
      <color rgb="FF008000"/>
      <name val="Tahoma"/>
      <family val="2"/>
    </font>
    <font>
      <b/>
      <sz val="20"/>
      <color rgb="FFFF0000"/>
      <name val="Tahoma"/>
      <family val="2"/>
    </font>
    <font>
      <b/>
      <sz val="11"/>
      <color theme="1"/>
      <name val="Calibri"/>
      <family val="2"/>
      <scheme val="minor"/>
    </font>
    <font>
      <sz val="11"/>
      <color theme="0"/>
      <name val="Calibri"/>
      <family val="2"/>
      <scheme val="minor"/>
    </font>
    <font>
      <b/>
      <sz val="13"/>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sz val="11"/>
      <name val="Calibri"/>
      <family val="2"/>
      <scheme val="minor"/>
    </font>
    <font>
      <sz val="14"/>
      <color theme="1"/>
      <name val="Calibri"/>
      <family val="2"/>
      <scheme val="minor"/>
    </font>
    <font>
      <sz val="9"/>
      <color theme="0"/>
      <name val="Calibri"/>
      <family val="2"/>
      <scheme val="minor"/>
    </font>
    <font>
      <sz val="7"/>
      <color theme="0"/>
      <name val="Calibri"/>
      <family val="2"/>
      <scheme val="minor"/>
    </font>
    <font>
      <sz val="7.5"/>
      <color theme="0"/>
      <name val="Calibri"/>
      <family val="2"/>
      <scheme val="minor"/>
    </font>
    <font>
      <b/>
      <sz val="7"/>
      <color theme="0"/>
      <name val="Calibri"/>
      <family val="2"/>
      <scheme val="minor"/>
    </font>
    <font>
      <sz val="6"/>
      <color theme="0"/>
      <name val="Calibri"/>
      <family val="2"/>
      <scheme val="minor"/>
    </font>
    <font>
      <b/>
      <sz val="10"/>
      <color theme="0"/>
      <name val="Calibri"/>
      <family val="2"/>
      <scheme val="minor"/>
    </font>
    <font>
      <b/>
      <sz val="8"/>
      <color theme="0"/>
      <name val="Calibri"/>
      <family val="2"/>
      <scheme val="minor"/>
    </font>
    <font>
      <sz val="14"/>
      <color theme="0"/>
      <name val="Calibri"/>
      <family val="2"/>
      <scheme val="minor"/>
    </font>
    <font>
      <sz val="5"/>
      <color theme="0"/>
      <name val="Calibri"/>
      <family val="2"/>
      <scheme val="minor"/>
    </font>
    <font>
      <b/>
      <sz val="10"/>
      <color theme="3"/>
      <name val="Calibri"/>
      <family val="2"/>
      <scheme val="minor"/>
    </font>
    <font>
      <sz val="11"/>
      <color rgb="FFFF0000"/>
      <name val="Calibri"/>
      <family val="2"/>
      <scheme val="minor"/>
    </font>
    <font>
      <sz val="9"/>
      <color rgb="FFFF0000"/>
      <name val="Calibri"/>
      <family val="2"/>
      <scheme val="minor"/>
    </font>
    <font>
      <b/>
      <sz val="30"/>
      <name val="Calibri"/>
      <family val="2"/>
      <scheme val="minor"/>
    </font>
    <font>
      <sz val="16"/>
      <color theme="0"/>
      <name val="Calibri"/>
      <family val="2"/>
      <scheme val="minor"/>
    </font>
    <font>
      <b/>
      <sz val="8"/>
      <color rgb="FFAD1D4D"/>
      <name val="Tahoma"/>
      <family val="2"/>
    </font>
    <font>
      <b/>
      <sz val="18"/>
      <color theme="0"/>
      <name val="Calibri"/>
      <family val="2"/>
    </font>
    <font>
      <b/>
      <sz val="20"/>
      <color theme="0"/>
      <name val="Tahoma"/>
      <family val="2"/>
    </font>
    <font>
      <b/>
      <sz val="10"/>
      <color theme="3" tint="0.39997558519241921"/>
      <name val="Tahoma"/>
      <family val="2"/>
    </font>
    <font>
      <sz val="10"/>
      <color theme="4"/>
      <name val="Tahoma"/>
      <family val="2"/>
    </font>
    <font>
      <u/>
      <sz val="10"/>
      <color theme="10"/>
      <name val="Calibri"/>
      <family val="2"/>
      <scheme val="minor"/>
    </font>
    <font>
      <sz val="8"/>
      <color theme="0" tint="-0.34998626667073579"/>
      <name val="Tahoma"/>
      <family val="2"/>
    </font>
  </fonts>
  <fills count="3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339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indexed="4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D9D9D9"/>
        <bgColor rgb="FFD9D9D9"/>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indexed="19"/>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FCD5B4"/>
        <bgColor indexed="64"/>
      </patternFill>
    </fill>
    <fill>
      <patternFill patternType="solid">
        <fgColor rgb="FFF3F7FB"/>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E1FF"/>
        <bgColor indexed="64"/>
      </patternFill>
    </fill>
    <fill>
      <patternFill patternType="solid">
        <fgColor rgb="FFFFFF66"/>
        <bgColor indexed="64"/>
      </patternFill>
    </fill>
  </fills>
  <borders count="374">
    <border>
      <left/>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dashed">
        <color indexed="64"/>
      </bottom>
      <diagonal/>
    </border>
    <border>
      <left style="mediumDashed">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top/>
      <bottom style="dotted">
        <color indexed="64"/>
      </bottom>
      <diagonal/>
    </border>
    <border>
      <left style="dotted">
        <color indexed="64"/>
      </left>
      <right/>
      <top/>
      <bottom/>
      <diagonal/>
    </border>
    <border>
      <left style="dotted">
        <color indexed="64"/>
      </left>
      <right/>
      <top/>
      <bottom style="dotted">
        <color indexed="64"/>
      </bottom>
      <diagonal/>
    </border>
    <border>
      <left style="dotted">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right/>
      <top style="mediumDashDot">
        <color indexed="64"/>
      </top>
      <bottom/>
      <diagonal/>
    </border>
    <border>
      <left/>
      <right style="mediumDashDot">
        <color indexed="64"/>
      </right>
      <top style="mediumDashDot">
        <color indexed="64"/>
      </top>
      <bottom/>
      <diagonal/>
    </border>
    <border>
      <left/>
      <right style="mediumDashDot">
        <color indexed="64"/>
      </right>
      <top/>
      <bottom/>
      <diagonal/>
    </border>
    <border>
      <left style="mediumDashDot">
        <color indexed="64"/>
      </left>
      <right/>
      <top/>
      <bottom/>
      <diagonal/>
    </border>
    <border>
      <left style="mediumDashDot">
        <color indexed="64"/>
      </left>
      <right/>
      <top style="mediumDashDot">
        <color indexed="64"/>
      </top>
      <bottom/>
      <diagonal/>
    </border>
    <border>
      <left style="medium">
        <color indexed="64"/>
      </left>
      <right style="thin">
        <color indexed="64"/>
      </right>
      <top style="medium">
        <color indexed="64"/>
      </top>
      <bottom style="thin">
        <color indexed="64"/>
      </bottom>
      <diagonal/>
    </border>
    <border>
      <left style="mediumDashDot">
        <color indexed="64"/>
      </left>
      <right/>
      <top/>
      <bottom style="mediumDashDot">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dashed">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DashDot">
        <color indexed="64"/>
      </bottom>
      <diagonal/>
    </border>
    <border>
      <left/>
      <right style="mediumDashDot">
        <color indexed="64"/>
      </right>
      <top/>
      <bottom style="mediumDashDot">
        <color indexed="64"/>
      </bottom>
      <diagonal/>
    </border>
    <border>
      <left/>
      <right style="thin">
        <color indexed="64"/>
      </right>
      <top style="medium">
        <color indexed="64"/>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mediumDashed">
        <color indexed="64"/>
      </left>
      <right/>
      <top/>
      <bottom style="mediumDashDot">
        <color indexed="64"/>
      </bottom>
      <diagonal/>
    </border>
    <border>
      <left/>
      <right style="mediumDashed">
        <color indexed="64"/>
      </right>
      <top/>
      <bottom style="mediumDashDot">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medium">
        <color indexed="64"/>
      </top>
      <bottom/>
      <diagonal/>
    </border>
    <border>
      <left style="dotted">
        <color auto="1"/>
      </left>
      <right style="dotted">
        <color auto="1"/>
      </right>
      <top style="dotted">
        <color auto="1"/>
      </top>
      <bottom style="dotted">
        <color auto="1"/>
      </bottom>
      <diagonal/>
    </border>
    <border>
      <left style="dotted">
        <color indexed="64"/>
      </left>
      <right style="dotted">
        <color indexed="64"/>
      </right>
      <top style="dotted">
        <color indexed="64"/>
      </top>
      <bottom/>
      <diagonal/>
    </border>
    <border>
      <left/>
      <right/>
      <top style="dotted">
        <color indexed="64"/>
      </top>
      <bottom style="thin">
        <color indexed="64"/>
      </bottom>
      <diagonal/>
    </border>
    <border>
      <left/>
      <right/>
      <top style="dotted">
        <color auto="1"/>
      </top>
      <bottom style="medium">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right style="mediumDashDot">
        <color indexed="64"/>
      </right>
      <top/>
      <bottom style="dotted">
        <color indexed="64"/>
      </bottom>
      <diagonal/>
    </border>
    <border>
      <left/>
      <right style="mediumDashDot">
        <color indexed="64"/>
      </right>
      <top style="dotted">
        <color indexed="64"/>
      </top>
      <bottom/>
      <diagonal/>
    </border>
    <border>
      <left style="mediumDashDot">
        <color indexed="64"/>
      </left>
      <right style="dotted">
        <color indexed="64"/>
      </right>
      <top style="dotted">
        <color indexed="64"/>
      </top>
      <bottom style="dotted">
        <color indexed="64"/>
      </bottom>
      <diagonal/>
    </border>
    <border>
      <left style="mediumDashDot">
        <color indexed="64"/>
      </left>
      <right style="dotted">
        <color indexed="64"/>
      </right>
      <top/>
      <bottom style="dotted">
        <color indexed="64"/>
      </bottom>
      <diagonal/>
    </border>
    <border>
      <left style="mediumDashDot">
        <color indexed="64"/>
      </left>
      <right style="dotted">
        <color indexed="64"/>
      </right>
      <top style="dotted">
        <color indexed="64"/>
      </top>
      <bottom/>
      <diagonal/>
    </border>
    <border>
      <left/>
      <right style="mediumDashDot">
        <color indexed="64"/>
      </right>
      <top style="dotted">
        <color indexed="64"/>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style="mediumDashDot">
        <color indexed="64"/>
      </top>
      <bottom style="mediumDashDot">
        <color indexed="64"/>
      </bottom>
      <diagonal/>
    </border>
    <border>
      <left/>
      <right style="dotted">
        <color indexed="64"/>
      </right>
      <top/>
      <bottom style="thin">
        <color indexed="64"/>
      </bottom>
      <diagonal/>
    </border>
    <border>
      <left/>
      <right/>
      <top style="double">
        <color auto="1"/>
      </top>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bottom style="hair">
        <color auto="1"/>
      </bottom>
      <diagonal/>
    </border>
    <border>
      <left/>
      <right style="hair">
        <color auto="1"/>
      </right>
      <top/>
      <bottom style="hair">
        <color auto="1"/>
      </bottom>
      <diagonal/>
    </border>
    <border>
      <left/>
      <right style="hair">
        <color auto="1"/>
      </right>
      <top style="dotted">
        <color auto="1"/>
      </top>
      <bottom style="dotted">
        <color auto="1"/>
      </bottom>
      <diagonal/>
    </border>
    <border>
      <left style="thin">
        <color indexed="64"/>
      </left>
      <right style="dotted">
        <color indexed="64"/>
      </right>
      <top/>
      <bottom/>
      <diagonal/>
    </border>
    <border>
      <left/>
      <right style="dotted">
        <color auto="1"/>
      </right>
      <top style="dotted">
        <color auto="1"/>
      </top>
      <bottom style="medium">
        <color indexed="64"/>
      </bottom>
      <diagonal/>
    </border>
    <border>
      <left/>
      <right style="dotted">
        <color indexed="64"/>
      </right>
      <top/>
      <bottom style="medium">
        <color indexed="64"/>
      </bottom>
      <diagonal/>
    </border>
    <border>
      <left/>
      <right style="dotted">
        <color indexed="64"/>
      </right>
      <top style="medium">
        <color indexed="64"/>
      </top>
      <bottom/>
      <diagonal/>
    </border>
    <border>
      <left style="thin">
        <color indexed="64"/>
      </left>
      <right style="dotted">
        <color indexed="64"/>
      </right>
      <top/>
      <bottom style="medium">
        <color indexed="64"/>
      </bottom>
      <diagonal/>
    </border>
    <border>
      <left style="thin">
        <color indexed="64"/>
      </left>
      <right/>
      <top style="mediumDashed">
        <color indexed="64"/>
      </top>
      <bottom style="thin">
        <color indexed="64"/>
      </bottom>
      <diagonal/>
    </border>
    <border>
      <left/>
      <right style="dotted">
        <color indexed="64"/>
      </right>
      <top style="mediumDashed">
        <color indexed="64"/>
      </top>
      <bottom/>
      <diagonal/>
    </border>
    <border>
      <left style="thin">
        <color indexed="64"/>
      </left>
      <right/>
      <top style="thin">
        <color indexed="64"/>
      </top>
      <bottom style="mediumDashed">
        <color indexed="64"/>
      </bottom>
      <diagonal/>
    </border>
    <border>
      <left/>
      <right style="dotted">
        <color indexed="64"/>
      </right>
      <top style="dotted">
        <color indexed="64"/>
      </top>
      <bottom style="mediumDashed">
        <color indexed="64"/>
      </bottom>
      <diagonal/>
    </border>
    <border>
      <left/>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dotted">
        <color indexed="64"/>
      </right>
      <top/>
      <bottom style="mediumDashed">
        <color indexed="64"/>
      </bottom>
      <diagonal/>
    </border>
    <border>
      <left style="thin">
        <color indexed="64"/>
      </left>
      <right style="thin">
        <color indexed="64"/>
      </right>
      <top/>
      <bottom style="mediumDashed">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Dashed">
        <color indexed="64"/>
      </top>
      <bottom style="medium">
        <color indexed="64"/>
      </bottom>
      <diagonal/>
    </border>
    <border>
      <left style="thin">
        <color indexed="64"/>
      </left>
      <right style="thin">
        <color indexed="64"/>
      </right>
      <top style="mediumDashed">
        <color indexed="64"/>
      </top>
      <bottom style="thin">
        <color indexed="64"/>
      </bottom>
      <diagonal/>
    </border>
    <border>
      <left style="thin">
        <color indexed="64"/>
      </left>
      <right/>
      <top/>
      <bottom style="mediumDashed">
        <color indexed="64"/>
      </bottom>
      <diagonal/>
    </border>
    <border>
      <left/>
      <right/>
      <top style="mediumDashed">
        <color indexed="64"/>
      </top>
      <bottom style="thin">
        <color indexed="64"/>
      </bottom>
      <diagonal/>
    </border>
    <border>
      <left style="thin">
        <color indexed="64"/>
      </left>
      <right style="thin">
        <color indexed="64"/>
      </right>
      <top style="dotted">
        <color auto="1"/>
      </top>
      <bottom style="medium">
        <color indexed="64"/>
      </bottom>
      <diagonal/>
    </border>
    <border>
      <left style="thin">
        <color indexed="64"/>
      </left>
      <right style="dotted">
        <color indexed="64"/>
      </right>
      <top style="mediumDashed">
        <color indexed="64"/>
      </top>
      <bottom/>
      <diagonal/>
    </border>
    <border>
      <left style="thin">
        <color indexed="64"/>
      </left>
      <right style="dotted">
        <color auto="1"/>
      </right>
      <top style="dotted">
        <color auto="1"/>
      </top>
      <bottom style="mediumDash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mediumDashed">
        <color indexed="64"/>
      </bottom>
      <diagonal/>
    </border>
    <border>
      <left style="dotted">
        <color indexed="64"/>
      </left>
      <right/>
      <top style="dotted">
        <color auto="1"/>
      </top>
      <bottom style="mediumDashed">
        <color indexed="64"/>
      </bottom>
      <diagonal/>
    </border>
    <border>
      <left/>
      <right/>
      <top style="dotted">
        <color auto="1"/>
      </top>
      <bottom style="mediumDashed">
        <color indexed="64"/>
      </bottom>
      <diagonal/>
    </border>
    <border>
      <left/>
      <right/>
      <top style="mediumDashed">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top style="mediumDashed">
        <color indexed="64"/>
      </top>
      <bottom style="mediumDashed">
        <color indexed="64"/>
      </bottom>
      <diagonal/>
    </border>
    <border>
      <left style="thin">
        <color indexed="64"/>
      </left>
      <right style="dotted">
        <color indexed="64"/>
      </right>
      <top/>
      <bottom style="dotted">
        <color indexed="64"/>
      </bottom>
      <diagonal/>
    </border>
    <border>
      <left/>
      <right style="thin">
        <color indexed="64"/>
      </right>
      <top style="mediumDashed">
        <color indexed="64"/>
      </top>
      <bottom/>
      <diagonal/>
    </border>
    <border>
      <left/>
      <right style="thin">
        <color indexed="64"/>
      </right>
      <top style="thin">
        <color indexed="64"/>
      </top>
      <bottom style="mediumDashed">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double">
        <color indexed="64"/>
      </bottom>
      <diagonal/>
    </border>
    <border>
      <left style="dotted">
        <color indexed="64"/>
      </left>
      <right style="thin">
        <color indexed="64"/>
      </right>
      <top/>
      <bottom style="thin">
        <color indexed="64"/>
      </bottom>
      <diagonal/>
    </border>
    <border>
      <left style="dotted">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dotted">
        <color indexed="64"/>
      </right>
      <top style="medium">
        <color indexed="64"/>
      </top>
      <bottom/>
      <diagonal/>
    </border>
    <border>
      <left style="thin">
        <color indexed="64"/>
      </left>
      <right style="thin">
        <color indexed="64"/>
      </right>
      <top style="thin">
        <color indexed="64"/>
      </top>
      <bottom style="dotted">
        <color indexed="64"/>
      </bottom>
      <diagonal/>
    </border>
    <border>
      <left style="medium">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diagonal/>
    </border>
    <border>
      <left style="thin">
        <color indexed="64"/>
      </left>
      <right style="dotted">
        <color indexed="64"/>
      </right>
      <top style="mediumDashed">
        <color indexed="64"/>
      </top>
      <bottom style="mediumDashed">
        <color indexed="64"/>
      </bottom>
      <diagonal/>
    </border>
    <border>
      <left style="dotted">
        <color auto="1"/>
      </left>
      <right/>
      <top style="dotted">
        <color auto="1"/>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dotted">
        <color indexed="64"/>
      </top>
      <bottom/>
      <diagonal/>
    </border>
    <border>
      <left style="medium">
        <color indexed="64"/>
      </left>
      <right style="dotted">
        <color indexed="64"/>
      </right>
      <top/>
      <bottom style="thin">
        <color indexed="64"/>
      </bottom>
      <diagonal/>
    </border>
    <border>
      <left/>
      <right style="medium">
        <color indexed="64"/>
      </right>
      <top/>
      <bottom style="dashed">
        <color indexed="64"/>
      </bottom>
      <diagonal/>
    </border>
    <border>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right style="thin">
        <color indexed="64"/>
      </right>
      <top style="dotted">
        <color auto="1"/>
      </top>
      <bottom style="dotted">
        <color auto="1"/>
      </bottom>
      <diagonal/>
    </border>
    <border>
      <left/>
      <right style="thin">
        <color indexed="64"/>
      </right>
      <top style="dotted">
        <color auto="1"/>
      </top>
      <bottom style="medium">
        <color indexed="64"/>
      </bottom>
      <diagonal/>
    </border>
    <border>
      <left/>
      <right style="thin">
        <color indexed="64"/>
      </right>
      <top style="thin">
        <color indexed="64"/>
      </top>
      <bottom style="dotted">
        <color indexed="64"/>
      </bottom>
      <diagonal/>
    </border>
    <border>
      <left style="dotted">
        <color auto="1"/>
      </left>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dotted">
        <color auto="1"/>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hair">
        <color auto="1"/>
      </left>
      <right style="hair">
        <color auto="1"/>
      </right>
      <top style="hair">
        <color auto="1"/>
      </top>
      <bottom style="medium">
        <color indexed="64"/>
      </bottom>
      <diagonal/>
    </border>
    <border>
      <left style="hair">
        <color auto="1"/>
      </left>
      <right style="hair">
        <color auto="1"/>
      </right>
      <top style="hair">
        <color auto="1"/>
      </top>
      <bottom style="hair">
        <color auto="1"/>
      </bottom>
      <diagonal/>
    </border>
    <border>
      <left style="thin">
        <color indexed="64"/>
      </left>
      <right/>
      <top/>
      <bottom style="dotted">
        <color auto="1"/>
      </bottom>
      <diagonal/>
    </border>
    <border>
      <left style="dotted">
        <color indexed="64"/>
      </left>
      <right/>
      <top style="thin">
        <color indexed="64"/>
      </top>
      <bottom/>
      <diagonal/>
    </border>
    <border>
      <left/>
      <right/>
      <top style="hair">
        <color auto="1"/>
      </top>
      <bottom/>
      <diagonal/>
    </border>
    <border>
      <left style="hair">
        <color auto="1"/>
      </left>
      <right/>
      <top/>
      <bottom/>
      <diagonal/>
    </border>
    <border>
      <left/>
      <right style="hair">
        <color auto="1"/>
      </right>
      <top/>
      <bottom/>
      <diagonal/>
    </border>
    <border>
      <left/>
      <right style="mediumDashed">
        <color indexed="64"/>
      </right>
      <top style="dotted">
        <color indexed="64"/>
      </top>
      <bottom/>
      <diagonal/>
    </border>
    <border>
      <left/>
      <right style="mediumDashed">
        <color indexed="64"/>
      </right>
      <top/>
      <bottom style="dotted">
        <color indexed="64"/>
      </bottom>
      <diagonal/>
    </border>
    <border>
      <left style="medium">
        <color indexed="64"/>
      </left>
      <right style="hair">
        <color auto="1"/>
      </right>
      <top style="hair">
        <color auto="1"/>
      </top>
      <bottom style="medium">
        <color indexed="64"/>
      </bottom>
      <diagonal/>
    </border>
    <border>
      <left style="medium">
        <color indexed="64"/>
      </left>
      <right style="thin">
        <color indexed="64"/>
      </right>
      <top/>
      <bottom style="medium">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style="dotted">
        <color indexed="64"/>
      </left>
      <right/>
      <top/>
      <bottom style="mediumDashed">
        <color indexed="64"/>
      </bottom>
      <diagonal/>
    </border>
    <border>
      <left style="medium">
        <color indexed="64"/>
      </left>
      <right/>
      <top style="dotted">
        <color auto="1"/>
      </top>
      <bottom style="thin">
        <color indexed="64"/>
      </bottom>
      <diagonal/>
    </border>
    <border>
      <left/>
      <right/>
      <top/>
      <bottom style="medium">
        <color rgb="FFDEDEDE"/>
      </bottom>
      <diagonal/>
    </border>
    <border>
      <left style="medium">
        <color indexed="64"/>
      </left>
      <right/>
      <top/>
      <bottom style="dotted">
        <color indexed="64"/>
      </bottom>
      <diagonal/>
    </border>
    <border>
      <left/>
      <right/>
      <top style="mediumDashed">
        <color rgb="FFFF0000"/>
      </top>
      <bottom/>
      <diagonal/>
    </border>
    <border>
      <left/>
      <right/>
      <top/>
      <bottom style="mediumDashed">
        <color rgb="FFFF0000"/>
      </bottom>
      <diagonal/>
    </border>
    <border>
      <left style="mediumDashed">
        <color rgb="FFFF0000"/>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style="mediumDashed">
        <color rgb="FFFF0000"/>
      </right>
      <top/>
      <bottom style="mediumDashed">
        <color rgb="FFFF0000"/>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right style="dotted">
        <color indexed="64"/>
      </right>
      <top style="thin">
        <color indexed="64"/>
      </top>
      <bottom/>
      <diagonal/>
    </border>
    <border>
      <left style="thick">
        <color theme="9" tint="0.39991454817346722"/>
      </left>
      <right/>
      <top/>
      <bottom/>
      <diagonal/>
    </border>
    <border>
      <left/>
      <right style="thick">
        <color theme="9" tint="0.39991454817346722"/>
      </right>
      <top/>
      <bottom/>
      <diagonal/>
    </border>
    <border>
      <left style="thick">
        <color theme="9" tint="0.39991454817346722"/>
      </left>
      <right/>
      <top/>
      <bottom style="thin">
        <color indexed="64"/>
      </bottom>
      <diagonal/>
    </border>
    <border>
      <left/>
      <right style="thick">
        <color theme="9" tint="0.39991454817346722"/>
      </right>
      <top/>
      <bottom style="thin">
        <color indexed="64"/>
      </bottom>
      <diagonal/>
    </border>
    <border>
      <left style="thick">
        <color theme="9" tint="0.39991454817346722"/>
      </left>
      <right/>
      <top style="thin">
        <color indexed="64"/>
      </top>
      <bottom style="thin">
        <color indexed="64"/>
      </bottom>
      <diagonal/>
    </border>
    <border>
      <left/>
      <right style="thick">
        <color theme="9" tint="0.39991454817346722"/>
      </right>
      <top style="thin">
        <color indexed="64"/>
      </top>
      <bottom style="thin">
        <color indexed="64"/>
      </bottom>
      <diagonal/>
    </border>
    <border>
      <left style="thick">
        <color theme="9" tint="0.39991454817346722"/>
      </left>
      <right/>
      <top style="thin">
        <color indexed="64"/>
      </top>
      <bottom/>
      <diagonal/>
    </border>
    <border>
      <left style="thin">
        <color indexed="64"/>
      </left>
      <right style="thick">
        <color theme="9" tint="0.39991454817346722"/>
      </right>
      <top/>
      <bottom style="thin">
        <color indexed="64"/>
      </bottom>
      <diagonal/>
    </border>
    <border>
      <left style="thick">
        <color theme="9" tint="0.39991454817346722"/>
      </left>
      <right/>
      <top style="thin">
        <color indexed="64"/>
      </top>
      <bottom style="thick">
        <color theme="9" tint="0.39991454817346722"/>
      </bottom>
      <diagonal/>
    </border>
    <border>
      <left/>
      <right/>
      <top style="thin">
        <color indexed="64"/>
      </top>
      <bottom style="thick">
        <color theme="9" tint="0.39991454817346722"/>
      </bottom>
      <diagonal/>
    </border>
    <border>
      <left style="thin">
        <color indexed="64"/>
      </left>
      <right/>
      <top style="thin">
        <color indexed="64"/>
      </top>
      <bottom style="thick">
        <color theme="9" tint="0.39991454817346722"/>
      </bottom>
      <diagonal/>
    </border>
    <border>
      <left/>
      <right style="thick">
        <color theme="9" tint="0.39991454817346722"/>
      </right>
      <top style="thin">
        <color indexed="64"/>
      </top>
      <bottom style="thick">
        <color theme="9" tint="0.39991454817346722"/>
      </bottom>
      <diagonal/>
    </border>
    <border>
      <left style="thick">
        <color theme="6" tint="0.39994506668294322"/>
      </left>
      <right/>
      <top/>
      <bottom/>
      <diagonal/>
    </border>
    <border>
      <left/>
      <right style="mediumDashed">
        <color theme="6" tint="0.39994506668294322"/>
      </right>
      <top/>
      <bottom/>
      <diagonal/>
    </border>
    <border>
      <left style="thick">
        <color theme="6" tint="0.39994506668294322"/>
      </left>
      <right/>
      <top/>
      <bottom style="thin">
        <color indexed="64"/>
      </bottom>
      <diagonal/>
    </border>
    <border>
      <left style="thick">
        <color theme="6" tint="0.39994506668294322"/>
      </left>
      <right/>
      <top style="thin">
        <color indexed="64"/>
      </top>
      <bottom style="thin">
        <color indexed="64"/>
      </bottom>
      <diagonal/>
    </border>
    <border>
      <left style="thick">
        <color theme="6" tint="0.39991454817346722"/>
      </left>
      <right/>
      <top/>
      <bottom/>
      <diagonal/>
    </border>
    <border>
      <left style="double">
        <color theme="6" tint="0.39994506668294322"/>
      </left>
      <right/>
      <top/>
      <bottom/>
      <diagonal/>
    </border>
    <border>
      <left style="double">
        <color theme="6" tint="0.39994506668294322"/>
      </left>
      <right/>
      <top/>
      <bottom style="thin">
        <color indexed="64"/>
      </bottom>
      <diagonal/>
    </border>
    <border>
      <left style="double">
        <color theme="6" tint="0.39994506668294322"/>
      </left>
      <right/>
      <top style="thin">
        <color indexed="64"/>
      </top>
      <bottom style="thin">
        <color indexed="64"/>
      </bottom>
      <diagonal/>
    </border>
    <border>
      <left style="double">
        <color theme="6" tint="0.39994506668294322"/>
      </left>
      <right/>
      <top style="thin">
        <color indexed="64"/>
      </top>
      <bottom/>
      <diagonal/>
    </border>
    <border>
      <left style="thick">
        <color rgb="FF8EB868"/>
      </left>
      <right/>
      <top style="thick">
        <color rgb="FF8EB868"/>
      </top>
      <bottom/>
      <diagonal/>
    </border>
    <border>
      <left/>
      <right/>
      <top style="thick">
        <color rgb="FF8EB868"/>
      </top>
      <bottom/>
      <diagonal/>
    </border>
    <border>
      <left/>
      <right style="thick">
        <color rgb="FF8EB868"/>
      </right>
      <top style="thick">
        <color rgb="FF8EB868"/>
      </top>
      <bottom/>
      <diagonal/>
    </border>
    <border>
      <left style="thick">
        <color rgb="FF8EB868"/>
      </left>
      <right/>
      <top/>
      <bottom/>
      <diagonal/>
    </border>
    <border>
      <left/>
      <right style="thick">
        <color rgb="FF8EB868"/>
      </right>
      <top/>
      <bottom/>
      <diagonal/>
    </border>
    <border>
      <left style="thick">
        <color rgb="FF8EB868"/>
      </left>
      <right/>
      <top/>
      <bottom style="thick">
        <color rgb="FF8EB868"/>
      </bottom>
      <diagonal/>
    </border>
    <border>
      <left style="thick">
        <color theme="6" tint="0.39994506668294322"/>
      </left>
      <right/>
      <top style="thin">
        <color indexed="64"/>
      </top>
      <bottom style="thick">
        <color rgb="FF8EB868"/>
      </bottom>
      <diagonal/>
    </border>
    <border>
      <left/>
      <right/>
      <top style="thin">
        <color indexed="64"/>
      </top>
      <bottom style="thick">
        <color rgb="FF8EB868"/>
      </bottom>
      <diagonal/>
    </border>
    <border>
      <left/>
      <right/>
      <top/>
      <bottom style="thick">
        <color rgb="FF8EB868"/>
      </bottom>
      <diagonal/>
    </border>
    <border>
      <left style="thick">
        <color theme="6" tint="0.39991454817346722"/>
      </left>
      <right/>
      <top/>
      <bottom style="thick">
        <color rgb="FF8EB868"/>
      </bottom>
      <diagonal/>
    </border>
    <border>
      <left style="mediumDashDot">
        <color indexed="64"/>
      </left>
      <right style="dotted">
        <color indexed="64"/>
      </right>
      <top style="dotted">
        <color indexed="64"/>
      </top>
      <bottom style="thick">
        <color rgb="FF8EB868"/>
      </bottom>
      <diagonal/>
    </border>
    <border>
      <left style="double">
        <color theme="6" tint="0.39994506668294322"/>
      </left>
      <right/>
      <top style="thin">
        <color indexed="64"/>
      </top>
      <bottom style="thick">
        <color rgb="FF8EB868"/>
      </bottom>
      <diagonal/>
    </border>
    <border>
      <left style="thin">
        <color indexed="64"/>
      </left>
      <right/>
      <top/>
      <bottom style="thick">
        <color rgb="FF8EB868"/>
      </bottom>
      <diagonal/>
    </border>
    <border>
      <left/>
      <right style="thick">
        <color rgb="FF8EB868"/>
      </right>
      <top/>
      <bottom style="thick">
        <color rgb="FF8EB868"/>
      </bottom>
      <diagonal/>
    </border>
    <border>
      <left style="thick">
        <color rgb="FF8EB868"/>
      </left>
      <right/>
      <top/>
      <bottom style="mediumDashed">
        <color rgb="FF8EB868"/>
      </bottom>
      <diagonal/>
    </border>
    <border>
      <left/>
      <right/>
      <top/>
      <bottom style="mediumDashed">
        <color rgb="FF8EB868"/>
      </bottom>
      <diagonal/>
    </border>
    <border>
      <left/>
      <right style="thick">
        <color rgb="FF8EB868"/>
      </right>
      <top/>
      <bottom style="mediumDashed">
        <color rgb="FF8EB868"/>
      </bottom>
      <diagonal/>
    </border>
    <border>
      <left style="thin">
        <color indexed="64"/>
      </left>
      <right/>
      <top style="dashDot">
        <color indexed="64"/>
      </top>
      <bottom style="thin">
        <color indexed="64"/>
      </bottom>
      <diagonal/>
    </border>
    <border>
      <left style="dashDotDot">
        <color auto="1"/>
      </left>
      <right/>
      <top style="dashDotDot">
        <color auto="1"/>
      </top>
      <bottom style="dashDotDot">
        <color auto="1"/>
      </bottom>
      <diagonal/>
    </border>
    <border>
      <left/>
      <right/>
      <top style="dashDotDot">
        <color auto="1"/>
      </top>
      <bottom style="dashDotDot">
        <color auto="1"/>
      </bottom>
      <diagonal/>
    </border>
    <border>
      <left/>
      <right style="dashDotDot">
        <color auto="1"/>
      </right>
      <top style="dashDotDot">
        <color auto="1"/>
      </top>
      <bottom style="dashDotDot">
        <color auto="1"/>
      </bottom>
      <diagonal/>
    </border>
    <border>
      <left style="thin">
        <color indexed="64"/>
      </left>
      <right/>
      <top style="thin">
        <color indexed="64"/>
      </top>
      <bottom style="dashDot">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style="thick">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mediumDashed">
        <color indexed="64"/>
      </left>
      <right/>
      <top style="thin">
        <color indexed="64"/>
      </top>
      <bottom style="thin">
        <color indexed="64"/>
      </bottom>
      <diagonal/>
    </border>
    <border>
      <left style="mediumDashed">
        <color indexed="64"/>
      </left>
      <right/>
      <top style="thin">
        <color indexed="64"/>
      </top>
      <bottom/>
      <diagonal/>
    </border>
    <border>
      <left style="mediumDashed">
        <color indexed="64"/>
      </left>
      <right style="dotted">
        <color indexed="64"/>
      </right>
      <top/>
      <bottom style="thin">
        <color indexed="64"/>
      </bottom>
      <diagonal/>
    </border>
    <border>
      <left style="mediumDashed">
        <color indexed="64"/>
      </left>
      <right style="dotted">
        <color indexed="64"/>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
      <left style="mediumDashed">
        <color indexed="64"/>
      </left>
      <right/>
      <top style="medium">
        <color indexed="64"/>
      </top>
      <bottom style="thin">
        <color indexed="64"/>
      </bottom>
      <diagonal/>
    </border>
    <border>
      <left/>
      <right style="mediumDashed">
        <color indexed="64"/>
      </right>
      <top style="medium">
        <color indexed="64"/>
      </top>
      <bottom style="thin">
        <color indexed="64"/>
      </bottom>
      <diagonal/>
    </border>
    <border>
      <left style="mediumDashed">
        <color indexed="64"/>
      </left>
      <right style="thin">
        <color indexed="64"/>
      </right>
      <top/>
      <bottom style="thin">
        <color indexed="64"/>
      </bottom>
      <diagonal/>
    </border>
    <border>
      <left style="mediumDashDot">
        <color indexed="64"/>
      </left>
      <right style="mediumDashed">
        <color indexed="64"/>
      </right>
      <top style="thin">
        <color indexed="64"/>
      </top>
      <bottom style="thin">
        <color indexed="64"/>
      </bottom>
      <diagonal/>
    </border>
    <border>
      <left style="mediumDashDot">
        <color indexed="64"/>
      </left>
      <right style="mediumDashed">
        <color indexed="64"/>
      </right>
      <top/>
      <bottom style="thin">
        <color indexed="64"/>
      </bottom>
      <diagonal/>
    </border>
    <border>
      <left/>
      <right style="mediumDashDot">
        <color indexed="64"/>
      </right>
      <top style="thin">
        <color indexed="64"/>
      </top>
      <bottom style="thin">
        <color indexed="64"/>
      </bottom>
      <diagonal/>
    </border>
    <border>
      <left style="mediumDashDot">
        <color indexed="64"/>
      </left>
      <right style="medium">
        <color indexed="64"/>
      </right>
      <top style="thin">
        <color indexed="64"/>
      </top>
      <bottom style="thin">
        <color indexed="64"/>
      </bottom>
      <diagonal/>
    </border>
    <border>
      <left style="mediumDashDot">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Dot">
        <color indexed="64"/>
      </left>
      <right style="mediumDashed">
        <color indexed="64"/>
      </right>
      <top/>
      <bottom/>
      <diagonal/>
    </border>
    <border>
      <left style="mediumDashDot">
        <color indexed="64"/>
      </left>
      <right style="medium">
        <color indexed="64"/>
      </right>
      <top/>
      <bottom/>
      <diagonal/>
    </border>
    <border>
      <left style="mediumDashed">
        <color indexed="64"/>
      </left>
      <right style="thin">
        <color indexed="64"/>
      </right>
      <top/>
      <bottom/>
      <diagonal/>
    </border>
    <border>
      <left style="mediumDashDot">
        <color indexed="64"/>
      </left>
      <right style="medium">
        <color indexed="64"/>
      </right>
      <top style="thin">
        <color indexed="64"/>
      </top>
      <bottom/>
      <diagonal/>
    </border>
    <border>
      <left style="mediumDashed">
        <color indexed="64"/>
      </left>
      <right style="thin">
        <color indexed="64"/>
      </right>
      <top style="thin">
        <color indexed="64"/>
      </top>
      <bottom/>
      <diagonal/>
    </border>
    <border>
      <left style="mediumDashDot">
        <color indexed="64"/>
      </left>
      <right/>
      <top/>
      <bottom style="thin">
        <color indexed="64"/>
      </bottom>
      <diagonal/>
    </border>
    <border>
      <left style="mediumDashDot">
        <color indexed="64"/>
      </left>
      <right style="mediumDashed">
        <color indexed="64"/>
      </right>
      <top style="medium">
        <color indexed="64"/>
      </top>
      <bottom style="thin">
        <color indexed="64"/>
      </bottom>
      <diagonal/>
    </border>
    <border>
      <left style="mediumDashDot">
        <color indexed="64"/>
      </left>
      <right style="mediumDashDot">
        <color indexed="64"/>
      </right>
      <top style="thin">
        <color indexed="64"/>
      </top>
      <bottom style="thin">
        <color indexed="64"/>
      </bottom>
      <diagonal/>
    </border>
    <border>
      <left style="mediumDashDot">
        <color indexed="64"/>
      </left>
      <right style="mediumDashDot">
        <color indexed="64"/>
      </right>
      <top/>
      <bottom style="thin">
        <color indexed="64"/>
      </bottom>
      <diagonal/>
    </border>
    <border>
      <left style="mediumDashDot">
        <color indexed="64"/>
      </left>
      <right style="medium">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thin">
        <color indexed="64"/>
      </top>
      <bottom style="medium">
        <color indexed="64"/>
      </bottom>
      <diagonal/>
    </border>
    <border>
      <left style="mediumDashed">
        <color indexed="64"/>
      </left>
      <right style="mediumDashed">
        <color indexed="64"/>
      </right>
      <top style="thin">
        <color indexed="64"/>
      </top>
      <bottom style="mediumDashed">
        <color indexed="64"/>
      </bottom>
      <diagonal/>
    </border>
    <border>
      <left style="mediumDashDot">
        <color indexed="64"/>
      </left>
      <right style="medium">
        <color indexed="64"/>
      </right>
      <top/>
      <bottom style="mediumDashed">
        <color indexed="64"/>
      </bottom>
      <diagonal/>
    </border>
    <border>
      <left style="dashed">
        <color indexed="64"/>
      </left>
      <right style="medium">
        <color indexed="64"/>
      </right>
      <top style="dashed">
        <color indexed="64"/>
      </top>
      <bottom style="dashed">
        <color indexed="64"/>
      </bottom>
      <diagonal/>
    </border>
    <border>
      <left style="dotted">
        <color auto="1"/>
      </left>
      <right/>
      <top style="medium">
        <color indexed="64"/>
      </top>
      <bottom style="mediumDashed">
        <color auto="1"/>
      </bottom>
      <diagonal/>
    </border>
    <border>
      <left/>
      <right style="thin">
        <color indexed="64"/>
      </right>
      <top/>
      <bottom style="dotted">
        <color auto="1"/>
      </bottom>
      <diagonal/>
    </border>
    <border>
      <left/>
      <right/>
      <top style="medium">
        <color indexed="64"/>
      </top>
      <bottom style="mediumDashed">
        <color auto="1"/>
      </bottom>
      <diagonal/>
    </border>
    <border>
      <left/>
      <right style="dashDotDot">
        <color auto="1"/>
      </right>
      <top/>
      <bottom/>
      <diagonal/>
    </border>
    <border>
      <left style="dotted">
        <color auto="1"/>
      </left>
      <right style="dotted">
        <color auto="1"/>
      </right>
      <top style="dotted">
        <color auto="1"/>
      </top>
      <bottom style="dashed">
        <color auto="1"/>
      </bottom>
      <diagonal/>
    </border>
    <border>
      <left style="dashed">
        <color indexed="64"/>
      </left>
      <right style="thin">
        <color indexed="64"/>
      </right>
      <top style="thin">
        <color indexed="64"/>
      </top>
      <bottom/>
      <diagonal/>
    </border>
    <border>
      <left style="dashed">
        <color indexed="64"/>
      </left>
      <right style="thin">
        <color indexed="64"/>
      </right>
      <top/>
      <bottom style="medium">
        <color indexed="64"/>
      </bottom>
      <diagonal/>
    </border>
    <border>
      <left style="dashDotDot">
        <color indexed="64"/>
      </left>
      <right style="dashed">
        <color indexed="64"/>
      </right>
      <top/>
      <bottom style="medium">
        <color indexed="64"/>
      </bottom>
      <diagonal/>
    </border>
    <border>
      <left style="dashDotDot">
        <color indexed="64"/>
      </left>
      <right style="dashed">
        <color indexed="64"/>
      </right>
      <top style="thin">
        <color indexed="64"/>
      </top>
      <bottom/>
      <diagonal/>
    </border>
    <border>
      <left/>
      <right style="thin">
        <color indexed="64"/>
      </right>
      <top style="mediumDashed">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bottom/>
      <diagonal/>
    </border>
    <border>
      <left style="dashDotDot">
        <color indexed="64"/>
      </left>
      <right style="thin">
        <color indexed="64"/>
      </right>
      <top/>
      <bottom/>
      <diagonal/>
    </border>
    <border>
      <left style="dashed">
        <color indexed="64"/>
      </left>
      <right style="thin">
        <color indexed="64"/>
      </right>
      <top/>
      <bottom/>
      <diagonal/>
    </border>
    <border>
      <left style="thin">
        <color indexed="64"/>
      </left>
      <right style="dashed">
        <color indexed="64"/>
      </right>
      <top style="medium">
        <color indexed="64"/>
      </top>
      <bottom/>
      <diagonal/>
    </border>
    <border>
      <left style="dashed">
        <color indexed="64"/>
      </left>
      <right style="thin">
        <color indexed="64"/>
      </right>
      <top style="medium">
        <color indexed="64"/>
      </top>
      <bottom/>
      <diagonal/>
    </border>
    <border>
      <left/>
      <right/>
      <top style="dotted">
        <color indexed="64"/>
      </top>
      <bottom style="dashed">
        <color indexed="64"/>
      </bottom>
      <diagonal/>
    </border>
    <border diagonalUp="1" diagonalDown="1">
      <left style="thin">
        <color indexed="64"/>
      </left>
      <right style="thin">
        <color indexed="64"/>
      </right>
      <top style="medium">
        <color indexed="64"/>
      </top>
      <bottom/>
      <diagonal style="dotted">
        <color indexed="64"/>
      </diagonal>
    </border>
    <border>
      <left style="thin">
        <color indexed="64"/>
      </left>
      <right/>
      <top style="hair">
        <color indexed="64"/>
      </top>
      <bottom/>
      <diagonal/>
    </border>
    <border>
      <left/>
      <right style="mediumDashed">
        <color indexed="64"/>
      </right>
      <top style="hair">
        <color indexed="64"/>
      </top>
      <bottom/>
      <diagonal/>
    </border>
    <border>
      <left style="thin">
        <color indexed="64"/>
      </left>
      <right/>
      <top/>
      <bottom style="hair">
        <color indexed="64"/>
      </bottom>
      <diagonal/>
    </border>
    <border>
      <left/>
      <right style="mediumDashed">
        <color indexed="64"/>
      </right>
      <top/>
      <bottom style="hair">
        <color indexed="64"/>
      </bottom>
      <diagonal/>
    </border>
    <border>
      <left style="thick">
        <color auto="1"/>
      </left>
      <right style="thick">
        <color auto="1"/>
      </right>
      <top style="thick">
        <color auto="1"/>
      </top>
      <bottom style="thin">
        <color indexed="64"/>
      </bottom>
      <diagonal/>
    </border>
    <border>
      <left style="thick">
        <color auto="1"/>
      </left>
      <right style="thick">
        <color auto="1"/>
      </right>
      <top style="thin">
        <color indexed="64"/>
      </top>
      <bottom style="thin">
        <color indexed="64"/>
      </bottom>
      <diagonal/>
    </border>
    <border>
      <left style="thick">
        <color auto="1"/>
      </left>
      <right style="thick">
        <color auto="1"/>
      </right>
      <top style="thin">
        <color indexed="64"/>
      </top>
      <bottom style="thick">
        <color auto="1"/>
      </bottom>
      <diagonal/>
    </border>
    <border>
      <left style="thin">
        <color indexed="64"/>
      </left>
      <right style="medium">
        <color indexed="64"/>
      </right>
      <top style="dotted">
        <color indexed="64"/>
      </top>
      <bottom/>
      <diagonal/>
    </border>
    <border diagonalUp="1" diagonalDown="1">
      <left style="dotted">
        <color auto="1"/>
      </left>
      <right style="dotted">
        <color auto="1"/>
      </right>
      <top style="dotted">
        <color auto="1"/>
      </top>
      <bottom style="dotted">
        <color auto="1"/>
      </bottom>
      <diagonal style="dotted">
        <color auto="1"/>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auto="1"/>
      </left>
      <right style="thin">
        <color indexed="64"/>
      </right>
      <top style="medium">
        <color indexed="64"/>
      </top>
      <bottom/>
      <diagonal/>
    </border>
    <border>
      <left style="thin">
        <color indexed="64"/>
      </left>
      <right style="dotted">
        <color auto="1"/>
      </right>
      <top style="thin">
        <color indexed="64"/>
      </top>
      <bottom style="thin">
        <color indexed="64"/>
      </bottom>
      <diagonal/>
    </border>
    <border>
      <left style="thin">
        <color indexed="64"/>
      </left>
      <right style="dotted">
        <color auto="1"/>
      </right>
      <top style="medium">
        <color indexed="64"/>
      </top>
      <bottom style="medium">
        <color indexed="64"/>
      </bottom>
      <diagonal/>
    </border>
    <border>
      <left style="thin">
        <color indexed="64"/>
      </left>
      <right style="dotted">
        <color auto="1"/>
      </right>
      <top/>
      <bottom style="thin">
        <color indexed="64"/>
      </bottom>
      <diagonal/>
    </border>
    <border>
      <left style="thin">
        <color indexed="64"/>
      </left>
      <right style="dashed">
        <color indexed="64"/>
      </right>
      <top/>
      <bottom style="dotted">
        <color auto="1"/>
      </bottom>
      <diagonal/>
    </border>
    <border>
      <left style="dashed">
        <color indexed="64"/>
      </left>
      <right style="thin">
        <color indexed="64"/>
      </right>
      <top/>
      <bottom style="dotted">
        <color auto="1"/>
      </bottom>
      <diagonal/>
    </border>
    <border>
      <left style="dotted">
        <color indexed="64"/>
      </left>
      <right/>
      <top style="dotted">
        <color indexed="64"/>
      </top>
      <bottom style="medium">
        <color indexed="64"/>
      </bottom>
      <diagonal/>
    </border>
    <border>
      <left style="thin">
        <color indexed="64"/>
      </left>
      <right style="dotted">
        <color indexed="64"/>
      </right>
      <top style="dotted">
        <color indexed="64"/>
      </top>
      <bottom style="dotted">
        <color indexed="64"/>
      </bottom>
      <diagonal/>
    </border>
    <border>
      <left/>
      <right style="thin">
        <color indexed="64"/>
      </right>
      <top style="dotted">
        <color indexed="64"/>
      </top>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Dashed">
        <color indexed="64"/>
      </left>
      <right/>
      <top/>
      <bottom style="thin">
        <color indexed="64"/>
      </bottom>
      <diagonal/>
    </border>
    <border>
      <left style="mediumDashed">
        <color indexed="64"/>
      </left>
      <right/>
      <top style="thin">
        <color indexed="64"/>
      </top>
      <bottom style="medium">
        <color indexed="64"/>
      </bottom>
      <diagonal/>
    </border>
    <border>
      <left style="mediumDashDot">
        <color indexed="64"/>
      </left>
      <right style="mediumDashed">
        <color indexed="64"/>
      </right>
      <top style="thin">
        <color indexed="64"/>
      </top>
      <bottom style="medium">
        <color indexed="64"/>
      </bottom>
      <diagonal/>
    </border>
    <border>
      <left style="mediumDashDot">
        <color indexed="64"/>
      </left>
      <right style="medium">
        <color indexed="64"/>
      </right>
      <top style="thin">
        <color indexed="64"/>
      </top>
      <bottom style="medium">
        <color indexed="64"/>
      </bottom>
      <diagonal/>
    </border>
    <border>
      <left style="mediumDashed">
        <color indexed="64"/>
      </left>
      <right style="thin">
        <color indexed="64"/>
      </right>
      <top style="thin">
        <color indexed="64"/>
      </top>
      <bottom style="medium">
        <color indexed="64"/>
      </bottom>
      <diagonal/>
    </border>
    <border>
      <left/>
      <right style="dotted">
        <color indexed="64"/>
      </right>
      <top style="dotted">
        <color indexed="64"/>
      </top>
      <bottom style="thin">
        <color indexed="64"/>
      </bottom>
      <diagonal/>
    </border>
    <border>
      <left style="thin">
        <color indexed="64"/>
      </left>
      <right style="thick">
        <color indexed="64"/>
      </right>
      <top style="thin">
        <color indexed="64"/>
      </top>
      <bottom style="dotted">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thin">
        <color rgb="FF000000"/>
      </left>
      <right style="thin">
        <color rgb="FF000000"/>
      </right>
      <top/>
      <bottom style="thin">
        <color rgb="FF000000"/>
      </bottom>
      <diagonal/>
    </border>
    <border>
      <left style="thin">
        <color indexed="64"/>
      </left>
      <right/>
      <top style="dotted">
        <color indexed="64"/>
      </top>
      <bottom style="thin">
        <color indexed="64"/>
      </bottom>
      <diagonal/>
    </border>
    <border>
      <left/>
      <right style="thin">
        <color indexed="64"/>
      </right>
      <top style="dotted">
        <color auto="1"/>
      </top>
      <bottom style="thin">
        <color indexed="64"/>
      </bottom>
      <diagonal/>
    </border>
    <border>
      <left style="dotted">
        <color indexed="64"/>
      </left>
      <right style="dotted">
        <color indexed="64"/>
      </right>
      <top style="thin">
        <color indexed="64"/>
      </top>
      <bottom style="dashed">
        <color indexed="64"/>
      </bottom>
      <diagonal/>
    </border>
    <border>
      <left style="thin">
        <color indexed="64"/>
      </left>
      <right/>
      <top style="double">
        <color indexed="64"/>
      </top>
      <bottom/>
      <diagonal/>
    </border>
    <border>
      <left style="dotted">
        <color indexed="64"/>
      </left>
      <right style="dotted">
        <color indexed="64"/>
      </right>
      <top/>
      <bottom style="dashed">
        <color indexed="64"/>
      </bottom>
      <diagonal/>
    </border>
    <border>
      <left/>
      <right style="thin">
        <color indexed="64"/>
      </right>
      <top/>
      <bottom style="dashed">
        <color indexed="64"/>
      </bottom>
      <diagonal/>
    </border>
    <border>
      <left style="dashDotDot">
        <color auto="1"/>
      </left>
      <right/>
      <top/>
      <bottom/>
      <diagonal/>
    </border>
    <border>
      <left/>
      <right style="medium">
        <color indexed="64"/>
      </right>
      <top style="dotted">
        <color indexed="64"/>
      </top>
      <bottom/>
      <diagonal/>
    </border>
  </borders>
  <cellStyleXfs count="6">
    <xf numFmtId="0" fontId="0" fillId="0" borderId="0"/>
    <xf numFmtId="9" fontId="2" fillId="0" borderId="0" applyFont="0" applyFill="0" applyBorder="0" applyAlignment="0" applyProtection="0"/>
    <xf numFmtId="178" fontId="124" fillId="0" borderId="0"/>
    <xf numFmtId="0" fontId="240" fillId="0" borderId="0" applyNumberFormat="0" applyFill="0" applyBorder="0" applyAlignment="0" applyProtection="0"/>
    <xf numFmtId="0" fontId="1" fillId="0" borderId="0"/>
    <xf numFmtId="0" fontId="260" fillId="0" borderId="0" applyNumberFormat="0" applyFill="0" applyBorder="0" applyAlignment="0" applyProtection="0"/>
  </cellStyleXfs>
  <cellXfs count="4487">
    <xf numFmtId="0" fontId="0" fillId="0" borderId="0" xfId="0"/>
    <xf numFmtId="0" fontId="6" fillId="2" borderId="0" xfId="0" applyFont="1" applyFill="1"/>
    <xf numFmtId="0" fontId="7" fillId="2" borderId="0" xfId="0" applyFont="1" applyFill="1"/>
    <xf numFmtId="0" fontId="7" fillId="0" borderId="0" xfId="0" applyFont="1"/>
    <xf numFmtId="0" fontId="9" fillId="0" borderId="1" xfId="0" applyFont="1" applyBorder="1" applyAlignment="1">
      <alignment horizontal="center"/>
    </xf>
    <xf numFmtId="164" fontId="11" fillId="2" borderId="0" xfId="0" applyNumberFormat="1" applyFont="1" applyFill="1"/>
    <xf numFmtId="0" fontId="7" fillId="0" borderId="3" xfId="0" applyFont="1" applyBorder="1"/>
    <xf numFmtId="3" fontId="7" fillId="0" borderId="4" xfId="0" applyNumberFormat="1" applyFont="1" applyBorder="1"/>
    <xf numFmtId="2" fontId="12" fillId="0" borderId="4" xfId="0" applyNumberFormat="1" applyFont="1" applyBorder="1" applyAlignment="1">
      <alignment horizontal="center"/>
    </xf>
    <xf numFmtId="3" fontId="7" fillId="0" borderId="4" xfId="0" applyNumberFormat="1" applyFont="1" applyBorder="1" applyAlignment="1">
      <alignment horizontal="center"/>
    </xf>
    <xf numFmtId="2" fontId="7" fillId="0" borderId="4" xfId="0" applyNumberFormat="1" applyFont="1" applyBorder="1" applyAlignment="1">
      <alignment horizontal="center"/>
    </xf>
    <xf numFmtId="49" fontId="7" fillId="2" borderId="0" xfId="0" applyNumberFormat="1" applyFont="1" applyFill="1"/>
    <xf numFmtId="166" fontId="14" fillId="2" borderId="0" xfId="0" applyNumberFormat="1" applyFont="1" applyFill="1"/>
    <xf numFmtId="0" fontId="15" fillId="2" borderId="0" xfId="0" applyFont="1" applyFill="1"/>
    <xf numFmtId="0" fontId="13" fillId="2" borderId="0" xfId="0" applyFont="1" applyFill="1"/>
    <xf numFmtId="0" fontId="13" fillId="0" borderId="0" xfId="0" applyFont="1"/>
    <xf numFmtId="0" fontId="13" fillId="0" borderId="2" xfId="0" applyFont="1" applyBorder="1" applyAlignment="1">
      <alignment wrapText="1"/>
    </xf>
    <xf numFmtId="0" fontId="13" fillId="0" borderId="1" xfId="0" applyFont="1" applyBorder="1" applyAlignment="1">
      <alignment horizontal="right" wrapText="1"/>
    </xf>
    <xf numFmtId="3" fontId="14" fillId="2" borderId="0" xfId="0" applyNumberFormat="1" applyFont="1" applyFill="1"/>
    <xf numFmtId="0" fontId="7" fillId="2" borderId="8" xfId="0" applyFont="1" applyFill="1" applyBorder="1"/>
    <xf numFmtId="3" fontId="14" fillId="2" borderId="0" xfId="0" applyNumberFormat="1" applyFont="1" applyFill="1" applyAlignment="1">
      <alignment horizontal="right"/>
    </xf>
    <xf numFmtId="0" fontId="7" fillId="0" borderId="10" xfId="0" applyFont="1" applyBorder="1"/>
    <xf numFmtId="3" fontId="8" fillId="2" borderId="0" xfId="0" applyNumberFormat="1" applyFont="1" applyFill="1"/>
    <xf numFmtId="3" fontId="13" fillId="0" borderId="0" xfId="0" applyNumberFormat="1" applyFont="1"/>
    <xf numFmtId="0" fontId="7" fillId="2" borderId="0" xfId="0" applyFont="1" applyFill="1" applyAlignment="1">
      <alignment vertical="center"/>
    </xf>
    <xf numFmtId="0" fontId="17" fillId="0" borderId="0" xfId="0" applyFont="1"/>
    <xf numFmtId="0" fontId="7" fillId="2" borderId="0" xfId="0" applyFont="1" applyFill="1" applyAlignment="1">
      <alignment horizontal="center"/>
    </xf>
    <xf numFmtId="49" fontId="7" fillId="2" borderId="8" xfId="0" applyNumberFormat="1" applyFont="1" applyFill="1" applyBorder="1"/>
    <xf numFmtId="3" fontId="7" fillId="2" borderId="0" xfId="0" applyNumberFormat="1" applyFont="1" applyFill="1" applyAlignment="1">
      <alignment horizontal="right"/>
    </xf>
    <xf numFmtId="0" fontId="13" fillId="2" borderId="8" xfId="0" applyFont="1" applyFill="1" applyBorder="1"/>
    <xf numFmtId="49" fontId="6" fillId="2" borderId="0" xfId="0" applyNumberFormat="1" applyFont="1" applyFill="1"/>
    <xf numFmtId="0" fontId="11" fillId="2" borderId="0" xfId="0" applyFont="1" applyFill="1"/>
    <xf numFmtId="49" fontId="15" fillId="2" borderId="0" xfId="0" applyNumberFormat="1" applyFont="1" applyFill="1" applyAlignment="1">
      <alignment horizontal="center"/>
    </xf>
    <xf numFmtId="0" fontId="11" fillId="2" borderId="0" xfId="0" applyFont="1" applyFill="1" applyAlignment="1">
      <alignment horizontal="center"/>
    </xf>
    <xf numFmtId="0" fontId="15" fillId="0" borderId="0" xfId="0" applyFont="1"/>
    <xf numFmtId="0" fontId="18" fillId="2" borderId="0" xfId="0" applyFont="1" applyFill="1" applyAlignment="1">
      <alignment horizontal="center"/>
    </xf>
    <xf numFmtId="0" fontId="11" fillId="0" borderId="0" xfId="0" applyFont="1"/>
    <xf numFmtId="0" fontId="19" fillId="0" borderId="0" xfId="0" applyFont="1"/>
    <xf numFmtId="49" fontId="19" fillId="0" borderId="0" xfId="0" applyNumberFormat="1" applyFont="1" applyAlignment="1">
      <alignment horizontal="center"/>
    </xf>
    <xf numFmtId="3" fontId="15" fillId="2" borderId="0" xfId="0" applyNumberFormat="1" applyFont="1" applyFill="1" applyAlignment="1">
      <alignment horizontal="center"/>
    </xf>
    <xf numFmtId="0" fontId="15" fillId="2" borderId="0" xfId="0" applyFont="1" applyFill="1" applyAlignment="1">
      <alignment horizontal="center"/>
    </xf>
    <xf numFmtId="164" fontId="11" fillId="0" borderId="8" xfId="0" applyNumberFormat="1" applyFont="1" applyBorder="1"/>
    <xf numFmtId="0" fontId="15" fillId="0" borderId="12" xfId="0" applyFont="1" applyBorder="1"/>
    <xf numFmtId="49" fontId="15" fillId="0" borderId="3" xfId="0" applyNumberFormat="1" applyFont="1" applyBorder="1" applyAlignment="1">
      <alignment horizontal="center"/>
    </xf>
    <xf numFmtId="3" fontId="11" fillId="0" borderId="3" xfId="0" applyNumberFormat="1" applyFont="1" applyBorder="1" applyAlignment="1">
      <alignment horizontal="right"/>
    </xf>
    <xf numFmtId="165" fontId="20" fillId="0" borderId="8" xfId="0" applyNumberFormat="1" applyFont="1" applyBorder="1" applyAlignment="1">
      <alignment horizontal="center"/>
    </xf>
    <xf numFmtId="164" fontId="11" fillId="0" borderId="13" xfId="0" applyNumberFormat="1" applyFont="1" applyBorder="1"/>
    <xf numFmtId="0" fontId="15" fillId="0" borderId="14" xfId="0" applyFont="1" applyBorder="1"/>
    <xf numFmtId="49" fontId="15" fillId="0" borderId="10" xfId="0" applyNumberFormat="1" applyFont="1" applyBorder="1" applyAlignment="1">
      <alignment horizontal="center"/>
    </xf>
    <xf numFmtId="3" fontId="11" fillId="0" borderId="10" xfId="0" applyNumberFormat="1" applyFont="1" applyBorder="1" applyAlignment="1">
      <alignment horizontal="right"/>
    </xf>
    <xf numFmtId="165" fontId="20" fillId="0" borderId="13" xfId="0" applyNumberFormat="1" applyFont="1" applyBorder="1" applyAlignment="1">
      <alignment horizontal="center"/>
    </xf>
    <xf numFmtId="164" fontId="11" fillId="0" borderId="0" xfId="0" applyNumberFormat="1" applyFont="1"/>
    <xf numFmtId="49" fontId="15" fillId="0" borderId="2" xfId="0" applyNumberFormat="1" applyFont="1" applyBorder="1" applyAlignment="1">
      <alignment horizontal="center"/>
    </xf>
    <xf numFmtId="165" fontId="20" fillId="0" borderId="0" xfId="0" applyNumberFormat="1" applyFont="1" applyAlignment="1">
      <alignment horizontal="center"/>
    </xf>
    <xf numFmtId="164" fontId="11" fillId="3" borderId="13" xfId="0" applyNumberFormat="1" applyFont="1" applyFill="1" applyBorder="1"/>
    <xf numFmtId="49" fontId="21" fillId="3" borderId="10" xfId="0" applyNumberFormat="1" applyFont="1" applyFill="1" applyBorder="1" applyAlignment="1">
      <alignment horizontal="center"/>
    </xf>
    <xf numFmtId="49" fontId="15" fillId="0" borderId="0" xfId="0" applyNumberFormat="1" applyFont="1" applyAlignment="1">
      <alignment horizontal="center"/>
    </xf>
    <xf numFmtId="0" fontId="11" fillId="0" borderId="0" xfId="0" applyFont="1" applyAlignment="1">
      <alignment horizontal="center"/>
    </xf>
    <xf numFmtId="0" fontId="13" fillId="0" borderId="0" xfId="0" applyFont="1" applyAlignment="1">
      <alignment horizontal="center"/>
    </xf>
    <xf numFmtId="0" fontId="19" fillId="0" borderId="0" xfId="0" applyFont="1" applyAlignment="1">
      <alignment horizontal="center"/>
    </xf>
    <xf numFmtId="166" fontId="20" fillId="0" borderId="3" xfId="0" applyNumberFormat="1" applyFont="1" applyBorder="1" applyAlignment="1">
      <alignment horizontal="center"/>
    </xf>
    <xf numFmtId="0" fontId="15" fillId="0" borderId="12" xfId="0" applyFont="1" applyBorder="1" applyAlignment="1">
      <alignment horizontal="center"/>
    </xf>
    <xf numFmtId="166" fontId="20" fillId="0" borderId="10" xfId="0" applyNumberFormat="1"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49" fontId="21" fillId="0" borderId="2" xfId="0" applyNumberFormat="1" applyFont="1" applyBorder="1" applyAlignment="1">
      <alignment horizontal="center"/>
    </xf>
    <xf numFmtId="165" fontId="20" fillId="0" borderId="2" xfId="0" applyNumberFormat="1" applyFont="1" applyBorder="1" applyAlignment="1">
      <alignment horizontal="center"/>
    </xf>
    <xf numFmtId="0" fontId="21" fillId="0" borderId="1" xfId="0" applyFont="1" applyBorder="1" applyAlignment="1">
      <alignment horizontal="center"/>
    </xf>
    <xf numFmtId="0" fontId="25" fillId="0" borderId="18" xfId="0" applyFont="1" applyBorder="1"/>
    <xf numFmtId="165" fontId="20" fillId="0" borderId="10" xfId="0" applyNumberFormat="1" applyFont="1" applyBorder="1" applyAlignment="1">
      <alignment horizontal="center"/>
    </xf>
    <xf numFmtId="0" fontId="25" fillId="0" borderId="19" xfId="0" applyFont="1" applyBorder="1"/>
    <xf numFmtId="49" fontId="26" fillId="0" borderId="2" xfId="0" applyNumberFormat="1" applyFont="1" applyBorder="1" applyAlignment="1">
      <alignment horizontal="center"/>
    </xf>
    <xf numFmtId="0" fontId="9" fillId="3" borderId="8" xfId="0" applyFont="1" applyFill="1" applyBorder="1"/>
    <xf numFmtId="49" fontId="26" fillId="0" borderId="10" xfId="0" applyNumberFormat="1" applyFont="1" applyBorder="1" applyAlignment="1">
      <alignment horizontal="center"/>
    </xf>
    <xf numFmtId="0" fontId="21" fillId="0" borderId="14" xfId="0" applyFont="1" applyBorder="1" applyAlignment="1">
      <alignment horizontal="center"/>
    </xf>
    <xf numFmtId="3" fontId="20" fillId="0" borderId="2" xfId="0" applyNumberFormat="1" applyFont="1" applyBorder="1" applyAlignment="1">
      <alignment horizontal="center"/>
    </xf>
    <xf numFmtId="0" fontId="15" fillId="0" borderId="0" xfId="0" applyFont="1" applyAlignment="1">
      <alignment horizontal="center"/>
    </xf>
    <xf numFmtId="166" fontId="9" fillId="0" borderId="12" xfId="0" applyNumberFormat="1" applyFont="1" applyBorder="1" applyAlignment="1">
      <alignment horizontal="center"/>
    </xf>
    <xf numFmtId="0" fontId="6" fillId="0" borderId="0" xfId="0" applyFont="1"/>
    <xf numFmtId="0" fontId="23" fillId="0" borderId="0" xfId="0" applyFont="1"/>
    <xf numFmtId="3" fontId="13" fillId="2" borderId="0" xfId="0" applyNumberFormat="1" applyFont="1" applyFill="1"/>
    <xf numFmtId="166" fontId="7" fillId="0" borderId="0" xfId="0" applyNumberFormat="1" applyFont="1"/>
    <xf numFmtId="0" fontId="7" fillId="2" borderId="0" xfId="0" applyFont="1" applyFill="1" applyAlignment="1">
      <alignment horizontal="right"/>
    </xf>
    <xf numFmtId="49" fontId="14" fillId="2" borderId="0" xfId="0" applyNumberFormat="1" applyFont="1" applyFill="1"/>
    <xf numFmtId="49" fontId="7" fillId="2" borderId="0" xfId="0" applyNumberFormat="1" applyFont="1" applyFill="1" applyAlignment="1">
      <alignment wrapText="1"/>
    </xf>
    <xf numFmtId="49" fontId="13" fillId="2" borderId="0" xfId="0" applyNumberFormat="1" applyFont="1" applyFill="1"/>
    <xf numFmtId="49" fontId="6" fillId="2" borderId="11" xfId="0" applyNumberFormat="1" applyFont="1" applyFill="1" applyBorder="1"/>
    <xf numFmtId="49" fontId="15" fillId="2" borderId="0" xfId="0" applyNumberFormat="1" applyFont="1" applyFill="1"/>
    <xf numFmtId="3" fontId="7" fillId="2" borderId="0" xfId="0" applyNumberFormat="1" applyFont="1" applyFill="1"/>
    <xf numFmtId="164" fontId="14" fillId="2" borderId="0" xfId="0" applyNumberFormat="1" applyFont="1" applyFill="1"/>
    <xf numFmtId="0" fontId="14" fillId="0" borderId="0" xfId="0" applyFont="1"/>
    <xf numFmtId="2" fontId="7" fillId="2" borderId="0" xfId="0" applyNumberFormat="1" applyFont="1" applyFill="1" applyAlignment="1">
      <alignment horizontal="center"/>
    </xf>
    <xf numFmtId="3" fontId="13" fillId="2" borderId="0" xfId="0" applyNumberFormat="1" applyFont="1" applyFill="1" applyAlignment="1">
      <alignment horizontal="right"/>
    </xf>
    <xf numFmtId="0" fontId="14" fillId="2" borderId="0" xfId="0" applyFont="1" applyFill="1"/>
    <xf numFmtId="0" fontId="9" fillId="2" borderId="0" xfId="0" applyFont="1" applyFill="1"/>
    <xf numFmtId="3" fontId="15" fillId="0" borderId="1" xfId="0" applyNumberFormat="1" applyFont="1" applyBorder="1" applyAlignment="1">
      <alignment horizontal="center" vertical="center"/>
    </xf>
    <xf numFmtId="1" fontId="13" fillId="6" borderId="12" xfId="0" applyNumberFormat="1" applyFont="1" applyFill="1" applyBorder="1" applyAlignment="1">
      <alignment horizontal="center"/>
    </xf>
    <xf numFmtId="1" fontId="13" fillId="6" borderId="14" xfId="0" applyNumberFormat="1" applyFont="1" applyFill="1" applyBorder="1" applyAlignment="1">
      <alignment horizontal="center"/>
    </xf>
    <xf numFmtId="1" fontId="29" fillId="6" borderId="4" xfId="0" applyNumberFormat="1" applyFont="1" applyFill="1" applyBorder="1" applyAlignment="1">
      <alignment horizontal="center"/>
    </xf>
    <xf numFmtId="0" fontId="7" fillId="6" borderId="0" xfId="0" applyFont="1" applyFill="1"/>
    <xf numFmtId="0" fontId="6" fillId="2" borderId="2" xfId="0" applyFont="1" applyFill="1" applyBorder="1"/>
    <xf numFmtId="0" fontId="7" fillId="0" borderId="8" xfId="0" applyFont="1" applyBorder="1"/>
    <xf numFmtId="0" fontId="7" fillId="0" borderId="3" xfId="0" applyFont="1" applyBorder="1" applyAlignment="1">
      <alignment shrinkToFit="1"/>
    </xf>
    <xf numFmtId="0" fontId="7" fillId="0" borderId="10" xfId="0" applyFont="1" applyBorder="1" applyAlignment="1">
      <alignment shrinkToFit="1"/>
    </xf>
    <xf numFmtId="0" fontId="11" fillId="0" borderId="14" xfId="0" applyFont="1" applyBorder="1" applyAlignment="1">
      <alignment vertical="center" wrapText="1"/>
    </xf>
    <xf numFmtId="9" fontId="40" fillId="0" borderId="14" xfId="0" applyNumberFormat="1" applyFont="1" applyBorder="1" applyAlignment="1">
      <alignment horizontal="right"/>
    </xf>
    <xf numFmtId="0" fontId="28" fillId="0" borderId="0" xfId="0" applyFont="1"/>
    <xf numFmtId="0" fontId="7" fillId="0" borderId="17" xfId="0" applyFont="1" applyBorder="1"/>
    <xf numFmtId="0" fontId="13" fillId="2" borderId="0" xfId="0" applyFont="1" applyFill="1" applyAlignment="1">
      <alignment horizontal="right"/>
    </xf>
    <xf numFmtId="3" fontId="15" fillId="0" borderId="12" xfId="0" applyNumberFormat="1" applyFont="1" applyBorder="1" applyAlignment="1">
      <alignment horizontal="right" shrinkToFit="1"/>
    </xf>
    <xf numFmtId="3" fontId="15" fillId="0" borderId="14" xfId="0" applyNumberFormat="1" applyFont="1" applyBorder="1" applyAlignment="1">
      <alignment horizontal="right" shrinkToFit="1"/>
    </xf>
    <xf numFmtId="0" fontId="24" fillId="0" borderId="0" xfId="0" applyFont="1" applyAlignment="1">
      <alignment horizontal="left"/>
    </xf>
    <xf numFmtId="0" fontId="7" fillId="0" borderId="2" xfId="0" applyFont="1" applyBorder="1"/>
    <xf numFmtId="0" fontId="13" fillId="0" borderId="17" xfId="0" applyFont="1" applyBorder="1"/>
    <xf numFmtId="4" fontId="7" fillId="0" borderId="32" xfId="0" applyNumberFormat="1" applyFont="1" applyBorder="1"/>
    <xf numFmtId="4" fontId="7" fillId="0" borderId="23" xfId="0" applyNumberFormat="1" applyFont="1" applyBorder="1"/>
    <xf numFmtId="0" fontId="13" fillId="0" borderId="2" xfId="0" applyFont="1" applyBorder="1"/>
    <xf numFmtId="0" fontId="7" fillId="0" borderId="0" xfId="0" applyFont="1" applyAlignment="1">
      <alignment horizontal="right" shrinkToFit="1"/>
    </xf>
    <xf numFmtId="0" fontId="5" fillId="0" borderId="0" xfId="0" applyFont="1"/>
    <xf numFmtId="4" fontId="13" fillId="0" borderId="23" xfId="0" applyNumberFormat="1" applyFont="1" applyBorder="1" applyAlignment="1">
      <alignment shrinkToFit="1"/>
    </xf>
    <xf numFmtId="3" fontId="11" fillId="2" borderId="17" xfId="0" applyNumberFormat="1" applyFont="1" applyFill="1" applyBorder="1" applyAlignment="1">
      <alignment wrapText="1"/>
    </xf>
    <xf numFmtId="3" fontId="11" fillId="2" borderId="0" xfId="0" applyNumberFormat="1" applyFont="1" applyFill="1"/>
    <xf numFmtId="3" fontId="7" fillId="0" borderId="8" xfId="0" applyNumberFormat="1" applyFont="1" applyBorder="1" applyAlignment="1">
      <alignment horizontal="right"/>
    </xf>
    <xf numFmtId="3" fontId="15" fillId="0" borderId="8" xfId="0" applyNumberFormat="1" applyFont="1" applyBorder="1" applyAlignment="1">
      <alignment horizontal="left" shrinkToFit="1"/>
    </xf>
    <xf numFmtId="0" fontId="24" fillId="0" borderId="14" xfId="0" applyFont="1" applyBorder="1" applyAlignment="1">
      <alignment vertical="center" wrapText="1"/>
    </xf>
    <xf numFmtId="165" fontId="20" fillId="0" borderId="23" xfId="0" applyNumberFormat="1" applyFont="1" applyBorder="1" applyAlignment="1">
      <alignment horizontal="center"/>
    </xf>
    <xf numFmtId="3" fontId="11" fillId="2" borderId="0" xfId="0" applyNumberFormat="1" applyFont="1" applyFill="1" applyAlignment="1">
      <alignment horizontal="left" wrapText="1"/>
    </xf>
    <xf numFmtId="0" fontId="7" fillId="0" borderId="0" xfId="0" applyFont="1" applyAlignment="1">
      <alignment horizontal="right"/>
    </xf>
    <xf numFmtId="0" fontId="7" fillId="2" borderId="0" xfId="0" applyFont="1" applyFill="1" applyAlignment="1">
      <alignment horizontal="right" vertical="center"/>
    </xf>
    <xf numFmtId="0" fontId="11" fillId="2" borderId="0" xfId="0" applyFont="1" applyFill="1" applyAlignment="1">
      <alignment horizontal="right" vertical="center"/>
    </xf>
    <xf numFmtId="49" fontId="55" fillId="2" borderId="0" xfId="0" applyNumberFormat="1" applyFont="1" applyFill="1"/>
    <xf numFmtId="0" fontId="57" fillId="2" borderId="0" xfId="0" applyFont="1" applyFill="1"/>
    <xf numFmtId="0" fontId="57" fillId="2" borderId="0" xfId="0" applyFont="1" applyFill="1" applyAlignment="1">
      <alignment vertical="top"/>
    </xf>
    <xf numFmtId="0" fontId="57" fillId="2" borderId="0" xfId="0" applyFont="1" applyFill="1" applyAlignment="1">
      <alignment vertical="center"/>
    </xf>
    <xf numFmtId="3" fontId="7" fillId="2" borderId="0" xfId="0" applyNumberFormat="1" applyFont="1" applyFill="1" applyAlignment="1">
      <alignment wrapText="1"/>
    </xf>
    <xf numFmtId="3" fontId="13" fillId="2" borderId="11" xfId="0" applyNumberFormat="1" applyFont="1" applyFill="1" applyBorder="1"/>
    <xf numFmtId="165" fontId="11" fillId="2" borderId="0" xfId="0" applyNumberFormat="1" applyFont="1" applyFill="1" applyAlignment="1">
      <alignment horizontal="center"/>
    </xf>
    <xf numFmtId="0" fontId="9" fillId="0" borderId="33" xfId="0" applyFont="1" applyBorder="1"/>
    <xf numFmtId="3" fontId="6" fillId="2" borderId="0" xfId="0" applyNumberFormat="1" applyFont="1" applyFill="1"/>
    <xf numFmtId="3" fontId="15" fillId="0" borderId="35" xfId="0" applyNumberFormat="1" applyFont="1" applyBorder="1" applyAlignment="1">
      <alignment horizontal="center" vertical="center"/>
    </xf>
    <xf numFmtId="3" fontId="15" fillId="0" borderId="36" xfId="0" applyNumberFormat="1" applyFont="1" applyBorder="1" applyAlignment="1">
      <alignment horizontal="right"/>
    </xf>
    <xf numFmtId="3" fontId="9" fillId="0" borderId="35" xfId="0" applyNumberFormat="1" applyFont="1" applyBorder="1" applyAlignment="1">
      <alignment horizontal="right"/>
    </xf>
    <xf numFmtId="0" fontId="9" fillId="0" borderId="0" xfId="0" applyFont="1"/>
    <xf numFmtId="0" fontId="12" fillId="2" borderId="0" xfId="0" applyFont="1" applyFill="1"/>
    <xf numFmtId="0" fontId="17" fillId="2" borderId="0" xfId="0" applyFont="1" applyFill="1"/>
    <xf numFmtId="0" fontId="17" fillId="0" borderId="8" xfId="0" applyFont="1" applyBorder="1" applyAlignment="1">
      <alignment horizontal="center"/>
    </xf>
    <xf numFmtId="3" fontId="12" fillId="2" borderId="0" xfId="0" applyNumberFormat="1" applyFont="1" applyFill="1"/>
    <xf numFmtId="0" fontId="29" fillId="0" borderId="0" xfId="0" applyFont="1"/>
    <xf numFmtId="0" fontId="7" fillId="5" borderId="0" xfId="0" applyFont="1" applyFill="1"/>
    <xf numFmtId="166" fontId="7" fillId="5" borderId="0" xfId="0" applyNumberFormat="1" applyFont="1" applyFill="1"/>
    <xf numFmtId="0" fontId="13" fillId="5" borderId="0" xfId="0" applyFont="1" applyFill="1"/>
    <xf numFmtId="0" fontId="15" fillId="2" borderId="8" xfId="0" applyFont="1" applyFill="1" applyBorder="1"/>
    <xf numFmtId="3" fontId="7" fillId="0" borderId="0" xfId="0" applyNumberFormat="1" applyFont="1"/>
    <xf numFmtId="0" fontId="15" fillId="2" borderId="0" xfId="0" applyFont="1" applyFill="1" applyAlignment="1">
      <alignment vertical="center"/>
    </xf>
    <xf numFmtId="0" fontId="15" fillId="2" borderId="0" xfId="0" applyFont="1" applyFill="1" applyAlignment="1">
      <alignment horizontal="right"/>
    </xf>
    <xf numFmtId="0" fontId="7" fillId="2" borderId="27" xfId="0" applyFont="1" applyFill="1" applyBorder="1"/>
    <xf numFmtId="49" fontId="14" fillId="2" borderId="27" xfId="0" applyNumberFormat="1" applyFont="1" applyFill="1" applyBorder="1" applyAlignment="1">
      <alignment wrapText="1"/>
    </xf>
    <xf numFmtId="49" fontId="14" fillId="2" borderId="27" xfId="0" applyNumberFormat="1" applyFont="1" applyFill="1" applyBorder="1"/>
    <xf numFmtId="0" fontId="15" fillId="0" borderId="7" xfId="0" applyFont="1" applyBorder="1"/>
    <xf numFmtId="0" fontId="6" fillId="2" borderId="0" xfId="0" applyFont="1" applyFill="1" applyAlignment="1">
      <alignment vertical="center"/>
    </xf>
    <xf numFmtId="0" fontId="33" fillId="2" borderId="0" xfId="0" applyFont="1" applyFill="1"/>
    <xf numFmtId="3" fontId="15" fillId="2" borderId="0" xfId="0" applyNumberFormat="1" applyFont="1" applyFill="1"/>
    <xf numFmtId="0" fontId="19" fillId="2" borderId="0" xfId="0" applyFont="1" applyFill="1" applyAlignment="1">
      <alignment wrapText="1"/>
    </xf>
    <xf numFmtId="0" fontId="24" fillId="2" borderId="0" xfId="0" applyFont="1" applyFill="1" applyAlignment="1">
      <alignment horizontal="right"/>
    </xf>
    <xf numFmtId="3" fontId="24" fillId="0" borderId="39" xfId="0" applyNumberFormat="1" applyFont="1" applyBorder="1"/>
    <xf numFmtId="3" fontId="15" fillId="2" borderId="1" xfId="0" applyNumberFormat="1" applyFont="1" applyFill="1" applyBorder="1" applyAlignment="1">
      <alignment horizontal="center"/>
    </xf>
    <xf numFmtId="4" fontId="7" fillId="0" borderId="0" xfId="0" applyNumberFormat="1" applyFont="1"/>
    <xf numFmtId="0" fontId="5" fillId="0" borderId="23" xfId="0" applyFont="1" applyBorder="1" applyAlignment="1">
      <alignment horizontal="center"/>
    </xf>
    <xf numFmtId="1" fontId="7" fillId="0" borderId="0" xfId="0" applyNumberFormat="1" applyFont="1"/>
    <xf numFmtId="0" fontId="63" fillId="2" borderId="0" xfId="0" applyFont="1" applyFill="1"/>
    <xf numFmtId="0" fontId="15" fillId="0" borderId="40" xfId="0" applyFont="1" applyBorder="1" applyAlignment="1">
      <alignment vertical="center"/>
    </xf>
    <xf numFmtId="0" fontId="15" fillId="0" borderId="14" xfId="0" applyFont="1" applyBorder="1" applyAlignment="1">
      <alignment shrinkToFit="1"/>
    </xf>
    <xf numFmtId="3" fontId="9" fillId="2" borderId="11" xfId="0" applyNumberFormat="1" applyFont="1" applyFill="1" applyBorder="1" applyAlignment="1">
      <alignment horizontal="right"/>
    </xf>
    <xf numFmtId="0" fontId="11" fillId="0" borderId="1" xfId="0" applyFont="1" applyBorder="1"/>
    <xf numFmtId="0" fontId="15" fillId="0" borderId="0" xfId="0" applyFont="1" applyAlignment="1">
      <alignment vertical="center"/>
    </xf>
    <xf numFmtId="0" fontId="24" fillId="2" borderId="0" xfId="0" applyFont="1" applyFill="1" applyAlignment="1">
      <alignment horizontal="left"/>
    </xf>
    <xf numFmtId="0" fontId="9" fillId="0" borderId="0" xfId="0" applyFont="1" applyAlignment="1">
      <alignment shrinkToFit="1"/>
    </xf>
    <xf numFmtId="0" fontId="11" fillId="2" borderId="0" xfId="0" applyFont="1" applyFill="1" applyAlignment="1">
      <alignment vertical="top"/>
    </xf>
    <xf numFmtId="0" fontId="28" fillId="0" borderId="0" xfId="0" applyFont="1" applyAlignment="1">
      <alignment vertical="center"/>
    </xf>
    <xf numFmtId="3" fontId="42" fillId="0" borderId="17" xfId="0" applyNumberFormat="1" applyFont="1" applyBorder="1" applyAlignment="1">
      <alignment horizontal="center"/>
    </xf>
    <xf numFmtId="0" fontId="15" fillId="2" borderId="0" xfId="0" applyFont="1" applyFill="1" applyAlignment="1">
      <alignment vertical="top"/>
    </xf>
    <xf numFmtId="0" fontId="9" fillId="0" borderId="20" xfId="0" applyFont="1" applyBorder="1" applyAlignment="1">
      <alignment shrinkToFit="1"/>
    </xf>
    <xf numFmtId="0" fontId="13" fillId="0" borderId="3" xfId="0" applyFont="1" applyBorder="1" applyAlignment="1">
      <alignment shrinkToFit="1"/>
    </xf>
    <xf numFmtId="0" fontId="7" fillId="0" borderId="49" xfId="0" applyFont="1" applyBorder="1"/>
    <xf numFmtId="4" fontId="7" fillId="0" borderId="4" xfId="0" applyNumberFormat="1" applyFont="1" applyBorder="1" applyAlignment="1">
      <alignment horizontal="center"/>
    </xf>
    <xf numFmtId="0" fontId="15" fillId="0" borderId="59" xfId="0" applyFont="1" applyBorder="1"/>
    <xf numFmtId="4" fontId="9" fillId="2" borderId="11" xfId="0" applyNumberFormat="1" applyFont="1" applyFill="1" applyBorder="1"/>
    <xf numFmtId="0" fontId="7" fillId="2" borderId="1" xfId="0" applyFont="1" applyFill="1" applyBorder="1"/>
    <xf numFmtId="0" fontId="13" fillId="2" borderId="1" xfId="0" applyFont="1" applyFill="1" applyBorder="1"/>
    <xf numFmtId="0" fontId="15" fillId="2" borderId="62" xfId="0" applyFont="1" applyFill="1" applyBorder="1" applyAlignment="1">
      <alignment horizontal="right" wrapText="1"/>
    </xf>
    <xf numFmtId="0" fontId="7" fillId="0" borderId="0" xfId="0" applyFont="1" applyAlignment="1">
      <alignment horizontal="center"/>
    </xf>
    <xf numFmtId="0" fontId="6" fillId="0" borderId="0" xfId="0" applyFont="1" applyAlignment="1">
      <alignment horizontal="center"/>
    </xf>
    <xf numFmtId="0" fontId="25" fillId="0" borderId="64" xfId="0" applyFont="1" applyBorder="1" applyAlignment="1">
      <alignment horizontal="right"/>
    </xf>
    <xf numFmtId="49" fontId="9" fillId="0" borderId="13" xfId="0" applyNumberFormat="1" applyFont="1" applyBorder="1"/>
    <xf numFmtId="49" fontId="15" fillId="0" borderId="64" xfId="0" applyNumberFormat="1" applyFont="1" applyBorder="1" applyAlignment="1">
      <alignment horizontal="left" wrapText="1"/>
    </xf>
    <xf numFmtId="3" fontId="9" fillId="0" borderId="4" xfId="0" applyNumberFormat="1" applyFont="1" applyBorder="1" applyAlignment="1">
      <alignment horizontal="right"/>
    </xf>
    <xf numFmtId="0" fontId="15" fillId="0" borderId="66" xfId="0" applyFont="1" applyBorder="1"/>
    <xf numFmtId="0" fontId="15" fillId="0" borderId="8" xfId="0" applyFont="1" applyBorder="1" applyAlignment="1">
      <alignment horizontal="center"/>
    </xf>
    <xf numFmtId="17" fontId="15" fillId="0" borderId="8" xfId="0" applyNumberFormat="1" applyFont="1" applyBorder="1" applyAlignment="1">
      <alignment horizontal="center"/>
    </xf>
    <xf numFmtId="2" fontId="15" fillId="0" borderId="0" xfId="0" applyNumberFormat="1" applyFont="1" applyAlignment="1">
      <alignment horizontal="center"/>
    </xf>
    <xf numFmtId="0" fontId="11" fillId="0" borderId="8" xfId="0" applyFont="1" applyBorder="1" applyAlignment="1">
      <alignment horizontal="center" wrapText="1"/>
    </xf>
    <xf numFmtId="2" fontId="15" fillId="5" borderId="15" xfId="0" applyNumberFormat="1" applyFont="1" applyFill="1" applyBorder="1" applyAlignment="1">
      <alignment horizontal="right" vertical="center"/>
    </xf>
    <xf numFmtId="17" fontId="19" fillId="5" borderId="21" xfId="0" applyNumberFormat="1" applyFont="1" applyFill="1" applyBorder="1" applyAlignment="1">
      <alignment horizontal="left" vertical="center" wrapText="1"/>
    </xf>
    <xf numFmtId="2" fontId="15" fillId="5" borderId="14" xfId="0" applyNumberFormat="1" applyFont="1" applyFill="1" applyBorder="1" applyAlignment="1">
      <alignment horizontal="right" vertical="center"/>
    </xf>
    <xf numFmtId="17" fontId="19" fillId="5" borderId="10" xfId="0" applyNumberFormat="1" applyFont="1" applyFill="1" applyBorder="1" applyAlignment="1">
      <alignment horizontal="left" vertical="center" wrapText="1"/>
    </xf>
    <xf numFmtId="17" fontId="19" fillId="5" borderId="3" xfId="0" applyNumberFormat="1" applyFont="1" applyFill="1" applyBorder="1" applyAlignment="1">
      <alignment horizontal="left" vertical="center" wrapText="1"/>
    </xf>
    <xf numFmtId="2" fontId="15" fillId="5" borderId="6" xfId="0" applyNumberFormat="1" applyFont="1" applyFill="1" applyBorder="1" applyAlignment="1">
      <alignment horizontal="center" vertical="center"/>
    </xf>
    <xf numFmtId="2" fontId="15" fillId="0" borderId="12" xfId="0" applyNumberFormat="1" applyFont="1" applyBorder="1" applyAlignment="1">
      <alignment horizontal="center" vertical="center"/>
    </xf>
    <xf numFmtId="1" fontId="60" fillId="0" borderId="12" xfId="0" applyNumberFormat="1" applyFont="1" applyBorder="1" applyAlignment="1">
      <alignment horizontal="center" vertical="center" shrinkToFit="1"/>
    </xf>
    <xf numFmtId="4" fontId="13" fillId="2" borderId="0" xfId="0" applyNumberFormat="1" applyFont="1" applyFill="1" applyAlignment="1">
      <alignment horizontal="center"/>
    </xf>
    <xf numFmtId="166" fontId="9" fillId="0" borderId="0" xfId="0" applyNumberFormat="1" applyFont="1" applyAlignment="1">
      <alignment horizontal="center"/>
    </xf>
    <xf numFmtId="166" fontId="6" fillId="0" borderId="0" xfId="0" applyNumberFormat="1" applyFont="1" applyAlignment="1">
      <alignment horizontal="center"/>
    </xf>
    <xf numFmtId="0" fontId="15" fillId="0" borderId="12" xfId="0" applyFont="1" applyBorder="1" applyAlignment="1">
      <alignment wrapText="1"/>
    </xf>
    <xf numFmtId="0" fontId="15" fillId="9" borderId="23" xfId="0" applyFont="1" applyFill="1" applyBorder="1" applyAlignment="1">
      <alignment horizontal="center" vertical="center"/>
    </xf>
    <xf numFmtId="49" fontId="15" fillId="0" borderId="0" xfId="0" applyNumberFormat="1" applyFont="1" applyAlignment="1">
      <alignment horizontal="left" wrapText="1"/>
    </xf>
    <xf numFmtId="3" fontId="15" fillId="0" borderId="67" xfId="0" applyNumberFormat="1" applyFont="1" applyBorder="1" applyAlignment="1">
      <alignment horizontal="right"/>
    </xf>
    <xf numFmtId="0" fontId="15" fillId="5" borderId="0" xfId="0" applyFont="1" applyFill="1"/>
    <xf numFmtId="0" fontId="14" fillId="5" borderId="0" xfId="0" applyFont="1" applyFill="1"/>
    <xf numFmtId="3" fontId="7" fillId="2" borderId="0" xfId="0" applyNumberFormat="1" applyFont="1" applyFill="1" applyAlignment="1">
      <alignment horizontal="left"/>
    </xf>
    <xf numFmtId="49" fontId="18" fillId="2" borderId="0" xfId="0" applyNumberFormat="1" applyFont="1" applyFill="1"/>
    <xf numFmtId="166" fontId="15" fillId="0" borderId="68" xfId="0" applyNumberFormat="1" applyFont="1" applyBorder="1" applyAlignment="1">
      <alignment horizontal="right" wrapText="1"/>
    </xf>
    <xf numFmtId="0" fontId="15" fillId="0" borderId="70" xfId="0" applyFont="1" applyBorder="1" applyAlignment="1">
      <alignment horizontal="right"/>
    </xf>
    <xf numFmtId="0" fontId="15" fillId="0" borderId="17" xfId="0" applyFont="1" applyBorder="1"/>
    <xf numFmtId="0" fontId="45" fillId="5" borderId="1" xfId="0" applyFont="1" applyFill="1" applyBorder="1" applyAlignment="1">
      <alignment horizontal="center"/>
    </xf>
    <xf numFmtId="0" fontId="45" fillId="5" borderId="12" xfId="0" applyFont="1" applyFill="1" applyBorder="1" applyAlignment="1">
      <alignment horizontal="center"/>
    </xf>
    <xf numFmtId="0" fontId="11" fillId="0" borderId="8" xfId="0" applyFont="1" applyBorder="1"/>
    <xf numFmtId="166" fontId="12" fillId="5" borderId="4" xfId="0" applyNumberFormat="1" applyFont="1" applyFill="1" applyBorder="1" applyAlignment="1">
      <alignment horizontal="center"/>
    </xf>
    <xf numFmtId="168" fontId="15" fillId="2" borderId="0" xfId="0" applyNumberFormat="1" applyFont="1" applyFill="1"/>
    <xf numFmtId="0" fontId="22" fillId="0" borderId="1" xfId="0" applyFont="1" applyBorder="1" applyAlignment="1">
      <alignment horizontal="center" wrapText="1"/>
    </xf>
    <xf numFmtId="0" fontId="69" fillId="5" borderId="0" xfId="0" applyFont="1" applyFill="1" applyAlignment="1">
      <alignment horizontal="center"/>
    </xf>
    <xf numFmtId="0" fontId="15" fillId="5" borderId="0" xfId="0" applyFont="1" applyFill="1" applyAlignment="1">
      <alignment horizontal="center"/>
    </xf>
    <xf numFmtId="0" fontId="15" fillId="5" borderId="8" xfId="0" applyFont="1" applyFill="1" applyBorder="1" applyAlignment="1">
      <alignment horizontal="center"/>
    </xf>
    <xf numFmtId="0" fontId="11" fillId="5" borderId="8" xfId="0" applyFont="1" applyFill="1" applyBorder="1" applyAlignment="1">
      <alignment horizontal="center" wrapText="1"/>
    </xf>
    <xf numFmtId="17" fontId="15" fillId="5" borderId="8" xfId="0" applyNumberFormat="1" applyFont="1" applyFill="1" applyBorder="1" applyAlignment="1">
      <alignment horizontal="center"/>
    </xf>
    <xf numFmtId="0" fontId="5" fillId="5" borderId="0" xfId="0" applyFont="1" applyFill="1"/>
    <xf numFmtId="3" fontId="23" fillId="2" borderId="0" xfId="0" applyNumberFormat="1" applyFont="1" applyFill="1" applyAlignment="1">
      <alignment horizontal="left"/>
    </xf>
    <xf numFmtId="170" fontId="11" fillId="0" borderId="4" xfId="0" applyNumberFormat="1" applyFont="1" applyBorder="1" applyAlignment="1">
      <alignment horizontal="center" vertical="center"/>
    </xf>
    <xf numFmtId="0" fontId="11" fillId="2" borderId="41" xfId="0" applyFont="1" applyFill="1" applyBorder="1" applyAlignment="1">
      <alignment wrapText="1"/>
    </xf>
    <xf numFmtId="0" fontId="19" fillId="2" borderId="6" xfId="0" applyFont="1" applyFill="1" applyBorder="1" applyAlignment="1">
      <alignment horizontal="center" wrapText="1"/>
    </xf>
    <xf numFmtId="0" fontId="19" fillId="2" borderId="7" xfId="0" applyFont="1" applyFill="1" applyBorder="1" applyAlignment="1">
      <alignment wrapText="1"/>
    </xf>
    <xf numFmtId="0" fontId="11" fillId="2" borderId="4" xfId="0" applyFont="1" applyFill="1" applyBorder="1"/>
    <xf numFmtId="0" fontId="11" fillId="0" borderId="4" xfId="0" applyFont="1" applyBorder="1" applyAlignment="1">
      <alignment horizontal="center"/>
    </xf>
    <xf numFmtId="0" fontId="11" fillId="0" borderId="12" xfId="0" applyFont="1" applyBorder="1" applyAlignment="1">
      <alignment horizontal="center"/>
    </xf>
    <xf numFmtId="0" fontId="54" fillId="0" borderId="0" xfId="0" applyFont="1" applyAlignment="1">
      <alignment horizontal="center"/>
    </xf>
    <xf numFmtId="0" fontId="71" fillId="0" borderId="0" xfId="0" applyFont="1"/>
    <xf numFmtId="0" fontId="72" fillId="0" borderId="0" xfId="0" applyFont="1"/>
    <xf numFmtId="169" fontId="24" fillId="5" borderId="23" xfId="0" applyNumberFormat="1" applyFont="1" applyFill="1" applyBorder="1" applyAlignment="1">
      <alignment horizontal="right" vertical="center" wrapText="1"/>
    </xf>
    <xf numFmtId="0" fontId="9" fillId="5" borderId="0" xfId="0" applyFont="1" applyFill="1" applyAlignment="1">
      <alignment wrapText="1"/>
    </xf>
    <xf numFmtId="0" fontId="57" fillId="5" borderId="0" xfId="0" applyFont="1" applyFill="1" applyAlignment="1">
      <alignment vertical="top"/>
    </xf>
    <xf numFmtId="169" fontId="24" fillId="0" borderId="23" xfId="0" applyNumberFormat="1" applyFont="1" applyBorder="1" applyAlignment="1">
      <alignment horizontal="right" vertical="center" wrapText="1"/>
    </xf>
    <xf numFmtId="0" fontId="7" fillId="0" borderId="0" xfId="0" applyFont="1" applyAlignment="1">
      <alignment vertical="center"/>
    </xf>
    <xf numFmtId="166" fontId="15" fillId="7" borderId="23" xfId="0" applyNumberFormat="1" applyFont="1" applyFill="1" applyBorder="1" applyAlignment="1" applyProtection="1">
      <alignment horizontal="center"/>
      <protection locked="0"/>
    </xf>
    <xf numFmtId="3" fontId="15" fillId="0" borderId="0" xfId="0" applyNumberFormat="1" applyFont="1"/>
    <xf numFmtId="0" fontId="62" fillId="10" borderId="0" xfId="0" applyFont="1" applyFill="1" applyAlignment="1">
      <alignment horizontal="center" vertical="center"/>
    </xf>
    <xf numFmtId="0" fontId="62" fillId="10" borderId="0" xfId="0" applyFont="1" applyFill="1" applyAlignment="1">
      <alignment horizontal="center" vertical="center" shrinkToFit="1"/>
    </xf>
    <xf numFmtId="0" fontId="47" fillId="0" borderId="16" xfId="0" applyFont="1" applyBorder="1" applyAlignment="1">
      <alignment horizontal="center"/>
    </xf>
    <xf numFmtId="0" fontId="28" fillId="5" borderId="0" xfId="0" applyFont="1" applyFill="1"/>
    <xf numFmtId="3" fontId="29" fillId="5" borderId="0" xfId="0" applyNumberFormat="1" applyFont="1" applyFill="1" applyAlignment="1">
      <alignment horizontal="right"/>
    </xf>
    <xf numFmtId="0" fontId="29" fillId="5" borderId="0" xfId="0" applyFont="1" applyFill="1"/>
    <xf numFmtId="3" fontId="46" fillId="5" borderId="8" xfId="0" applyNumberFormat="1" applyFont="1" applyFill="1" applyBorder="1" applyAlignment="1">
      <alignment horizontal="center"/>
    </xf>
    <xf numFmtId="0" fontId="34" fillId="5" borderId="8" xfId="0" applyFont="1" applyFill="1" applyBorder="1" applyAlignment="1">
      <alignment horizontal="center"/>
    </xf>
    <xf numFmtId="3" fontId="46" fillId="5" borderId="0" xfId="0" applyNumberFormat="1" applyFont="1" applyFill="1"/>
    <xf numFmtId="3" fontId="46" fillId="5" borderId="11" xfId="0" applyNumberFormat="1" applyFont="1" applyFill="1" applyBorder="1" applyAlignment="1">
      <alignment horizontal="center"/>
    </xf>
    <xf numFmtId="0" fontId="34" fillId="5" borderId="0" xfId="0" applyFont="1" applyFill="1"/>
    <xf numFmtId="0" fontId="79" fillId="5" borderId="14" xfId="0" applyFont="1" applyFill="1" applyBorder="1"/>
    <xf numFmtId="0" fontId="80" fillId="5" borderId="10" xfId="0" applyFont="1" applyFill="1" applyBorder="1"/>
    <xf numFmtId="0" fontId="81" fillId="5" borderId="23" xfId="0" applyFont="1" applyFill="1" applyBorder="1" applyAlignment="1">
      <alignment horizontal="center"/>
    </xf>
    <xf numFmtId="0" fontId="62" fillId="0" borderId="0" xfId="0" applyFont="1"/>
    <xf numFmtId="3" fontId="69" fillId="5" borderId="23" xfId="0" applyNumberFormat="1" applyFont="1" applyFill="1" applyBorder="1" applyAlignment="1">
      <alignment horizontal="center"/>
    </xf>
    <xf numFmtId="0" fontId="12" fillId="5" borderId="0" xfId="0" applyFont="1" applyFill="1"/>
    <xf numFmtId="3" fontId="8" fillId="5" borderId="0" xfId="0" applyNumberFormat="1" applyFont="1" applyFill="1"/>
    <xf numFmtId="0" fontId="7" fillId="5" borderId="0" xfId="0" applyFont="1" applyFill="1" applyAlignment="1">
      <alignment horizontal="center"/>
    </xf>
    <xf numFmtId="2" fontId="8" fillId="5" borderId="11" xfId="0" applyNumberFormat="1" applyFont="1" applyFill="1" applyBorder="1" applyAlignment="1">
      <alignment horizontal="center"/>
    </xf>
    <xf numFmtId="3" fontId="7" fillId="0" borderId="0" xfId="0" applyNumberFormat="1" applyFont="1" applyAlignment="1">
      <alignment horizontal="center"/>
    </xf>
    <xf numFmtId="0" fontId="15" fillId="6" borderId="0" xfId="0" applyFont="1" applyFill="1" applyAlignment="1">
      <alignment horizontal="center" shrinkToFit="1"/>
    </xf>
    <xf numFmtId="0" fontId="15" fillId="6" borderId="0" xfId="0" applyFont="1" applyFill="1" applyAlignment="1">
      <alignment horizontal="center"/>
    </xf>
    <xf numFmtId="3" fontId="7" fillId="6" borderId="4" xfId="0" applyNumberFormat="1" applyFont="1" applyFill="1" applyBorder="1" applyAlignment="1">
      <alignment horizontal="center"/>
    </xf>
    <xf numFmtId="4" fontId="7" fillId="6" borderId="4" xfId="0" applyNumberFormat="1" applyFont="1" applyFill="1" applyBorder="1" applyAlignment="1">
      <alignment horizontal="center"/>
    </xf>
    <xf numFmtId="0" fontId="11" fillId="6" borderId="0" xfId="0" applyFont="1" applyFill="1"/>
    <xf numFmtId="166" fontId="7" fillId="6" borderId="0" xfId="0" applyNumberFormat="1" applyFont="1" applyFill="1"/>
    <xf numFmtId="0" fontId="15" fillId="6" borderId="0" xfId="0" applyFont="1" applyFill="1"/>
    <xf numFmtId="3" fontId="15" fillId="0" borderId="0" xfId="0" applyNumberFormat="1" applyFont="1" applyAlignment="1">
      <alignment horizontal="center"/>
    </xf>
    <xf numFmtId="164" fontId="11" fillId="11" borderId="13" xfId="0" applyNumberFormat="1" applyFont="1" applyFill="1" applyBorder="1"/>
    <xf numFmtId="0" fontId="9" fillId="11" borderId="13" xfId="0" applyFont="1" applyFill="1" applyBorder="1"/>
    <xf numFmtId="49" fontId="21" fillId="11" borderId="10" xfId="0" applyNumberFormat="1" applyFont="1" applyFill="1" applyBorder="1" applyAlignment="1">
      <alignment horizontal="center"/>
    </xf>
    <xf numFmtId="3" fontId="9" fillId="11" borderId="14" xfId="0" applyNumberFormat="1" applyFont="1" applyFill="1" applyBorder="1" applyAlignment="1">
      <alignment horizontal="right" shrinkToFit="1"/>
    </xf>
    <xf numFmtId="3" fontId="22" fillId="11" borderId="13" xfId="0" applyNumberFormat="1" applyFont="1" applyFill="1" applyBorder="1" applyAlignment="1">
      <alignment horizontal="right"/>
    </xf>
    <xf numFmtId="165" fontId="20" fillId="11" borderId="13" xfId="0" applyNumberFormat="1" applyFont="1" applyFill="1" applyBorder="1" applyAlignment="1">
      <alignment horizontal="center"/>
    </xf>
    <xf numFmtId="166" fontId="20" fillId="11" borderId="10" xfId="0" applyNumberFormat="1" applyFont="1" applyFill="1" applyBorder="1" applyAlignment="1">
      <alignment horizontal="center"/>
    </xf>
    <xf numFmtId="0" fontId="21" fillId="11" borderId="14" xfId="0" applyFont="1" applyFill="1" applyBorder="1" applyAlignment="1">
      <alignment horizontal="center"/>
    </xf>
    <xf numFmtId="164" fontId="11" fillId="11" borderId="17" xfId="0" applyNumberFormat="1" applyFont="1" applyFill="1" applyBorder="1"/>
    <xf numFmtId="165" fontId="20" fillId="11" borderId="10" xfId="0" applyNumberFormat="1" applyFont="1" applyFill="1" applyBorder="1" applyAlignment="1">
      <alignment horizontal="center"/>
    </xf>
    <xf numFmtId="0" fontId="9" fillId="11" borderId="17" xfId="0" applyFont="1" applyFill="1" applyBorder="1"/>
    <xf numFmtId="49" fontId="21" fillId="11" borderId="5" xfId="0" applyNumberFormat="1" applyFont="1" applyFill="1" applyBorder="1" applyAlignment="1">
      <alignment horizontal="center"/>
    </xf>
    <xf numFmtId="3" fontId="22" fillId="11" borderId="17" xfId="0" applyNumberFormat="1" applyFont="1" applyFill="1" applyBorder="1" applyAlignment="1">
      <alignment horizontal="right"/>
    </xf>
    <xf numFmtId="3" fontId="9" fillId="11" borderId="7" xfId="0" applyNumberFormat="1" applyFont="1" applyFill="1" applyBorder="1" applyAlignment="1">
      <alignment horizontal="right" shrinkToFit="1"/>
    </xf>
    <xf numFmtId="165" fontId="20" fillId="11" borderId="5" xfId="0" applyNumberFormat="1" applyFont="1" applyFill="1" applyBorder="1" applyAlignment="1">
      <alignment horizontal="center"/>
    </xf>
    <xf numFmtId="0" fontId="21" fillId="11" borderId="7" xfId="0" applyFont="1" applyFill="1" applyBorder="1" applyAlignment="1">
      <alignment horizontal="center"/>
    </xf>
    <xf numFmtId="0" fontId="9" fillId="11" borderId="8" xfId="0" applyFont="1" applyFill="1" applyBorder="1"/>
    <xf numFmtId="3" fontId="15" fillId="11" borderId="14" xfId="0" applyNumberFormat="1" applyFont="1" applyFill="1" applyBorder="1" applyAlignment="1">
      <alignment horizontal="right" shrinkToFit="1"/>
    </xf>
    <xf numFmtId="0" fontId="22" fillId="11" borderId="17" xfId="0" applyFont="1" applyFill="1" applyBorder="1" applyAlignment="1">
      <alignment vertical="center" wrapText="1"/>
    </xf>
    <xf numFmtId="49" fontId="27" fillId="11" borderId="5" xfId="0" applyNumberFormat="1" applyFont="1" applyFill="1" applyBorder="1" applyAlignment="1">
      <alignment horizontal="center"/>
    </xf>
    <xf numFmtId="167" fontId="9" fillId="11" borderId="17" xfId="0" applyNumberFormat="1" applyFont="1" applyFill="1" applyBorder="1" applyAlignment="1">
      <alignment horizontal="right" shrinkToFit="1"/>
    </xf>
    <xf numFmtId="165" fontId="20" fillId="11" borderId="8" xfId="0" applyNumberFormat="1" applyFont="1" applyFill="1" applyBorder="1" applyAlignment="1">
      <alignment horizontal="center"/>
    </xf>
    <xf numFmtId="167" fontId="9" fillId="11" borderId="7" xfId="0" applyNumberFormat="1" applyFont="1" applyFill="1" applyBorder="1" applyAlignment="1">
      <alignment horizontal="right" shrinkToFit="1"/>
    </xf>
    <xf numFmtId="0" fontId="39" fillId="11" borderId="7" xfId="0" applyFont="1" applyFill="1" applyBorder="1" applyAlignment="1">
      <alignment horizontal="center"/>
    </xf>
    <xf numFmtId="164" fontId="11" fillId="11" borderId="8" xfId="0" applyNumberFormat="1" applyFont="1" applyFill="1" applyBorder="1"/>
    <xf numFmtId="0" fontId="58" fillId="11" borderId="8" xfId="0" applyFont="1" applyFill="1" applyBorder="1" applyAlignment="1">
      <alignment shrinkToFit="1"/>
    </xf>
    <xf numFmtId="49" fontId="11" fillId="11" borderId="3" xfId="0" applyNumberFormat="1" applyFont="1" applyFill="1" applyBorder="1" applyAlignment="1">
      <alignment horizontal="center"/>
    </xf>
    <xf numFmtId="167" fontId="59" fillId="11" borderId="8" xfId="0" applyNumberFormat="1" applyFont="1" applyFill="1" applyBorder="1" applyAlignment="1">
      <alignment horizontal="right" shrinkToFit="1"/>
    </xf>
    <xf numFmtId="3" fontId="22" fillId="11" borderId="8" xfId="0" applyNumberFormat="1" applyFont="1" applyFill="1" applyBorder="1" applyAlignment="1">
      <alignment horizontal="right"/>
    </xf>
    <xf numFmtId="167" fontId="59" fillId="11" borderId="12" xfId="0" applyNumberFormat="1" applyFont="1" applyFill="1" applyBorder="1" applyAlignment="1">
      <alignment horizontal="right" shrinkToFit="1"/>
    </xf>
    <xf numFmtId="165" fontId="20" fillId="11" borderId="3" xfId="0" applyNumberFormat="1" applyFont="1" applyFill="1" applyBorder="1" applyAlignment="1">
      <alignment horizontal="center"/>
    </xf>
    <xf numFmtId="0" fontId="44" fillId="11" borderId="12" xfId="0" applyFont="1" applyFill="1" applyBorder="1" applyAlignment="1">
      <alignment horizontal="right"/>
    </xf>
    <xf numFmtId="0" fontId="7" fillId="0" borderId="49" xfId="0" applyFont="1" applyBorder="1" applyAlignment="1">
      <alignment vertical="center"/>
    </xf>
    <xf numFmtId="0" fontId="9" fillId="5" borderId="0" xfId="0" applyFont="1" applyFill="1" applyAlignment="1">
      <alignment vertical="center"/>
    </xf>
    <xf numFmtId="3" fontId="17" fillId="2" borderId="55" xfId="0" applyNumberFormat="1" applyFont="1" applyFill="1" applyBorder="1" applyAlignment="1">
      <alignment horizontal="center"/>
    </xf>
    <xf numFmtId="3" fontId="34" fillId="5" borderId="0" xfId="0" applyNumberFormat="1" applyFont="1" applyFill="1" applyAlignment="1">
      <alignment horizontal="center"/>
    </xf>
    <xf numFmtId="0" fontId="15" fillId="6" borderId="33" xfId="0" applyFont="1" applyFill="1" applyBorder="1" applyAlignment="1">
      <alignment horizontal="center" shrinkToFit="1"/>
    </xf>
    <xf numFmtId="0" fontId="15" fillId="6" borderId="33" xfId="0" applyFont="1" applyFill="1" applyBorder="1" applyAlignment="1">
      <alignment horizontal="center"/>
    </xf>
    <xf numFmtId="3" fontId="16" fillId="2" borderId="0" xfId="0" applyNumberFormat="1" applyFont="1" applyFill="1"/>
    <xf numFmtId="3" fontId="16" fillId="5" borderId="0" xfId="0" applyNumberFormat="1" applyFont="1" applyFill="1"/>
    <xf numFmtId="0" fontId="17" fillId="5" borderId="0" xfId="0" applyFont="1" applyFill="1"/>
    <xf numFmtId="2" fontId="16" fillId="5" borderId="0" xfId="0" applyNumberFormat="1" applyFont="1" applyFill="1" applyAlignment="1">
      <alignment horizontal="center"/>
    </xf>
    <xf numFmtId="0" fontId="11" fillId="0" borderId="8" xfId="0" applyFont="1" applyBorder="1" applyAlignment="1">
      <alignment horizontal="center"/>
    </xf>
    <xf numFmtId="166" fontId="11" fillId="5" borderId="89" xfId="0" applyNumberFormat="1" applyFont="1" applyFill="1" applyBorder="1" applyAlignment="1">
      <alignment horizontal="center"/>
    </xf>
    <xf numFmtId="2" fontId="11" fillId="5" borderId="89" xfId="0" applyNumberFormat="1" applyFont="1" applyFill="1" applyBorder="1" applyAlignment="1">
      <alignment horizontal="center"/>
    </xf>
    <xf numFmtId="166" fontId="11" fillId="5" borderId="90" xfId="0" applyNumberFormat="1" applyFont="1" applyFill="1" applyBorder="1" applyAlignment="1">
      <alignment horizontal="center"/>
    </xf>
    <xf numFmtId="0" fontId="10" fillId="0" borderId="2" xfId="0" applyFont="1" applyBorder="1" applyAlignment="1">
      <alignment vertical="center" wrapText="1"/>
    </xf>
    <xf numFmtId="0" fontId="10" fillId="0" borderId="21" xfId="0" applyFont="1" applyBorder="1" applyAlignment="1">
      <alignment vertical="center" wrapText="1"/>
    </xf>
    <xf numFmtId="2" fontId="15" fillId="2" borderId="0" xfId="0" applyNumberFormat="1" applyFont="1" applyFill="1" applyAlignment="1">
      <alignment horizontal="center"/>
    </xf>
    <xf numFmtId="0" fontId="28" fillId="0" borderId="3" xfId="0" applyFont="1" applyBorder="1" applyAlignment="1">
      <alignment shrinkToFit="1"/>
    </xf>
    <xf numFmtId="4" fontId="28" fillId="6" borderId="4" xfId="0" applyNumberFormat="1" applyFont="1" applyFill="1" applyBorder="1" applyAlignment="1">
      <alignment horizontal="center"/>
    </xf>
    <xf numFmtId="0" fontId="28" fillId="2" borderId="0" xfId="0" applyFont="1" applyFill="1"/>
    <xf numFmtId="0" fontId="24" fillId="2" borderId="17" xfId="0" applyFont="1" applyFill="1" applyBorder="1" applyAlignment="1">
      <alignment horizontal="left" vertical="top" wrapText="1"/>
    </xf>
    <xf numFmtId="170" fontId="23" fillId="2" borderId="3" xfId="0" applyNumberFormat="1" applyFont="1" applyFill="1" applyBorder="1" applyAlignment="1">
      <alignment horizontal="left" shrinkToFit="1"/>
    </xf>
    <xf numFmtId="166" fontId="30" fillId="0" borderId="10" xfId="0" applyNumberFormat="1" applyFont="1" applyBorder="1" applyAlignment="1">
      <alignment horizontal="center"/>
    </xf>
    <xf numFmtId="0" fontId="9" fillId="2" borderId="0" xfId="0" applyFont="1" applyFill="1" applyAlignment="1">
      <alignment vertical="center"/>
    </xf>
    <xf numFmtId="2" fontId="15" fillId="0" borderId="12" xfId="0" applyNumberFormat="1" applyFont="1" applyBorder="1" applyAlignment="1">
      <alignment horizontal="center"/>
    </xf>
    <xf numFmtId="0" fontId="23" fillId="0" borderId="23" xfId="0" applyFont="1" applyBorder="1" applyAlignment="1">
      <alignment horizontal="center" wrapText="1"/>
    </xf>
    <xf numFmtId="0" fontId="6" fillId="2" borderId="0" xfId="0" applyFont="1" applyFill="1" applyAlignment="1">
      <alignment vertical="top" wrapText="1"/>
    </xf>
    <xf numFmtId="3" fontId="23" fillId="2" borderId="0" xfId="0" applyNumberFormat="1" applyFont="1" applyFill="1" applyAlignment="1">
      <alignment vertical="top" wrapText="1"/>
    </xf>
    <xf numFmtId="3" fontId="23" fillId="2" borderId="2" xfId="0" applyNumberFormat="1" applyFont="1" applyFill="1" applyBorder="1" applyAlignment="1">
      <alignment vertical="top" wrapText="1"/>
    </xf>
    <xf numFmtId="4" fontId="7" fillId="0" borderId="4" xfId="0" applyNumberFormat="1" applyFont="1" applyBorder="1"/>
    <xf numFmtId="0" fontId="13" fillId="0" borderId="21" xfId="0" applyFont="1" applyBorder="1" applyAlignment="1">
      <alignment wrapText="1"/>
    </xf>
    <xf numFmtId="0" fontId="23" fillId="0" borderId="15" xfId="0" applyFont="1" applyBorder="1" applyAlignment="1">
      <alignment horizontal="center" vertical="center" wrapText="1"/>
    </xf>
    <xf numFmtId="0" fontId="23" fillId="0" borderId="22" xfId="0" applyFont="1" applyBorder="1" applyAlignment="1">
      <alignment horizontal="center" wrapText="1"/>
    </xf>
    <xf numFmtId="4" fontId="7" fillId="0" borderId="6" xfId="0" applyNumberFormat="1" applyFont="1" applyBorder="1"/>
    <xf numFmtId="0" fontId="11" fillId="0" borderId="51" xfId="0" applyFont="1" applyBorder="1" applyAlignment="1">
      <alignment horizontal="left" wrapText="1"/>
    </xf>
    <xf numFmtId="0" fontId="13" fillId="0" borderId="4" xfId="0" applyFont="1" applyBorder="1" applyAlignment="1">
      <alignment horizontal="right"/>
    </xf>
    <xf numFmtId="3" fontId="19" fillId="0" borderId="12" xfId="0" applyNumberFormat="1" applyFont="1" applyBorder="1" applyAlignment="1">
      <alignment horizontal="center" wrapText="1" shrinkToFit="1"/>
    </xf>
    <xf numFmtId="0" fontId="15" fillId="0" borderId="49" xfId="0" applyFont="1" applyBorder="1"/>
    <xf numFmtId="49" fontId="15" fillId="2" borderId="8" xfId="0" applyNumberFormat="1" applyFont="1" applyFill="1" applyBorder="1"/>
    <xf numFmtId="9" fontId="15" fillId="2" borderId="51" xfId="0" applyNumberFormat="1" applyFont="1" applyFill="1" applyBorder="1" applyAlignment="1">
      <alignment horizontal="left"/>
    </xf>
    <xf numFmtId="1" fontId="15" fillId="0" borderId="49" xfId="0" applyNumberFormat="1" applyFont="1" applyBorder="1" applyAlignment="1">
      <alignment horizontal="left"/>
    </xf>
    <xf numFmtId="3" fontId="29" fillId="5" borderId="0" xfId="0" applyNumberFormat="1" applyFont="1" applyFill="1"/>
    <xf numFmtId="3" fontId="29" fillId="5" borderId="8" xfId="0" applyNumberFormat="1" applyFont="1" applyFill="1" applyBorder="1"/>
    <xf numFmtId="0" fontId="28" fillId="0" borderId="8" xfId="0" applyFont="1" applyBorder="1"/>
    <xf numFmtId="0" fontId="11" fillId="0" borderId="49" xfId="0" applyFont="1" applyBorder="1"/>
    <xf numFmtId="0" fontId="46" fillId="5" borderId="0" xfId="0" applyFont="1" applyFill="1" applyAlignment="1">
      <alignment horizontal="right"/>
    </xf>
    <xf numFmtId="0" fontId="15" fillId="0" borderId="8" xfId="0" applyFont="1" applyBorder="1" applyAlignment="1">
      <alignment horizontal="left"/>
    </xf>
    <xf numFmtId="9" fontId="11" fillId="2" borderId="51" xfId="0" applyNumberFormat="1" applyFont="1" applyFill="1" applyBorder="1" applyAlignment="1">
      <alignment horizontal="right"/>
    </xf>
    <xf numFmtId="9" fontId="11" fillId="0" borderId="8" xfId="0" applyNumberFormat="1" applyFont="1" applyBorder="1" applyAlignment="1">
      <alignment horizontal="left"/>
    </xf>
    <xf numFmtId="0" fontId="11" fillId="2" borderId="0" xfId="0" applyFont="1" applyFill="1" applyAlignment="1">
      <alignment horizontal="right"/>
    </xf>
    <xf numFmtId="9" fontId="15" fillId="0" borderId="0" xfId="0" applyNumberFormat="1" applyFont="1" applyAlignment="1">
      <alignment horizontal="center"/>
    </xf>
    <xf numFmtId="0" fontId="15" fillId="0" borderId="0" xfId="0" applyFont="1" applyAlignment="1">
      <alignment horizontal="right"/>
    </xf>
    <xf numFmtId="2" fontId="15" fillId="0" borderId="23" xfId="0" applyNumberFormat="1" applyFont="1" applyBorder="1" applyAlignment="1">
      <alignment horizontal="center"/>
    </xf>
    <xf numFmtId="17" fontId="19" fillId="5" borderId="23" xfId="0" applyNumberFormat="1" applyFont="1" applyFill="1" applyBorder="1" applyAlignment="1">
      <alignment horizontal="left" vertical="center" wrapText="1"/>
    </xf>
    <xf numFmtId="0" fontId="15" fillId="0" borderId="23" xfId="0" applyFont="1" applyBorder="1" applyAlignment="1">
      <alignment horizontal="center"/>
    </xf>
    <xf numFmtId="0" fontId="35" fillId="6" borderId="0" xfId="0" applyFont="1" applyFill="1"/>
    <xf numFmtId="49" fontId="25" fillId="7" borderId="13" xfId="0" applyNumberFormat="1" applyFont="1" applyFill="1" applyBorder="1" applyProtection="1">
      <protection locked="0"/>
    </xf>
    <xf numFmtId="0" fontId="15" fillId="12" borderId="14" xfId="0" applyFont="1" applyFill="1" applyBorder="1" applyAlignment="1">
      <alignment horizontal="right"/>
    </xf>
    <xf numFmtId="3" fontId="7" fillId="12" borderId="10" xfId="0" applyNumberFormat="1" applyFont="1" applyFill="1" applyBorder="1" applyAlignment="1">
      <alignment wrapText="1"/>
    </xf>
    <xf numFmtId="169" fontId="44" fillId="12" borderId="68" xfId="0" applyNumberFormat="1" applyFont="1" applyFill="1" applyBorder="1" applyAlignment="1">
      <alignment vertical="center" wrapText="1"/>
    </xf>
    <xf numFmtId="3" fontId="13" fillId="2" borderId="0" xfId="0" applyNumberFormat="1" applyFont="1" applyFill="1" applyAlignment="1">
      <alignment horizontal="center"/>
    </xf>
    <xf numFmtId="0" fontId="11" fillId="0" borderId="0" xfId="0" applyFont="1" applyAlignment="1">
      <alignment wrapText="1"/>
    </xf>
    <xf numFmtId="0" fontId="83" fillId="0" borderId="75" xfId="0" applyFont="1" applyBorder="1" applyAlignment="1">
      <alignment horizontal="center" vertical="center"/>
    </xf>
    <xf numFmtId="0" fontId="83" fillId="0" borderId="74" xfId="0" applyFont="1" applyBorder="1" applyAlignment="1">
      <alignment horizontal="center" vertical="center"/>
    </xf>
    <xf numFmtId="1" fontId="15" fillId="0" borderId="0" xfId="0" applyNumberFormat="1" applyFont="1" applyAlignment="1">
      <alignment horizontal="center"/>
    </xf>
    <xf numFmtId="3" fontId="8" fillId="2" borderId="8" xfId="0" applyNumberFormat="1" applyFont="1" applyFill="1" applyBorder="1" applyAlignment="1">
      <alignment shrinkToFit="1"/>
    </xf>
    <xf numFmtId="166" fontId="11" fillId="0" borderId="0" xfId="0" applyNumberFormat="1" applyFont="1" applyAlignment="1">
      <alignment horizontal="center"/>
    </xf>
    <xf numFmtId="0" fontId="11" fillId="0" borderId="0" xfId="0" applyFont="1" applyAlignment="1">
      <alignment horizontal="right"/>
    </xf>
    <xf numFmtId="166" fontId="89" fillId="0" borderId="8" xfId="0" applyNumberFormat="1" applyFont="1" applyBorder="1" applyAlignment="1">
      <alignment horizontal="center"/>
    </xf>
    <xf numFmtId="168" fontId="69" fillId="2" borderId="8" xfId="0" applyNumberFormat="1" applyFont="1" applyFill="1" applyBorder="1"/>
    <xf numFmtId="0" fontId="11" fillId="0" borderId="0" xfId="0" applyFont="1" applyAlignment="1">
      <alignment vertical="top" wrapText="1"/>
    </xf>
    <xf numFmtId="14" fontId="82" fillId="5" borderId="0" xfId="0" applyNumberFormat="1" applyFont="1" applyFill="1" applyAlignment="1">
      <alignment vertical="top" wrapText="1"/>
    </xf>
    <xf numFmtId="1" fontId="15" fillId="0" borderId="23" xfId="0" applyNumberFormat="1" applyFont="1" applyBorder="1" applyAlignment="1">
      <alignment horizontal="center" vertical="center"/>
    </xf>
    <xf numFmtId="0" fontId="92" fillId="2" borderId="0" xfId="0" applyFont="1" applyFill="1"/>
    <xf numFmtId="0" fontId="93" fillId="0" borderId="1" xfId="0" applyFont="1" applyBorder="1" applyAlignment="1">
      <alignment horizontal="center"/>
    </xf>
    <xf numFmtId="0" fontId="94" fillId="0" borderId="0" xfId="0" applyFont="1"/>
    <xf numFmtId="170" fontId="11" fillId="0" borderId="23" xfId="0" applyNumberFormat="1" applyFont="1" applyBorder="1" applyAlignment="1">
      <alignment horizontal="center" vertical="center"/>
    </xf>
    <xf numFmtId="0" fontId="95" fillId="0" borderId="0" xfId="0" applyFont="1"/>
    <xf numFmtId="0" fontId="9" fillId="0" borderId="52" xfId="0" applyFont="1" applyBorder="1" applyAlignment="1">
      <alignment vertical="center"/>
    </xf>
    <xf numFmtId="0" fontId="9" fillId="0" borderId="53" xfId="0" applyFont="1" applyBorder="1" applyAlignment="1">
      <alignment vertical="center"/>
    </xf>
    <xf numFmtId="0" fontId="15" fillId="0" borderId="0" xfId="0" applyFont="1" applyAlignment="1">
      <alignment horizontal="left"/>
    </xf>
    <xf numFmtId="0" fontId="15" fillId="0" borderId="48" xfId="0" applyFont="1" applyBorder="1"/>
    <xf numFmtId="0" fontId="28" fillId="0" borderId="10" xfId="0" applyFont="1" applyBorder="1" applyAlignment="1">
      <alignment shrinkToFit="1"/>
    </xf>
    <xf numFmtId="14" fontId="100" fillId="0" borderId="0" xfId="0" applyNumberFormat="1" applyFont="1"/>
    <xf numFmtId="0" fontId="100" fillId="0" borderId="0" xfId="0" applyFont="1"/>
    <xf numFmtId="0" fontId="11" fillId="0" borderId="52" xfId="0" applyFont="1" applyBorder="1" applyAlignment="1">
      <alignment vertical="center"/>
    </xf>
    <xf numFmtId="0" fontId="15" fillId="0" borderId="53" xfId="0" applyFont="1" applyBorder="1"/>
    <xf numFmtId="3" fontId="11" fillId="0" borderId="0" xfId="0" applyNumberFormat="1" applyFont="1"/>
    <xf numFmtId="9" fontId="11" fillId="0" borderId="51" xfId="0" applyNumberFormat="1" applyFont="1" applyBorder="1" applyAlignment="1">
      <alignment horizontal="left"/>
    </xf>
    <xf numFmtId="3" fontId="29" fillId="0" borderId="8" xfId="0" applyNumberFormat="1" applyFont="1" applyBorder="1"/>
    <xf numFmtId="0" fontId="102" fillId="11" borderId="7" xfId="0" applyFont="1" applyFill="1" applyBorder="1" applyAlignment="1">
      <alignment horizontal="center"/>
    </xf>
    <xf numFmtId="165" fontId="103" fillId="11" borderId="3" xfId="0" applyNumberFormat="1" applyFont="1" applyFill="1" applyBorder="1" applyAlignment="1">
      <alignment horizontal="center"/>
    </xf>
    <xf numFmtId="0" fontId="15" fillId="0" borderId="0" xfId="0" applyFont="1" applyAlignment="1">
      <alignment vertical="top"/>
    </xf>
    <xf numFmtId="0" fontId="15" fillId="0" borderId="0" xfId="0" applyFont="1" applyAlignment="1">
      <alignment horizontal="right" vertical="center"/>
    </xf>
    <xf numFmtId="0" fontId="5" fillId="0" borderId="0" xfId="0" applyFont="1" applyAlignment="1">
      <alignment horizontal="center"/>
    </xf>
    <xf numFmtId="4" fontId="105" fillId="7" borderId="23" xfId="0" applyNumberFormat="1" applyFont="1" applyFill="1" applyBorder="1" applyAlignment="1" applyProtection="1">
      <alignment horizontal="center" shrinkToFit="1"/>
      <protection locked="0"/>
    </xf>
    <xf numFmtId="0" fontId="15" fillId="0" borderId="99" xfId="0" applyFont="1" applyBorder="1" applyAlignment="1">
      <alignment horizontal="right"/>
    </xf>
    <xf numFmtId="3" fontId="60" fillId="7" borderId="23" xfId="0" applyNumberFormat="1" applyFont="1" applyFill="1" applyBorder="1" applyAlignment="1" applyProtection="1">
      <alignment horizontal="right"/>
      <protection locked="0"/>
    </xf>
    <xf numFmtId="49" fontId="25" fillId="7" borderId="8" xfId="0" applyNumberFormat="1" applyFont="1" applyFill="1" applyBorder="1" applyProtection="1">
      <protection locked="0"/>
    </xf>
    <xf numFmtId="0" fontId="7" fillId="0" borderId="0" xfId="0" applyFont="1" applyAlignment="1">
      <alignment vertical="top" wrapText="1"/>
    </xf>
    <xf numFmtId="0" fontId="11" fillId="0" borderId="23" xfId="0" applyFont="1" applyBorder="1" applyAlignment="1">
      <alignment horizontal="right" vertical="center"/>
    </xf>
    <xf numFmtId="169" fontId="108" fillId="5" borderId="23" xfId="0" applyNumberFormat="1" applyFont="1" applyFill="1" applyBorder="1" applyAlignment="1">
      <alignment horizontal="right" vertical="center" wrapText="1"/>
    </xf>
    <xf numFmtId="0" fontId="7" fillId="0" borderId="1" xfId="0" applyFont="1" applyBorder="1"/>
    <xf numFmtId="0" fontId="13" fillId="2" borderId="2" xfId="0" applyFont="1" applyFill="1" applyBorder="1"/>
    <xf numFmtId="0" fontId="13" fillId="2" borderId="12" xfId="0" applyFont="1" applyFill="1" applyBorder="1"/>
    <xf numFmtId="0" fontId="13" fillId="2" borderId="3" xfId="0" applyFont="1" applyFill="1" applyBorder="1"/>
    <xf numFmtId="0" fontId="11" fillId="0" borderId="0" xfId="0" applyFont="1" applyAlignment="1">
      <alignment vertical="center"/>
    </xf>
    <xf numFmtId="3" fontId="9" fillId="2" borderId="7" xfId="0" applyNumberFormat="1" applyFont="1" applyFill="1" applyBorder="1"/>
    <xf numFmtId="0" fontId="13" fillId="2" borderId="17" xfId="0" applyFont="1" applyFill="1" applyBorder="1"/>
    <xf numFmtId="0" fontId="13" fillId="2" borderId="5" xfId="0" applyFont="1" applyFill="1" applyBorder="1"/>
    <xf numFmtId="3" fontId="9" fillId="2" borderId="1" xfId="0" applyNumberFormat="1" applyFont="1" applyFill="1" applyBorder="1"/>
    <xf numFmtId="0" fontId="15" fillId="2" borderId="8" xfId="0" applyFont="1" applyFill="1" applyBorder="1" applyAlignment="1">
      <alignment horizontal="right"/>
    </xf>
    <xf numFmtId="3" fontId="56" fillId="7" borderId="8" xfId="0" applyNumberFormat="1" applyFont="1" applyFill="1" applyBorder="1" applyProtection="1">
      <protection locked="0"/>
    </xf>
    <xf numFmtId="0" fontId="25" fillId="5" borderId="0" xfId="0" applyFont="1" applyFill="1"/>
    <xf numFmtId="0" fontId="15" fillId="0" borderId="1" xfId="0" applyFont="1" applyBorder="1"/>
    <xf numFmtId="3" fontId="26" fillId="5" borderId="0" xfId="0" applyNumberFormat="1" applyFont="1" applyFill="1"/>
    <xf numFmtId="0" fontId="26" fillId="5" borderId="0" xfId="0" applyFont="1" applyFill="1"/>
    <xf numFmtId="0" fontId="11" fillId="5" borderId="0" xfId="0" applyFont="1" applyFill="1"/>
    <xf numFmtId="9" fontId="15" fillId="0" borderId="0" xfId="0" applyNumberFormat="1" applyFont="1"/>
    <xf numFmtId="0" fontId="26" fillId="5" borderId="8" xfId="0" applyFont="1" applyFill="1" applyBorder="1"/>
    <xf numFmtId="3" fontId="26" fillId="5" borderId="8" xfId="0" applyNumberFormat="1" applyFont="1" applyFill="1" applyBorder="1"/>
    <xf numFmtId="1" fontId="26" fillId="5" borderId="0" xfId="0" applyNumberFormat="1" applyFont="1" applyFill="1" applyAlignment="1">
      <alignment horizontal="center"/>
    </xf>
    <xf numFmtId="2" fontId="26" fillId="5" borderId="0" xfId="0" applyNumberFormat="1" applyFont="1" applyFill="1"/>
    <xf numFmtId="2" fontId="26" fillId="5" borderId="0" xfId="0" applyNumberFormat="1" applyFont="1" applyFill="1" applyAlignment="1">
      <alignment horizontal="center"/>
    </xf>
    <xf numFmtId="2" fontId="26" fillId="5" borderId="8" xfId="0" applyNumberFormat="1" applyFont="1" applyFill="1" applyBorder="1"/>
    <xf numFmtId="166" fontId="26" fillId="5" borderId="0" xfId="0" applyNumberFormat="1" applyFont="1" applyFill="1" applyAlignment="1">
      <alignment horizontal="center"/>
    </xf>
    <xf numFmtId="0" fontId="26" fillId="5" borderId="0" xfId="0" applyFont="1" applyFill="1" applyAlignment="1">
      <alignment horizontal="center"/>
    </xf>
    <xf numFmtId="9" fontId="7" fillId="5" borderId="8" xfId="0" applyNumberFormat="1" applyFont="1" applyFill="1" applyBorder="1" applyAlignment="1">
      <alignment shrinkToFit="1"/>
    </xf>
    <xf numFmtId="174" fontId="26" fillId="5" borderId="8" xfId="0" applyNumberFormat="1" applyFont="1" applyFill="1" applyBorder="1"/>
    <xf numFmtId="0" fontId="21" fillId="5" borderId="0" xfId="0" applyFont="1" applyFill="1"/>
    <xf numFmtId="0" fontId="18" fillId="5" borderId="0" xfId="0" applyFont="1" applyFill="1"/>
    <xf numFmtId="0" fontId="24" fillId="0" borderId="1" xfId="0" applyFont="1" applyBorder="1"/>
    <xf numFmtId="3" fontId="7" fillId="5" borderId="0" xfId="0" applyNumberFormat="1" applyFont="1" applyFill="1"/>
    <xf numFmtId="1" fontId="7" fillId="5" borderId="0" xfId="0" applyNumberFormat="1" applyFont="1" applyFill="1" applyAlignment="1">
      <alignment horizontal="center"/>
    </xf>
    <xf numFmtId="2" fontId="7" fillId="5" borderId="0" xfId="0" applyNumberFormat="1" applyFont="1" applyFill="1" applyAlignment="1">
      <alignment horizontal="center"/>
    </xf>
    <xf numFmtId="2" fontId="7" fillId="5" borderId="0" xfId="0" applyNumberFormat="1" applyFont="1" applyFill="1"/>
    <xf numFmtId="0" fontId="24" fillId="0" borderId="0" xfId="0" applyFont="1"/>
    <xf numFmtId="166" fontId="7" fillId="5" borderId="0" xfId="0" applyNumberFormat="1" applyFont="1" applyFill="1" applyAlignment="1">
      <alignment horizontal="center"/>
    </xf>
    <xf numFmtId="0" fontId="7" fillId="5" borderId="0" xfId="0" applyFont="1" applyFill="1" applyAlignment="1">
      <alignment shrinkToFit="1"/>
    </xf>
    <xf numFmtId="166" fontId="11" fillId="5" borderId="0" xfId="0" applyNumberFormat="1" applyFont="1" applyFill="1" applyAlignment="1">
      <alignment horizontal="center"/>
    </xf>
    <xf numFmtId="174" fontId="7" fillId="5" borderId="0" xfId="0" applyNumberFormat="1" applyFont="1" applyFill="1"/>
    <xf numFmtId="174" fontId="13" fillId="5" borderId="0" xfId="0" applyNumberFormat="1" applyFont="1" applyFill="1"/>
    <xf numFmtId="169" fontId="13" fillId="15" borderId="3" xfId="1" applyNumberFormat="1" applyFont="1" applyFill="1" applyBorder="1" applyAlignment="1">
      <alignment horizontal="left"/>
    </xf>
    <xf numFmtId="169" fontId="11" fillId="5" borderId="0" xfId="0" applyNumberFormat="1" applyFont="1" applyFill="1" applyAlignment="1">
      <alignment horizontal="center"/>
    </xf>
    <xf numFmtId="0" fontId="11" fillId="5" borderId="0" xfId="0" applyFont="1" applyFill="1" applyAlignment="1">
      <alignment horizontal="center"/>
    </xf>
    <xf numFmtId="0" fontId="49" fillId="2" borderId="1" xfId="0" applyFont="1" applyFill="1" applyBorder="1"/>
    <xf numFmtId="0" fontId="49" fillId="2" borderId="0" xfId="0" applyFont="1" applyFill="1"/>
    <xf numFmtId="1" fontId="13" fillId="2" borderId="0" xfId="0" applyNumberFormat="1" applyFont="1" applyFill="1"/>
    <xf numFmtId="0" fontId="9" fillId="2" borderId="2" xfId="0" applyFont="1" applyFill="1" applyBorder="1"/>
    <xf numFmtId="0" fontId="49" fillId="2" borderId="12" xfId="0" applyFont="1" applyFill="1" applyBorder="1" applyAlignment="1">
      <alignment horizontal="right"/>
    </xf>
    <xf numFmtId="4" fontId="49" fillId="2" borderId="8" xfId="0" applyNumberFormat="1" applyFont="1" applyFill="1" applyBorder="1" applyAlignment="1">
      <alignment horizontal="left"/>
    </xf>
    <xf numFmtId="2" fontId="13" fillId="2" borderId="8" xfId="0" applyNumberFormat="1" applyFont="1" applyFill="1" applyBorder="1" applyAlignment="1">
      <alignment horizontal="right"/>
    </xf>
    <xf numFmtId="169" fontId="13" fillId="2" borderId="3" xfId="1" applyNumberFormat="1" applyFont="1" applyFill="1" applyBorder="1" applyAlignment="1">
      <alignment horizontal="left"/>
    </xf>
    <xf numFmtId="0" fontId="13" fillId="14" borderId="14" xfId="0" applyFont="1" applyFill="1" applyBorder="1"/>
    <xf numFmtId="0" fontId="13" fillId="14" borderId="13" xfId="0" applyFont="1" applyFill="1" applyBorder="1"/>
    <xf numFmtId="2" fontId="13" fillId="14" borderId="13" xfId="0" applyNumberFormat="1" applyFont="1" applyFill="1" applyBorder="1"/>
    <xf numFmtId="175" fontId="13" fillId="14" borderId="10" xfId="0" applyNumberFormat="1" applyFont="1" applyFill="1" applyBorder="1"/>
    <xf numFmtId="0" fontId="7" fillId="14" borderId="13" xfId="0" applyFont="1" applyFill="1" applyBorder="1"/>
    <xf numFmtId="0" fontId="7" fillId="2" borderId="12" xfId="0" applyFont="1" applyFill="1" applyBorder="1"/>
    <xf numFmtId="169" fontId="7" fillId="2" borderId="8" xfId="1" applyNumberFormat="1" applyFont="1" applyFill="1" applyBorder="1" applyAlignment="1">
      <alignment horizontal="center"/>
    </xf>
    <xf numFmtId="2" fontId="7" fillId="2" borderId="8" xfId="0" applyNumberFormat="1" applyFont="1" applyFill="1" applyBorder="1" applyAlignment="1">
      <alignment horizontal="right"/>
    </xf>
    <xf numFmtId="2" fontId="13" fillId="14" borderId="8" xfId="0" applyNumberFormat="1" applyFont="1" applyFill="1" applyBorder="1"/>
    <xf numFmtId="0" fontId="49" fillId="2" borderId="8" xfId="0" applyFont="1" applyFill="1" applyBorder="1" applyAlignment="1">
      <alignment horizontal="right" shrinkToFit="1"/>
    </xf>
    <xf numFmtId="0" fontId="11" fillId="5" borderId="0" xfId="0" applyFont="1" applyFill="1" applyAlignment="1">
      <alignment vertical="center"/>
    </xf>
    <xf numFmtId="0" fontId="15" fillId="5" borderId="0" xfId="0" applyFont="1" applyFill="1" applyAlignment="1">
      <alignment vertical="center"/>
    </xf>
    <xf numFmtId="2" fontId="69" fillId="5" borderId="0" xfId="0" applyNumberFormat="1" applyFont="1" applyFill="1"/>
    <xf numFmtId="0" fontId="69" fillId="5" borderId="0" xfId="0" applyFont="1" applyFill="1"/>
    <xf numFmtId="0" fontId="110" fillId="5" borderId="0" xfId="0" applyFont="1" applyFill="1" applyAlignment="1">
      <alignment vertical="top"/>
    </xf>
    <xf numFmtId="0" fontId="11" fillId="5" borderId="85" xfId="0" applyFont="1" applyFill="1" applyBorder="1"/>
    <xf numFmtId="174" fontId="6" fillId="5" borderId="85" xfId="0" applyNumberFormat="1" applyFont="1" applyFill="1" applyBorder="1"/>
    <xf numFmtId="0" fontId="6" fillId="5" borderId="85" xfId="0" applyFont="1" applyFill="1" applyBorder="1"/>
    <xf numFmtId="0" fontId="19" fillId="5" borderId="0" xfId="0" applyFont="1" applyFill="1" applyAlignment="1">
      <alignment shrinkToFit="1"/>
    </xf>
    <xf numFmtId="0" fontId="9" fillId="5" borderId="0" xfId="0" applyFont="1" applyFill="1"/>
    <xf numFmtId="167" fontId="9" fillId="11" borderId="14" xfId="0" applyNumberFormat="1" applyFont="1" applyFill="1" applyBorder="1" applyAlignment="1">
      <alignment horizontal="right" shrinkToFit="1"/>
    </xf>
    <xf numFmtId="0" fontId="11" fillId="11" borderId="13" xfId="0" applyFont="1" applyFill="1" applyBorder="1"/>
    <xf numFmtId="3" fontId="15" fillId="0" borderId="23" xfId="0" applyNumberFormat="1" applyFont="1" applyBorder="1" applyAlignment="1">
      <alignment horizontal="right" shrinkToFit="1"/>
    </xf>
    <xf numFmtId="168" fontId="15" fillId="11" borderId="14" xfId="0" applyNumberFormat="1" applyFont="1" applyFill="1" applyBorder="1" applyAlignment="1">
      <alignment horizontal="right" shrinkToFit="1"/>
    </xf>
    <xf numFmtId="0" fontId="22" fillId="11" borderId="13" xfId="0" applyFont="1" applyFill="1" applyBorder="1" applyAlignment="1">
      <alignment vertical="center" wrapText="1"/>
    </xf>
    <xf numFmtId="49" fontId="27" fillId="11" borderId="10" xfId="0" applyNumberFormat="1" applyFont="1" applyFill="1" applyBorder="1" applyAlignment="1">
      <alignment horizontal="center"/>
    </xf>
    <xf numFmtId="166" fontId="13" fillId="0" borderId="0" xfId="0" applyNumberFormat="1" applyFont="1"/>
    <xf numFmtId="0" fontId="85" fillId="0" borderId="0" xfId="0" applyFont="1"/>
    <xf numFmtId="3" fontId="9" fillId="0" borderId="0" xfId="0" applyNumberFormat="1" applyFont="1"/>
    <xf numFmtId="3" fontId="60" fillId="0" borderId="1" xfId="0" applyNumberFormat="1" applyFont="1" applyBorder="1"/>
    <xf numFmtId="0" fontId="23" fillId="2" borderId="0" xfId="0" applyFont="1" applyFill="1"/>
    <xf numFmtId="0" fontId="111" fillId="0" borderId="0" xfId="0" applyFont="1"/>
    <xf numFmtId="0" fontId="111" fillId="0" borderId="0" xfId="0" applyFont="1" applyAlignment="1">
      <alignment horizontal="right"/>
    </xf>
    <xf numFmtId="176" fontId="111" fillId="0" borderId="0" xfId="0" applyNumberFormat="1" applyFont="1" applyAlignment="1">
      <alignment horizontal="center"/>
    </xf>
    <xf numFmtId="0" fontId="112" fillId="0" borderId="92" xfId="0" applyFont="1" applyBorder="1" applyAlignment="1">
      <alignment horizontal="center"/>
    </xf>
    <xf numFmtId="0" fontId="113" fillId="0" borderId="0" xfId="0" applyFont="1" applyAlignment="1">
      <alignment horizontal="center"/>
    </xf>
    <xf numFmtId="0" fontId="71" fillId="0" borderId="0" xfId="0" applyFont="1" applyAlignment="1">
      <alignment horizontal="center"/>
    </xf>
    <xf numFmtId="14" fontId="114" fillId="0" borderId="0" xfId="0" applyNumberFormat="1" applyFont="1"/>
    <xf numFmtId="14" fontId="111" fillId="0" borderId="92" xfId="0" applyNumberFormat="1" applyFont="1" applyBorder="1"/>
    <xf numFmtId="0" fontId="115" fillId="7" borderId="85" xfId="0" applyFont="1" applyFill="1" applyBorder="1" applyAlignment="1" applyProtection="1">
      <alignment horizontal="center"/>
      <protection locked="0"/>
    </xf>
    <xf numFmtId="0" fontId="15" fillId="0" borderId="0" xfId="0" applyFont="1" applyAlignment="1">
      <alignment wrapText="1"/>
    </xf>
    <xf numFmtId="0" fontId="116" fillId="7" borderId="23" xfId="0" applyFont="1" applyFill="1" applyBorder="1" applyAlignment="1" applyProtection="1">
      <alignment horizontal="center"/>
      <protection locked="0"/>
    </xf>
    <xf numFmtId="2" fontId="116" fillId="7" borderId="23" xfId="0" applyNumberFormat="1" applyFont="1" applyFill="1" applyBorder="1" applyAlignment="1" applyProtection="1">
      <alignment horizontal="center"/>
      <protection locked="0"/>
    </xf>
    <xf numFmtId="0" fontId="15" fillId="0" borderId="0" xfId="0" applyFont="1" applyProtection="1">
      <protection locked="0"/>
    </xf>
    <xf numFmtId="0" fontId="23" fillId="0" borderId="0" xfId="0" applyFont="1" applyProtection="1">
      <protection locked="0"/>
    </xf>
    <xf numFmtId="0" fontId="7" fillId="0" borderId="0" xfId="0" applyFont="1" applyAlignment="1" applyProtection="1">
      <alignment horizontal="center"/>
      <protection locked="0"/>
    </xf>
    <xf numFmtId="0" fontId="7" fillId="0" borderId="0" xfId="0" applyFont="1" applyProtection="1">
      <protection locked="0"/>
    </xf>
    <xf numFmtId="3" fontId="56" fillId="7" borderId="14" xfId="0" applyNumberFormat="1" applyFont="1" applyFill="1" applyBorder="1" applyAlignment="1" applyProtection="1">
      <alignment horizontal="right"/>
      <protection locked="0"/>
    </xf>
    <xf numFmtId="4" fontId="56" fillId="7" borderId="23" xfId="0" applyNumberFormat="1" applyFont="1" applyFill="1" applyBorder="1" applyAlignment="1" applyProtection="1">
      <alignment horizontal="center"/>
      <protection locked="0"/>
    </xf>
    <xf numFmtId="4" fontId="56" fillId="7" borderId="6" xfId="0" applyNumberFormat="1" applyFont="1" applyFill="1" applyBorder="1" applyAlignment="1" applyProtection="1">
      <alignment horizontal="center"/>
      <protection locked="0"/>
    </xf>
    <xf numFmtId="4" fontId="56" fillId="7" borderId="14" xfId="0" applyNumberFormat="1" applyFont="1" applyFill="1" applyBorder="1" applyAlignment="1" applyProtection="1">
      <alignment horizontal="center"/>
      <protection locked="0"/>
    </xf>
    <xf numFmtId="0" fontId="86" fillId="0" borderId="0" xfId="0" applyFont="1" applyAlignment="1">
      <alignment horizontal="center" vertical="center"/>
    </xf>
    <xf numFmtId="49" fontId="9" fillId="0" borderId="0" xfId="0" applyNumberFormat="1" applyFont="1" applyAlignment="1">
      <alignment horizontal="center"/>
    </xf>
    <xf numFmtId="0" fontId="22" fillId="0" borderId="0" xfId="0" applyFont="1" applyAlignment="1">
      <alignment horizontal="center"/>
    </xf>
    <xf numFmtId="3" fontId="15" fillId="5" borderId="0" xfId="0" applyNumberFormat="1" applyFont="1" applyFill="1"/>
    <xf numFmtId="166" fontId="15" fillId="0" borderId="0" xfId="0" applyNumberFormat="1" applyFont="1"/>
    <xf numFmtId="17" fontId="118" fillId="0" borderId="0" xfId="0" applyNumberFormat="1" applyFont="1" applyAlignment="1">
      <alignment horizontal="right" vertical="center"/>
    </xf>
    <xf numFmtId="17" fontId="118" fillId="5" borderId="0" xfId="0" applyNumberFormat="1" applyFont="1" applyFill="1" applyAlignment="1">
      <alignment horizontal="right" vertical="center"/>
    </xf>
    <xf numFmtId="0" fontId="15" fillId="0" borderId="0" xfId="0" applyFont="1" applyAlignment="1">
      <alignment horizontal="left" vertical="top" wrapText="1"/>
    </xf>
    <xf numFmtId="0" fontId="88" fillId="2" borderId="0" xfId="0" applyFont="1" applyFill="1" applyAlignment="1">
      <alignment horizontal="left" vertical="center" shrinkToFit="1"/>
    </xf>
    <xf numFmtId="0" fontId="83" fillId="0" borderId="0" xfId="0" applyFont="1" applyAlignment="1">
      <alignment horizontal="center" vertical="center"/>
    </xf>
    <xf numFmtId="168" fontId="19" fillId="2" borderId="0" xfId="0" applyNumberFormat="1" applyFont="1" applyFill="1" applyAlignment="1">
      <alignment vertical="center" wrapText="1"/>
    </xf>
    <xf numFmtId="168" fontId="59" fillId="0" borderId="0" xfId="0" applyNumberFormat="1" applyFont="1" applyAlignment="1">
      <alignment horizontal="center" vertical="center"/>
    </xf>
    <xf numFmtId="3" fontId="28" fillId="7" borderId="0" xfId="0" applyNumberFormat="1" applyFont="1" applyFill="1" applyAlignment="1" applyProtection="1">
      <alignment horizontal="center" shrinkToFit="1"/>
      <protection locked="0"/>
    </xf>
    <xf numFmtId="168" fontId="28" fillId="7" borderId="0" xfId="0" applyNumberFormat="1" applyFont="1" applyFill="1" applyAlignment="1" applyProtection="1">
      <alignment shrinkToFit="1"/>
      <protection locked="0"/>
    </xf>
    <xf numFmtId="9" fontId="7" fillId="2" borderId="0" xfId="0" applyNumberFormat="1" applyFont="1" applyFill="1" applyAlignment="1">
      <alignment horizontal="right"/>
    </xf>
    <xf numFmtId="0" fontId="24" fillId="2" borderId="92" xfId="0" applyFont="1" applyFill="1" applyBorder="1" applyAlignment="1">
      <alignment vertical="center" wrapText="1"/>
    </xf>
    <xf numFmtId="0" fontId="9" fillId="0" borderId="8" xfId="0" applyFont="1" applyBorder="1"/>
    <xf numFmtId="0" fontId="6" fillId="0" borderId="8" xfId="0" applyFont="1" applyBorder="1" applyAlignment="1">
      <alignment horizontal="center"/>
    </xf>
    <xf numFmtId="168" fontId="15" fillId="5" borderId="4" xfId="0" applyNumberFormat="1" applyFont="1" applyFill="1" applyBorder="1" applyAlignment="1">
      <alignment horizontal="center" shrinkToFit="1"/>
    </xf>
    <xf numFmtId="4" fontId="15" fillId="0" borderId="23" xfId="0" applyNumberFormat="1" applyFont="1" applyBorder="1" applyAlignment="1">
      <alignment horizontal="center" shrinkToFit="1"/>
    </xf>
    <xf numFmtId="168" fontId="15" fillId="5" borderId="23" xfId="0" applyNumberFormat="1" applyFont="1" applyFill="1" applyBorder="1" applyAlignment="1">
      <alignment horizontal="center" shrinkToFit="1"/>
    </xf>
    <xf numFmtId="4" fontId="15" fillId="5" borderId="23" xfId="0" applyNumberFormat="1" applyFont="1" applyFill="1" applyBorder="1" applyAlignment="1">
      <alignment horizontal="center" shrinkToFit="1"/>
    </xf>
    <xf numFmtId="17" fontId="15" fillId="0" borderId="0" xfId="0" applyNumberFormat="1" applyFont="1"/>
    <xf numFmtId="17" fontId="7" fillId="0" borderId="0" xfId="0" applyNumberFormat="1" applyFont="1"/>
    <xf numFmtId="168" fontId="13" fillId="2" borderId="0" xfId="0" applyNumberFormat="1" applyFont="1" applyFill="1"/>
    <xf numFmtId="168" fontId="13" fillId="0" borderId="0" xfId="0" applyNumberFormat="1" applyFont="1"/>
    <xf numFmtId="4" fontId="13" fillId="0" borderId="0" xfId="0" applyNumberFormat="1" applyFont="1" applyAlignment="1">
      <alignment horizontal="center"/>
    </xf>
    <xf numFmtId="168" fontId="28" fillId="0" borderId="23" xfId="0" applyNumberFormat="1" applyFont="1" applyBorder="1" applyAlignment="1">
      <alignment shrinkToFit="1"/>
    </xf>
    <xf numFmtId="168" fontId="28" fillId="5" borderId="23" xfId="0" applyNumberFormat="1" applyFont="1" applyFill="1" applyBorder="1" applyAlignment="1">
      <alignment shrinkToFit="1"/>
    </xf>
    <xf numFmtId="4" fontId="28" fillId="0" borderId="17" xfId="0" applyNumberFormat="1" applyFont="1" applyBorder="1" applyAlignment="1">
      <alignment horizontal="center" shrinkToFit="1"/>
    </xf>
    <xf numFmtId="9" fontId="7" fillId="7" borderId="0" xfId="0" applyNumberFormat="1" applyFont="1" applyFill="1" applyAlignment="1" applyProtection="1">
      <alignment horizontal="right"/>
      <protection locked="0"/>
    </xf>
    <xf numFmtId="0" fontId="15" fillId="2" borderId="48" xfId="0" applyFont="1" applyFill="1" applyBorder="1"/>
    <xf numFmtId="9" fontId="60" fillId="0" borderId="63" xfId="1" applyFont="1" applyBorder="1" applyAlignment="1">
      <alignment horizontal="center" vertical="center"/>
    </xf>
    <xf numFmtId="166" fontId="15" fillId="0" borderId="8" xfId="0" applyNumberFormat="1" applyFont="1" applyBorder="1" applyAlignment="1">
      <alignment horizontal="center"/>
    </xf>
    <xf numFmtId="169" fontId="54" fillId="0" borderId="107" xfId="0" applyNumberFormat="1" applyFont="1" applyBorder="1" applyAlignment="1">
      <alignment horizontal="center" vertical="center"/>
    </xf>
    <xf numFmtId="169" fontId="54" fillId="0" borderId="112" xfId="0" applyNumberFormat="1" applyFont="1" applyBorder="1" applyAlignment="1">
      <alignment horizontal="center" vertical="center"/>
    </xf>
    <xf numFmtId="166" fontId="9" fillId="0" borderId="0" xfId="0" applyNumberFormat="1" applyFont="1" applyAlignment="1">
      <alignment horizontal="center" shrinkToFit="1"/>
    </xf>
    <xf numFmtId="0" fontId="15" fillId="16" borderId="0" xfId="0" applyFont="1" applyFill="1"/>
    <xf numFmtId="0" fontId="15" fillId="16" borderId="0" xfId="0" applyFont="1" applyFill="1" applyAlignment="1">
      <alignment wrapText="1"/>
    </xf>
    <xf numFmtId="2" fontId="15" fillId="16" borderId="0" xfId="0" applyNumberFormat="1" applyFont="1" applyFill="1"/>
    <xf numFmtId="4" fontId="15" fillId="16" borderId="0" xfId="0" applyNumberFormat="1" applyFont="1" applyFill="1"/>
    <xf numFmtId="0" fontId="15" fillId="16" borderId="0" xfId="0" applyFont="1" applyFill="1" applyAlignment="1">
      <alignment vertical="center"/>
    </xf>
    <xf numFmtId="3" fontId="15" fillId="16" borderId="0" xfId="0" applyNumberFormat="1" applyFont="1" applyFill="1"/>
    <xf numFmtId="4" fontId="25" fillId="16" borderId="0" xfId="0" applyNumberFormat="1" applyFont="1" applyFill="1"/>
    <xf numFmtId="166" fontId="15" fillId="16" borderId="0" xfId="0" applyNumberFormat="1" applyFont="1" applyFill="1"/>
    <xf numFmtId="0" fontId="120" fillId="0" borderId="0" xfId="0" applyFont="1"/>
    <xf numFmtId="0" fontId="121" fillId="0" borderId="0" xfId="0" applyFont="1"/>
    <xf numFmtId="0" fontId="122" fillId="0" borderId="0" xfId="0" applyFont="1"/>
    <xf numFmtId="0" fontId="62" fillId="5" borderId="0" xfId="0" applyFont="1" applyFill="1"/>
    <xf numFmtId="0" fontId="72" fillId="8" borderId="0" xfId="0" applyFont="1" applyFill="1"/>
    <xf numFmtId="0" fontId="123" fillId="0" borderId="0" xfId="0" applyFont="1"/>
    <xf numFmtId="0" fontId="23" fillId="2" borderId="5" xfId="0" applyFont="1" applyFill="1" applyBorder="1" applyAlignment="1">
      <alignment horizontal="center"/>
    </xf>
    <xf numFmtId="2" fontId="23" fillId="2" borderId="2" xfId="0" applyNumberFormat="1" applyFont="1" applyFill="1" applyBorder="1" applyAlignment="1">
      <alignment horizontal="center"/>
    </xf>
    <xf numFmtId="0" fontId="23" fillId="2" borderId="1" xfId="0" applyFont="1" applyFill="1" applyBorder="1"/>
    <xf numFmtId="0" fontId="23" fillId="2" borderId="2" xfId="0" applyFont="1" applyFill="1" applyBorder="1" applyAlignment="1">
      <alignment horizontal="center"/>
    </xf>
    <xf numFmtId="2" fontId="51" fillId="2" borderId="2" xfId="0" applyNumberFormat="1" applyFont="1" applyFill="1" applyBorder="1" applyAlignment="1">
      <alignment horizontal="center"/>
    </xf>
    <xf numFmtId="9" fontId="116" fillId="7" borderId="1" xfId="0" applyNumberFormat="1" applyFont="1" applyFill="1" applyBorder="1" applyProtection="1">
      <protection locked="0"/>
    </xf>
    <xf numFmtId="0" fontId="23" fillId="2" borderId="12" xfId="0" applyFont="1" applyFill="1" applyBorder="1"/>
    <xf numFmtId="0" fontId="23" fillId="2" borderId="8" xfId="0" applyFont="1" applyFill="1" applyBorder="1"/>
    <xf numFmtId="2" fontId="51" fillId="2" borderId="3" xfId="0" applyNumberFormat="1" applyFont="1" applyFill="1" applyBorder="1" applyAlignment="1">
      <alignment horizontal="center"/>
    </xf>
    <xf numFmtId="14" fontId="100" fillId="0" borderId="0" xfId="0" applyNumberFormat="1" applyFont="1" applyAlignment="1">
      <alignment shrinkToFit="1"/>
    </xf>
    <xf numFmtId="0" fontId="85" fillId="0" borderId="0" xfId="0" applyFont="1" applyAlignment="1">
      <alignment shrinkToFit="1"/>
    </xf>
    <xf numFmtId="14" fontId="70" fillId="0" borderId="0" xfId="0" applyNumberFormat="1" applyFont="1" applyAlignment="1">
      <alignment shrinkToFit="1"/>
    </xf>
    <xf numFmtId="14" fontId="100" fillId="0" borderId="92" xfId="0" applyNumberFormat="1" applyFont="1" applyBorder="1" applyAlignment="1">
      <alignment shrinkToFit="1"/>
    </xf>
    <xf numFmtId="0" fontId="11" fillId="0" borderId="0" xfId="0" applyFont="1" applyAlignment="1">
      <alignment horizontal="left" wrapText="1"/>
    </xf>
    <xf numFmtId="0" fontId="11" fillId="0" borderId="0" xfId="0" applyFont="1" applyAlignment="1">
      <alignment horizontal="left" vertical="top" wrapText="1"/>
    </xf>
    <xf numFmtId="4" fontId="7" fillId="2" borderId="0" xfId="0" applyNumberFormat="1" applyFont="1" applyFill="1" applyAlignment="1">
      <alignment shrinkToFit="1"/>
    </xf>
    <xf numFmtId="0" fontId="15" fillId="17" borderId="0" xfId="0" applyFont="1" applyFill="1"/>
    <xf numFmtId="0" fontId="9" fillId="17" borderId="0" xfId="0" applyFont="1" applyFill="1"/>
    <xf numFmtId="1" fontId="69" fillId="0" borderId="0" xfId="0" applyNumberFormat="1" applyFont="1" applyAlignment="1">
      <alignment horizontal="center" vertical="center" shrinkToFit="1"/>
    </xf>
    <xf numFmtId="170" fontId="60" fillId="7" borderId="109" xfId="0" applyNumberFormat="1" applyFont="1" applyFill="1" applyBorder="1" applyAlignment="1" applyProtection="1">
      <alignment horizontal="center"/>
      <protection locked="0"/>
    </xf>
    <xf numFmtId="166" fontId="13" fillId="2" borderId="119" xfId="0" applyNumberFormat="1" applyFont="1" applyFill="1" applyBorder="1" applyAlignment="1">
      <alignment horizontal="center"/>
    </xf>
    <xf numFmtId="0" fontId="14" fillId="0" borderId="0" xfId="0" applyFont="1" applyAlignment="1">
      <alignment horizontal="justify" vertical="center"/>
    </xf>
    <xf numFmtId="0" fontId="15" fillId="2" borderId="76" xfId="0" applyFont="1" applyFill="1" applyBorder="1" applyAlignment="1">
      <alignment horizontal="right" wrapText="1"/>
    </xf>
    <xf numFmtId="4" fontId="105" fillId="7" borderId="4" xfId="0" applyNumberFormat="1" applyFont="1" applyFill="1" applyBorder="1" applyAlignment="1" applyProtection="1">
      <alignment horizontal="center" shrinkToFit="1"/>
      <protection locked="0"/>
    </xf>
    <xf numFmtId="1" fontId="15" fillId="12" borderId="23" xfId="0" applyNumberFormat="1" applyFont="1" applyFill="1" applyBorder="1" applyAlignment="1">
      <alignment horizontal="center"/>
    </xf>
    <xf numFmtId="166" fontId="15" fillId="12" borderId="65" xfId="0" applyNumberFormat="1" applyFont="1" applyFill="1" applyBorder="1" applyAlignment="1">
      <alignment horizontal="center" shrinkToFit="1"/>
    </xf>
    <xf numFmtId="0" fontId="49" fillId="2" borderId="8" xfId="0" applyFont="1" applyFill="1" applyBorder="1" applyAlignment="1">
      <alignment horizontal="center" shrinkToFit="1"/>
    </xf>
    <xf numFmtId="3" fontId="15" fillId="0" borderId="36" xfId="0" applyNumberFormat="1" applyFont="1" applyBorder="1" applyAlignment="1">
      <alignment horizontal="center" vertical="center" wrapText="1"/>
    </xf>
    <xf numFmtId="3" fontId="15" fillId="0" borderId="67" xfId="0" applyNumberFormat="1" applyFont="1" applyBorder="1" applyAlignment="1">
      <alignment horizontal="center" vertical="center" wrapText="1"/>
    </xf>
    <xf numFmtId="169" fontId="15" fillId="13" borderId="45" xfId="0" applyNumberFormat="1" applyFont="1" applyFill="1" applyBorder="1" applyAlignment="1" applyProtection="1">
      <alignment horizontal="center" vertical="center"/>
      <protection locked="0"/>
    </xf>
    <xf numFmtId="169" fontId="15" fillId="17" borderId="123" xfId="0" applyNumberFormat="1" applyFont="1" applyFill="1" applyBorder="1" applyAlignment="1">
      <alignment horizontal="center" vertical="center"/>
    </xf>
    <xf numFmtId="0" fontId="15" fillId="2" borderId="0" xfId="0" applyFont="1" applyFill="1" applyAlignment="1">
      <alignment vertical="top" wrapText="1"/>
    </xf>
    <xf numFmtId="0" fontId="19" fillId="2" borderId="0" xfId="0" applyFont="1" applyFill="1" applyAlignment="1">
      <alignment horizontal="left" wrapText="1"/>
    </xf>
    <xf numFmtId="0" fontId="24" fillId="2" borderId="0" xfId="0" applyFont="1" applyFill="1" applyAlignment="1">
      <alignment vertical="center" wrapText="1"/>
    </xf>
    <xf numFmtId="0" fontId="125" fillId="0" borderId="14" xfId="0" applyFont="1" applyBorder="1" applyAlignment="1">
      <alignment vertical="center" wrapText="1"/>
    </xf>
    <xf numFmtId="0" fontId="125" fillId="0" borderId="14" xfId="0" applyFont="1" applyBorder="1" applyAlignment="1">
      <alignment vertical="center"/>
    </xf>
    <xf numFmtId="0" fontId="6" fillId="0" borderId="0" xfId="0" applyFont="1" applyAlignment="1" applyProtection="1">
      <alignment horizontal="center"/>
      <protection locked="0"/>
    </xf>
    <xf numFmtId="2" fontId="56" fillId="7" borderId="23" xfId="0" applyNumberFormat="1" applyFont="1" applyFill="1" applyBorder="1" applyAlignment="1" applyProtection="1">
      <alignment horizontal="center" vertical="center" shrinkToFit="1"/>
      <protection locked="0"/>
    </xf>
    <xf numFmtId="0" fontId="127" fillId="0" borderId="0" xfId="0" applyFont="1"/>
    <xf numFmtId="0" fontId="128" fillId="0" borderId="92" xfId="0" applyFont="1" applyBorder="1" applyAlignment="1">
      <alignment horizontal="center"/>
    </xf>
    <xf numFmtId="0" fontId="129" fillId="0" borderId="0" xfId="0" applyFont="1"/>
    <xf numFmtId="0" fontId="15" fillId="0" borderId="34" xfId="0" applyFont="1" applyBorder="1"/>
    <xf numFmtId="0" fontId="15" fillId="0" borderId="60" xfId="0" applyFont="1" applyBorder="1"/>
    <xf numFmtId="0" fontId="15" fillId="0" borderId="63" xfId="0" applyFont="1" applyBorder="1"/>
    <xf numFmtId="0" fontId="15" fillId="2" borderId="81" xfId="0" applyFont="1" applyFill="1" applyBorder="1"/>
    <xf numFmtId="0" fontId="15" fillId="0" borderId="82" xfId="0" applyFont="1" applyBorder="1"/>
    <xf numFmtId="0" fontId="69" fillId="0" borderId="0" xfId="0" applyFont="1"/>
    <xf numFmtId="0" fontId="15" fillId="0" borderId="5" xfId="0" applyFont="1" applyBorder="1"/>
    <xf numFmtId="0" fontId="15" fillId="0" borderId="2" xfId="0" applyFont="1" applyBorder="1"/>
    <xf numFmtId="0" fontId="15" fillId="0" borderId="3" xfId="0" applyFont="1" applyBorder="1"/>
    <xf numFmtId="0" fontId="54" fillId="0" borderId="0" xfId="0" applyFont="1"/>
    <xf numFmtId="0" fontId="22" fillId="2" borderId="0" xfId="0" applyFont="1" applyFill="1"/>
    <xf numFmtId="0" fontId="85" fillId="0" borderId="0" xfId="0" applyFont="1" applyAlignment="1">
      <alignment horizontal="left" vertical="center" wrapText="1"/>
    </xf>
    <xf numFmtId="0" fontId="72" fillId="0" borderId="0" xfId="0" applyFont="1" applyAlignment="1">
      <alignment horizontal="right" vertical="center"/>
    </xf>
    <xf numFmtId="0" fontId="72" fillId="7" borderId="0" xfId="0" applyFont="1" applyFill="1" applyAlignment="1">
      <alignment horizontal="center" vertical="center"/>
    </xf>
    <xf numFmtId="0" fontId="53" fillId="0" borderId="0" xfId="0" applyFont="1" applyAlignment="1">
      <alignment vertical="center"/>
    </xf>
    <xf numFmtId="0" fontId="71" fillId="0" borderId="0" xfId="0" applyFont="1" applyAlignment="1">
      <alignment vertical="center"/>
    </xf>
    <xf numFmtId="0" fontId="135" fillId="0" borderId="0" xfId="0" applyFont="1"/>
    <xf numFmtId="0" fontId="56" fillId="0" borderId="0" xfId="0" applyFont="1" applyAlignment="1">
      <alignment vertical="center" wrapText="1"/>
    </xf>
    <xf numFmtId="0" fontId="93" fillId="0" borderId="0" xfId="0" applyFont="1" applyAlignment="1">
      <alignment horizontal="center"/>
    </xf>
    <xf numFmtId="0" fontId="21" fillId="11" borderId="0" xfId="0" applyFont="1" applyFill="1" applyAlignment="1">
      <alignment horizontal="center"/>
    </xf>
    <xf numFmtId="0" fontId="21" fillId="0" borderId="0" xfId="0" applyFont="1" applyAlignment="1">
      <alignment horizontal="center"/>
    </xf>
    <xf numFmtId="9" fontId="40" fillId="0" borderId="0" xfId="0" applyNumberFormat="1" applyFont="1" applyAlignment="1">
      <alignment horizontal="right"/>
    </xf>
    <xf numFmtId="0" fontId="39" fillId="11" borderId="0" xfId="0" applyFont="1" applyFill="1" applyAlignment="1">
      <alignment horizontal="center"/>
    </xf>
    <xf numFmtId="0" fontId="44" fillId="11" borderId="0" xfId="0" applyFont="1" applyFill="1" applyAlignment="1">
      <alignment horizontal="right"/>
    </xf>
    <xf numFmtId="3" fontId="74" fillId="0" borderId="91" xfId="0" applyNumberFormat="1" applyFont="1" applyBorder="1"/>
    <xf numFmtId="3" fontId="15" fillId="2" borderId="41" xfId="0" applyNumberFormat="1" applyFont="1" applyFill="1" applyBorder="1" applyAlignment="1">
      <alignment horizontal="center"/>
    </xf>
    <xf numFmtId="167" fontId="59" fillId="11" borderId="4" xfId="0" applyNumberFormat="1" applyFont="1" applyFill="1" applyBorder="1" applyAlignment="1">
      <alignment horizontal="right" shrinkToFit="1"/>
    </xf>
    <xf numFmtId="167" fontId="20" fillId="0" borderId="23" xfId="0" applyNumberFormat="1" applyFont="1" applyBorder="1" applyAlignment="1">
      <alignment horizontal="right" shrinkToFit="1"/>
    </xf>
    <xf numFmtId="167" fontId="30" fillId="11" borderId="23" xfId="0" applyNumberFormat="1" applyFont="1" applyFill="1" applyBorder="1" applyAlignment="1">
      <alignment horizontal="right" shrinkToFit="1"/>
    </xf>
    <xf numFmtId="3" fontId="59" fillId="0" borderId="39" xfId="0" applyNumberFormat="1" applyFont="1" applyBorder="1"/>
    <xf numFmtId="0" fontId="125" fillId="2" borderId="1" xfId="0" applyFont="1" applyFill="1" applyBorder="1" applyAlignment="1">
      <alignment vertical="center" wrapText="1"/>
    </xf>
    <xf numFmtId="166" fontId="62" fillId="0" borderId="0" xfId="0" applyNumberFormat="1" applyFont="1"/>
    <xf numFmtId="4" fontId="62" fillId="0" borderId="0" xfId="0" applyNumberFormat="1" applyFont="1"/>
    <xf numFmtId="3" fontId="140" fillId="2" borderId="0" xfId="0" applyNumberFormat="1" applyFont="1" applyFill="1"/>
    <xf numFmtId="17" fontId="58" fillId="0" borderId="8" xfId="0" applyNumberFormat="1" applyFont="1" applyBorder="1" applyAlignment="1">
      <alignment horizontal="center"/>
    </xf>
    <xf numFmtId="0" fontId="82" fillId="0" borderId="0" xfId="0" applyFont="1" applyAlignment="1">
      <alignment vertical="top" wrapText="1"/>
    </xf>
    <xf numFmtId="1" fontId="82" fillId="0" borderId="0" xfId="0" applyNumberFormat="1" applyFont="1" applyAlignment="1">
      <alignment vertical="top" wrapText="1"/>
    </xf>
    <xf numFmtId="0" fontId="64" fillId="2" borderId="0" xfId="0" applyFont="1" applyFill="1"/>
    <xf numFmtId="3" fontId="62" fillId="5" borderId="0" xfId="0" applyNumberFormat="1" applyFont="1" applyFill="1"/>
    <xf numFmtId="0" fontId="108" fillId="5" borderId="0" xfId="0" applyFont="1" applyFill="1" applyAlignment="1">
      <alignment horizontal="right"/>
    </xf>
    <xf numFmtId="1" fontId="108" fillId="5" borderId="0" xfId="0" applyNumberFormat="1" applyFont="1" applyFill="1"/>
    <xf numFmtId="0" fontId="61" fillId="5" borderId="0" xfId="0" applyFont="1" applyFill="1"/>
    <xf numFmtId="1" fontId="142" fillId="5" borderId="0" xfId="0" applyNumberFormat="1" applyFont="1" applyFill="1"/>
    <xf numFmtId="0" fontId="11" fillId="2" borderId="1" xfId="0" applyFont="1" applyFill="1" applyBorder="1" applyAlignment="1">
      <alignment vertical="top" wrapText="1"/>
    </xf>
    <xf numFmtId="1" fontId="116" fillId="7" borderId="23" xfId="0" applyNumberFormat="1" applyFont="1" applyFill="1" applyBorder="1" applyAlignment="1" applyProtection="1">
      <alignment horizontal="center"/>
      <protection locked="0"/>
    </xf>
    <xf numFmtId="0" fontId="11" fillId="2" borderId="7" xfId="0" applyFont="1" applyFill="1" applyBorder="1"/>
    <xf numFmtId="0" fontId="11" fillId="2" borderId="17" xfId="0" applyFont="1" applyFill="1" applyBorder="1" applyAlignment="1">
      <alignment horizontal="center"/>
    </xf>
    <xf numFmtId="0" fontId="11" fillId="0" borderId="0" xfId="0" applyFont="1" applyAlignment="1" applyProtection="1">
      <alignment horizontal="center"/>
      <protection locked="0"/>
    </xf>
    <xf numFmtId="0" fontId="11" fillId="2" borderId="1" xfId="0" applyFont="1" applyFill="1" applyBorder="1"/>
    <xf numFmtId="0" fontId="15" fillId="0" borderId="2" xfId="0" applyFont="1" applyBorder="1" applyAlignment="1">
      <alignment horizontal="center"/>
    </xf>
    <xf numFmtId="0" fontId="23" fillId="2" borderId="8" xfId="0" applyFont="1" applyFill="1" applyBorder="1" applyAlignment="1">
      <alignment horizontal="right"/>
    </xf>
    <xf numFmtId="0" fontId="11" fillId="2" borderId="91" xfId="0" applyFont="1" applyFill="1" applyBorder="1" applyAlignment="1">
      <alignment wrapText="1"/>
    </xf>
    <xf numFmtId="168" fontId="11" fillId="2" borderId="83" xfId="0" applyNumberFormat="1" applyFont="1" applyFill="1" applyBorder="1" applyAlignment="1">
      <alignment vertical="center" wrapText="1"/>
    </xf>
    <xf numFmtId="168" fontId="58" fillId="0" borderId="3" xfId="0" applyNumberFormat="1" applyFont="1" applyBorder="1" applyAlignment="1">
      <alignment horizontal="center" vertical="center"/>
    </xf>
    <xf numFmtId="0" fontId="14" fillId="2" borderId="0" xfId="0" applyFont="1" applyFill="1" applyAlignment="1">
      <alignment horizontal="left" vertical="center" wrapText="1"/>
    </xf>
    <xf numFmtId="0" fontId="101" fillId="7" borderId="16" xfId="0" applyFont="1" applyFill="1" applyBorder="1" applyAlignment="1" applyProtection="1">
      <alignment horizontal="center" vertical="center"/>
      <protection locked="0"/>
    </xf>
    <xf numFmtId="17" fontId="58" fillId="0" borderId="4" xfId="0" applyNumberFormat="1" applyFont="1" applyBorder="1" applyAlignment="1">
      <alignment horizontal="center"/>
    </xf>
    <xf numFmtId="0" fontId="125" fillId="0" borderId="91" xfId="0" applyFont="1" applyBorder="1" applyAlignment="1">
      <alignment horizontal="center" vertical="center" wrapText="1"/>
    </xf>
    <xf numFmtId="0" fontId="11" fillId="2" borderId="4" xfId="0" applyFont="1" applyFill="1" applyBorder="1" applyAlignment="1">
      <alignment horizontal="center"/>
    </xf>
    <xf numFmtId="0" fontId="60" fillId="0" borderId="1" xfId="0" applyFont="1" applyBorder="1"/>
    <xf numFmtId="4" fontId="28" fillId="0" borderId="14" xfId="0" applyNumberFormat="1" applyFont="1" applyBorder="1" applyAlignment="1">
      <alignment horizontal="center" shrinkToFit="1"/>
    </xf>
    <xf numFmtId="4" fontId="28" fillId="0" borderId="10" xfId="0" applyNumberFormat="1" applyFont="1" applyBorder="1" applyAlignment="1">
      <alignment horizontal="center" shrinkToFit="1"/>
    </xf>
    <xf numFmtId="0" fontId="146" fillId="0" borderId="0" xfId="0" applyFont="1" applyAlignment="1">
      <alignment vertical="center" wrapText="1"/>
    </xf>
    <xf numFmtId="0" fontId="146" fillId="0" borderId="54" xfId="0" applyFont="1" applyBorder="1" applyAlignment="1">
      <alignment vertical="center" wrapText="1"/>
    </xf>
    <xf numFmtId="169" fontId="56" fillId="7" borderId="23" xfId="0" applyNumberFormat="1" applyFont="1" applyFill="1" applyBorder="1" applyAlignment="1" applyProtection="1">
      <alignment horizontal="center" vertical="center" shrinkToFit="1"/>
      <protection locked="0"/>
    </xf>
    <xf numFmtId="10" fontId="15" fillId="2" borderId="56" xfId="0" applyNumberFormat="1" applyFont="1" applyFill="1" applyBorder="1" applyAlignment="1">
      <alignment horizontal="center" vertical="center" wrapText="1"/>
    </xf>
    <xf numFmtId="2" fontId="8" fillId="2" borderId="0" xfId="0" applyNumberFormat="1" applyFont="1" applyFill="1" applyAlignment="1">
      <alignment shrinkToFit="1"/>
    </xf>
    <xf numFmtId="2" fontId="8" fillId="2" borderId="55" xfId="0" applyNumberFormat="1" applyFont="1" applyFill="1" applyBorder="1" applyAlignment="1">
      <alignment shrinkToFit="1"/>
    </xf>
    <xf numFmtId="2" fontId="8" fillId="2" borderId="0" xfId="0" applyNumberFormat="1" applyFont="1" applyFill="1" applyAlignment="1">
      <alignment horizontal="center" shrinkToFit="1"/>
    </xf>
    <xf numFmtId="173" fontId="15" fillId="0" borderId="0" xfId="0" applyNumberFormat="1" applyFont="1" applyAlignment="1">
      <alignment horizontal="center"/>
    </xf>
    <xf numFmtId="169" fontId="60" fillId="13" borderId="8" xfId="1" applyNumberFormat="1" applyFont="1" applyFill="1" applyBorder="1" applyAlignment="1" applyProtection="1">
      <alignment horizontal="center"/>
      <protection locked="0"/>
    </xf>
    <xf numFmtId="0" fontId="15" fillId="2" borderId="24" xfId="0" applyFont="1" applyFill="1" applyBorder="1"/>
    <xf numFmtId="0" fontId="15" fillId="2" borderId="25" xfId="0" applyFont="1" applyFill="1" applyBorder="1"/>
    <xf numFmtId="0" fontId="145" fillId="0" borderId="26" xfId="0" applyFont="1" applyBorder="1"/>
    <xf numFmtId="170" fontId="9" fillId="11" borderId="38" xfId="0" applyNumberFormat="1" applyFont="1" applyFill="1" applyBorder="1" applyAlignment="1">
      <alignment horizontal="center"/>
    </xf>
    <xf numFmtId="170" fontId="9" fillId="11" borderId="16" xfId="0" applyNumberFormat="1" applyFont="1" applyFill="1" applyBorder="1" applyAlignment="1">
      <alignment horizontal="center"/>
    </xf>
    <xf numFmtId="0" fontId="15" fillId="0" borderId="28" xfId="0" applyFont="1" applyBorder="1"/>
    <xf numFmtId="0" fontId="15" fillId="2" borderId="27" xfId="0" applyFont="1" applyFill="1" applyBorder="1"/>
    <xf numFmtId="0" fontId="15" fillId="2" borderId="29" xfId="0" applyFont="1" applyFill="1" applyBorder="1" applyAlignment="1">
      <alignment vertical="center"/>
    </xf>
    <xf numFmtId="0" fontId="15" fillId="2" borderId="30" xfId="0" applyFont="1" applyFill="1" applyBorder="1"/>
    <xf numFmtId="0" fontId="15" fillId="0" borderId="31" xfId="0" applyFont="1" applyBorder="1"/>
    <xf numFmtId="0" fontId="11" fillId="0" borderId="27" xfId="0" applyFont="1" applyBorder="1" applyAlignment="1">
      <alignment horizontal="left" shrinkToFit="1"/>
    </xf>
    <xf numFmtId="0" fontId="11" fillId="0" borderId="0" xfId="0" applyFont="1" applyAlignment="1">
      <alignment horizontal="center" shrinkToFit="1"/>
    </xf>
    <xf numFmtId="0" fontId="19" fillId="0" borderId="26" xfId="0" applyFont="1" applyBorder="1"/>
    <xf numFmtId="0" fontId="9" fillId="0" borderId="27" xfId="0" applyFont="1" applyBorder="1" applyAlignment="1">
      <alignment horizontal="center"/>
    </xf>
    <xf numFmtId="1" fontId="9" fillId="0" borderId="0" xfId="0" applyNumberFormat="1" applyFont="1" applyAlignment="1">
      <alignment horizontal="center"/>
    </xf>
    <xf numFmtId="2" fontId="9" fillId="0" borderId="0" xfId="0" applyNumberFormat="1" applyFont="1" applyAlignment="1">
      <alignment horizontal="center"/>
    </xf>
    <xf numFmtId="1" fontId="9" fillId="0" borderId="28" xfId="0" applyNumberFormat="1" applyFont="1" applyBorder="1" applyAlignment="1">
      <alignment horizontal="center"/>
    </xf>
    <xf numFmtId="0" fontId="15" fillId="0" borderId="61" xfId="0" applyFont="1" applyBorder="1" applyAlignment="1">
      <alignment horizontal="center"/>
    </xf>
    <xf numFmtId="0" fontId="15" fillId="0" borderId="58" xfId="0" applyFont="1" applyBorder="1"/>
    <xf numFmtId="3" fontId="9" fillId="0" borderId="60" xfId="0" applyNumberFormat="1" applyFont="1" applyBorder="1"/>
    <xf numFmtId="179" fontId="9" fillId="0" borderId="59" xfId="0" applyNumberFormat="1" applyFont="1" applyBorder="1" applyAlignment="1">
      <alignment horizontal="left"/>
    </xf>
    <xf numFmtId="0" fontId="15" fillId="0" borderId="60" xfId="0" applyFont="1" applyBorder="1" applyAlignment="1">
      <alignment horizontal="center"/>
    </xf>
    <xf numFmtId="9" fontId="60" fillId="0" borderId="60" xfId="1" applyFont="1" applyBorder="1" applyAlignment="1" applyProtection="1">
      <alignment vertical="center"/>
    </xf>
    <xf numFmtId="166" fontId="15" fillId="0" borderId="0" xfId="0" applyNumberFormat="1" applyFont="1" applyAlignment="1">
      <alignment horizontal="center"/>
    </xf>
    <xf numFmtId="0" fontId="15" fillId="5" borderId="1" xfId="0" applyFont="1" applyFill="1" applyBorder="1"/>
    <xf numFmtId="0" fontId="11" fillId="0" borderId="49" xfId="0" applyFont="1" applyBorder="1" applyAlignment="1">
      <alignment vertical="center"/>
    </xf>
    <xf numFmtId="3" fontId="11" fillId="0" borderId="0" xfId="0" applyNumberFormat="1" applyFont="1" applyAlignment="1">
      <alignment vertical="center"/>
    </xf>
    <xf numFmtId="2" fontId="7" fillId="0" borderId="23" xfId="0" applyNumberFormat="1" applyFont="1" applyBorder="1" applyAlignment="1">
      <alignment horizontal="center"/>
    </xf>
    <xf numFmtId="3" fontId="7" fillId="0" borderId="23" xfId="0" applyNumberFormat="1" applyFont="1" applyBorder="1"/>
    <xf numFmtId="2" fontId="12" fillId="0" borderId="23" xfId="0" applyNumberFormat="1" applyFont="1" applyBorder="1" applyAlignment="1">
      <alignment horizontal="center"/>
    </xf>
    <xf numFmtId="3" fontId="7" fillId="0" borderId="23" xfId="0" applyNumberFormat="1" applyFont="1" applyBorder="1" applyAlignment="1">
      <alignment horizontal="center"/>
    </xf>
    <xf numFmtId="0" fontId="7" fillId="6" borderId="17" xfId="0" applyFont="1" applyFill="1" applyBorder="1"/>
    <xf numFmtId="166" fontId="9" fillId="0" borderId="14" xfId="0" applyNumberFormat="1" applyFont="1" applyBorder="1" applyAlignment="1">
      <alignment horizontal="center"/>
    </xf>
    <xf numFmtId="3" fontId="7" fillId="6" borderId="23" xfId="0" applyNumberFormat="1" applyFont="1" applyFill="1" applyBorder="1" applyAlignment="1">
      <alignment horizontal="center"/>
    </xf>
    <xf numFmtId="1" fontId="29" fillId="6" borderId="23" xfId="0" applyNumberFormat="1" applyFont="1" applyFill="1" applyBorder="1" applyAlignment="1">
      <alignment horizontal="center"/>
    </xf>
    <xf numFmtId="4" fontId="7" fillId="6" borderId="23" xfId="0" applyNumberFormat="1" applyFont="1" applyFill="1" applyBorder="1" applyAlignment="1">
      <alignment horizontal="center"/>
    </xf>
    <xf numFmtId="2" fontId="88" fillId="0" borderId="84" xfId="0" applyNumberFormat="1" applyFont="1" applyBorder="1" applyAlignment="1">
      <alignment horizontal="center" vertical="center" wrapText="1"/>
    </xf>
    <xf numFmtId="0" fontId="149" fillId="5" borderId="0" xfId="0" applyFont="1" applyFill="1"/>
    <xf numFmtId="0" fontId="79" fillId="5" borderId="0" xfId="0" applyFont="1" applyFill="1" applyAlignment="1">
      <alignment vertical="center"/>
    </xf>
    <xf numFmtId="0" fontId="140" fillId="5" borderId="0" xfId="0" applyFont="1" applyFill="1"/>
    <xf numFmtId="1" fontId="62" fillId="5" borderId="0" xfId="0" applyNumberFormat="1" applyFont="1" applyFill="1"/>
    <xf numFmtId="0" fontId="101" fillId="13" borderId="85" xfId="0" applyFont="1" applyFill="1" applyBorder="1" applyAlignment="1" applyProtection="1">
      <alignment horizontal="center" vertical="center" wrapText="1"/>
      <protection locked="0"/>
    </xf>
    <xf numFmtId="9" fontId="60" fillId="7" borderId="23" xfId="0" applyNumberFormat="1" applyFont="1" applyFill="1" applyBorder="1" applyAlignment="1" applyProtection="1">
      <alignment horizontal="center" vertical="center"/>
      <protection locked="0"/>
    </xf>
    <xf numFmtId="0" fontId="148" fillId="2" borderId="0" xfId="0" applyFont="1" applyFill="1" applyAlignment="1">
      <alignment vertical="center" wrapText="1"/>
    </xf>
    <xf numFmtId="2" fontId="56" fillId="7" borderId="23" xfId="0" applyNumberFormat="1" applyFont="1" applyFill="1" applyBorder="1" applyAlignment="1" applyProtection="1">
      <alignment horizontal="center"/>
      <protection locked="0"/>
    </xf>
    <xf numFmtId="2" fontId="101" fillId="13" borderId="85" xfId="0" applyNumberFormat="1" applyFont="1" applyFill="1" applyBorder="1" applyAlignment="1" applyProtection="1">
      <alignment horizontal="center" vertical="center" wrapText="1"/>
      <protection locked="0"/>
    </xf>
    <xf numFmtId="2" fontId="9" fillId="2" borderId="0" xfId="0" applyNumberFormat="1" applyFont="1" applyFill="1" applyAlignment="1">
      <alignment horizontal="center"/>
    </xf>
    <xf numFmtId="0" fontId="15" fillId="0" borderId="0" xfId="0" applyFont="1" applyAlignment="1">
      <alignment horizontal="center" vertical="center"/>
    </xf>
    <xf numFmtId="0" fontId="105" fillId="7" borderId="3" xfId="0" applyFont="1" applyFill="1" applyBorder="1" applyAlignment="1" applyProtection="1">
      <alignment shrinkToFit="1"/>
      <protection locked="0"/>
    </xf>
    <xf numFmtId="0" fontId="105" fillId="7" borderId="10" xfId="0" applyFont="1" applyFill="1" applyBorder="1" applyAlignment="1" applyProtection="1">
      <alignment wrapText="1" shrinkToFit="1"/>
      <protection locked="0"/>
    </xf>
    <xf numFmtId="0" fontId="105" fillId="7" borderId="10" xfId="0" applyFont="1" applyFill="1" applyBorder="1" applyAlignment="1" applyProtection="1">
      <alignment shrinkToFit="1"/>
      <protection locked="0"/>
    </xf>
    <xf numFmtId="0" fontId="60" fillId="7" borderId="23" xfId="0" applyFont="1" applyFill="1" applyBorder="1" applyAlignment="1" applyProtection="1">
      <alignment horizontal="center"/>
      <protection locked="0"/>
    </xf>
    <xf numFmtId="166" fontId="60" fillId="7" borderId="23" xfId="0" applyNumberFormat="1" applyFont="1" applyFill="1" applyBorder="1" applyAlignment="1" applyProtection="1">
      <alignment horizontal="center"/>
      <protection locked="0"/>
    </xf>
    <xf numFmtId="166" fontId="60" fillId="18" borderId="120" xfId="2" applyNumberFormat="1" applyFont="1" applyFill="1" applyBorder="1" applyAlignment="1" applyProtection="1">
      <alignment horizontal="center"/>
      <protection locked="0"/>
    </xf>
    <xf numFmtId="3" fontId="105" fillId="7" borderId="4" xfId="0" applyNumberFormat="1" applyFont="1" applyFill="1" applyBorder="1" applyAlignment="1" applyProtection="1">
      <alignment horizontal="center" shrinkToFit="1"/>
      <protection locked="0"/>
    </xf>
    <xf numFmtId="3" fontId="105" fillId="7" borderId="23" xfId="0" applyNumberFormat="1" applyFont="1" applyFill="1" applyBorder="1" applyAlignment="1" applyProtection="1">
      <alignment horizontal="center" shrinkToFit="1"/>
      <protection locked="0"/>
    </xf>
    <xf numFmtId="0" fontId="11" fillId="2" borderId="1" xfId="0" applyFont="1" applyFill="1" applyBorder="1" applyAlignment="1">
      <alignment wrapText="1"/>
    </xf>
    <xf numFmtId="0" fontId="9" fillId="6" borderId="0" xfId="0" applyFont="1" applyFill="1"/>
    <xf numFmtId="0" fontId="15" fillId="6" borderId="0" xfId="0" applyFont="1" applyFill="1" applyAlignment="1">
      <alignment horizontal="right"/>
    </xf>
    <xf numFmtId="3" fontId="15" fillId="6" borderId="0" xfId="0" applyNumberFormat="1" applyFont="1" applyFill="1" applyAlignment="1">
      <alignment horizontal="center"/>
    </xf>
    <xf numFmtId="1" fontId="15" fillId="6" borderId="0" xfId="0" applyNumberFormat="1" applyFont="1" applyFill="1" applyAlignment="1">
      <alignment horizontal="center"/>
    </xf>
    <xf numFmtId="0" fontId="56" fillId="7" borderId="23" xfId="0" applyFont="1" applyFill="1" applyBorder="1" applyAlignment="1" applyProtection="1">
      <alignment horizontal="center"/>
      <protection locked="0"/>
    </xf>
    <xf numFmtId="168" fontId="105" fillId="7" borderId="73" xfId="0" applyNumberFormat="1" applyFont="1" applyFill="1" applyBorder="1" applyAlignment="1" applyProtection="1">
      <alignment horizontal="center" vertical="center" shrinkToFit="1"/>
      <protection locked="0"/>
    </xf>
    <xf numFmtId="0" fontId="57" fillId="2" borderId="0" xfId="0" applyFont="1" applyFill="1" applyAlignment="1">
      <alignment horizontal="right"/>
    </xf>
    <xf numFmtId="17" fontId="56" fillId="2" borderId="23" xfId="0" applyNumberFormat="1" applyFont="1" applyFill="1" applyBorder="1" applyAlignment="1">
      <alignment horizontal="center" vertical="center"/>
    </xf>
    <xf numFmtId="14" fontId="71" fillId="0" borderId="0" xfId="0" applyNumberFormat="1" applyFont="1" applyAlignment="1">
      <alignment horizontal="right"/>
    </xf>
    <xf numFmtId="0" fontId="159" fillId="0" borderId="0" xfId="0" applyFont="1" applyAlignment="1">
      <alignment vertical="center"/>
    </xf>
    <xf numFmtId="0" fontId="111" fillId="0" borderId="0" xfId="0" applyFont="1" applyAlignment="1">
      <alignment horizontal="center"/>
    </xf>
    <xf numFmtId="14" fontId="111" fillId="0" borderId="0" xfId="0" applyNumberFormat="1" applyFont="1" applyAlignment="1">
      <alignment horizontal="center"/>
    </xf>
    <xf numFmtId="0" fontId="160" fillId="0" borderId="0" xfId="0" applyFont="1" applyAlignment="1">
      <alignment vertical="top"/>
    </xf>
    <xf numFmtId="0" fontId="160" fillId="0" borderId="0" xfId="0" applyFont="1"/>
    <xf numFmtId="0" fontId="160" fillId="0" borderId="0" xfId="0" applyFont="1" applyAlignment="1">
      <alignment vertical="center"/>
    </xf>
    <xf numFmtId="0" fontId="15" fillId="0" borderId="55" xfId="0" applyFont="1" applyBorder="1"/>
    <xf numFmtId="3" fontId="60" fillId="7" borderId="12" xfId="0" applyNumberFormat="1" applyFont="1" applyFill="1" applyBorder="1" applyAlignment="1" applyProtection="1">
      <alignment horizontal="right" vertical="center" shrinkToFit="1"/>
      <protection locked="0"/>
    </xf>
    <xf numFmtId="3" fontId="60" fillId="7" borderId="12" xfId="0" applyNumberFormat="1" applyFont="1" applyFill="1" applyBorder="1" applyAlignment="1" applyProtection="1">
      <alignment horizontal="center" vertical="center" shrinkToFit="1"/>
      <protection locked="0"/>
    </xf>
    <xf numFmtId="3" fontId="60" fillId="7" borderId="1" xfId="0" applyNumberFormat="1" applyFont="1" applyFill="1" applyBorder="1" applyAlignment="1" applyProtection="1">
      <alignment horizontal="right" vertical="center" shrinkToFit="1"/>
      <protection locked="0"/>
    </xf>
    <xf numFmtId="3" fontId="162" fillId="0" borderId="0" xfId="0" applyNumberFormat="1" applyFont="1"/>
    <xf numFmtId="3" fontId="163" fillId="0" borderId="0" xfId="0" applyNumberFormat="1" applyFont="1" applyAlignment="1">
      <alignment horizontal="left" vertical="top"/>
    </xf>
    <xf numFmtId="0" fontId="168" fillId="2" borderId="0" xfId="0" applyFont="1" applyFill="1"/>
    <xf numFmtId="166" fontId="168" fillId="0" borderId="0" xfId="0" applyNumberFormat="1" applyFont="1"/>
    <xf numFmtId="0" fontId="168" fillId="0" borderId="0" xfId="0" applyFont="1"/>
    <xf numFmtId="0" fontId="98" fillId="2" borderId="0" xfId="0" applyFont="1" applyFill="1"/>
    <xf numFmtId="3" fontId="105" fillId="7" borderId="23" xfId="0" applyNumberFormat="1" applyFont="1" applyFill="1" applyBorder="1" applyAlignment="1" applyProtection="1">
      <alignment shrinkToFit="1"/>
      <protection locked="0"/>
    </xf>
    <xf numFmtId="0" fontId="23" fillId="0" borderId="0" xfId="0" applyFont="1" applyAlignment="1">
      <alignment vertical="center" wrapText="1"/>
    </xf>
    <xf numFmtId="0" fontId="23" fillId="0" borderId="0" xfId="0" applyFont="1" applyAlignment="1">
      <alignment horizontal="center" vertical="top" wrapText="1"/>
    </xf>
    <xf numFmtId="0" fontId="171" fillId="0" borderId="14" xfId="0" applyFont="1" applyBorder="1"/>
    <xf numFmtId="0" fontId="9" fillId="0" borderId="17" xfId="0" applyFont="1" applyBorder="1"/>
    <xf numFmtId="0" fontId="172" fillId="0" borderId="8" xfId="0" applyFont="1" applyBorder="1" applyAlignment="1">
      <alignment horizontal="right" vertical="center"/>
    </xf>
    <xf numFmtId="0" fontId="11" fillId="0" borderId="10" xfId="0" applyFont="1" applyBorder="1"/>
    <xf numFmtId="0" fontId="164" fillId="0" borderId="8" xfId="0" applyFont="1" applyBorder="1" applyAlignment="1">
      <alignment horizontal="right" vertical="center"/>
    </xf>
    <xf numFmtId="0" fontId="171" fillId="0" borderId="8" xfId="0" applyFont="1" applyBorder="1"/>
    <xf numFmtId="0" fontId="15" fillId="0" borderId="15" xfId="0" applyFont="1" applyBorder="1"/>
    <xf numFmtId="3" fontId="60" fillId="7" borderId="15" xfId="0" applyNumberFormat="1" applyFont="1" applyFill="1" applyBorder="1" applyAlignment="1" applyProtection="1">
      <alignment horizontal="right" vertical="center" shrinkToFit="1"/>
      <protection locked="0"/>
    </xf>
    <xf numFmtId="0" fontId="15" fillId="0" borderId="33" xfId="0" applyFont="1" applyBorder="1"/>
    <xf numFmtId="0" fontId="22" fillId="0" borderId="17" xfId="0" applyFont="1" applyBorder="1"/>
    <xf numFmtId="0" fontId="165" fillId="0" borderId="30" xfId="0" applyFont="1" applyBorder="1" applyAlignment="1">
      <alignment horizontal="right" vertical="center"/>
    </xf>
    <xf numFmtId="0" fontId="11" fillId="0" borderId="64" xfId="0" applyFont="1" applyBorder="1"/>
    <xf numFmtId="0" fontId="171" fillId="0" borderId="12" xfId="0" applyFont="1" applyBorder="1"/>
    <xf numFmtId="0" fontId="171" fillId="0" borderId="42" xfId="0" applyFont="1" applyBorder="1" applyAlignment="1">
      <alignment shrinkToFit="1"/>
    </xf>
    <xf numFmtId="0" fontId="171" fillId="0" borderId="0" xfId="0" applyFont="1"/>
    <xf numFmtId="0" fontId="172" fillId="0" borderId="30" xfId="0" applyFont="1" applyBorder="1" applyAlignment="1">
      <alignment horizontal="right" vertical="center"/>
    </xf>
    <xf numFmtId="0" fontId="172" fillId="0" borderId="13" xfId="0" applyFont="1" applyBorder="1" applyAlignment="1">
      <alignment horizontal="right" vertical="center"/>
    </xf>
    <xf numFmtId="0" fontId="9" fillId="0" borderId="12" xfId="0" applyFont="1" applyBorder="1"/>
    <xf numFmtId="0" fontId="172" fillId="0" borderId="14" xfId="0" applyFont="1" applyBorder="1" applyAlignment="1">
      <alignment horizontal="right" vertical="center"/>
    </xf>
    <xf numFmtId="0" fontId="15" fillId="0" borderId="64" xfId="0" applyFont="1" applyBorder="1"/>
    <xf numFmtId="0" fontId="162" fillId="0" borderId="14" xfId="0" applyFont="1" applyBorder="1"/>
    <xf numFmtId="0" fontId="162" fillId="0" borderId="7" xfId="0" applyFont="1" applyBorder="1"/>
    <xf numFmtId="4" fontId="172" fillId="0" borderId="148" xfId="0" applyNumberFormat="1" applyFont="1" applyBorder="1"/>
    <xf numFmtId="0" fontId="11" fillId="0" borderId="13" xfId="0" applyFont="1" applyBorder="1" applyAlignment="1">
      <alignment horizontal="right"/>
    </xf>
    <xf numFmtId="0" fontId="11" fillId="0" borderId="64" xfId="0" applyFont="1" applyBorder="1" applyAlignment="1">
      <alignment horizontal="right"/>
    </xf>
    <xf numFmtId="0" fontId="163" fillId="0" borderId="14" xfId="0" applyFont="1" applyBorder="1" applyAlignment="1">
      <alignment horizontal="right" wrapText="1"/>
    </xf>
    <xf numFmtId="0" fontId="165" fillId="0" borderId="14" xfId="0" applyFont="1" applyBorder="1" applyAlignment="1">
      <alignment horizontal="right" vertical="center"/>
    </xf>
    <xf numFmtId="0" fontId="163" fillId="0" borderId="138" xfId="0" applyFont="1" applyBorder="1" applyAlignment="1">
      <alignment horizontal="right" wrapText="1"/>
    </xf>
    <xf numFmtId="3" fontId="13" fillId="0" borderId="85" xfId="0" applyNumberFormat="1" applyFont="1" applyBorder="1" applyAlignment="1">
      <alignment horizontal="right" vertical="center"/>
    </xf>
    <xf numFmtId="3" fontId="161" fillId="0" borderId="85" xfId="0" applyNumberFormat="1" applyFont="1" applyBorder="1" applyAlignment="1">
      <alignment horizontal="right" vertical="center"/>
    </xf>
    <xf numFmtId="3" fontId="13" fillId="0" borderId="48" xfId="0" applyNumberFormat="1" applyFont="1" applyBorder="1" applyAlignment="1">
      <alignment horizontal="right" vertical="center"/>
    </xf>
    <xf numFmtId="3" fontId="161" fillId="0" borderId="48" xfId="0" applyNumberFormat="1" applyFont="1" applyBorder="1" applyAlignment="1">
      <alignment horizontal="right" vertical="center"/>
    </xf>
    <xf numFmtId="3" fontId="161" fillId="0" borderId="0" xfId="0" applyNumberFormat="1" applyFont="1" applyAlignment="1">
      <alignment horizontal="right" vertical="center"/>
    </xf>
    <xf numFmtId="3" fontId="15" fillId="0" borderId="33" xfId="0" applyNumberFormat="1" applyFont="1" applyBorder="1"/>
    <xf numFmtId="3" fontId="15" fillId="0" borderId="33" xfId="0" applyNumberFormat="1" applyFont="1" applyBorder="1" applyAlignment="1">
      <alignment horizontal="center"/>
    </xf>
    <xf numFmtId="3" fontId="164" fillId="0" borderId="0" xfId="0" applyNumberFormat="1" applyFont="1" applyAlignment="1">
      <alignment horizontal="center"/>
    </xf>
    <xf numFmtId="3" fontId="15" fillId="0" borderId="30" xfId="0" applyNumberFormat="1" applyFont="1" applyBorder="1"/>
    <xf numFmtId="3" fontId="23" fillId="2" borderId="0" xfId="0" applyNumberFormat="1" applyFont="1" applyFill="1"/>
    <xf numFmtId="3" fontId="23" fillId="2" borderId="33" xfId="0" applyNumberFormat="1" applyFont="1" applyFill="1" applyBorder="1"/>
    <xf numFmtId="3" fontId="23" fillId="0" borderId="0" xfId="0" applyNumberFormat="1" applyFont="1" applyAlignment="1">
      <alignment vertical="center" wrapText="1"/>
    </xf>
    <xf numFmtId="3" fontId="15" fillId="0" borderId="0" xfId="0" applyNumberFormat="1" applyFont="1" applyAlignment="1">
      <alignment vertical="center"/>
    </xf>
    <xf numFmtId="3" fontId="15" fillId="0" borderId="43" xfId="0" applyNumberFormat="1" applyFont="1" applyBorder="1"/>
    <xf numFmtId="3" fontId="164" fillId="0" borderId="0" xfId="0" applyNumberFormat="1" applyFont="1" applyAlignment="1">
      <alignment vertical="top" wrapText="1"/>
    </xf>
    <xf numFmtId="3" fontId="23" fillId="0" borderId="0" xfId="0" applyNumberFormat="1" applyFont="1" applyAlignment="1">
      <alignment vertical="top" wrapText="1"/>
    </xf>
    <xf numFmtId="3" fontId="15" fillId="0" borderId="0" xfId="0" applyNumberFormat="1" applyFont="1" applyAlignment="1">
      <alignment wrapText="1"/>
    </xf>
    <xf numFmtId="3" fontId="15" fillId="0" borderId="49" xfId="0" applyNumberFormat="1" applyFont="1" applyBorder="1" applyAlignment="1">
      <alignment wrapText="1"/>
    </xf>
    <xf numFmtId="3" fontId="161" fillId="0" borderId="85" xfId="0" applyNumberFormat="1" applyFont="1" applyBorder="1" applyAlignment="1">
      <alignment horizontal="right"/>
    </xf>
    <xf numFmtId="3" fontId="165" fillId="0" borderId="0" xfId="0" applyNumberFormat="1" applyFont="1" applyAlignment="1">
      <alignment wrapText="1"/>
    </xf>
    <xf numFmtId="3" fontId="13" fillId="0" borderId="95" xfId="0" applyNumberFormat="1" applyFont="1" applyBorder="1" applyAlignment="1">
      <alignment horizontal="right" vertical="center"/>
    </xf>
    <xf numFmtId="3" fontId="161" fillId="0" borderId="95" xfId="0" applyNumberFormat="1" applyFont="1" applyBorder="1" applyAlignment="1">
      <alignment horizontal="right" vertical="center"/>
    </xf>
    <xf numFmtId="3" fontId="23" fillId="0" borderId="0" xfId="0" applyNumberFormat="1" applyFont="1"/>
    <xf numFmtId="0" fontId="28" fillId="0" borderId="14" xfId="0" applyFont="1" applyBorder="1" applyAlignment="1">
      <alignment vertical="center" wrapText="1"/>
    </xf>
    <xf numFmtId="165" fontId="90" fillId="0" borderId="4" xfId="0" applyNumberFormat="1" applyFont="1" applyBorder="1" applyAlignment="1">
      <alignment horizontal="center"/>
    </xf>
    <xf numFmtId="165" fontId="90" fillId="0" borderId="23" xfId="0" applyNumberFormat="1" applyFont="1" applyBorder="1" applyAlignment="1">
      <alignment horizontal="center"/>
    </xf>
    <xf numFmtId="165" fontId="90" fillId="3" borderId="23" xfId="0" applyNumberFormat="1" applyFont="1" applyFill="1" applyBorder="1" applyAlignment="1">
      <alignment horizontal="center"/>
    </xf>
    <xf numFmtId="165" fontId="90" fillId="0" borderId="41" xfId="0" applyNumberFormat="1" applyFont="1" applyBorder="1" applyAlignment="1">
      <alignment horizontal="center"/>
    </xf>
    <xf numFmtId="0" fontId="15" fillId="0" borderId="93" xfId="0" applyFont="1" applyBorder="1"/>
    <xf numFmtId="0" fontId="15" fillId="0" borderId="96" xfId="0" applyFont="1" applyBorder="1"/>
    <xf numFmtId="0" fontId="15" fillId="7" borderId="12" xfId="0" applyFont="1" applyFill="1" applyBorder="1" applyProtection="1">
      <protection locked="0"/>
    </xf>
    <xf numFmtId="0" fontId="15" fillId="7" borderId="14" xfId="0" applyFont="1" applyFill="1" applyBorder="1" applyProtection="1">
      <protection locked="0"/>
    </xf>
    <xf numFmtId="0" fontId="15" fillId="7" borderId="138" xfId="0" applyFont="1" applyFill="1" applyBorder="1" applyProtection="1">
      <protection locked="0"/>
    </xf>
    <xf numFmtId="0" fontId="15" fillId="7" borderId="46" xfId="0" applyFont="1" applyFill="1" applyBorder="1" applyProtection="1">
      <protection locked="0"/>
    </xf>
    <xf numFmtId="0" fontId="15" fillId="7" borderId="1" xfId="0" applyFont="1" applyFill="1" applyBorder="1" applyProtection="1">
      <protection locked="0"/>
    </xf>
    <xf numFmtId="0" fontId="15" fillId="7" borderId="136" xfId="0" applyFont="1" applyFill="1" applyBorder="1" applyProtection="1">
      <protection locked="0"/>
    </xf>
    <xf numFmtId="0" fontId="175" fillId="0" borderId="0" xfId="0" applyFont="1"/>
    <xf numFmtId="0" fontId="100" fillId="0" borderId="0" xfId="0" applyFont="1" applyAlignment="1">
      <alignment shrinkToFit="1"/>
    </xf>
    <xf numFmtId="4" fontId="60" fillId="7" borderId="147" xfId="0" applyNumberFormat="1" applyFont="1" applyFill="1" applyBorder="1" applyAlignment="1" applyProtection="1">
      <alignment horizontal="right" shrinkToFit="1"/>
      <protection locked="0"/>
    </xf>
    <xf numFmtId="4" fontId="60" fillId="7" borderId="4" xfId="0" applyNumberFormat="1" applyFont="1" applyFill="1" applyBorder="1" applyAlignment="1" applyProtection="1">
      <alignment horizontal="right" shrinkToFit="1"/>
      <protection locked="0"/>
    </xf>
    <xf numFmtId="4" fontId="60" fillId="7" borderId="141" xfId="0" applyNumberFormat="1" applyFont="1" applyFill="1" applyBorder="1" applyAlignment="1" applyProtection="1">
      <alignment horizontal="right" shrinkToFit="1"/>
      <protection locked="0"/>
    </xf>
    <xf numFmtId="4" fontId="60" fillId="7" borderId="4" xfId="0" applyNumberFormat="1" applyFont="1" applyFill="1" applyBorder="1" applyAlignment="1" applyProtection="1">
      <alignment horizontal="right" vertical="center" shrinkToFit="1"/>
      <protection locked="0"/>
    </xf>
    <xf numFmtId="4" fontId="60" fillId="7" borderId="23" xfId="0" applyNumberFormat="1" applyFont="1" applyFill="1" applyBorder="1" applyAlignment="1" applyProtection="1">
      <alignment horizontal="right" vertical="center" shrinkToFit="1"/>
      <protection locked="0"/>
    </xf>
    <xf numFmtId="4" fontId="60" fillId="7" borderId="141" xfId="0" applyNumberFormat="1" applyFont="1" applyFill="1" applyBorder="1" applyAlignment="1" applyProtection="1">
      <alignment horizontal="right" vertical="center" shrinkToFit="1"/>
      <protection locked="0"/>
    </xf>
    <xf numFmtId="4" fontId="60" fillId="7" borderId="65" xfId="0" applyNumberFormat="1" applyFont="1" applyFill="1" applyBorder="1" applyAlignment="1" applyProtection="1">
      <alignment horizontal="right" vertical="center" shrinkToFit="1"/>
      <protection locked="0"/>
    </xf>
    <xf numFmtId="4" fontId="60" fillId="7" borderId="65" xfId="0" applyNumberFormat="1" applyFont="1" applyFill="1" applyBorder="1" applyAlignment="1" applyProtection="1">
      <alignment horizontal="right" shrinkToFit="1"/>
      <protection locked="0"/>
    </xf>
    <xf numFmtId="4" fontId="15" fillId="0" borderId="41" xfId="0" applyNumberFormat="1" applyFont="1" applyBorder="1" applyAlignment="1" applyProtection="1">
      <alignment horizontal="right"/>
      <protection locked="0"/>
    </xf>
    <xf numFmtId="4" fontId="15" fillId="0" borderId="4" xfId="0" applyNumberFormat="1" applyFont="1" applyBorder="1" applyAlignment="1" applyProtection="1">
      <alignment horizontal="right"/>
      <protection locked="0"/>
    </xf>
    <xf numFmtId="4" fontId="60" fillId="7" borderId="146" xfId="0" applyNumberFormat="1" applyFont="1" applyFill="1" applyBorder="1" applyAlignment="1" applyProtection="1">
      <alignment horizontal="right" vertical="center" shrinkToFit="1"/>
      <protection locked="0"/>
    </xf>
    <xf numFmtId="4" fontId="60" fillId="7" borderId="150" xfId="0" applyNumberFormat="1" applyFont="1" applyFill="1" applyBorder="1" applyAlignment="1" applyProtection="1">
      <alignment horizontal="right" vertical="center" shrinkToFit="1"/>
      <protection locked="0"/>
    </xf>
    <xf numFmtId="4" fontId="60" fillId="7" borderId="23" xfId="0" applyNumberFormat="1" applyFont="1" applyFill="1" applyBorder="1" applyAlignment="1" applyProtection="1">
      <alignment horizontal="right" shrinkToFit="1"/>
      <protection locked="0"/>
    </xf>
    <xf numFmtId="4" fontId="60" fillId="7" borderId="22" xfId="0" applyNumberFormat="1" applyFont="1" applyFill="1" applyBorder="1" applyAlignment="1" applyProtection="1">
      <alignment horizontal="right" shrinkToFit="1"/>
      <protection locked="0"/>
    </xf>
    <xf numFmtId="4" fontId="60" fillId="7" borderId="22" xfId="0" applyNumberFormat="1" applyFont="1" applyFill="1" applyBorder="1" applyAlignment="1" applyProtection="1">
      <alignment horizontal="right" vertical="center" shrinkToFit="1"/>
      <protection locked="0"/>
    </xf>
    <xf numFmtId="4" fontId="164" fillId="0" borderId="0" xfId="0" applyNumberFormat="1" applyFont="1" applyAlignment="1">
      <alignment vertical="top" wrapText="1"/>
    </xf>
    <xf numFmtId="0" fontId="15" fillId="0" borderId="148" xfId="0" applyFont="1" applyBorder="1"/>
    <xf numFmtId="3" fontId="13" fillId="0" borderId="155" xfId="0" applyNumberFormat="1" applyFont="1" applyBorder="1" applyAlignment="1">
      <alignment horizontal="right" vertical="center"/>
    </xf>
    <xf numFmtId="3" fontId="60" fillId="7" borderId="148" xfId="0" applyNumberFormat="1" applyFont="1" applyFill="1" applyBorder="1" applyAlignment="1" applyProtection="1">
      <alignment horizontal="right" vertical="center" shrinkToFit="1"/>
      <protection locked="0"/>
    </xf>
    <xf numFmtId="3" fontId="161" fillId="0" borderId="156" xfId="0" applyNumberFormat="1" applyFont="1" applyBorder="1" applyAlignment="1">
      <alignment horizontal="right" vertical="center"/>
    </xf>
    <xf numFmtId="3" fontId="60" fillId="7" borderId="36" xfId="0" applyNumberFormat="1" applyFont="1" applyFill="1" applyBorder="1" applyAlignment="1" applyProtection="1">
      <alignment horizontal="center" vertical="center" shrinkToFit="1"/>
      <protection locked="0"/>
    </xf>
    <xf numFmtId="0" fontId="105" fillId="7" borderId="13" xfId="0" applyFont="1" applyFill="1" applyBorder="1" applyProtection="1">
      <protection locked="0"/>
    </xf>
    <xf numFmtId="4" fontId="60" fillId="7" borderId="4" xfId="0" applyNumberFormat="1" applyFont="1" applyFill="1" applyBorder="1" applyAlignment="1" applyProtection="1">
      <alignment horizontal="right"/>
      <protection locked="0"/>
    </xf>
    <xf numFmtId="4" fontId="60" fillId="7" borderId="23" xfId="0" applyNumberFormat="1" applyFont="1" applyFill="1" applyBorder="1" applyAlignment="1" applyProtection="1">
      <alignment horizontal="right"/>
      <protection locked="0"/>
    </xf>
    <xf numFmtId="4" fontId="60" fillId="7" borderId="65" xfId="0" applyNumberFormat="1" applyFont="1" applyFill="1" applyBorder="1" applyAlignment="1" applyProtection="1">
      <alignment horizontal="right"/>
      <protection locked="0"/>
    </xf>
    <xf numFmtId="4" fontId="60" fillId="7" borderId="41" xfId="0" applyNumberFormat="1" applyFont="1" applyFill="1" applyBorder="1" applyAlignment="1" applyProtection="1">
      <alignment horizontal="right"/>
      <protection locked="0"/>
    </xf>
    <xf numFmtId="0" fontId="60" fillId="7" borderId="13" xfId="0" applyFont="1" applyFill="1" applyBorder="1" applyProtection="1">
      <protection locked="0"/>
    </xf>
    <xf numFmtId="0" fontId="60" fillId="7" borderId="140" xfId="0" applyFont="1" applyFill="1" applyBorder="1" applyProtection="1">
      <protection locked="0"/>
    </xf>
    <xf numFmtId="0" fontId="106" fillId="7" borderId="149" xfId="0" applyFont="1" applyFill="1" applyBorder="1" applyAlignment="1" applyProtection="1">
      <alignment shrinkToFit="1"/>
      <protection locked="0"/>
    </xf>
    <xf numFmtId="0" fontId="54" fillId="7" borderId="13" xfId="0" applyFont="1" applyFill="1" applyBorder="1" applyAlignment="1" applyProtection="1">
      <alignment shrinkToFit="1"/>
      <protection locked="0"/>
    </xf>
    <xf numFmtId="0" fontId="54" fillId="7" borderId="140" xfId="0" applyFont="1" applyFill="1" applyBorder="1" applyAlignment="1" applyProtection="1">
      <alignment shrinkToFit="1"/>
      <protection locked="0"/>
    </xf>
    <xf numFmtId="0" fontId="105" fillId="7" borderId="8" xfId="0" applyFont="1" applyFill="1" applyBorder="1" applyProtection="1">
      <protection locked="0"/>
    </xf>
    <xf numFmtId="0" fontId="60" fillId="7" borderId="64" xfId="0" applyFont="1" applyFill="1" applyBorder="1" applyProtection="1">
      <protection locked="0"/>
    </xf>
    <xf numFmtId="0" fontId="60" fillId="7" borderId="8" xfId="0" applyFont="1" applyFill="1" applyBorder="1" applyProtection="1">
      <protection locked="0"/>
    </xf>
    <xf numFmtId="0" fontId="60" fillId="7" borderId="0" xfId="0" applyFont="1" applyFill="1" applyProtection="1">
      <protection locked="0"/>
    </xf>
    <xf numFmtId="0" fontId="60" fillId="7" borderId="64" xfId="0" applyFont="1" applyFill="1" applyBorder="1" applyAlignment="1" applyProtection="1">
      <alignment horizontal="center" wrapText="1"/>
      <protection locked="0"/>
    </xf>
    <xf numFmtId="0" fontId="60" fillId="7" borderId="13" xfId="0" applyFont="1" applyFill="1" applyBorder="1" applyAlignment="1" applyProtection="1">
      <alignment horizontal="left"/>
      <protection locked="0"/>
    </xf>
    <xf numFmtId="0" fontId="176" fillId="5" borderId="0" xfId="0" applyFont="1" applyFill="1"/>
    <xf numFmtId="0" fontId="160" fillId="5" borderId="0" xfId="0" applyFont="1" applyFill="1" applyAlignment="1">
      <alignment vertical="top" wrapText="1"/>
    </xf>
    <xf numFmtId="0" fontId="176" fillId="0" borderId="0" xfId="0" applyFont="1"/>
    <xf numFmtId="9" fontId="176" fillId="0" borderId="0" xfId="0" applyNumberFormat="1" applyFont="1"/>
    <xf numFmtId="3" fontId="69" fillId="0" borderId="0" xfId="0" applyNumberFormat="1" applyFont="1"/>
    <xf numFmtId="9" fontId="59" fillId="0" borderId="23" xfId="0" applyNumberFormat="1" applyFont="1" applyBorder="1" applyAlignment="1">
      <alignment vertical="center" wrapText="1" shrinkToFit="1"/>
    </xf>
    <xf numFmtId="0" fontId="62" fillId="2" borderId="0" xfId="0" applyFont="1" applyFill="1"/>
    <xf numFmtId="0" fontId="151" fillId="0" borderId="0" xfId="0" applyFont="1"/>
    <xf numFmtId="3" fontId="54" fillId="0" borderId="0" xfId="0" applyNumberFormat="1" applyFont="1" applyAlignment="1">
      <alignment vertical="center" wrapText="1"/>
    </xf>
    <xf numFmtId="4" fontId="15" fillId="0" borderId="0" xfId="0" applyNumberFormat="1" applyFont="1"/>
    <xf numFmtId="14" fontId="69" fillId="0" borderId="0" xfId="0" applyNumberFormat="1" applyFont="1"/>
    <xf numFmtId="17" fontId="62" fillId="0" borderId="0" xfId="0" applyNumberFormat="1" applyFont="1"/>
    <xf numFmtId="17" fontId="15" fillId="2" borderId="0" xfId="0" applyNumberFormat="1" applyFont="1" applyFill="1" applyAlignment="1">
      <alignment horizontal="center"/>
    </xf>
    <xf numFmtId="0" fontId="140" fillId="2" borderId="0" xfId="0" applyFont="1" applyFill="1"/>
    <xf numFmtId="0" fontId="60" fillId="2" borderId="0" xfId="0" applyFont="1" applyFill="1"/>
    <xf numFmtId="0" fontId="45" fillId="0" borderId="80" xfId="0" applyFont="1" applyBorder="1" applyAlignment="1">
      <alignment horizontal="center"/>
    </xf>
    <xf numFmtId="3" fontId="59" fillId="0" borderId="43" xfId="0" applyNumberFormat="1" applyFont="1" applyBorder="1"/>
    <xf numFmtId="3" fontId="99" fillId="11" borderId="12" xfId="0" applyNumberFormat="1" applyFont="1" applyFill="1" applyBorder="1" applyAlignment="1">
      <alignment horizontal="center"/>
    </xf>
    <xf numFmtId="180" fontId="15" fillId="0" borderId="0" xfId="0" applyNumberFormat="1" applyFont="1"/>
    <xf numFmtId="0" fontId="76" fillId="5" borderId="0" xfId="0" applyFont="1" applyFill="1" applyAlignment="1">
      <alignment vertical="top" wrapText="1"/>
    </xf>
    <xf numFmtId="1" fontId="6" fillId="2" borderId="0" xfId="0" applyNumberFormat="1" applyFont="1" applyFill="1"/>
    <xf numFmtId="0" fontId="11" fillId="5" borderId="0" xfId="0" applyFont="1" applyFill="1" applyAlignment="1">
      <alignment horizontal="center" wrapText="1"/>
    </xf>
    <xf numFmtId="17" fontId="15" fillId="5" borderId="0" xfId="0" applyNumberFormat="1" applyFont="1" applyFill="1" applyAlignment="1">
      <alignment horizontal="center"/>
    </xf>
    <xf numFmtId="1" fontId="60" fillId="0" borderId="42" xfId="0" applyNumberFormat="1" applyFont="1" applyBorder="1" applyAlignment="1">
      <alignment horizontal="center" vertical="center" shrinkToFit="1"/>
    </xf>
    <xf numFmtId="2" fontId="15" fillId="0" borderId="42" xfId="0" applyNumberFormat="1" applyFont="1" applyBorder="1" applyAlignment="1">
      <alignment horizontal="center" vertical="center"/>
    </xf>
    <xf numFmtId="2" fontId="15" fillId="5" borderId="42" xfId="0" applyNumberFormat="1" applyFont="1" applyFill="1" applyBorder="1" applyAlignment="1">
      <alignment horizontal="right" vertical="center"/>
    </xf>
    <xf numFmtId="17" fontId="19" fillId="5" borderId="9" xfId="0" applyNumberFormat="1" applyFont="1" applyFill="1" applyBorder="1" applyAlignment="1">
      <alignment horizontal="left" vertical="center" wrapText="1"/>
    </xf>
    <xf numFmtId="2" fontId="15" fillId="5" borderId="91" xfId="0" applyNumberFormat="1" applyFont="1" applyFill="1" applyBorder="1" applyAlignment="1">
      <alignment horizontal="center" vertical="center"/>
    </xf>
    <xf numFmtId="0" fontId="23" fillId="0" borderId="0" xfId="0" applyFont="1" applyAlignment="1">
      <alignment horizontal="center"/>
    </xf>
    <xf numFmtId="0" fontId="125" fillId="11" borderId="4" xfId="0" applyFont="1" applyFill="1" applyBorder="1" applyAlignment="1">
      <alignment horizontal="center" wrapText="1"/>
    </xf>
    <xf numFmtId="0" fontId="20" fillId="0" borderId="46" xfId="0" applyFont="1" applyBorder="1" applyAlignment="1">
      <alignment horizontal="right" vertical="center"/>
    </xf>
    <xf numFmtId="4" fontId="56" fillId="7" borderId="6" xfId="0" applyNumberFormat="1" applyFont="1" applyFill="1" applyBorder="1" applyAlignment="1" applyProtection="1">
      <alignment horizontal="right" vertical="center" shrinkToFit="1"/>
      <protection locked="0"/>
    </xf>
    <xf numFmtId="4" fontId="7" fillId="12" borderId="4" xfId="0" applyNumberFormat="1" applyFont="1" applyFill="1" applyBorder="1" applyAlignment="1">
      <alignment horizontal="right" vertical="center"/>
    </xf>
    <xf numFmtId="0" fontId="25" fillId="0" borderId="14" xfId="0" applyFont="1" applyBorder="1" applyAlignment="1">
      <alignment wrapText="1"/>
    </xf>
    <xf numFmtId="0" fontId="15" fillId="9" borderId="12" xfId="0" applyFont="1" applyFill="1" applyBorder="1" applyAlignment="1">
      <alignment shrinkToFit="1"/>
    </xf>
    <xf numFmtId="0" fontId="15" fillId="9" borderId="14" xfId="0" applyFont="1" applyFill="1" applyBorder="1" applyAlignment="1">
      <alignment shrinkToFit="1"/>
    </xf>
    <xf numFmtId="0" fontId="9" fillId="12" borderId="5" xfId="0" applyFont="1" applyFill="1" applyBorder="1" applyAlignment="1">
      <alignment horizontal="center" vertical="center" wrapText="1"/>
    </xf>
    <xf numFmtId="0" fontId="6" fillId="0" borderId="0" xfId="0" applyFont="1" applyAlignment="1">
      <alignment horizontal="right" vertical="center"/>
    </xf>
    <xf numFmtId="0" fontId="11" fillId="0" borderId="4" xfId="0" applyFont="1" applyBorder="1" applyAlignment="1">
      <alignment horizontal="right" vertical="center" shrinkToFit="1"/>
    </xf>
    <xf numFmtId="0" fontId="14" fillId="2" borderId="0" xfId="0" applyFont="1" applyFill="1" applyAlignment="1">
      <alignment vertical="top" wrapText="1"/>
    </xf>
    <xf numFmtId="0" fontId="14" fillId="2" borderId="0" xfId="0" applyFont="1" applyFill="1" applyAlignment="1">
      <alignment horizontal="right" vertical="center"/>
    </xf>
    <xf numFmtId="0" fontId="6" fillId="2" borderId="0" xfId="0" applyFont="1" applyFill="1" applyAlignment="1">
      <alignment vertical="center" wrapText="1"/>
    </xf>
    <xf numFmtId="0" fontId="88" fillId="2" borderId="0" xfId="0" applyFont="1" applyFill="1" applyAlignment="1">
      <alignment horizontal="left" vertical="center"/>
    </xf>
    <xf numFmtId="0" fontId="6" fillId="0" borderId="0" xfId="0" applyFont="1" applyAlignment="1">
      <alignment vertical="center"/>
    </xf>
    <xf numFmtId="0" fontId="151" fillId="2" borderId="0" xfId="0" applyFont="1" applyFill="1" applyAlignment="1">
      <alignment horizontal="center" vertical="center" wrapText="1"/>
    </xf>
    <xf numFmtId="0" fontId="11" fillId="2" borderId="49" xfId="0" applyFont="1" applyFill="1" applyBorder="1" applyAlignment="1">
      <alignment horizontal="left"/>
    </xf>
    <xf numFmtId="2" fontId="15" fillId="2" borderId="49" xfId="0" applyNumberFormat="1" applyFont="1" applyFill="1" applyBorder="1" applyAlignment="1">
      <alignment wrapText="1"/>
    </xf>
    <xf numFmtId="2" fontId="15" fillId="2" borderId="49" xfId="0" applyNumberFormat="1" applyFont="1" applyFill="1" applyBorder="1"/>
    <xf numFmtId="166" fontId="7" fillId="2" borderId="49" xfId="0" applyNumberFormat="1" applyFont="1" applyFill="1" applyBorder="1"/>
    <xf numFmtId="2" fontId="0" fillId="2" borderId="49" xfId="0" applyNumberFormat="1" applyFill="1" applyBorder="1"/>
    <xf numFmtId="0" fontId="13" fillId="2" borderId="49" xfId="0" applyFont="1" applyFill="1" applyBorder="1"/>
    <xf numFmtId="0" fontId="69" fillId="0" borderId="0" xfId="0" applyFont="1" applyAlignment="1">
      <alignment horizontal="center"/>
    </xf>
    <xf numFmtId="3" fontId="69" fillId="0" borderId="0" xfId="0" applyNumberFormat="1" applyFont="1" applyAlignment="1">
      <alignment horizontal="center"/>
    </xf>
    <xf numFmtId="0" fontId="31" fillId="2" borderId="91" xfId="0" applyFont="1" applyFill="1" applyBorder="1" applyAlignment="1">
      <alignment vertical="center" wrapText="1"/>
    </xf>
    <xf numFmtId="0" fontId="49" fillId="2" borderId="0" xfId="0" applyFont="1" applyFill="1" applyAlignment="1">
      <alignment horizontal="center"/>
    </xf>
    <xf numFmtId="17" fontId="62" fillId="0" borderId="27" xfId="0" applyNumberFormat="1" applyFont="1" applyBorder="1"/>
    <xf numFmtId="0" fontId="69" fillId="0" borderId="27" xfId="0" applyFont="1" applyBorder="1"/>
    <xf numFmtId="0" fontId="15" fillId="0" borderId="27" xfId="0" applyFont="1" applyBorder="1"/>
    <xf numFmtId="0" fontId="74" fillId="0" borderId="0" xfId="0" applyFont="1"/>
    <xf numFmtId="0" fontId="69" fillId="4" borderId="0" xfId="0" applyFont="1" applyFill="1"/>
    <xf numFmtId="0" fontId="15" fillId="4" borderId="0" xfId="0" applyFont="1" applyFill="1"/>
    <xf numFmtId="14" fontId="69" fillId="4" borderId="0" xfId="0" applyNumberFormat="1" applyFont="1" applyFill="1"/>
    <xf numFmtId="0" fontId="31" fillId="2" borderId="74" xfId="0" applyFont="1" applyFill="1" applyBorder="1" applyAlignment="1">
      <alignment horizontal="right" vertical="center" wrapText="1"/>
    </xf>
    <xf numFmtId="0" fontId="142" fillId="0" borderId="0" xfId="0" applyFont="1" applyAlignment="1">
      <alignment horizontal="center" vertical="center"/>
    </xf>
    <xf numFmtId="0" fontId="149" fillId="0" borderId="0" xfId="0" applyFont="1"/>
    <xf numFmtId="0" fontId="125" fillId="11" borderId="10" xfId="0" applyFont="1" applyFill="1" applyBorder="1" applyAlignment="1">
      <alignment horizontal="center" vertical="center" shrinkToFit="1"/>
    </xf>
    <xf numFmtId="0" fontId="125" fillId="20" borderId="122" xfId="0" applyFont="1" applyFill="1" applyBorder="1" applyAlignment="1">
      <alignment horizontal="center" vertical="center" shrinkToFit="1"/>
    </xf>
    <xf numFmtId="0" fontId="19" fillId="11" borderId="4" xfId="0" applyFont="1" applyFill="1" applyBorder="1" applyAlignment="1">
      <alignment horizontal="center" wrapText="1"/>
    </xf>
    <xf numFmtId="0" fontId="11" fillId="11" borderId="10" xfId="0" applyFont="1" applyFill="1" applyBorder="1" applyAlignment="1">
      <alignment horizontal="center" vertical="center" shrinkToFit="1"/>
    </xf>
    <xf numFmtId="0" fontId="11" fillId="20" borderId="122" xfId="0" applyFont="1" applyFill="1" applyBorder="1" applyAlignment="1">
      <alignment horizontal="center" vertical="center" shrinkToFit="1"/>
    </xf>
    <xf numFmtId="1" fontId="60" fillId="0" borderId="23" xfId="0" applyNumberFormat="1" applyFont="1" applyBorder="1" applyAlignment="1">
      <alignment horizontal="center" vertical="center" shrinkToFit="1"/>
    </xf>
    <xf numFmtId="1" fontId="60" fillId="0" borderId="17" xfId="0" applyNumberFormat="1" applyFont="1" applyBorder="1" applyAlignment="1">
      <alignment vertical="center" shrinkToFit="1"/>
    </xf>
    <xf numFmtId="0" fontId="11" fillId="2" borderId="0" xfId="0" applyFont="1" applyFill="1" applyAlignment="1">
      <alignment vertical="top" wrapText="1"/>
    </xf>
    <xf numFmtId="3" fontId="54" fillId="2" borderId="0" xfId="0" applyNumberFormat="1" applyFont="1" applyFill="1" applyAlignment="1">
      <alignment horizontal="center"/>
    </xf>
    <xf numFmtId="0" fontId="75" fillId="5" borderId="0" xfId="0" applyFont="1" applyFill="1" applyAlignment="1">
      <alignment horizontal="center" vertical="center" wrapText="1"/>
    </xf>
    <xf numFmtId="0" fontId="179" fillId="5" borderId="0" xfId="0" applyFont="1" applyFill="1" applyAlignment="1">
      <alignment horizontal="center" vertical="center" wrapText="1"/>
    </xf>
    <xf numFmtId="0" fontId="180" fillId="5" borderId="0" xfId="0" applyFont="1" applyFill="1" applyAlignment="1">
      <alignment horizontal="center" vertical="center" wrapText="1"/>
    </xf>
    <xf numFmtId="168" fontId="106" fillId="7" borderId="10" xfId="0" applyNumberFormat="1" applyFont="1" applyFill="1" applyBorder="1" applyAlignment="1" applyProtection="1">
      <alignment horizontal="center" vertical="center" shrinkToFit="1"/>
      <protection locked="0"/>
    </xf>
    <xf numFmtId="0" fontId="179" fillId="5" borderId="0" xfId="0" applyFont="1" applyFill="1" applyAlignment="1">
      <alignment vertical="center" wrapText="1"/>
    </xf>
    <xf numFmtId="0" fontId="104" fillId="0" borderId="0" xfId="0" applyFont="1" applyAlignment="1">
      <alignment vertical="center" wrapText="1"/>
    </xf>
    <xf numFmtId="0" fontId="105" fillId="7" borderId="157" xfId="0" applyFont="1" applyFill="1" applyBorder="1" applyProtection="1">
      <protection locked="0"/>
    </xf>
    <xf numFmtId="4" fontId="60" fillId="7" borderId="158" xfId="0" applyNumberFormat="1" applyFont="1" applyFill="1" applyBorder="1" applyAlignment="1" applyProtection="1">
      <alignment horizontal="right" vertical="center" shrinkToFit="1"/>
      <protection locked="0"/>
    </xf>
    <xf numFmtId="0" fontId="15" fillId="9" borderId="159" xfId="0" applyFont="1" applyFill="1" applyBorder="1" applyAlignment="1">
      <alignment shrinkToFit="1"/>
    </xf>
    <xf numFmtId="4" fontId="163" fillId="0" borderId="0" xfId="0" applyNumberFormat="1" applyFont="1" applyAlignment="1">
      <alignment vertical="center" textRotation="90"/>
    </xf>
    <xf numFmtId="0" fontId="171" fillId="0" borderId="15" xfId="0" applyFont="1" applyBorder="1"/>
    <xf numFmtId="0" fontId="31" fillId="7" borderId="13" xfId="0" applyFont="1" applyFill="1" applyBorder="1" applyAlignment="1" applyProtection="1">
      <alignment wrapText="1"/>
      <protection locked="0"/>
    </xf>
    <xf numFmtId="0" fontId="9" fillId="0" borderId="13" xfId="0" applyFont="1" applyBorder="1" applyAlignment="1">
      <alignment wrapText="1"/>
    </xf>
    <xf numFmtId="0" fontId="181" fillId="0" borderId="14" xfId="0" applyFont="1" applyBorder="1" applyAlignment="1">
      <alignment wrapText="1" shrinkToFit="1"/>
    </xf>
    <xf numFmtId="0" fontId="22" fillId="9" borderId="14" xfId="0" applyFont="1" applyFill="1" applyBorder="1" applyAlignment="1">
      <alignment vertical="center" wrapText="1" shrinkToFit="1"/>
    </xf>
    <xf numFmtId="3" fontId="15" fillId="0" borderId="14" xfId="0" applyNumberFormat="1" applyFont="1" applyBorder="1" applyAlignment="1">
      <alignment horizontal="left" vertical="center"/>
    </xf>
    <xf numFmtId="17" fontId="19" fillId="5" borderId="122" xfId="0" applyNumberFormat="1" applyFont="1" applyFill="1" applyBorder="1" applyAlignment="1">
      <alignment horizontal="left" vertical="center" wrapText="1"/>
    </xf>
    <xf numFmtId="181" fontId="19" fillId="0" borderId="0" xfId="0" applyNumberFormat="1" applyFont="1" applyAlignment="1">
      <alignment horizontal="center"/>
    </xf>
    <xf numFmtId="0" fontId="105" fillId="7" borderId="17" xfId="0" applyFont="1" applyFill="1" applyBorder="1" applyProtection="1">
      <protection locked="0"/>
    </xf>
    <xf numFmtId="4" fontId="60" fillId="7" borderId="6" xfId="0" applyNumberFormat="1" applyFont="1" applyFill="1" applyBorder="1" applyAlignment="1" applyProtection="1">
      <alignment horizontal="right" vertical="center" shrinkToFit="1"/>
      <protection locked="0"/>
    </xf>
    <xf numFmtId="0" fontId="11" fillId="0" borderId="23" xfId="0" applyFont="1" applyBorder="1" applyAlignment="1">
      <alignment horizontal="right" vertical="center" shrinkToFit="1"/>
    </xf>
    <xf numFmtId="0" fontId="43" fillId="5" borderId="8" xfId="0" applyFont="1" applyFill="1" applyBorder="1" applyAlignment="1">
      <alignment wrapText="1"/>
    </xf>
    <xf numFmtId="3" fontId="15" fillId="0" borderId="14" xfId="0" applyNumberFormat="1" applyFont="1" applyBorder="1" applyAlignment="1">
      <alignment vertical="center"/>
    </xf>
    <xf numFmtId="3" fontId="28" fillId="0" borderId="23" xfId="0" applyNumberFormat="1" applyFont="1" applyBorder="1" applyAlignment="1">
      <alignment horizontal="left" shrinkToFit="1"/>
    </xf>
    <xf numFmtId="3" fontId="15" fillId="0" borderId="14" xfId="0" applyNumberFormat="1" applyFont="1" applyBorder="1" applyAlignment="1">
      <alignment horizontal="left" vertical="center" shrinkToFit="1"/>
    </xf>
    <xf numFmtId="3" fontId="9" fillId="2" borderId="11" xfId="0" applyNumberFormat="1" applyFont="1" applyFill="1" applyBorder="1" applyAlignment="1" applyProtection="1">
      <alignment horizontal="right"/>
      <protection locked="0"/>
    </xf>
    <xf numFmtId="0" fontId="13" fillId="2" borderId="0" xfId="0" applyFont="1" applyFill="1" applyProtection="1">
      <protection locked="0"/>
    </xf>
    <xf numFmtId="0" fontId="7" fillId="2" borderId="0" xfId="0" applyFont="1" applyFill="1" applyProtection="1">
      <protection locked="0"/>
    </xf>
    <xf numFmtId="3" fontId="9" fillId="0" borderId="163" xfId="0" applyNumberFormat="1" applyFont="1" applyBorder="1" applyAlignment="1">
      <alignment horizontal="center"/>
    </xf>
    <xf numFmtId="0" fontId="9" fillId="0" borderId="163" xfId="0" applyFont="1" applyBorder="1"/>
    <xf numFmtId="14" fontId="109" fillId="5" borderId="97" xfId="0" applyNumberFormat="1" applyFont="1" applyFill="1" applyBorder="1"/>
    <xf numFmtId="14" fontId="15" fillId="0" borderId="0" xfId="0" applyNumberFormat="1" applyFont="1" applyAlignment="1">
      <alignment horizontal="center"/>
    </xf>
    <xf numFmtId="14" fontId="7" fillId="0" borderId="0" xfId="0" applyNumberFormat="1" applyFont="1" applyAlignment="1">
      <alignment horizontal="center"/>
    </xf>
    <xf numFmtId="1" fontId="62" fillId="0" borderId="0" xfId="0" applyNumberFormat="1" applyFont="1"/>
    <xf numFmtId="0" fontId="9" fillId="3" borderId="13" xfId="0" applyFont="1" applyFill="1" applyBorder="1"/>
    <xf numFmtId="3" fontId="9" fillId="3" borderId="14" xfId="0" applyNumberFormat="1" applyFont="1" applyFill="1" applyBorder="1" applyAlignment="1">
      <alignment horizontal="right" shrinkToFit="1"/>
    </xf>
    <xf numFmtId="3" fontId="22" fillId="3" borderId="13" xfId="0" applyNumberFormat="1" applyFont="1" applyFill="1" applyBorder="1" applyAlignment="1">
      <alignment horizontal="right"/>
    </xf>
    <xf numFmtId="166" fontId="20" fillId="3" borderId="10" xfId="0" applyNumberFormat="1" applyFont="1" applyFill="1" applyBorder="1" applyAlignment="1">
      <alignment horizontal="center"/>
    </xf>
    <xf numFmtId="164" fontId="11" fillId="3" borderId="17" xfId="0" applyNumberFormat="1" applyFont="1" applyFill="1" applyBorder="1"/>
    <xf numFmtId="165" fontId="20" fillId="3" borderId="10" xfId="0" applyNumberFormat="1" applyFont="1" applyFill="1" applyBorder="1" applyAlignment="1">
      <alignment horizontal="center"/>
    </xf>
    <xf numFmtId="0" fontId="9" fillId="3" borderId="17" xfId="0" applyFont="1" applyFill="1" applyBorder="1"/>
    <xf numFmtId="49" fontId="21" fillId="3" borderId="5" xfId="0" applyNumberFormat="1" applyFont="1" applyFill="1" applyBorder="1" applyAlignment="1">
      <alignment horizontal="center"/>
    </xf>
    <xf numFmtId="3" fontId="9" fillId="3" borderId="7" xfId="0" applyNumberFormat="1" applyFont="1" applyFill="1" applyBorder="1" applyAlignment="1">
      <alignment horizontal="right" shrinkToFit="1"/>
    </xf>
    <xf numFmtId="3" fontId="22" fillId="3" borderId="17" xfId="0" applyNumberFormat="1" applyFont="1" applyFill="1" applyBorder="1" applyAlignment="1">
      <alignment horizontal="right"/>
    </xf>
    <xf numFmtId="165" fontId="20" fillId="3" borderId="5" xfId="0" applyNumberFormat="1" applyFont="1" applyFill="1" applyBorder="1" applyAlignment="1">
      <alignment horizontal="center"/>
    </xf>
    <xf numFmtId="0" fontId="25" fillId="0" borderId="0" xfId="0" applyFont="1" applyAlignment="1">
      <alignment horizontal="right"/>
    </xf>
    <xf numFmtId="3" fontId="15" fillId="5" borderId="14" xfId="0" applyNumberFormat="1" applyFont="1" applyFill="1" applyBorder="1" applyAlignment="1">
      <alignment horizontal="right" shrinkToFit="1"/>
    </xf>
    <xf numFmtId="3" fontId="11" fillId="5" borderId="10" xfId="0" applyNumberFormat="1" applyFont="1" applyFill="1" applyBorder="1" applyAlignment="1">
      <alignment horizontal="right"/>
    </xf>
    <xf numFmtId="165" fontId="20" fillId="5" borderId="10" xfId="0" applyNumberFormat="1" applyFont="1" applyFill="1" applyBorder="1" applyAlignment="1">
      <alignment horizontal="center"/>
    </xf>
    <xf numFmtId="0" fontId="19" fillId="0" borderId="14" xfId="0" applyFont="1" applyBorder="1" applyAlignment="1">
      <alignment vertical="center" wrapText="1" shrinkToFit="1"/>
    </xf>
    <xf numFmtId="0" fontId="22" fillId="3" borderId="17" xfId="0" applyFont="1" applyFill="1" applyBorder="1" applyAlignment="1">
      <alignment vertical="center" wrapText="1"/>
    </xf>
    <xf numFmtId="49" fontId="27" fillId="3" borderId="5" xfId="0" applyNumberFormat="1" applyFont="1" applyFill="1" applyBorder="1" applyAlignment="1">
      <alignment horizontal="center"/>
    </xf>
    <xf numFmtId="167" fontId="9" fillId="3" borderId="7" xfId="0" applyNumberFormat="1" applyFont="1" applyFill="1" applyBorder="1" applyAlignment="1">
      <alignment horizontal="right" shrinkToFit="1"/>
    </xf>
    <xf numFmtId="164" fontId="11" fillId="3" borderId="8" xfId="0" applyNumberFormat="1" applyFont="1" applyFill="1" applyBorder="1"/>
    <xf numFmtId="0" fontId="58" fillId="3" borderId="8" xfId="0" applyFont="1" applyFill="1" applyBorder="1" applyAlignment="1">
      <alignment shrinkToFit="1"/>
    </xf>
    <xf numFmtId="49" fontId="11" fillId="3" borderId="3" xfId="0" applyNumberFormat="1" applyFont="1" applyFill="1" applyBorder="1" applyAlignment="1">
      <alignment horizontal="center"/>
    </xf>
    <xf numFmtId="167" fontId="59" fillId="3" borderId="12" xfId="0" applyNumberFormat="1" applyFont="1" applyFill="1" applyBorder="1" applyAlignment="1">
      <alignment horizontal="right" shrinkToFit="1"/>
    </xf>
    <xf numFmtId="3" fontId="22" fillId="3" borderId="8" xfId="0" applyNumberFormat="1" applyFont="1" applyFill="1" applyBorder="1" applyAlignment="1">
      <alignment horizontal="right"/>
    </xf>
    <xf numFmtId="165" fontId="20" fillId="3" borderId="3" xfId="0" applyNumberFormat="1" applyFont="1" applyFill="1" applyBorder="1" applyAlignment="1">
      <alignment horizontal="center"/>
    </xf>
    <xf numFmtId="0" fontId="185" fillId="5" borderId="14" xfId="0" applyFont="1" applyFill="1" applyBorder="1" applyAlignment="1">
      <alignment shrinkToFit="1"/>
    </xf>
    <xf numFmtId="0" fontId="186" fillId="0" borderId="0" xfId="0" applyFont="1"/>
    <xf numFmtId="0" fontId="94" fillId="21" borderId="14" xfId="0" applyFont="1" applyFill="1" applyBorder="1" applyAlignment="1">
      <alignment wrapText="1"/>
    </xf>
    <xf numFmtId="0" fontId="94" fillId="0" borderId="23" xfId="0" applyFont="1" applyBorder="1" applyAlignment="1">
      <alignment wrapText="1"/>
    </xf>
    <xf numFmtId="3" fontId="15" fillId="0" borderId="19" xfId="0" applyNumberFormat="1" applyFont="1" applyBorder="1" applyAlignment="1">
      <alignment horizontal="right" shrinkToFit="1"/>
    </xf>
    <xf numFmtId="0" fontId="15" fillId="3" borderId="14" xfId="0" applyFont="1" applyFill="1" applyBorder="1"/>
    <xf numFmtId="167" fontId="15" fillId="3" borderId="7" xfId="0" applyNumberFormat="1" applyFont="1" applyFill="1" applyBorder="1" applyAlignment="1">
      <alignment horizontal="right" shrinkToFit="1"/>
    </xf>
    <xf numFmtId="3" fontId="15" fillId="3" borderId="19" xfId="0" applyNumberFormat="1" applyFont="1" applyFill="1" applyBorder="1" applyAlignment="1">
      <alignment horizontal="right" shrinkToFit="1"/>
    </xf>
    <xf numFmtId="0" fontId="15" fillId="3" borderId="23" xfId="0" applyFont="1" applyFill="1" applyBorder="1"/>
    <xf numFmtId="0" fontId="25" fillId="0" borderId="12" xfId="0" applyFont="1" applyBorder="1"/>
    <xf numFmtId="0" fontId="25" fillId="0" borderId="14" xfId="0" applyFont="1" applyBorder="1"/>
    <xf numFmtId="0" fontId="25" fillId="0" borderId="164" xfId="0" applyFont="1" applyBorder="1"/>
    <xf numFmtId="3" fontId="15" fillId="0" borderId="164" xfId="0" applyNumberFormat="1" applyFont="1" applyBorder="1" applyAlignment="1">
      <alignment horizontal="right" shrinkToFit="1"/>
    </xf>
    <xf numFmtId="3" fontId="15" fillId="0" borderId="4" xfId="0" applyNumberFormat="1" applyFont="1" applyBorder="1" applyAlignment="1">
      <alignment horizontal="right" shrinkToFit="1"/>
    </xf>
    <xf numFmtId="0" fontId="15" fillId="3" borderId="12" xfId="0" applyFont="1" applyFill="1" applyBorder="1"/>
    <xf numFmtId="3" fontId="20" fillId="0" borderId="14" xfId="0" applyNumberFormat="1" applyFont="1" applyBorder="1" applyAlignment="1">
      <alignment horizontal="right" shrinkToFit="1"/>
    </xf>
    <xf numFmtId="3" fontId="20" fillId="0" borderId="19" xfId="0" applyNumberFormat="1" applyFont="1" applyBorder="1" applyAlignment="1">
      <alignment horizontal="right" shrinkToFit="1"/>
    </xf>
    <xf numFmtId="166" fontId="94" fillId="0" borderId="0" xfId="0" applyNumberFormat="1" applyFont="1"/>
    <xf numFmtId="0" fontId="94" fillId="0" borderId="0" xfId="0" applyFont="1" applyAlignment="1">
      <alignment horizontal="right"/>
    </xf>
    <xf numFmtId="0" fontId="94" fillId="22" borderId="0" xfId="0" applyFont="1" applyFill="1"/>
    <xf numFmtId="0" fontId="94" fillId="22" borderId="0" xfId="0" applyFont="1" applyFill="1" applyAlignment="1">
      <alignment horizontal="right"/>
    </xf>
    <xf numFmtId="166" fontId="94" fillId="22" borderId="0" xfId="0" applyNumberFormat="1" applyFont="1" applyFill="1"/>
    <xf numFmtId="0" fontId="94" fillId="23" borderId="0" xfId="0" applyFont="1" applyFill="1"/>
    <xf numFmtId="166" fontId="94" fillId="23" borderId="0" xfId="0" applyNumberFormat="1" applyFont="1" applyFill="1"/>
    <xf numFmtId="0" fontId="187" fillId="0" borderId="0" xfId="0" applyFont="1"/>
    <xf numFmtId="0" fontId="7" fillId="0" borderId="33" xfId="0" applyFont="1" applyBorder="1"/>
    <xf numFmtId="17" fontId="94" fillId="21" borderId="13" xfId="0" applyNumberFormat="1" applyFont="1" applyFill="1" applyBorder="1" applyAlignment="1">
      <alignment horizontal="center" vertical="center"/>
    </xf>
    <xf numFmtId="0" fontId="190" fillId="21" borderId="165" xfId="0" applyFont="1" applyFill="1" applyBorder="1" applyAlignment="1">
      <alignment horizontal="center"/>
    </xf>
    <xf numFmtId="168" fontId="191" fillId="0" borderId="165" xfId="0" applyNumberFormat="1" applyFont="1" applyBorder="1" applyAlignment="1">
      <alignment horizontal="right" shrinkToFit="1"/>
    </xf>
    <xf numFmtId="3" fontId="15" fillId="3" borderId="14" xfId="0" applyNumberFormat="1" applyFont="1" applyFill="1" applyBorder="1" applyAlignment="1">
      <alignment horizontal="right" shrinkToFit="1"/>
    </xf>
    <xf numFmtId="168" fontId="191" fillId="3" borderId="166" xfId="0" applyNumberFormat="1" applyFont="1" applyFill="1" applyBorder="1" applyAlignment="1">
      <alignment horizontal="right" shrinkToFit="1"/>
    </xf>
    <xf numFmtId="168" fontId="191" fillId="0" borderId="167" xfId="0" applyNumberFormat="1" applyFont="1" applyBorder="1" applyAlignment="1">
      <alignment horizontal="right" shrinkToFit="1"/>
    </xf>
    <xf numFmtId="0" fontId="15" fillId="0" borderId="12" xfId="0" applyFont="1" applyBorder="1" applyAlignment="1">
      <alignment shrinkToFit="1"/>
    </xf>
    <xf numFmtId="168" fontId="191" fillId="0" borderId="168" xfId="0" applyNumberFormat="1" applyFont="1" applyBorder="1" applyAlignment="1">
      <alignment horizontal="right" shrinkToFit="1"/>
    </xf>
    <xf numFmtId="167" fontId="15" fillId="3" borderId="1" xfId="0" applyNumberFormat="1" applyFont="1" applyFill="1" applyBorder="1" applyAlignment="1">
      <alignment horizontal="right" shrinkToFit="1"/>
    </xf>
    <xf numFmtId="168" fontId="191" fillId="3" borderId="169" xfId="0" applyNumberFormat="1" applyFont="1" applyFill="1" applyBorder="1" applyAlignment="1">
      <alignment horizontal="right" shrinkToFit="1"/>
    </xf>
    <xf numFmtId="168" fontId="192" fillId="0" borderId="165" xfId="0" applyNumberFormat="1" applyFont="1" applyBorder="1" applyAlignment="1">
      <alignment horizontal="right" shrinkToFit="1"/>
    </xf>
    <xf numFmtId="168" fontId="191" fillId="3" borderId="168" xfId="0" applyNumberFormat="1" applyFont="1" applyFill="1" applyBorder="1" applyAlignment="1">
      <alignment horizontal="right"/>
    </xf>
    <xf numFmtId="0" fontId="11" fillId="3" borderId="12" xfId="0" applyFont="1" applyFill="1" applyBorder="1" applyAlignment="1">
      <alignment shrinkToFit="1"/>
    </xf>
    <xf numFmtId="167" fontId="15" fillId="3" borderId="12" xfId="0" applyNumberFormat="1" applyFont="1" applyFill="1" applyBorder="1" applyAlignment="1">
      <alignment horizontal="right" shrinkToFit="1"/>
    </xf>
    <xf numFmtId="182" fontId="191" fillId="3" borderId="3" xfId="0" applyNumberFormat="1" applyFont="1" applyFill="1" applyBorder="1" applyAlignment="1">
      <alignment horizontal="center" shrinkToFit="1"/>
    </xf>
    <xf numFmtId="17" fontId="85" fillId="21" borderId="13" xfId="0" applyNumberFormat="1" applyFont="1" applyFill="1" applyBorder="1" applyAlignment="1">
      <alignment horizontal="center" vertical="center"/>
    </xf>
    <xf numFmtId="0" fontId="85" fillId="21" borderId="13" xfId="0" applyFont="1" applyFill="1" applyBorder="1" applyAlignment="1">
      <alignment horizontal="centerContinuous" vertical="center"/>
    </xf>
    <xf numFmtId="0" fontId="72" fillId="5" borderId="14" xfId="0" applyFont="1" applyFill="1" applyBorder="1" applyAlignment="1">
      <alignment shrinkToFit="1"/>
    </xf>
    <xf numFmtId="17" fontId="85" fillId="21" borderId="14" xfId="0" applyNumberFormat="1" applyFont="1" applyFill="1" applyBorder="1" applyAlignment="1">
      <alignment horizontal="center" vertical="center"/>
    </xf>
    <xf numFmtId="0" fontId="85" fillId="21" borderId="14" xfId="0" applyFont="1" applyFill="1" applyBorder="1" applyAlignment="1">
      <alignment wrapText="1"/>
    </xf>
    <xf numFmtId="0" fontId="85" fillId="21" borderId="13" xfId="0" applyFont="1" applyFill="1" applyBorder="1" applyAlignment="1">
      <alignment horizontal="center"/>
    </xf>
    <xf numFmtId="17" fontId="85" fillId="21" borderId="165" xfId="0" applyNumberFormat="1" applyFont="1" applyFill="1" applyBorder="1" applyAlignment="1">
      <alignment horizontal="center" vertical="center"/>
    </xf>
    <xf numFmtId="179" fontId="175" fillId="7" borderId="14" xfId="0" applyNumberFormat="1" applyFont="1" applyFill="1" applyBorder="1" applyAlignment="1" applyProtection="1">
      <alignment horizontal="center" shrinkToFit="1"/>
      <protection locked="0"/>
    </xf>
    <xf numFmtId="179" fontId="85" fillId="0" borderId="14" xfId="0" applyNumberFormat="1" applyFont="1" applyBorder="1" applyAlignment="1">
      <alignment horizontal="right" shrinkToFit="1"/>
    </xf>
    <xf numFmtId="3" fontId="85" fillId="21" borderId="68" xfId="0" applyNumberFormat="1" applyFont="1" applyFill="1" applyBorder="1" applyAlignment="1">
      <alignment horizontal="center" wrapText="1"/>
    </xf>
    <xf numFmtId="0" fontId="85" fillId="0" borderId="23" xfId="0" applyFont="1" applyBorder="1" applyAlignment="1">
      <alignment wrapText="1"/>
    </xf>
    <xf numFmtId="179" fontId="85" fillId="0" borderId="19" xfId="0" applyNumberFormat="1" applyFont="1" applyBorder="1" applyAlignment="1">
      <alignment horizontal="right" shrinkToFit="1"/>
    </xf>
    <xf numFmtId="165" fontId="195" fillId="0" borderId="165" xfId="0" applyNumberFormat="1" applyFont="1" applyBorder="1" applyAlignment="1">
      <alignment horizontal="right" shrinkToFit="1"/>
    </xf>
    <xf numFmtId="179" fontId="175" fillId="7" borderId="14" xfId="0" applyNumberFormat="1" applyFont="1" applyFill="1" applyBorder="1" applyAlignment="1" applyProtection="1">
      <alignment horizontal="right" shrinkToFit="1"/>
      <protection locked="0"/>
    </xf>
    <xf numFmtId="179" fontId="85" fillId="0" borderId="23" xfId="0" applyNumberFormat="1" applyFont="1" applyBorder="1" applyAlignment="1">
      <alignment horizontal="right" shrinkToFit="1"/>
    </xf>
    <xf numFmtId="0" fontId="85" fillId="3" borderId="14" xfId="0" applyFont="1" applyFill="1" applyBorder="1"/>
    <xf numFmtId="179" fontId="85" fillId="3" borderId="14" xfId="0" applyNumberFormat="1" applyFont="1" applyFill="1" applyBorder="1" applyAlignment="1">
      <alignment horizontal="right" shrinkToFit="1"/>
    </xf>
    <xf numFmtId="179" fontId="85" fillId="3" borderId="19" xfId="0" applyNumberFormat="1" applyFont="1" applyFill="1" applyBorder="1" applyAlignment="1">
      <alignment horizontal="right" shrinkToFit="1"/>
    </xf>
    <xf numFmtId="165" fontId="195" fillId="3" borderId="165" xfId="0" applyNumberFormat="1" applyFont="1" applyFill="1" applyBorder="1" applyAlignment="1">
      <alignment horizontal="right" shrinkToFit="1"/>
    </xf>
    <xf numFmtId="179" fontId="85" fillId="3" borderId="23" xfId="0" applyNumberFormat="1" applyFont="1" applyFill="1" applyBorder="1" applyAlignment="1">
      <alignment horizontal="right" shrinkToFit="1"/>
    </xf>
    <xf numFmtId="0" fontId="85" fillId="0" borderId="14" xfId="0" applyFont="1" applyBorder="1"/>
    <xf numFmtId="0" fontId="85" fillId="3" borderId="23" xfId="0" applyFont="1" applyFill="1" applyBorder="1"/>
    <xf numFmtId="179" fontId="85" fillId="3" borderId="7" xfId="0" applyNumberFormat="1" applyFont="1" applyFill="1" applyBorder="1" applyAlignment="1">
      <alignment horizontal="right" shrinkToFit="1"/>
    </xf>
    <xf numFmtId="179" fontId="85" fillId="3" borderId="124" xfId="0" applyNumberFormat="1" applyFont="1" applyFill="1" applyBorder="1" applyAlignment="1">
      <alignment horizontal="right" shrinkToFit="1"/>
    </xf>
    <xf numFmtId="165" fontId="195" fillId="3" borderId="166" xfId="0" applyNumberFormat="1" applyFont="1" applyFill="1" applyBorder="1" applyAlignment="1">
      <alignment horizontal="right" shrinkToFit="1"/>
    </xf>
    <xf numFmtId="179" fontId="85" fillId="3" borderId="6" xfId="0" applyNumberFormat="1" applyFont="1" applyFill="1" applyBorder="1" applyAlignment="1">
      <alignment horizontal="right" shrinkToFit="1"/>
    </xf>
    <xf numFmtId="0" fontId="196" fillId="0" borderId="12" xfId="0" applyFont="1" applyBorder="1"/>
    <xf numFmtId="0" fontId="196" fillId="0" borderId="14" xfId="0" applyFont="1" applyBorder="1"/>
    <xf numFmtId="0" fontId="193" fillId="0" borderId="15" xfId="0" applyFont="1" applyBorder="1" applyAlignment="1">
      <alignment shrinkToFit="1"/>
    </xf>
    <xf numFmtId="179" fontId="193" fillId="0" borderId="12" xfId="0" applyNumberFormat="1" applyFont="1" applyBorder="1" applyAlignment="1">
      <alignment horizontal="right" shrinkToFit="1"/>
    </xf>
    <xf numFmtId="179" fontId="193" fillId="0" borderId="19" xfId="0" applyNumberFormat="1" applyFont="1" applyBorder="1" applyAlignment="1">
      <alignment horizontal="right" shrinkToFit="1"/>
    </xf>
    <xf numFmtId="179" fontId="193" fillId="0" borderId="14" xfId="0" applyNumberFormat="1" applyFont="1" applyBorder="1" applyAlignment="1">
      <alignment horizontal="right" shrinkToFit="1"/>
    </xf>
    <xf numFmtId="179" fontId="193" fillId="0" borderId="23" xfId="0" applyNumberFormat="1" applyFont="1" applyBorder="1" applyAlignment="1">
      <alignment horizontal="right" shrinkToFit="1"/>
    </xf>
    <xf numFmtId="0" fontId="85" fillId="3" borderId="12" xfId="0" applyFont="1" applyFill="1" applyBorder="1"/>
    <xf numFmtId="179" fontId="85" fillId="0" borderId="165" xfId="0" applyNumberFormat="1" applyFont="1" applyBorder="1" applyAlignment="1">
      <alignment horizontal="right" shrinkToFit="1"/>
    </xf>
    <xf numFmtId="179" fontId="85" fillId="3" borderId="165" xfId="0" applyNumberFormat="1" applyFont="1" applyFill="1" applyBorder="1" applyAlignment="1">
      <alignment horizontal="right" shrinkToFit="1"/>
    </xf>
    <xf numFmtId="179" fontId="175" fillId="0" borderId="14" xfId="0" applyNumberFormat="1" applyFont="1" applyBorder="1" applyAlignment="1">
      <alignment horizontal="right" shrinkToFit="1"/>
    </xf>
    <xf numFmtId="0" fontId="197" fillId="0" borderId="14" xfId="0" applyFont="1" applyBorder="1" applyAlignment="1">
      <alignment vertical="center" wrapText="1"/>
    </xf>
    <xf numFmtId="0" fontId="121" fillId="0" borderId="14" xfId="0" applyFont="1" applyBorder="1" applyAlignment="1">
      <alignment vertical="center" wrapText="1"/>
    </xf>
    <xf numFmtId="0" fontId="85" fillId="0" borderId="14" xfId="0" applyFont="1" applyBorder="1" applyAlignment="1">
      <alignment shrinkToFit="1"/>
    </xf>
    <xf numFmtId="0" fontId="85" fillId="0" borderId="12" xfId="0" applyFont="1" applyBorder="1"/>
    <xf numFmtId="179" fontId="85" fillId="0" borderId="12" xfId="0" applyNumberFormat="1" applyFont="1" applyBorder="1" applyAlignment="1">
      <alignment horizontal="right" shrinkToFit="1"/>
    </xf>
    <xf numFmtId="0" fontId="194" fillId="3" borderId="14" xfId="0" applyFont="1" applyFill="1" applyBorder="1" applyAlignment="1">
      <alignment vertical="center" wrapText="1"/>
    </xf>
    <xf numFmtId="179" fontId="85" fillId="21" borderId="13" xfId="0" applyNumberFormat="1" applyFont="1" applyFill="1" applyBorder="1" applyAlignment="1">
      <alignment horizontal="centerContinuous" vertical="center" shrinkToFit="1"/>
    </xf>
    <xf numFmtId="179" fontId="85" fillId="21" borderId="13" xfId="0" applyNumberFormat="1" applyFont="1" applyFill="1" applyBorder="1" applyAlignment="1">
      <alignment horizontal="center" shrinkToFit="1"/>
    </xf>
    <xf numFmtId="179" fontId="85" fillId="21" borderId="68" xfId="0" applyNumberFormat="1" applyFont="1" applyFill="1" applyBorder="1" applyAlignment="1">
      <alignment horizontal="center" shrinkToFit="1"/>
    </xf>
    <xf numFmtId="0" fontId="85" fillId="0" borderId="15" xfId="0" applyFont="1" applyBorder="1" applyAlignment="1">
      <alignment shrinkToFit="1"/>
    </xf>
    <xf numFmtId="0" fontId="198" fillId="0" borderId="14" xfId="0" applyFont="1" applyBorder="1" applyAlignment="1">
      <alignment vertical="center" wrapText="1"/>
    </xf>
    <xf numFmtId="3" fontId="85" fillId="0" borderId="14" xfId="0" applyNumberFormat="1" applyFont="1" applyBorder="1" applyAlignment="1">
      <alignment horizontal="right" shrinkToFit="1"/>
    </xf>
    <xf numFmtId="3" fontId="85" fillId="0" borderId="19" xfId="0" applyNumberFormat="1" applyFont="1" applyBorder="1" applyAlignment="1">
      <alignment horizontal="right" shrinkToFit="1"/>
    </xf>
    <xf numFmtId="3" fontId="85" fillId="3" borderId="14" xfId="0" applyNumberFormat="1" applyFont="1" applyFill="1" applyBorder="1" applyAlignment="1">
      <alignment horizontal="right" shrinkToFit="1"/>
    </xf>
    <xf numFmtId="3" fontId="85" fillId="3" borderId="19" xfId="0" applyNumberFormat="1" applyFont="1" applyFill="1" applyBorder="1" applyAlignment="1">
      <alignment horizontal="right" shrinkToFit="1"/>
    </xf>
    <xf numFmtId="3" fontId="85" fillId="3" borderId="7" xfId="0" applyNumberFormat="1" applyFont="1" applyFill="1" applyBorder="1" applyAlignment="1">
      <alignment horizontal="right" shrinkToFit="1"/>
    </xf>
    <xf numFmtId="3" fontId="85" fillId="3" borderId="124" xfId="0" applyNumberFormat="1" applyFont="1" applyFill="1" applyBorder="1" applyAlignment="1">
      <alignment horizontal="right" shrinkToFit="1"/>
    </xf>
    <xf numFmtId="3" fontId="85" fillId="0" borderId="12" xfId="0" applyNumberFormat="1" applyFont="1" applyBorder="1" applyAlignment="1">
      <alignment horizontal="right" shrinkToFit="1"/>
    </xf>
    <xf numFmtId="3" fontId="85" fillId="21" borderId="13" xfId="0" applyNumberFormat="1" applyFont="1" applyFill="1" applyBorder="1" applyAlignment="1">
      <alignment horizontal="centerContinuous" vertical="center" shrinkToFit="1"/>
    </xf>
    <xf numFmtId="3" fontId="85" fillId="21" borderId="13" xfId="0" applyNumberFormat="1" applyFont="1" applyFill="1" applyBorder="1" applyAlignment="1">
      <alignment horizontal="center" shrinkToFit="1"/>
    </xf>
    <xf numFmtId="3" fontId="85" fillId="21" borderId="68" xfId="0" applyNumberFormat="1" applyFont="1" applyFill="1" applyBorder="1" applyAlignment="1">
      <alignment horizontal="center" shrinkToFit="1"/>
    </xf>
    <xf numFmtId="0" fontId="199" fillId="0" borderId="0" xfId="0" applyFont="1"/>
    <xf numFmtId="0" fontId="186" fillId="3" borderId="14" xfId="0" applyFont="1" applyFill="1" applyBorder="1" applyAlignment="1">
      <alignment shrinkToFit="1"/>
    </xf>
    <xf numFmtId="17" fontId="15" fillId="3" borderId="14" xfId="0" applyNumberFormat="1" applyFont="1" applyFill="1" applyBorder="1" applyAlignment="1">
      <alignment horizontal="center" vertical="center"/>
    </xf>
    <xf numFmtId="0" fontId="15" fillId="3" borderId="13" xfId="0" applyFont="1" applyFill="1" applyBorder="1" applyAlignment="1">
      <alignment horizontal="center" vertical="center"/>
    </xf>
    <xf numFmtId="17" fontId="15" fillId="3" borderId="10" xfId="0" applyNumberFormat="1" applyFont="1" applyFill="1" applyBorder="1" applyAlignment="1">
      <alignment horizontal="center" vertical="center"/>
    </xf>
    <xf numFmtId="17" fontId="11" fillId="3" borderId="23" xfId="0" applyNumberFormat="1" applyFont="1" applyFill="1" applyBorder="1" applyAlignment="1">
      <alignment horizontal="center" vertical="center"/>
    </xf>
    <xf numFmtId="17" fontId="11" fillId="3" borderId="8" xfId="0" applyNumberFormat="1" applyFont="1" applyFill="1" applyBorder="1" applyAlignment="1">
      <alignment horizontal="center" vertical="center"/>
    </xf>
    <xf numFmtId="3" fontId="15" fillId="3" borderId="14" xfId="0" applyNumberFormat="1" applyFont="1" applyFill="1" applyBorder="1" applyAlignment="1">
      <alignment horizontal="center" shrinkToFit="1"/>
    </xf>
    <xf numFmtId="179" fontId="200" fillId="0" borderId="35" xfId="0" applyNumberFormat="1" applyFont="1" applyBorder="1" applyAlignment="1">
      <alignment horizontal="right" shrinkToFit="1"/>
    </xf>
    <xf numFmtId="3" fontId="15" fillId="3" borderId="12" xfId="0" applyNumberFormat="1" applyFont="1" applyFill="1" applyBorder="1" applyAlignment="1">
      <alignment horizontal="center" shrinkToFit="1"/>
    </xf>
    <xf numFmtId="0" fontId="201" fillId="0" borderId="0" xfId="0" applyFont="1"/>
    <xf numFmtId="179" fontId="200" fillId="0" borderId="36" xfId="0" applyNumberFormat="1" applyFont="1" applyBorder="1" applyAlignment="1">
      <alignment horizontal="right" shrinkToFit="1"/>
    </xf>
    <xf numFmtId="3" fontId="15" fillId="0" borderId="68" xfId="0" applyNumberFormat="1" applyFont="1" applyBorder="1" applyAlignment="1">
      <alignment horizontal="right" shrinkToFit="1"/>
    </xf>
    <xf numFmtId="179" fontId="200" fillId="3" borderId="36" xfId="0" applyNumberFormat="1" applyFont="1" applyFill="1" applyBorder="1" applyAlignment="1">
      <alignment horizontal="right" shrinkToFit="1"/>
    </xf>
    <xf numFmtId="3" fontId="15" fillId="3" borderId="68" xfId="0" applyNumberFormat="1" applyFont="1" applyFill="1" applyBorder="1" applyAlignment="1">
      <alignment horizontal="right" shrinkToFit="1"/>
    </xf>
    <xf numFmtId="3" fontId="15" fillId="3" borderId="7" xfId="0" applyNumberFormat="1" applyFont="1" applyFill="1" applyBorder="1" applyAlignment="1">
      <alignment horizontal="right" shrinkToFit="1"/>
    </xf>
    <xf numFmtId="179" fontId="200" fillId="3" borderId="72" xfId="0" applyNumberFormat="1" applyFont="1" applyFill="1" applyBorder="1" applyAlignment="1">
      <alignment horizontal="right" shrinkToFit="1"/>
    </xf>
    <xf numFmtId="3" fontId="15" fillId="3" borderId="124" xfId="0" applyNumberFormat="1" applyFont="1" applyFill="1" applyBorder="1" applyAlignment="1">
      <alignment horizontal="right" shrinkToFit="1"/>
    </xf>
    <xf numFmtId="3" fontId="15" fillId="3" borderId="70" xfId="0" applyNumberFormat="1" applyFont="1" applyFill="1" applyBorder="1" applyAlignment="1">
      <alignment horizontal="right" shrinkToFit="1"/>
    </xf>
    <xf numFmtId="0" fontId="15" fillId="0" borderId="23" xfId="0" applyFont="1" applyBorder="1" applyAlignment="1">
      <alignment shrinkToFit="1"/>
    </xf>
    <xf numFmtId="0" fontId="11" fillId="3" borderId="14" xfId="0" applyFont="1" applyFill="1" applyBorder="1" applyAlignment="1">
      <alignment vertical="center" wrapText="1"/>
    </xf>
    <xf numFmtId="167" fontId="15" fillId="3" borderId="14" xfId="0" applyNumberFormat="1" applyFont="1" applyFill="1" applyBorder="1" applyAlignment="1">
      <alignment horizontal="right" shrinkToFit="1"/>
    </xf>
    <xf numFmtId="167" fontId="15" fillId="3" borderId="19" xfId="0" applyNumberFormat="1" applyFont="1" applyFill="1" applyBorder="1" applyAlignment="1">
      <alignment horizontal="right" shrinkToFit="1"/>
    </xf>
    <xf numFmtId="167" fontId="15" fillId="3" borderId="68" xfId="0" applyNumberFormat="1" applyFont="1" applyFill="1" applyBorder="1" applyAlignment="1">
      <alignment horizontal="right" shrinkToFit="1"/>
    </xf>
    <xf numFmtId="3" fontId="85" fillId="21" borderId="19" xfId="0" applyNumberFormat="1" applyFont="1" applyFill="1" applyBorder="1" applyAlignment="1">
      <alignment horizontal="center" wrapText="1"/>
    </xf>
    <xf numFmtId="0" fontId="19" fillId="0" borderId="14" xfId="0" applyFont="1" applyBorder="1" applyAlignment="1">
      <alignment vertical="center" wrapText="1"/>
    </xf>
    <xf numFmtId="3" fontId="23" fillId="0" borderId="85" xfId="0" applyNumberFormat="1" applyFont="1" applyBorder="1" applyAlignment="1">
      <alignment vertical="center" wrapText="1"/>
    </xf>
    <xf numFmtId="3" fontId="23" fillId="0" borderId="85" xfId="0" applyNumberFormat="1" applyFont="1" applyBorder="1" applyAlignment="1">
      <alignment wrapText="1"/>
    </xf>
    <xf numFmtId="3" fontId="54" fillId="0" borderId="0" xfId="0" applyNumberFormat="1" applyFont="1" applyAlignment="1">
      <alignment wrapText="1"/>
    </xf>
    <xf numFmtId="0" fontId="28" fillId="0" borderId="12" xfId="0" applyFont="1" applyBorder="1" applyAlignment="1">
      <alignment vertical="center"/>
    </xf>
    <xf numFmtId="0" fontId="28" fillId="0" borderId="14" xfId="0" applyFont="1" applyBorder="1" applyAlignment="1">
      <alignment vertical="center"/>
    </xf>
    <xf numFmtId="0" fontId="28" fillId="0" borderId="14" xfId="0" applyFont="1" applyBorder="1" applyAlignment="1">
      <alignment vertical="center" shrinkToFit="1"/>
    </xf>
    <xf numFmtId="2" fontId="51" fillId="12" borderId="23" xfId="0" applyNumberFormat="1" applyFont="1" applyFill="1" applyBorder="1" applyAlignment="1">
      <alignment horizontal="center" vertical="center" shrinkToFit="1"/>
    </xf>
    <xf numFmtId="0" fontId="29" fillId="3" borderId="14" xfId="0" applyFont="1" applyFill="1" applyBorder="1" applyAlignment="1">
      <alignment vertical="center"/>
    </xf>
    <xf numFmtId="0" fontId="29" fillId="3" borderId="7" xfId="0" applyFont="1" applyFill="1" applyBorder="1" applyAlignment="1">
      <alignment vertical="center"/>
    </xf>
    <xf numFmtId="0" fontId="25" fillId="0" borderId="42" xfId="0" applyFont="1" applyBorder="1" applyAlignment="1">
      <alignment vertical="center"/>
    </xf>
    <xf numFmtId="0" fontId="25" fillId="0" borderId="14" xfId="0" applyFont="1" applyBorder="1" applyAlignment="1">
      <alignment vertical="center"/>
    </xf>
    <xf numFmtId="0" fontId="25" fillId="0" borderId="14" xfId="0" applyFont="1" applyBorder="1" applyAlignment="1">
      <alignment vertical="center" wrapText="1"/>
    </xf>
    <xf numFmtId="0" fontId="29" fillId="0" borderId="15" xfId="0" applyFont="1" applyBorder="1" applyAlignment="1">
      <alignment vertical="center" shrinkToFit="1"/>
    </xf>
    <xf numFmtId="0" fontId="29" fillId="3" borderId="12" xfId="0" applyFont="1" applyFill="1" applyBorder="1" applyAlignment="1">
      <alignment vertical="center"/>
    </xf>
    <xf numFmtId="0" fontId="51" fillId="3" borderId="14" xfId="0" applyFont="1" applyFill="1" applyBorder="1" applyAlignment="1">
      <alignment vertical="center" wrapText="1"/>
    </xf>
    <xf numFmtId="3" fontId="69" fillId="0" borderId="0" xfId="0" applyNumberFormat="1" applyFont="1" applyAlignment="1">
      <alignment vertical="center" wrapText="1"/>
    </xf>
    <xf numFmtId="3" fontId="82" fillId="0" borderId="0" xfId="0" applyNumberFormat="1" applyFont="1"/>
    <xf numFmtId="3" fontId="60" fillId="0" borderId="0" xfId="0" applyNumberFormat="1" applyFont="1" applyAlignment="1">
      <alignment vertical="center"/>
    </xf>
    <xf numFmtId="0" fontId="60" fillId="0" borderId="0" xfId="0" applyFont="1" applyAlignment="1">
      <alignment horizontal="center" vertical="center" wrapText="1"/>
    </xf>
    <xf numFmtId="0" fontId="15" fillId="12" borderId="6" xfId="0" applyFont="1" applyFill="1" applyBorder="1" applyAlignment="1">
      <alignment horizontal="center" vertical="center"/>
    </xf>
    <xf numFmtId="3" fontId="69" fillId="0" borderId="0" xfId="0" applyNumberFormat="1" applyFont="1" applyAlignment="1">
      <alignment wrapText="1"/>
    </xf>
    <xf numFmtId="0" fontId="82" fillId="0" borderId="0" xfId="0" applyFont="1"/>
    <xf numFmtId="0" fontId="23" fillId="0" borderId="14" xfId="0" applyFont="1" applyBorder="1" applyAlignment="1">
      <alignment horizontal="left" vertical="center"/>
    </xf>
    <xf numFmtId="0" fontId="82" fillId="2" borderId="0" xfId="0" applyFont="1" applyFill="1"/>
    <xf numFmtId="0" fontId="125" fillId="9" borderId="23" xfId="0" applyFont="1" applyFill="1" applyBorder="1" applyAlignment="1">
      <alignment vertical="center" wrapText="1"/>
    </xf>
    <xf numFmtId="3" fontId="60" fillId="7" borderId="66" xfId="0" applyNumberFormat="1" applyFont="1" applyFill="1" applyBorder="1" applyAlignment="1" applyProtection="1">
      <alignment horizontal="center" vertical="center" shrinkToFit="1"/>
      <protection locked="0"/>
    </xf>
    <xf numFmtId="3" fontId="15" fillId="12" borderId="23" xfId="0" applyNumberFormat="1" applyFont="1" applyFill="1" applyBorder="1" applyAlignment="1">
      <alignment horizontal="center" vertical="center" shrinkToFit="1"/>
    </xf>
    <xf numFmtId="0" fontId="125" fillId="12" borderId="23" xfId="0" applyFont="1" applyFill="1" applyBorder="1" applyAlignment="1">
      <alignment horizontal="center" vertical="center" wrapText="1"/>
    </xf>
    <xf numFmtId="9" fontId="75" fillId="0" borderId="23" xfId="0" applyNumberFormat="1" applyFont="1" applyBorder="1" applyAlignment="1">
      <alignment vertical="center" wrapText="1" shrinkToFit="1"/>
    </xf>
    <xf numFmtId="0" fontId="9" fillId="0" borderId="1" xfId="0" applyFont="1" applyBorder="1" applyAlignment="1">
      <alignment wrapText="1"/>
    </xf>
    <xf numFmtId="0" fontId="203" fillId="0" borderId="0" xfId="0" applyFont="1" applyAlignment="1">
      <alignment horizontal="center" vertical="top"/>
    </xf>
    <xf numFmtId="0" fontId="125" fillId="9" borderId="4" xfId="0" applyFont="1" applyFill="1" applyBorder="1" applyAlignment="1">
      <alignment vertical="center" wrapText="1"/>
    </xf>
    <xf numFmtId="3" fontId="15" fillId="12" borderId="4" xfId="0" applyNumberFormat="1" applyFont="1" applyFill="1" applyBorder="1" applyAlignment="1">
      <alignment horizontal="center" vertical="center" shrinkToFit="1"/>
    </xf>
    <xf numFmtId="3" fontId="60" fillId="7" borderId="78" xfId="0" applyNumberFormat="1" applyFont="1" applyFill="1" applyBorder="1" applyAlignment="1" applyProtection="1">
      <alignment horizontal="center" vertical="center" shrinkToFit="1"/>
      <protection locked="0"/>
    </xf>
    <xf numFmtId="0" fontId="137" fillId="0" borderId="122" xfId="0" applyFont="1" applyBorder="1" applyAlignment="1">
      <alignment wrapText="1"/>
    </xf>
    <xf numFmtId="0" fontId="136" fillId="9" borderId="65" xfId="0" applyFont="1" applyFill="1" applyBorder="1" applyAlignment="1">
      <alignment vertical="center" wrapText="1"/>
    </xf>
    <xf numFmtId="3" fontId="62" fillId="0" borderId="0" xfId="0" applyNumberFormat="1" applyFont="1"/>
    <xf numFmtId="0" fontId="204" fillId="0" borderId="78" xfId="0" applyFont="1" applyBorder="1" applyAlignment="1">
      <alignment vertical="center" wrapText="1"/>
    </xf>
    <xf numFmtId="0" fontId="60" fillId="0" borderId="0" xfId="0" applyFont="1" applyAlignment="1">
      <alignment vertical="center" wrapText="1"/>
    </xf>
    <xf numFmtId="0" fontId="60" fillId="9" borderId="14" xfId="0" applyFont="1" applyFill="1" applyBorder="1" applyAlignment="1">
      <alignment vertical="center" shrinkToFit="1"/>
    </xf>
    <xf numFmtId="4" fontId="60" fillId="0" borderId="14" xfId="0" applyNumberFormat="1" applyFont="1" applyBorder="1" applyAlignment="1">
      <alignment horizontal="right" vertical="center" shrinkToFit="1"/>
    </xf>
    <xf numFmtId="0" fontId="207" fillId="5" borderId="0" xfId="0" applyFont="1" applyFill="1" applyAlignment="1">
      <alignment vertical="center" wrapText="1"/>
    </xf>
    <xf numFmtId="0" fontId="11" fillId="0" borderId="3" xfId="0" applyFont="1" applyBorder="1" applyAlignment="1">
      <alignment horizontal="right" vertical="center" shrinkToFit="1"/>
    </xf>
    <xf numFmtId="0" fontId="11" fillId="0" borderId="10" xfId="0" applyFont="1" applyBorder="1" applyAlignment="1">
      <alignment horizontal="right" vertical="center" shrinkToFit="1"/>
    </xf>
    <xf numFmtId="3" fontId="9" fillId="12" borderId="65" xfId="0" applyNumberFormat="1" applyFont="1" applyFill="1" applyBorder="1" applyAlignment="1">
      <alignment horizontal="center" vertical="center" shrinkToFit="1"/>
    </xf>
    <xf numFmtId="3" fontId="28" fillId="0" borderId="4" xfId="0" applyNumberFormat="1" applyFont="1" applyBorder="1" applyAlignment="1">
      <alignment horizontal="left" shrinkToFit="1"/>
    </xf>
    <xf numFmtId="0" fontId="11" fillId="2" borderId="65" xfId="0" applyFont="1" applyFill="1" applyBorder="1" applyAlignment="1">
      <alignment horizontal="left" vertical="center" wrapText="1"/>
    </xf>
    <xf numFmtId="3" fontId="15" fillId="0" borderId="12" xfId="0" applyNumberFormat="1" applyFont="1" applyBorder="1" applyAlignment="1">
      <alignment horizontal="left" vertical="center" shrinkToFit="1"/>
    </xf>
    <xf numFmtId="3" fontId="9" fillId="0" borderId="46" xfId="0" applyNumberFormat="1" applyFont="1" applyBorder="1" applyAlignment="1">
      <alignment horizontal="left" vertical="center" shrinkToFit="1"/>
    </xf>
    <xf numFmtId="0" fontId="24" fillId="2" borderId="0" xfId="0" applyFont="1" applyFill="1" applyAlignment="1">
      <alignment horizontal="left" vertical="top" wrapText="1"/>
    </xf>
    <xf numFmtId="0" fontId="13" fillId="2" borderId="163" xfId="0" applyFont="1" applyFill="1" applyBorder="1"/>
    <xf numFmtId="3" fontId="23" fillId="0" borderId="14" xfId="0" applyNumberFormat="1" applyFont="1" applyBorder="1" applyAlignment="1">
      <alignment horizontal="left" vertical="center"/>
    </xf>
    <xf numFmtId="0" fontId="11" fillId="0" borderId="14" xfId="0" applyFont="1" applyBorder="1" applyAlignment="1">
      <alignment horizontal="left" vertical="center" wrapText="1"/>
    </xf>
    <xf numFmtId="0" fontId="60" fillId="0" borderId="0" xfId="0" applyFont="1" applyAlignment="1">
      <alignment horizontal="center" vertical="top" wrapText="1"/>
    </xf>
    <xf numFmtId="0" fontId="15" fillId="0" borderId="0" xfId="0" applyFont="1" applyAlignment="1">
      <alignment horizontal="center" vertical="top"/>
    </xf>
    <xf numFmtId="0" fontId="106" fillId="0" borderId="0" xfId="0" applyFont="1" applyAlignment="1">
      <alignment vertical="center" wrapText="1"/>
    </xf>
    <xf numFmtId="0" fontId="11" fillId="12" borderId="10" xfId="0" applyFont="1" applyFill="1" applyBorder="1" applyAlignment="1">
      <alignment vertical="center"/>
    </xf>
    <xf numFmtId="0" fontId="9" fillId="0" borderId="173" xfId="0" applyFont="1" applyBorder="1"/>
    <xf numFmtId="3" fontId="23" fillId="12" borderId="174" xfId="0" applyNumberFormat="1" applyFont="1" applyFill="1" applyBorder="1" applyAlignment="1">
      <alignment horizontal="center" vertical="center"/>
    </xf>
    <xf numFmtId="0" fontId="15" fillId="17" borderId="85" xfId="0" applyFont="1" applyFill="1" applyBorder="1"/>
    <xf numFmtId="1" fontId="60" fillId="0" borderId="0" xfId="0" applyNumberFormat="1" applyFont="1"/>
    <xf numFmtId="0" fontId="60" fillId="0" borderId="0" xfId="0" applyFont="1"/>
    <xf numFmtId="0" fontId="209" fillId="0" borderId="0" xfId="0" applyFont="1" applyAlignment="1">
      <alignment horizontal="center" vertical="center"/>
    </xf>
    <xf numFmtId="0" fontId="15" fillId="7" borderId="7" xfId="0" applyFont="1" applyFill="1" applyBorder="1" applyAlignment="1" applyProtection="1">
      <alignment vertical="center"/>
      <protection locked="0"/>
    </xf>
    <xf numFmtId="0" fontId="60" fillId="7" borderId="17" xfId="0" applyFont="1" applyFill="1" applyBorder="1" applyProtection="1">
      <protection locked="0"/>
    </xf>
    <xf numFmtId="3" fontId="13" fillId="0" borderId="52" xfId="0" applyNumberFormat="1" applyFont="1" applyBorder="1" applyAlignment="1">
      <alignment horizontal="right" vertical="center"/>
    </xf>
    <xf numFmtId="3" fontId="60" fillId="7" borderId="175" xfId="0" applyNumberFormat="1" applyFont="1" applyFill="1" applyBorder="1" applyAlignment="1" applyProtection="1">
      <alignment horizontal="right" vertical="center" shrinkToFit="1"/>
      <protection locked="0"/>
    </xf>
    <xf numFmtId="3" fontId="161" fillId="0" borderId="53" xfId="0" applyNumberFormat="1" applyFont="1" applyBorder="1" applyAlignment="1">
      <alignment horizontal="right" vertical="center"/>
    </xf>
    <xf numFmtId="0" fontId="15" fillId="0" borderId="159" xfId="0" applyFont="1" applyBorder="1"/>
    <xf numFmtId="0" fontId="15" fillId="0" borderId="157" xfId="0" applyFont="1" applyBorder="1"/>
    <xf numFmtId="3" fontId="13" fillId="0" borderId="177" xfId="0" applyNumberFormat="1" applyFont="1" applyBorder="1" applyAlignment="1">
      <alignment horizontal="right" vertical="center"/>
    </xf>
    <xf numFmtId="3" fontId="161" fillId="0" borderId="94" xfId="0" applyNumberFormat="1" applyFont="1" applyBorder="1" applyAlignment="1">
      <alignment horizontal="right" vertical="center"/>
    </xf>
    <xf numFmtId="0" fontId="13" fillId="0" borderId="0" xfId="0" applyFont="1" applyAlignment="1">
      <alignment horizontal="center" vertical="center"/>
    </xf>
    <xf numFmtId="0" fontId="132" fillId="0" borderId="0" xfId="0" applyFont="1" applyAlignment="1">
      <alignment horizontal="center" vertical="center" wrapText="1"/>
    </xf>
    <xf numFmtId="0" fontId="15" fillId="9" borderId="66" xfId="0" applyFont="1" applyFill="1" applyBorder="1" applyAlignment="1">
      <alignment horizontal="center" vertical="center"/>
    </xf>
    <xf numFmtId="17" fontId="15" fillId="0" borderId="78" xfId="0" applyNumberFormat="1" applyFont="1" applyBorder="1" applyAlignment="1">
      <alignment horizontal="center"/>
    </xf>
    <xf numFmtId="0" fontId="60" fillId="7" borderId="68" xfId="0" applyFont="1" applyFill="1" applyBorder="1" applyAlignment="1" applyProtection="1">
      <alignment horizontal="center"/>
      <protection locked="0"/>
    </xf>
    <xf numFmtId="166" fontId="60" fillId="7" borderId="36" xfId="0" applyNumberFormat="1" applyFont="1" applyFill="1" applyBorder="1" applyAlignment="1" applyProtection="1">
      <alignment horizontal="center"/>
      <protection locked="0"/>
    </xf>
    <xf numFmtId="0" fontId="6" fillId="0" borderId="0" xfId="0" applyFont="1" applyAlignment="1">
      <alignment horizontal="center" vertical="center"/>
    </xf>
    <xf numFmtId="0" fontId="23" fillId="0" borderId="40" xfId="0" applyFont="1" applyBorder="1"/>
    <xf numFmtId="17" fontId="15" fillId="0" borderId="77" xfId="0" applyNumberFormat="1" applyFont="1" applyBorder="1" applyAlignment="1">
      <alignment horizontal="center"/>
    </xf>
    <xf numFmtId="166" fontId="60" fillId="7" borderId="68" xfId="0" applyNumberFormat="1" applyFont="1" applyFill="1" applyBorder="1" applyAlignment="1" applyProtection="1">
      <alignment horizontal="center"/>
      <protection locked="0"/>
    </xf>
    <xf numFmtId="0" fontId="6" fillId="0" borderId="40" xfId="0" applyFont="1" applyBorder="1" applyAlignment="1">
      <alignment horizontal="center"/>
    </xf>
    <xf numFmtId="0" fontId="7" fillId="0" borderId="34" xfId="0" applyFont="1" applyBorder="1" applyAlignment="1">
      <alignment horizontal="center"/>
    </xf>
    <xf numFmtId="0" fontId="19" fillId="0" borderId="28" xfId="0" applyFont="1" applyBorder="1"/>
    <xf numFmtId="9" fontId="11" fillId="0" borderId="30" xfId="0" applyNumberFormat="1" applyFont="1" applyBorder="1" applyAlignment="1">
      <alignment horizontal="right"/>
    </xf>
    <xf numFmtId="0" fontId="149" fillId="2" borderId="0" xfId="0" applyFont="1" applyFill="1" applyAlignment="1">
      <alignment horizontal="center" vertical="center"/>
    </xf>
    <xf numFmtId="0" fontId="149" fillId="2" borderId="0" xfId="0" applyFont="1" applyFill="1"/>
    <xf numFmtId="0" fontId="11" fillId="12" borderId="14" xfId="0" applyFont="1" applyFill="1" applyBorder="1" applyAlignment="1">
      <alignment vertical="center"/>
    </xf>
    <xf numFmtId="0" fontId="43" fillId="5" borderId="46" xfId="0" applyFont="1" applyFill="1" applyBorder="1" applyAlignment="1">
      <alignment horizontal="right" vertical="center" wrapText="1"/>
    </xf>
    <xf numFmtId="0" fontId="15" fillId="0" borderId="0" xfId="0" applyFont="1" applyAlignment="1">
      <alignment vertical="center" wrapText="1"/>
    </xf>
    <xf numFmtId="3" fontId="172" fillId="0" borderId="0" xfId="0" applyNumberFormat="1" applyFont="1" applyAlignment="1">
      <alignment vertical="top"/>
    </xf>
    <xf numFmtId="2" fontId="60" fillId="7" borderId="65" xfId="0" applyNumberFormat="1" applyFont="1" applyFill="1" applyBorder="1" applyAlignment="1" applyProtection="1">
      <alignment vertical="center" shrinkToFit="1"/>
      <protection locked="0"/>
    </xf>
    <xf numFmtId="0" fontId="206" fillId="0" borderId="0" xfId="0" applyFont="1" applyAlignment="1">
      <alignment horizontal="center" vertical="center" wrapText="1"/>
    </xf>
    <xf numFmtId="2" fontId="210" fillId="5" borderId="14" xfId="0" applyNumberFormat="1" applyFont="1" applyFill="1" applyBorder="1" applyAlignment="1">
      <alignment horizontal="right" vertical="center"/>
    </xf>
    <xf numFmtId="17" fontId="211" fillId="5" borderId="10" xfId="0" applyNumberFormat="1" applyFont="1" applyFill="1" applyBorder="1" applyAlignment="1">
      <alignment horizontal="left" vertical="center" wrapText="1"/>
    </xf>
    <xf numFmtId="17" fontId="211" fillId="5" borderId="3" xfId="0" applyNumberFormat="1" applyFont="1" applyFill="1" applyBorder="1" applyAlignment="1">
      <alignment horizontal="left" vertical="center" wrapText="1"/>
    </xf>
    <xf numFmtId="2" fontId="169" fillId="5" borderId="15" xfId="0" applyNumberFormat="1" applyFont="1" applyFill="1" applyBorder="1" applyAlignment="1">
      <alignment horizontal="right" vertical="center"/>
    </xf>
    <xf numFmtId="17" fontId="212" fillId="5" borderId="122" xfId="0" applyNumberFormat="1" applyFont="1" applyFill="1" applyBorder="1" applyAlignment="1">
      <alignment horizontal="left" vertical="center" wrapText="1"/>
    </xf>
    <xf numFmtId="2" fontId="169" fillId="5" borderId="46" xfId="0" applyNumberFormat="1" applyFont="1" applyFill="1" applyBorder="1" applyAlignment="1">
      <alignment horizontal="right" vertical="center"/>
    </xf>
    <xf numFmtId="2" fontId="210" fillId="5" borderId="42" xfId="0" applyNumberFormat="1" applyFont="1" applyFill="1" applyBorder="1" applyAlignment="1">
      <alignment horizontal="right" vertical="center"/>
    </xf>
    <xf numFmtId="17" fontId="211" fillId="5" borderId="9" xfId="0" applyNumberFormat="1" applyFont="1" applyFill="1" applyBorder="1" applyAlignment="1">
      <alignment horizontal="left" vertical="center" wrapText="1"/>
    </xf>
    <xf numFmtId="17" fontId="212" fillId="5" borderId="9" xfId="0" applyNumberFormat="1" applyFont="1" applyFill="1" applyBorder="1" applyAlignment="1">
      <alignment horizontal="left" vertical="center" wrapText="1"/>
    </xf>
    <xf numFmtId="0" fontId="15" fillId="9" borderId="15" xfId="0" applyFont="1" applyFill="1" applyBorder="1" applyAlignment="1">
      <alignment shrinkToFit="1"/>
    </xf>
    <xf numFmtId="3" fontId="162" fillId="0" borderId="92" xfId="0" applyNumberFormat="1" applyFont="1" applyBorder="1" applyAlignment="1">
      <alignment horizontal="right" vertical="center" shrinkToFit="1"/>
    </xf>
    <xf numFmtId="4" fontId="162" fillId="0" borderId="92" xfId="0" applyNumberFormat="1" applyFont="1" applyBorder="1" applyAlignment="1">
      <alignment horizontal="center" vertical="center" shrinkToFit="1"/>
    </xf>
    <xf numFmtId="166" fontId="60" fillId="0" borderId="23" xfId="0" applyNumberFormat="1" applyFont="1" applyBorder="1" applyAlignment="1">
      <alignment horizontal="center" vertical="center"/>
    </xf>
    <xf numFmtId="4" fontId="56" fillId="7" borderId="41" xfId="0" applyNumberFormat="1" applyFont="1" applyFill="1" applyBorder="1" applyAlignment="1" applyProtection="1">
      <alignment horizontal="center" vertical="center" shrinkToFit="1"/>
      <protection locked="0"/>
    </xf>
    <xf numFmtId="3" fontId="13" fillId="0" borderId="187" xfId="0" applyNumberFormat="1" applyFont="1" applyBorder="1" applyAlignment="1">
      <alignment horizontal="right" vertical="center"/>
    </xf>
    <xf numFmtId="3" fontId="13" fillId="0" borderId="188" xfId="0" applyNumberFormat="1" applyFont="1" applyBorder="1" applyAlignment="1">
      <alignment horizontal="right" vertical="center"/>
    </xf>
    <xf numFmtId="0" fontId="15" fillId="9" borderId="14" xfId="0" applyFont="1" applyFill="1" applyBorder="1" applyAlignment="1">
      <alignment horizontal="left"/>
    </xf>
    <xf numFmtId="176" fontId="111" fillId="0" borderId="86" xfId="0" applyNumberFormat="1" applyFont="1" applyBorder="1" applyAlignment="1">
      <alignment horizontal="center" vertical="center"/>
    </xf>
    <xf numFmtId="0" fontId="111" fillId="0" borderId="84" xfId="0" applyFont="1" applyBorder="1" applyAlignment="1">
      <alignment horizontal="right" vertical="center"/>
    </xf>
    <xf numFmtId="0" fontId="7" fillId="14" borderId="89" xfId="0" applyFont="1" applyFill="1" applyBorder="1" applyAlignment="1">
      <alignment vertical="center"/>
    </xf>
    <xf numFmtId="2" fontId="13" fillId="14" borderId="89" xfId="0" applyNumberFormat="1" applyFont="1" applyFill="1" applyBorder="1" applyAlignment="1">
      <alignment vertical="center"/>
    </xf>
    <xf numFmtId="0" fontId="13" fillId="5" borderId="0" xfId="0" applyFont="1" applyFill="1" applyAlignment="1">
      <alignment vertical="center"/>
    </xf>
    <xf numFmtId="0" fontId="15" fillId="15" borderId="33" xfId="0" applyFont="1" applyFill="1" applyBorder="1" applyAlignment="1">
      <alignment vertical="center"/>
    </xf>
    <xf numFmtId="0" fontId="162" fillId="0" borderId="138" xfId="0" applyFont="1" applyBorder="1" applyAlignment="1">
      <alignment vertical="center"/>
    </xf>
    <xf numFmtId="0" fontId="15" fillId="9" borderId="46" xfId="0" applyFont="1" applyFill="1" applyBorder="1" applyAlignment="1">
      <alignment shrinkToFit="1"/>
    </xf>
    <xf numFmtId="0" fontId="9" fillId="9" borderId="15" xfId="0" applyFont="1" applyFill="1" applyBorder="1" applyAlignment="1">
      <alignment vertical="center"/>
    </xf>
    <xf numFmtId="0" fontId="15" fillId="9" borderId="33" xfId="0" applyFont="1" applyFill="1" applyBorder="1"/>
    <xf numFmtId="4" fontId="28" fillId="0" borderId="12" xfId="0" applyNumberFormat="1" applyFont="1" applyBorder="1" applyAlignment="1">
      <alignment horizontal="right" vertical="center" shrinkToFit="1"/>
    </xf>
    <xf numFmtId="4" fontId="29" fillId="3" borderId="14" xfId="0" applyNumberFormat="1" applyFont="1" applyFill="1" applyBorder="1" applyAlignment="1">
      <alignment horizontal="right" vertical="center" shrinkToFit="1"/>
    </xf>
    <xf numFmtId="4" fontId="28" fillId="0" borderId="14" xfId="0" applyNumberFormat="1" applyFont="1" applyBorder="1" applyAlignment="1">
      <alignment horizontal="right" vertical="center" shrinkToFit="1"/>
    </xf>
    <xf numFmtId="0" fontId="6" fillId="2" borderId="1" xfId="0" applyFont="1" applyFill="1" applyBorder="1"/>
    <xf numFmtId="0" fontId="7" fillId="0" borderId="12" xfId="0" applyFont="1" applyBorder="1"/>
    <xf numFmtId="0" fontId="88" fillId="2" borderId="7" xfId="0" applyFont="1" applyFill="1" applyBorder="1" applyAlignment="1">
      <alignment horizontal="right"/>
    </xf>
    <xf numFmtId="0" fontId="88" fillId="2" borderId="7" xfId="0" applyFont="1" applyFill="1" applyBorder="1" applyAlignment="1">
      <alignment horizontal="center" vertical="center" shrinkToFit="1"/>
    </xf>
    <xf numFmtId="0" fontId="25" fillId="0" borderId="12" xfId="0" applyFont="1" applyBorder="1" applyAlignment="1">
      <alignment wrapText="1"/>
    </xf>
    <xf numFmtId="4" fontId="13" fillId="12" borderId="65" xfId="0" applyNumberFormat="1" applyFont="1" applyFill="1" applyBorder="1" applyAlignment="1">
      <alignment horizontal="center" vertical="center"/>
    </xf>
    <xf numFmtId="4" fontId="56" fillId="7" borderId="65" xfId="0" applyNumberFormat="1" applyFont="1" applyFill="1" applyBorder="1" applyAlignment="1" applyProtection="1">
      <alignment horizontal="center" vertical="center" shrinkToFit="1"/>
      <protection locked="0"/>
    </xf>
    <xf numFmtId="0" fontId="62" fillId="0" borderId="12" xfId="0" applyFont="1" applyBorder="1"/>
    <xf numFmtId="0" fontId="215" fillId="0" borderId="36" xfId="0" applyFont="1" applyBorder="1" applyAlignment="1">
      <alignment horizontal="center"/>
    </xf>
    <xf numFmtId="3" fontId="161" fillId="0" borderId="13" xfId="0" applyNumberFormat="1" applyFont="1" applyBorder="1" applyAlignment="1">
      <alignment horizontal="right" vertical="center"/>
    </xf>
    <xf numFmtId="3" fontId="170" fillId="0" borderId="64" xfId="0" applyNumberFormat="1" applyFont="1" applyBorder="1" applyAlignment="1">
      <alignment vertical="center" wrapText="1"/>
    </xf>
    <xf numFmtId="0" fontId="60" fillId="7" borderId="122" xfId="0" applyFont="1" applyFill="1" applyBorder="1" applyProtection="1">
      <protection locked="0"/>
    </xf>
    <xf numFmtId="3" fontId="88" fillId="7" borderId="191" xfId="0" applyNumberFormat="1" applyFont="1" applyFill="1" applyBorder="1" applyAlignment="1" applyProtection="1">
      <alignment horizontal="center" vertical="center" shrinkToFit="1"/>
      <protection locked="0"/>
    </xf>
    <xf numFmtId="0" fontId="15" fillId="9" borderId="138" xfId="0" applyFont="1" applyFill="1" applyBorder="1" applyAlignment="1">
      <alignment horizontal="left"/>
    </xf>
    <xf numFmtId="181" fontId="82" fillId="0" borderId="0" xfId="0" applyNumberFormat="1" applyFont="1"/>
    <xf numFmtId="0" fontId="69" fillId="0" borderId="0" xfId="0" applyFont="1" applyAlignment="1">
      <alignment vertical="center"/>
    </xf>
    <xf numFmtId="0" fontId="25" fillId="0" borderId="12" xfId="0" applyFont="1" applyBorder="1" applyAlignment="1">
      <alignment vertical="center" wrapText="1"/>
    </xf>
    <xf numFmtId="3" fontId="216" fillId="2" borderId="0" xfId="0" applyNumberFormat="1" applyFont="1" applyFill="1"/>
    <xf numFmtId="2" fontId="172" fillId="5" borderId="42" xfId="0" applyNumberFormat="1" applyFont="1" applyFill="1" applyBorder="1" applyAlignment="1">
      <alignment horizontal="right" vertical="center"/>
    </xf>
    <xf numFmtId="17" fontId="217" fillId="5" borderId="9" xfId="0" applyNumberFormat="1" applyFont="1" applyFill="1" applyBorder="1" applyAlignment="1">
      <alignment horizontal="left" vertical="center" wrapText="1"/>
    </xf>
    <xf numFmtId="0" fontId="64" fillId="2" borderId="0" xfId="0" applyFont="1" applyFill="1" applyAlignment="1">
      <alignment horizontal="right" vertical="center"/>
    </xf>
    <xf numFmtId="165" fontId="20" fillId="0" borderId="4" xfId="0" applyNumberFormat="1" applyFont="1" applyBorder="1" applyAlignment="1">
      <alignment horizontal="center"/>
    </xf>
    <xf numFmtId="183" fontId="29" fillId="3" borderId="13" xfId="0" applyNumberFormat="1" applyFont="1" applyFill="1" applyBorder="1" applyAlignment="1">
      <alignment horizontal="right" vertical="center" shrinkToFit="1"/>
    </xf>
    <xf numFmtId="2" fontId="15" fillId="12" borderId="23" xfId="0" applyNumberFormat="1" applyFont="1" applyFill="1" applyBorder="1" applyAlignment="1">
      <alignment horizontal="right" vertical="center"/>
    </xf>
    <xf numFmtId="3" fontId="15" fillId="0" borderId="12" xfId="0" applyNumberFormat="1" applyFont="1" applyBorder="1" applyAlignment="1">
      <alignment vertical="center"/>
    </xf>
    <xf numFmtId="3" fontId="15" fillId="0" borderId="46" xfId="0" applyNumberFormat="1" applyFont="1" applyBorder="1" applyAlignment="1">
      <alignment horizontal="left" vertical="center" shrinkToFit="1"/>
    </xf>
    <xf numFmtId="0" fontId="9" fillId="2" borderId="0" xfId="0" applyFont="1" applyFill="1" applyProtection="1">
      <protection locked="0"/>
    </xf>
    <xf numFmtId="4" fontId="9" fillId="2" borderId="0" xfId="0" applyNumberFormat="1" applyFont="1" applyFill="1"/>
    <xf numFmtId="0" fontId="15" fillId="0" borderId="0" xfId="0" applyFont="1" applyAlignment="1">
      <alignment horizontal="center" vertical="top" wrapText="1"/>
    </xf>
    <xf numFmtId="0" fontId="21" fillId="0" borderId="0" xfId="0" applyFont="1" applyAlignment="1">
      <alignment vertical="center"/>
    </xf>
    <xf numFmtId="0" fontId="21" fillId="0" borderId="0" xfId="0" applyFont="1" applyAlignment="1">
      <alignment horizontal="center" vertical="center"/>
    </xf>
    <xf numFmtId="9" fontId="105" fillId="7" borderId="4" xfId="0" applyNumberFormat="1" applyFont="1" applyFill="1" applyBorder="1" applyAlignment="1" applyProtection="1">
      <alignment horizontal="center" shrinkToFit="1"/>
      <protection locked="0"/>
    </xf>
    <xf numFmtId="0" fontId="59" fillId="0" borderId="12" xfId="0" applyFont="1" applyBorder="1" applyAlignment="1">
      <alignment horizontal="center" vertical="center" wrapText="1"/>
    </xf>
    <xf numFmtId="0" fontId="141" fillId="0" borderId="0" xfId="0" applyFont="1"/>
    <xf numFmtId="0" fontId="9" fillId="17" borderId="43" xfId="0" applyFont="1" applyFill="1" applyBorder="1" applyAlignment="1">
      <alignment horizontal="center" vertical="center"/>
    </xf>
    <xf numFmtId="0" fontId="20" fillId="2" borderId="6" xfId="0" applyFont="1" applyFill="1" applyBorder="1" applyAlignment="1">
      <alignment horizontal="center" vertical="center"/>
    </xf>
    <xf numFmtId="3" fontId="170" fillId="0" borderId="25" xfId="0" applyNumberFormat="1" applyFont="1" applyBorder="1" applyAlignment="1">
      <alignment vertical="top" wrapText="1"/>
    </xf>
    <xf numFmtId="3" fontId="170" fillId="0" borderId="8" xfId="0" applyNumberFormat="1" applyFont="1" applyBorder="1" applyAlignment="1">
      <alignment vertical="top" wrapText="1"/>
    </xf>
    <xf numFmtId="0" fontId="11" fillId="2" borderId="4" xfId="0" applyFont="1" applyFill="1" applyBorder="1" applyAlignment="1">
      <alignment vertical="center" wrapText="1"/>
    </xf>
    <xf numFmtId="3" fontId="60" fillId="7" borderId="23" xfId="0" applyNumberFormat="1" applyFont="1" applyFill="1" applyBorder="1" applyAlignment="1" applyProtection="1">
      <alignment horizontal="center" vertical="center"/>
      <protection locked="0"/>
    </xf>
    <xf numFmtId="3" fontId="15" fillId="0" borderId="23" xfId="0" applyNumberFormat="1" applyFont="1" applyBorder="1" applyAlignment="1">
      <alignment horizontal="center" vertical="center"/>
    </xf>
    <xf numFmtId="0" fontId="23" fillId="0" borderId="10"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center" vertical="center"/>
    </xf>
    <xf numFmtId="0" fontId="15" fillId="0" borderId="12" xfId="0" applyFont="1" applyBorder="1" applyAlignment="1">
      <alignment horizontal="center" vertical="center"/>
    </xf>
    <xf numFmtId="0" fontId="15" fillId="0" borderId="3" xfId="0" applyFont="1" applyBorder="1" applyAlignment="1">
      <alignment horizontal="center" vertical="center"/>
    </xf>
    <xf numFmtId="0" fontId="25" fillId="2" borderId="23" xfId="0" applyFont="1" applyFill="1" applyBorder="1" applyAlignment="1">
      <alignment horizontal="right" vertical="center" wrapText="1"/>
    </xf>
    <xf numFmtId="0" fontId="25" fillId="2" borderId="23" xfId="0" applyFont="1" applyFill="1" applyBorder="1" applyAlignment="1">
      <alignment horizontal="center" vertical="center" wrapText="1"/>
    </xf>
    <xf numFmtId="0" fontId="43" fillId="2" borderId="23" xfId="0" applyFont="1" applyFill="1" applyBorder="1" applyAlignment="1">
      <alignment horizontal="center" vertical="center" wrapText="1"/>
    </xf>
    <xf numFmtId="0" fontId="223" fillId="0" borderId="0" xfId="0" applyFont="1" applyAlignment="1">
      <alignment wrapText="1"/>
    </xf>
    <xf numFmtId="164" fontId="82" fillId="0" borderId="13" xfId="0" applyNumberFormat="1" applyFont="1" applyBorder="1"/>
    <xf numFmtId="0" fontId="15" fillId="2" borderId="1" xfId="0" applyFont="1" applyFill="1" applyBorder="1" applyAlignment="1">
      <alignment horizontal="left" vertical="top" wrapText="1"/>
    </xf>
    <xf numFmtId="0" fontId="9" fillId="0" borderId="34" xfId="0" applyFont="1" applyBorder="1"/>
    <xf numFmtId="0" fontId="15" fillId="2" borderId="0" xfId="0" applyFont="1" applyFill="1" applyAlignment="1">
      <alignment vertical="center" wrapText="1"/>
    </xf>
    <xf numFmtId="3" fontId="15" fillId="2" borderId="60" xfId="0" applyNumberFormat="1" applyFont="1" applyFill="1" applyBorder="1" applyAlignment="1">
      <alignment vertical="center" wrapText="1"/>
    </xf>
    <xf numFmtId="0" fontId="9" fillId="2" borderId="0" xfId="0" applyFont="1" applyFill="1" applyAlignment="1">
      <alignment horizontal="left" vertical="top" wrapText="1"/>
    </xf>
    <xf numFmtId="166" fontId="9" fillId="0" borderId="0" xfId="0" applyNumberFormat="1" applyFont="1"/>
    <xf numFmtId="2" fontId="60" fillId="0" borderId="7" xfId="0" applyNumberFormat="1" applyFont="1" applyBorder="1" applyAlignment="1">
      <alignment horizontal="center" vertical="center"/>
    </xf>
    <xf numFmtId="0" fontId="54" fillId="0" borderId="17" xfId="0" applyFont="1" applyBorder="1" applyAlignment="1">
      <alignment vertical="center"/>
    </xf>
    <xf numFmtId="0" fontId="54" fillId="0" borderId="5" xfId="0" applyFont="1" applyBorder="1"/>
    <xf numFmtId="2" fontId="60" fillId="13" borderId="12" xfId="0" applyNumberFormat="1" applyFont="1" applyFill="1" applyBorder="1" applyAlignment="1" applyProtection="1">
      <alignment horizontal="center"/>
      <protection locked="0"/>
    </xf>
    <xf numFmtId="2" fontId="9" fillId="0" borderId="12" xfId="0" applyNumberFormat="1" applyFont="1" applyBorder="1" applyAlignment="1">
      <alignment horizontal="center"/>
    </xf>
    <xf numFmtId="2" fontId="60" fillId="13" borderId="14" xfId="0" applyNumberFormat="1" applyFont="1" applyFill="1" applyBorder="1" applyAlignment="1" applyProtection="1">
      <alignment horizontal="center"/>
      <protection locked="0"/>
    </xf>
    <xf numFmtId="0" fontId="15" fillId="0" borderId="201" xfId="0" applyFont="1" applyBorder="1"/>
    <xf numFmtId="0" fontId="9" fillId="0" borderId="5" xfId="0" applyFont="1" applyBorder="1"/>
    <xf numFmtId="169" fontId="15" fillId="0" borderId="2" xfId="0" applyNumberFormat="1" applyFont="1" applyBorder="1" applyAlignment="1">
      <alignment vertical="center"/>
    </xf>
    <xf numFmtId="169" fontId="15" fillId="0" borderId="2" xfId="0" applyNumberFormat="1" applyFont="1" applyBorder="1" applyAlignment="1">
      <alignment vertical="center" wrapText="1"/>
    </xf>
    <xf numFmtId="0" fontId="15" fillId="0" borderId="2" xfId="0" applyFont="1" applyBorder="1" applyAlignment="1">
      <alignment vertical="center" wrapText="1"/>
    </xf>
    <xf numFmtId="169" fontId="15" fillId="0" borderId="2" xfId="0" applyNumberFormat="1" applyFont="1" applyBorder="1" applyAlignment="1">
      <alignment vertical="top"/>
    </xf>
    <xf numFmtId="0" fontId="15" fillId="0" borderId="12" xfId="0" applyFont="1" applyBorder="1" applyAlignment="1">
      <alignment horizontal="right"/>
    </xf>
    <xf numFmtId="169" fontId="15" fillId="0" borderId="8" xfId="0" applyNumberFormat="1" applyFont="1" applyBorder="1" applyAlignment="1">
      <alignment horizontal="right"/>
    </xf>
    <xf numFmtId="0" fontId="15" fillId="0" borderId="8" xfId="0" applyFont="1" applyBorder="1" applyAlignment="1">
      <alignment horizontal="right"/>
    </xf>
    <xf numFmtId="2" fontId="15" fillId="0" borderId="3" xfId="0" applyNumberFormat="1" applyFont="1" applyBorder="1"/>
    <xf numFmtId="0" fontId="9" fillId="0" borderId="0" xfId="0" applyFont="1" applyAlignment="1">
      <alignment vertical="center"/>
    </xf>
    <xf numFmtId="2" fontId="9" fillId="0" borderId="7" xfId="0" applyNumberFormat="1" applyFont="1" applyBorder="1" applyAlignment="1">
      <alignment horizontal="left" vertical="center"/>
    </xf>
    <xf numFmtId="0" fontId="71" fillId="0" borderId="0" xfId="0" applyFont="1" applyAlignment="1">
      <alignment horizontal="right"/>
    </xf>
    <xf numFmtId="0" fontId="111" fillId="0" borderId="84" xfId="0" applyFont="1" applyBorder="1"/>
    <xf numFmtId="0" fontId="111" fillId="0" borderId="85" xfId="0" applyFont="1" applyBorder="1"/>
    <xf numFmtId="0" fontId="111" fillId="0" borderId="85" xfId="0" applyFont="1" applyBorder="1" applyAlignment="1">
      <alignment horizontal="right" vertical="center"/>
    </xf>
    <xf numFmtId="0" fontId="111" fillId="0" borderId="52" xfId="0" applyFont="1" applyBorder="1"/>
    <xf numFmtId="0" fontId="111" fillId="0" borderId="53" xfId="0" applyFont="1" applyBorder="1"/>
    <xf numFmtId="0" fontId="111" fillId="0" borderId="54" xfId="0" applyFont="1" applyBorder="1"/>
    <xf numFmtId="0" fontId="111" fillId="0" borderId="50" xfId="0" applyFont="1" applyBorder="1"/>
    <xf numFmtId="0" fontId="111" fillId="0" borderId="48" xfId="0" applyFont="1" applyBorder="1"/>
    <xf numFmtId="0" fontId="71" fillId="0" borderId="52" xfId="0" applyFont="1" applyBorder="1"/>
    <xf numFmtId="0" fontId="71" fillId="0" borderId="53" xfId="0" applyFont="1" applyBorder="1"/>
    <xf numFmtId="0" fontId="111" fillId="0" borderId="126" xfId="0" applyFont="1" applyBorder="1" applyAlignment="1">
      <alignment vertical="center"/>
    </xf>
    <xf numFmtId="0" fontId="111" fillId="0" borderId="202" xfId="0" applyFont="1" applyBorder="1" applyAlignment="1">
      <alignment vertical="center"/>
    </xf>
    <xf numFmtId="0" fontId="193" fillId="0" borderId="203" xfId="0" applyFont="1" applyBorder="1" applyAlignment="1">
      <alignment vertical="center"/>
    </xf>
    <xf numFmtId="0" fontId="71" fillId="0" borderId="204" xfId="0" applyFont="1" applyBorder="1" applyAlignment="1">
      <alignment vertical="center"/>
    </xf>
    <xf numFmtId="0" fontId="193" fillId="0" borderId="127" xfId="0" applyFont="1" applyBorder="1" applyAlignment="1">
      <alignment vertical="center"/>
    </xf>
    <xf numFmtId="0" fontId="71" fillId="0" borderId="128" xfId="0" applyFont="1" applyBorder="1" applyAlignment="1">
      <alignment vertical="center"/>
    </xf>
    <xf numFmtId="0" fontId="71" fillId="0" borderId="129" xfId="0" applyFont="1" applyBorder="1" applyAlignment="1">
      <alignment vertical="center"/>
    </xf>
    <xf numFmtId="3" fontId="54" fillId="0" borderId="0" xfId="0" applyNumberFormat="1" applyFont="1" applyAlignment="1">
      <alignment horizontal="center"/>
    </xf>
    <xf numFmtId="0" fontId="69" fillId="0" borderId="0" xfId="0" applyFont="1" applyAlignment="1">
      <alignment shrinkToFit="1"/>
    </xf>
    <xf numFmtId="3" fontId="69" fillId="0" borderId="0" xfId="0" applyNumberFormat="1" applyFont="1" applyAlignment="1">
      <alignment shrinkToFit="1"/>
    </xf>
    <xf numFmtId="165" fontId="69" fillId="0" borderId="0" xfId="0" applyNumberFormat="1" applyFont="1" applyAlignment="1">
      <alignment shrinkToFit="1"/>
    </xf>
    <xf numFmtId="0" fontId="140" fillId="0" borderId="0" xfId="0" applyFont="1"/>
    <xf numFmtId="0" fontId="11" fillId="0" borderId="0" xfId="0" applyFont="1" applyAlignment="1">
      <alignment horizontal="center" vertical="center" wrapText="1"/>
    </xf>
    <xf numFmtId="3" fontId="15" fillId="0" borderId="0" xfId="0" applyNumberFormat="1" applyFont="1" applyAlignment="1">
      <alignment horizontal="center" vertical="center" wrapText="1"/>
    </xf>
    <xf numFmtId="0" fontId="7" fillId="0" borderId="54" xfId="0" applyFont="1" applyBorder="1"/>
    <xf numFmtId="0" fontId="7" fillId="0" borderId="55" xfId="0" applyFont="1" applyBorder="1"/>
    <xf numFmtId="164" fontId="82" fillId="2" borderId="0" xfId="0" applyNumberFormat="1" applyFont="1" applyFill="1"/>
    <xf numFmtId="17" fontId="9" fillId="0" borderId="0" xfId="0" applyNumberFormat="1" applyFont="1" applyAlignment="1">
      <alignment horizontal="center" vertical="center"/>
    </xf>
    <xf numFmtId="0" fontId="57" fillId="2" borderId="0" xfId="0" applyFont="1" applyFill="1" applyAlignment="1">
      <alignment shrinkToFit="1"/>
    </xf>
    <xf numFmtId="0" fontId="7" fillId="5" borderId="0" xfId="0" applyFont="1" applyFill="1" applyAlignment="1">
      <alignment vertical="center" wrapText="1"/>
    </xf>
    <xf numFmtId="0" fontId="49" fillId="0" borderId="46" xfId="0" applyFont="1" applyBorder="1" applyAlignment="1">
      <alignment horizontal="right" vertical="center" wrapText="1"/>
    </xf>
    <xf numFmtId="0" fontId="45" fillId="0" borderId="75" xfId="0" applyFont="1" applyBorder="1" applyAlignment="1">
      <alignment horizontal="center"/>
    </xf>
    <xf numFmtId="179" fontId="9" fillId="0" borderId="59" xfId="0" applyNumberFormat="1" applyFont="1" applyBorder="1" applyAlignment="1">
      <alignment horizontal="left" shrinkToFit="1"/>
    </xf>
    <xf numFmtId="0" fontId="13" fillId="2" borderId="0" xfId="0" applyFont="1" applyFill="1" applyAlignment="1">
      <alignment horizontal="left" vertical="top" wrapText="1"/>
    </xf>
    <xf numFmtId="2" fontId="210" fillId="5" borderId="12" xfId="0" applyNumberFormat="1" applyFont="1" applyFill="1" applyBorder="1" applyAlignment="1">
      <alignment horizontal="right" vertical="center"/>
    </xf>
    <xf numFmtId="2" fontId="15" fillId="5" borderId="41" xfId="0" applyNumberFormat="1" applyFont="1" applyFill="1" applyBorder="1" applyAlignment="1">
      <alignment horizontal="center" vertical="center"/>
    </xf>
    <xf numFmtId="0" fontId="15" fillId="0" borderId="17" xfId="0" applyFont="1" applyBorder="1" applyAlignment="1">
      <alignment vertical="center" wrapText="1"/>
    </xf>
    <xf numFmtId="0" fontId="15" fillId="0" borderId="5" xfId="0" applyFont="1" applyBorder="1" applyAlignment="1">
      <alignment vertical="center" wrapText="1"/>
    </xf>
    <xf numFmtId="0" fontId="15" fillId="0" borderId="2" xfId="0" applyFont="1" applyBorder="1" applyAlignment="1">
      <alignment horizontal="center" vertical="center" wrapText="1"/>
    </xf>
    <xf numFmtId="0" fontId="11" fillId="0" borderId="4" xfId="0" applyFont="1" applyBorder="1" applyAlignment="1">
      <alignment horizontal="left" vertical="center"/>
    </xf>
    <xf numFmtId="166" fontId="7" fillId="0" borderId="7" xfId="0" applyNumberFormat="1" applyFont="1" applyBorder="1" applyAlignment="1">
      <alignment horizontal="center" vertical="center"/>
    </xf>
    <xf numFmtId="166" fontId="15" fillId="0" borderId="42" xfId="0" applyNumberFormat="1" applyFont="1" applyBorder="1" applyAlignment="1">
      <alignment horizontal="center" vertical="center"/>
    </xf>
    <xf numFmtId="3" fontId="62" fillId="0" borderId="1" xfId="0" applyNumberFormat="1" applyFont="1" applyBorder="1" applyAlignment="1">
      <alignment horizontal="left"/>
    </xf>
    <xf numFmtId="168" fontId="105" fillId="7" borderId="14" xfId="0" applyNumberFormat="1" applyFont="1" applyFill="1" applyBorder="1" applyAlignment="1" applyProtection="1">
      <alignment horizontal="center" vertical="center" shrinkToFit="1"/>
      <protection locked="0"/>
    </xf>
    <xf numFmtId="0" fontId="19" fillId="0" borderId="84" xfId="0" applyFont="1" applyBorder="1" applyAlignment="1">
      <alignment vertical="center" wrapText="1"/>
    </xf>
    <xf numFmtId="169" fontId="11" fillId="0" borderId="85" xfId="0" applyNumberFormat="1" applyFont="1" applyBorder="1" applyAlignment="1">
      <alignment horizontal="center" vertical="center" wrapText="1"/>
    </xf>
    <xf numFmtId="166" fontId="11" fillId="0" borderId="56" xfId="0" applyNumberFormat="1" applyFont="1" applyBorder="1" applyAlignment="1">
      <alignment horizontal="center" vertical="center"/>
    </xf>
    <xf numFmtId="0" fontId="225" fillId="0" borderId="0" xfId="0" applyFont="1" applyAlignment="1">
      <alignment vertical="center"/>
    </xf>
    <xf numFmtId="0" fontId="24" fillId="0" borderId="14" xfId="0" applyFont="1" applyBorder="1" applyAlignment="1">
      <alignment vertical="center" wrapText="1" shrinkToFit="1"/>
    </xf>
    <xf numFmtId="3" fontId="7" fillId="2" borderId="8" xfId="0" applyNumberFormat="1" applyFont="1" applyFill="1" applyBorder="1"/>
    <xf numFmtId="0" fontId="7" fillId="0" borderId="0" xfId="0" applyFont="1" applyAlignment="1">
      <alignment horizontal="center" vertical="center"/>
    </xf>
    <xf numFmtId="0" fontId="18" fillId="2" borderId="0" xfId="0" applyFont="1" applyFill="1" applyAlignment="1">
      <alignment horizontal="right"/>
    </xf>
    <xf numFmtId="0" fontId="226" fillId="0" borderId="0" xfId="0" applyFont="1" applyAlignment="1">
      <alignment vertical="center"/>
    </xf>
    <xf numFmtId="0" fontId="226" fillId="0" borderId="0" xfId="0" applyFont="1"/>
    <xf numFmtId="3" fontId="9" fillId="11" borderId="23" xfId="0" applyNumberFormat="1" applyFont="1" applyFill="1" applyBorder="1" applyAlignment="1">
      <alignment horizontal="right" shrinkToFit="1"/>
    </xf>
    <xf numFmtId="167" fontId="9" fillId="11" borderId="23" xfId="0" applyNumberFormat="1" applyFont="1" applyFill="1" applyBorder="1" applyAlignment="1">
      <alignment horizontal="right" shrinkToFit="1"/>
    </xf>
    <xf numFmtId="0" fontId="227" fillId="0" borderId="0" xfId="0" applyFont="1" applyAlignment="1">
      <alignment horizontal="center" vertical="center"/>
    </xf>
    <xf numFmtId="4" fontId="28" fillId="16" borderId="65" xfId="0" applyNumberFormat="1" applyFont="1" applyFill="1" applyBorder="1" applyAlignment="1">
      <alignment horizontal="right" vertical="center" shrinkToFit="1"/>
    </xf>
    <xf numFmtId="165" fontId="90" fillId="16" borderId="65" xfId="0" applyNumberFormat="1" applyFont="1" applyFill="1" applyBorder="1" applyAlignment="1">
      <alignment horizontal="center"/>
    </xf>
    <xf numFmtId="49" fontId="15" fillId="16" borderId="114" xfId="0" applyNumberFormat="1" applyFont="1" applyFill="1" applyBorder="1" applyAlignment="1">
      <alignment horizontal="center"/>
    </xf>
    <xf numFmtId="49" fontId="15" fillId="16" borderId="0" xfId="0" applyNumberFormat="1" applyFont="1" applyFill="1" applyAlignment="1">
      <alignment horizontal="center"/>
    </xf>
    <xf numFmtId="3" fontId="11" fillId="16" borderId="199" xfId="0" applyNumberFormat="1" applyFont="1" applyFill="1" applyBorder="1" applyAlignment="1">
      <alignment horizontal="center" vertical="center" shrinkToFit="1"/>
    </xf>
    <xf numFmtId="4" fontId="11" fillId="16" borderId="198" xfId="0" applyNumberFormat="1" applyFont="1" applyFill="1" applyBorder="1" applyAlignment="1">
      <alignment horizontal="center" vertical="center" shrinkToFit="1"/>
    </xf>
    <xf numFmtId="3" fontId="11" fillId="16" borderId="92" xfId="0" applyNumberFormat="1" applyFont="1" applyFill="1" applyBorder="1" applyAlignment="1">
      <alignment horizontal="center" vertical="center" shrinkToFit="1"/>
    </xf>
    <xf numFmtId="4" fontId="11" fillId="16" borderId="92" xfId="0" applyNumberFormat="1" applyFont="1" applyFill="1" applyBorder="1" applyAlignment="1">
      <alignment horizontal="center" vertical="center" shrinkToFit="1"/>
    </xf>
    <xf numFmtId="3" fontId="11" fillId="16" borderId="86" xfId="0" applyNumberFormat="1" applyFont="1" applyFill="1" applyBorder="1" applyAlignment="1">
      <alignment horizontal="center" vertical="center" shrinkToFit="1"/>
    </xf>
    <xf numFmtId="3" fontId="11" fillId="16" borderId="132" xfId="0" applyNumberFormat="1" applyFont="1" applyFill="1" applyBorder="1" applyAlignment="1">
      <alignment horizontal="center" vertical="center" shrinkToFit="1"/>
    </xf>
    <xf numFmtId="4" fontId="11" fillId="16" borderId="192" xfId="0" applyNumberFormat="1" applyFont="1" applyFill="1" applyBorder="1" applyAlignment="1">
      <alignment horizontal="center" vertical="center" shrinkToFit="1"/>
    </xf>
    <xf numFmtId="3" fontId="11" fillId="16" borderId="192" xfId="0" applyNumberFormat="1" applyFont="1" applyFill="1" applyBorder="1" applyAlignment="1">
      <alignment horizontal="center" vertical="center" shrinkToFit="1"/>
    </xf>
    <xf numFmtId="4" fontId="28" fillId="20" borderId="113" xfId="0" applyNumberFormat="1" applyFont="1" applyFill="1" applyBorder="1" applyAlignment="1">
      <alignment horizontal="right" vertical="center" shrinkToFit="1"/>
    </xf>
    <xf numFmtId="165" fontId="90" fillId="20" borderId="113" xfId="0" applyNumberFormat="1" applyFont="1" applyFill="1" applyBorder="1" applyAlignment="1">
      <alignment horizontal="center"/>
    </xf>
    <xf numFmtId="49" fontId="15" fillId="20" borderId="74" xfId="0" applyNumberFormat="1" applyFont="1" applyFill="1" applyBorder="1" applyAlignment="1">
      <alignment horizontal="center"/>
    </xf>
    <xf numFmtId="0" fontId="15" fillId="20" borderId="0" xfId="0" applyFont="1" applyFill="1"/>
    <xf numFmtId="3" fontId="11" fillId="20" borderId="97" xfId="0" applyNumberFormat="1" applyFont="1" applyFill="1" applyBorder="1" applyAlignment="1">
      <alignment horizontal="center" vertical="center" shrinkToFit="1"/>
    </xf>
    <xf numFmtId="4" fontId="11" fillId="20" borderId="97" xfId="0" applyNumberFormat="1" applyFont="1" applyFill="1" applyBorder="1" applyAlignment="1">
      <alignment horizontal="center" vertical="center" shrinkToFit="1"/>
    </xf>
    <xf numFmtId="3" fontId="11" fillId="20" borderId="92" xfId="0" applyNumberFormat="1" applyFont="1" applyFill="1" applyBorder="1" applyAlignment="1">
      <alignment horizontal="center" vertical="center" shrinkToFit="1"/>
    </xf>
    <xf numFmtId="4" fontId="11" fillId="20" borderId="92" xfId="0" applyNumberFormat="1" applyFont="1" applyFill="1" applyBorder="1" applyAlignment="1">
      <alignment horizontal="center" vertical="center" shrinkToFit="1"/>
    </xf>
    <xf numFmtId="3" fontId="11" fillId="20" borderId="199" xfId="0" applyNumberFormat="1" applyFont="1" applyFill="1" applyBorder="1" applyAlignment="1">
      <alignment horizontal="center" vertical="center" shrinkToFit="1"/>
    </xf>
    <xf numFmtId="4" fontId="11" fillId="20" borderId="207" xfId="0" applyNumberFormat="1" applyFont="1" applyFill="1" applyBorder="1" applyAlignment="1">
      <alignment horizontal="center" vertical="center" shrinkToFit="1"/>
    </xf>
    <xf numFmtId="3" fontId="11" fillId="20" borderId="192" xfId="0" applyNumberFormat="1" applyFont="1" applyFill="1" applyBorder="1" applyAlignment="1">
      <alignment horizontal="center" vertical="center" shrinkToFit="1"/>
    </xf>
    <xf numFmtId="4" fontId="11" fillId="20" borderId="192" xfId="0" applyNumberFormat="1" applyFont="1" applyFill="1" applyBorder="1" applyAlignment="1">
      <alignment horizontal="center" vertical="center" shrinkToFit="1"/>
    </xf>
    <xf numFmtId="4" fontId="28" fillId="25" borderId="12" xfId="0" applyNumberFormat="1" applyFont="1" applyFill="1" applyBorder="1" applyAlignment="1">
      <alignment horizontal="right" vertical="center" shrinkToFit="1"/>
    </xf>
    <xf numFmtId="165" fontId="90" fillId="25" borderId="4" xfId="0" applyNumberFormat="1" applyFont="1" applyFill="1" applyBorder="1" applyAlignment="1">
      <alignment horizontal="center"/>
    </xf>
    <xf numFmtId="49" fontId="15" fillId="25" borderId="196" xfId="0" applyNumberFormat="1" applyFont="1" applyFill="1" applyBorder="1" applyAlignment="1">
      <alignment horizontal="center"/>
    </xf>
    <xf numFmtId="49" fontId="15" fillId="25" borderId="197" xfId="0" applyNumberFormat="1" applyFont="1" applyFill="1" applyBorder="1" applyAlignment="1">
      <alignment horizontal="center"/>
    </xf>
    <xf numFmtId="49" fontId="15" fillId="25" borderId="0" xfId="0" applyNumberFormat="1" applyFont="1" applyFill="1" applyAlignment="1">
      <alignment horizontal="center"/>
    </xf>
    <xf numFmtId="0" fontId="15" fillId="25" borderId="0" xfId="0" applyFont="1" applyFill="1"/>
    <xf numFmtId="3" fontId="11" fillId="25" borderId="92" xfId="0" applyNumberFormat="1" applyFont="1" applyFill="1" applyBorder="1" applyAlignment="1">
      <alignment horizontal="center" vertical="center" shrinkToFit="1"/>
    </xf>
    <xf numFmtId="4" fontId="11" fillId="25" borderId="92" xfId="0" applyNumberFormat="1" applyFont="1" applyFill="1" applyBorder="1" applyAlignment="1">
      <alignment horizontal="center" vertical="center" shrinkToFit="1"/>
    </xf>
    <xf numFmtId="3" fontId="11" fillId="25" borderId="97" xfId="0" applyNumberFormat="1" applyFont="1" applyFill="1" applyBorder="1" applyAlignment="1">
      <alignment horizontal="center" vertical="center" shrinkToFit="1"/>
    </xf>
    <xf numFmtId="4" fontId="11" fillId="25" borderId="97" xfId="0" applyNumberFormat="1" applyFont="1" applyFill="1" applyBorder="1" applyAlignment="1">
      <alignment horizontal="center" vertical="center" shrinkToFit="1"/>
    </xf>
    <xf numFmtId="0" fontId="228" fillId="0" borderId="0" xfId="0" applyFont="1" applyAlignment="1">
      <alignment vertical="center" wrapText="1"/>
    </xf>
    <xf numFmtId="0" fontId="101" fillId="0" borderId="85" xfId="0" applyFont="1" applyBorder="1" applyAlignment="1" applyProtection="1">
      <alignment horizontal="center" vertical="center" wrapText="1"/>
      <protection locked="0"/>
    </xf>
    <xf numFmtId="2" fontId="56" fillId="7" borderId="4" xfId="0" applyNumberFormat="1" applyFont="1" applyFill="1" applyBorder="1" applyAlignment="1" applyProtection="1">
      <alignment horizontal="center"/>
      <protection locked="0"/>
    </xf>
    <xf numFmtId="2" fontId="8" fillId="2" borderId="84" xfId="0" applyNumberFormat="1" applyFont="1" applyFill="1" applyBorder="1" applyAlignment="1">
      <alignment horizontal="center" vertical="center" shrinkToFit="1"/>
    </xf>
    <xf numFmtId="0" fontId="28" fillId="2" borderId="130" xfId="0" applyFont="1" applyFill="1" applyBorder="1" applyAlignment="1">
      <alignment horizontal="left" vertical="center" wrapText="1"/>
    </xf>
    <xf numFmtId="3" fontId="64" fillId="2" borderId="0" xfId="0" applyNumberFormat="1" applyFont="1" applyFill="1" applyAlignment="1">
      <alignment horizontal="center" vertical="center" wrapText="1"/>
    </xf>
    <xf numFmtId="0" fontId="62" fillId="0" borderId="0" xfId="0" applyFont="1" applyAlignment="1">
      <alignment horizontal="center"/>
    </xf>
    <xf numFmtId="0" fontId="0" fillId="0" borderId="0" xfId="0" applyAlignment="1">
      <alignment wrapText="1"/>
    </xf>
    <xf numFmtId="0" fontId="9" fillId="0" borderId="1" xfId="0" applyFont="1" applyBorder="1" applyAlignment="1">
      <alignment horizontal="center" wrapText="1"/>
    </xf>
    <xf numFmtId="0" fontId="9" fillId="0" borderId="15" xfId="0" applyFont="1" applyBorder="1" applyAlignment="1">
      <alignment horizontal="center" wrapText="1"/>
    </xf>
    <xf numFmtId="0" fontId="9" fillId="0" borderId="2" xfId="0" applyFont="1" applyBorder="1" applyAlignment="1">
      <alignment horizontal="center"/>
    </xf>
    <xf numFmtId="166" fontId="15" fillId="6" borderId="0" xfId="0" applyNumberFormat="1" applyFont="1" applyFill="1" applyAlignment="1">
      <alignment horizontal="center"/>
    </xf>
    <xf numFmtId="0" fontId="105" fillId="7" borderId="4" xfId="0" applyFont="1" applyFill="1" applyBorder="1" applyAlignment="1" applyProtection="1">
      <alignment shrinkToFit="1"/>
      <protection locked="0"/>
    </xf>
    <xf numFmtId="3" fontId="11" fillId="0" borderId="0" xfId="0" applyNumberFormat="1" applyFont="1" applyAlignment="1">
      <alignment vertical="center" wrapText="1"/>
    </xf>
    <xf numFmtId="0" fontId="61" fillId="2" borderId="23" xfId="0" applyFont="1" applyFill="1" applyBorder="1" applyAlignment="1">
      <alignment horizontal="center" vertical="center" wrapText="1"/>
    </xf>
    <xf numFmtId="0" fontId="82" fillId="2" borderId="1" xfId="0" applyFont="1" applyFill="1" applyBorder="1" applyAlignment="1">
      <alignment horizontal="left" wrapText="1"/>
    </xf>
    <xf numFmtId="169" fontId="108" fillId="0" borderId="1" xfId="0" applyNumberFormat="1" applyFont="1" applyBorder="1" applyAlignment="1">
      <alignment horizontal="left" vertical="center"/>
    </xf>
    <xf numFmtId="0" fontId="82" fillId="2" borderId="0" xfId="0" applyFont="1" applyFill="1" applyAlignment="1">
      <alignment horizontal="center" wrapText="1"/>
    </xf>
    <xf numFmtId="169" fontId="108" fillId="0" borderId="41" xfId="0" applyNumberFormat="1" applyFont="1" applyBorder="1" applyAlignment="1">
      <alignment horizontal="center" vertical="center"/>
    </xf>
    <xf numFmtId="2" fontId="15" fillId="0" borderId="0" xfId="0" applyNumberFormat="1" applyFont="1"/>
    <xf numFmtId="1" fontId="11" fillId="0" borderId="0" xfId="0" applyNumberFormat="1" applyFont="1"/>
    <xf numFmtId="0" fontId="82" fillId="0" borderId="0" xfId="0" applyFont="1" applyAlignment="1">
      <alignment horizontal="center"/>
    </xf>
    <xf numFmtId="0" fontId="141" fillId="0" borderId="2" xfId="0" applyFont="1" applyBorder="1" applyAlignment="1">
      <alignment horizontal="center"/>
    </xf>
    <xf numFmtId="0" fontId="79" fillId="0" borderId="1" xfId="0" applyFont="1" applyBorder="1" applyAlignment="1">
      <alignment horizontal="center" wrapText="1"/>
    </xf>
    <xf numFmtId="0" fontId="155" fillId="0" borderId="0" xfId="0" applyFont="1"/>
    <xf numFmtId="0" fontId="141" fillId="0" borderId="1" xfId="0" applyFont="1" applyBorder="1" applyAlignment="1">
      <alignment horizontal="center" wrapText="1"/>
    </xf>
    <xf numFmtId="0" fontId="69" fillId="0" borderId="0" xfId="0" applyFont="1" applyAlignment="1">
      <alignment horizontal="center" shrinkToFit="1"/>
    </xf>
    <xf numFmtId="0" fontId="141" fillId="0" borderId="15" xfId="0" applyFont="1" applyBorder="1" applyAlignment="1">
      <alignment horizontal="center" wrapText="1"/>
    </xf>
    <xf numFmtId="166" fontId="141" fillId="0" borderId="12" xfId="0" applyNumberFormat="1" applyFont="1" applyBorder="1" applyAlignment="1">
      <alignment horizontal="center"/>
    </xf>
    <xf numFmtId="0" fontId="79" fillId="0" borderId="0" xfId="0" applyFont="1"/>
    <xf numFmtId="0" fontId="62" fillId="0" borderId="3" xfId="0" applyFont="1" applyBorder="1" applyAlignment="1">
      <alignment shrinkToFit="1"/>
    </xf>
    <xf numFmtId="3" fontId="62" fillId="0" borderId="4" xfId="0" applyNumberFormat="1" applyFont="1" applyBorder="1"/>
    <xf numFmtId="2" fontId="140" fillId="0" borderId="4" xfId="0" applyNumberFormat="1" applyFont="1" applyBorder="1" applyAlignment="1">
      <alignment horizontal="center"/>
    </xf>
    <xf numFmtId="3" fontId="62" fillId="0" borderId="4" xfId="0" applyNumberFormat="1" applyFont="1" applyBorder="1" applyAlignment="1">
      <alignment horizontal="center"/>
    </xf>
    <xf numFmtId="2" fontId="62" fillId="0" borderId="4" xfId="0" applyNumberFormat="1" applyFont="1" applyBorder="1" applyAlignment="1">
      <alignment horizontal="center"/>
    </xf>
    <xf numFmtId="1" fontId="140" fillId="0" borderId="14" xfId="0" applyNumberFormat="1" applyFont="1" applyBorder="1" applyAlignment="1">
      <alignment horizontal="center"/>
    </xf>
    <xf numFmtId="1" fontId="80" fillId="0" borderId="4" xfId="0" applyNumberFormat="1" applyFont="1" applyBorder="1" applyAlignment="1">
      <alignment horizontal="center"/>
    </xf>
    <xf numFmtId="4" fontId="62" fillId="0" borderId="4" xfId="0" applyNumberFormat="1" applyFont="1" applyBorder="1" applyAlignment="1">
      <alignment horizontal="center"/>
    </xf>
    <xf numFmtId="2" fontId="140" fillId="0" borderId="0" xfId="0" applyNumberFormat="1" applyFont="1" applyAlignment="1">
      <alignment horizontal="center"/>
    </xf>
    <xf numFmtId="0" fontId="82" fillId="0" borderId="0" xfId="0" applyFont="1" applyAlignment="1">
      <alignment horizontal="right"/>
    </xf>
    <xf numFmtId="3" fontId="82" fillId="0" borderId="0" xfId="0" applyNumberFormat="1" applyFont="1" applyAlignment="1">
      <alignment horizontal="center"/>
    </xf>
    <xf numFmtId="0" fontId="62" fillId="0" borderId="10" xfId="0" applyFont="1" applyBorder="1" applyAlignment="1">
      <alignment shrinkToFit="1"/>
    </xf>
    <xf numFmtId="49" fontId="62" fillId="0" borderId="0" xfId="0" applyNumberFormat="1" applyFont="1"/>
    <xf numFmtId="0" fontId="62" fillId="0" borderId="4" xfId="0" applyFont="1" applyBorder="1" applyAlignment="1">
      <alignment horizontal="right"/>
    </xf>
    <xf numFmtId="0" fontId="140" fillId="0" borderId="0" xfId="0" applyFont="1" applyAlignment="1">
      <alignment horizontal="center"/>
    </xf>
    <xf numFmtId="0" fontId="79" fillId="0" borderId="0" xfId="0" applyFont="1" applyAlignment="1">
      <alignment vertical="center"/>
    </xf>
    <xf numFmtId="2" fontId="150" fillId="0" borderId="0" xfId="0" applyNumberFormat="1" applyFont="1" applyAlignment="1">
      <alignment horizontal="center" vertical="center"/>
    </xf>
    <xf numFmtId="0" fontId="151" fillId="0" borderId="48" xfId="0" applyFont="1" applyBorder="1" applyAlignment="1">
      <alignment vertical="center" wrapText="1"/>
    </xf>
    <xf numFmtId="166" fontId="79" fillId="0" borderId="0" xfId="0" applyNumberFormat="1" applyFont="1" applyAlignment="1">
      <alignment horizontal="center"/>
    </xf>
    <xf numFmtId="0" fontId="79" fillId="0" borderId="2" xfId="0" applyFont="1" applyBorder="1" applyAlignment="1">
      <alignment wrapText="1"/>
    </xf>
    <xf numFmtId="0" fontId="79" fillId="0" borderId="21" xfId="0" applyFont="1" applyBorder="1" applyAlignment="1">
      <alignment wrapText="1"/>
    </xf>
    <xf numFmtId="0" fontId="69" fillId="0" borderId="33" xfId="0" applyFont="1" applyBorder="1" applyAlignment="1">
      <alignment horizontal="center" shrinkToFit="1"/>
    </xf>
    <xf numFmtId="0" fontId="69" fillId="0" borderId="33" xfId="0" applyFont="1" applyBorder="1" applyAlignment="1">
      <alignment horizontal="center"/>
    </xf>
    <xf numFmtId="9" fontId="62" fillId="0" borderId="0" xfId="0" applyNumberFormat="1" applyFont="1"/>
    <xf numFmtId="2" fontId="62" fillId="0" borderId="42" xfId="0" applyNumberFormat="1" applyFont="1" applyBorder="1" applyAlignment="1">
      <alignment horizontal="center"/>
    </xf>
    <xf numFmtId="2" fontId="62" fillId="0" borderId="9" xfId="0" applyNumberFormat="1" applyFont="1" applyBorder="1"/>
    <xf numFmtId="1" fontId="140" fillId="0" borderId="12" xfId="0" applyNumberFormat="1" applyFont="1" applyBorder="1" applyAlignment="1">
      <alignment horizontal="center"/>
    </xf>
    <xf numFmtId="2" fontId="62" fillId="0" borderId="14" xfId="0" applyNumberFormat="1" applyFont="1" applyBorder="1" applyAlignment="1">
      <alignment horizontal="center"/>
    </xf>
    <xf numFmtId="2" fontId="62" fillId="0" borderId="10" xfId="0" applyNumberFormat="1" applyFont="1" applyBorder="1"/>
    <xf numFmtId="1" fontId="82" fillId="0" borderId="0" xfId="0" applyNumberFormat="1" applyFont="1" applyAlignment="1">
      <alignment horizontal="center"/>
    </xf>
    <xf numFmtId="2" fontId="150" fillId="0" borderId="0" xfId="0" applyNumberFormat="1" applyFont="1" applyAlignment="1">
      <alignment horizontal="center" vertical="center" wrapText="1"/>
    </xf>
    <xf numFmtId="169" fontId="6" fillId="5" borderId="85" xfId="0" applyNumberFormat="1" applyFont="1" applyFill="1" applyBorder="1" applyAlignment="1">
      <alignment horizontal="right"/>
    </xf>
    <xf numFmtId="169" fontId="88" fillId="7" borderId="7" xfId="0" applyNumberFormat="1" applyFont="1" applyFill="1" applyBorder="1" applyAlignment="1" applyProtection="1">
      <alignment vertical="center" wrapText="1"/>
      <protection locked="0"/>
    </xf>
    <xf numFmtId="169" fontId="13" fillId="5" borderId="0" xfId="0" applyNumberFormat="1" applyFont="1" applyFill="1" applyAlignment="1">
      <alignment horizontal="right"/>
    </xf>
    <xf numFmtId="1" fontId="74" fillId="5" borderId="0" xfId="0" applyNumberFormat="1" applyFont="1" applyFill="1" applyAlignment="1">
      <alignment horizontal="center"/>
    </xf>
    <xf numFmtId="0" fontId="25" fillId="2" borderId="98" xfId="0" applyFont="1" applyFill="1" applyBorder="1" applyAlignment="1">
      <alignment vertical="center" wrapText="1"/>
    </xf>
    <xf numFmtId="0" fontId="25" fillId="2" borderId="71" xfId="0" applyFont="1" applyFill="1" applyBorder="1" applyAlignment="1">
      <alignment vertical="center" wrapText="1"/>
    </xf>
    <xf numFmtId="3" fontId="104" fillId="0" borderId="0" xfId="0" applyNumberFormat="1" applyFont="1"/>
    <xf numFmtId="2" fontId="15" fillId="28" borderId="0" xfId="0" applyNumberFormat="1" applyFont="1" applyFill="1"/>
    <xf numFmtId="169" fontId="9" fillId="28" borderId="0" xfId="0" applyNumberFormat="1" applyFont="1" applyFill="1"/>
    <xf numFmtId="0" fontId="15" fillId="28" borderId="0" xfId="0" applyFont="1" applyFill="1"/>
    <xf numFmtId="2" fontId="15" fillId="16" borderId="0" xfId="0" applyNumberFormat="1" applyFont="1" applyFill="1" applyAlignment="1">
      <alignment horizontal="center"/>
    </xf>
    <xf numFmtId="0" fontId="15" fillId="16" borderId="0" xfId="0" applyFont="1" applyFill="1" applyAlignment="1">
      <alignment horizontal="center" vertical="center"/>
    </xf>
    <xf numFmtId="0" fontId="15" fillId="16" borderId="0" xfId="0" applyFont="1" applyFill="1" applyAlignment="1">
      <alignment horizontal="center"/>
    </xf>
    <xf numFmtId="166" fontId="60" fillId="7" borderId="23" xfId="0" applyNumberFormat="1" applyFont="1" applyFill="1" applyBorder="1" applyAlignment="1" applyProtection="1">
      <alignment horizontal="center" vertical="center"/>
      <protection locked="0"/>
    </xf>
    <xf numFmtId="168" fontId="105" fillId="7" borderId="4" xfId="0" applyNumberFormat="1" applyFont="1" applyFill="1" applyBorder="1" applyAlignment="1" applyProtection="1">
      <alignment horizontal="center" shrinkToFit="1"/>
      <protection locked="0"/>
    </xf>
    <xf numFmtId="3" fontId="69" fillId="2" borderId="0" xfId="0" applyNumberFormat="1" applyFont="1" applyFill="1"/>
    <xf numFmtId="0" fontId="62" fillId="0" borderId="55" xfId="0" applyFont="1" applyBorder="1"/>
    <xf numFmtId="3" fontId="69" fillId="0" borderId="55" xfId="0" applyNumberFormat="1" applyFont="1" applyBorder="1" applyAlignment="1">
      <alignment horizontal="center"/>
    </xf>
    <xf numFmtId="0" fontId="54" fillId="0" borderId="12" xfId="0" applyFont="1" applyBorder="1"/>
    <xf numFmtId="3" fontId="54" fillId="0" borderId="12" xfId="0" applyNumberFormat="1" applyFont="1" applyBorder="1" applyAlignment="1">
      <alignment horizontal="right" shrinkToFit="1"/>
    </xf>
    <xf numFmtId="0" fontId="54" fillId="0" borderId="14" xfId="0" applyFont="1" applyBorder="1"/>
    <xf numFmtId="3" fontId="54" fillId="0" borderId="14" xfId="0" applyNumberFormat="1" applyFont="1" applyBorder="1" applyAlignment="1">
      <alignment horizontal="right" shrinkToFit="1"/>
    </xf>
    <xf numFmtId="0" fontId="7" fillId="0" borderId="0" xfId="0" applyFont="1" applyAlignment="1">
      <alignment horizontal="left" vertical="top" wrapText="1"/>
    </xf>
    <xf numFmtId="168" fontId="56" fillId="9" borderId="10" xfId="0" applyNumberFormat="1" applyFont="1" applyFill="1" applyBorder="1" applyAlignment="1">
      <alignment horizontal="center" vertical="center" shrinkToFit="1"/>
    </xf>
    <xf numFmtId="0" fontId="15" fillId="17" borderId="34" xfId="0" applyFont="1" applyFill="1" applyBorder="1" applyAlignment="1">
      <alignment wrapText="1"/>
    </xf>
    <xf numFmtId="0" fontId="15" fillId="2" borderId="208" xfId="0" applyFont="1" applyFill="1" applyBorder="1"/>
    <xf numFmtId="0" fontId="15" fillId="0" borderId="54" xfId="0" applyFont="1" applyBorder="1"/>
    <xf numFmtId="3" fontId="11" fillId="0" borderId="85" xfId="0" applyNumberFormat="1" applyFont="1" applyBorder="1" applyAlignment="1">
      <alignment horizontal="left" vertical="center"/>
    </xf>
    <xf numFmtId="0" fontId="0" fillId="0" borderId="49" xfId="0" applyBorder="1" applyAlignment="1">
      <alignment shrinkToFit="1"/>
    </xf>
    <xf numFmtId="0" fontId="20" fillId="0" borderId="6" xfId="0" applyFont="1" applyBorder="1" applyAlignment="1">
      <alignment horizontal="center"/>
    </xf>
    <xf numFmtId="177" fontId="20" fillId="0" borderId="4" xfId="0" applyNumberFormat="1" applyFont="1" applyBorder="1" applyAlignment="1">
      <alignment horizontal="center" vertical="center"/>
    </xf>
    <xf numFmtId="177" fontId="20" fillId="0" borderId="23" xfId="0" applyNumberFormat="1" applyFont="1" applyBorder="1" applyAlignment="1">
      <alignment horizontal="center" vertical="center"/>
    </xf>
    <xf numFmtId="0" fontId="20" fillId="2" borderId="23" xfId="0" applyFont="1" applyFill="1" applyBorder="1" applyAlignment="1">
      <alignment vertical="center" wrapText="1"/>
    </xf>
    <xf numFmtId="3" fontId="51" fillId="12" borderId="174" xfId="0" applyNumberFormat="1" applyFont="1" applyFill="1" applyBorder="1" applyAlignment="1">
      <alignment horizontal="center" vertical="center"/>
    </xf>
    <xf numFmtId="167" fontId="23" fillId="12" borderId="174" xfId="0" applyNumberFormat="1" applyFont="1" applyFill="1" applyBorder="1" applyAlignment="1">
      <alignment horizontal="center" vertical="center"/>
    </xf>
    <xf numFmtId="0" fontId="15" fillId="17" borderId="43" xfId="0" applyFont="1" applyFill="1" applyBorder="1" applyAlignment="1">
      <alignment horizontal="right" vertical="center" wrapText="1"/>
    </xf>
    <xf numFmtId="0" fontId="9" fillId="17" borderId="0" xfId="0" applyFont="1" applyFill="1" applyAlignment="1">
      <alignment horizontal="right" vertical="center" wrapText="1"/>
    </xf>
    <xf numFmtId="0" fontId="9" fillId="17" borderId="85" xfId="0" applyFont="1" applyFill="1" applyBorder="1" applyAlignment="1">
      <alignment horizontal="right" vertical="center"/>
    </xf>
    <xf numFmtId="0" fontId="15" fillId="17" borderId="85" xfId="0" applyFont="1" applyFill="1" applyBorder="1" applyAlignment="1">
      <alignment horizontal="right" vertical="center" shrinkToFit="1"/>
    </xf>
    <xf numFmtId="3" fontId="60" fillId="7" borderId="182" xfId="0" applyNumberFormat="1" applyFont="1" applyFill="1" applyBorder="1" applyAlignment="1" applyProtection="1">
      <alignment horizontal="center" vertical="center"/>
      <protection locked="0"/>
    </xf>
    <xf numFmtId="0" fontId="15" fillId="17" borderId="48" xfId="0" applyFont="1" applyFill="1" applyBorder="1" applyAlignment="1">
      <alignment horizontal="right" vertical="center" wrapText="1" shrinkToFit="1"/>
    </xf>
    <xf numFmtId="0" fontId="24" fillId="17" borderId="48" xfId="0" applyFont="1" applyFill="1" applyBorder="1" applyAlignment="1">
      <alignment horizontal="left" vertical="center" wrapText="1"/>
    </xf>
    <xf numFmtId="3" fontId="60" fillId="7" borderId="209" xfId="0" applyNumberFormat="1" applyFont="1" applyFill="1" applyBorder="1" applyAlignment="1" applyProtection="1">
      <alignment horizontal="center" vertical="center"/>
      <protection locked="0"/>
    </xf>
    <xf numFmtId="0" fontId="15" fillId="17" borderId="48" xfId="0" applyFont="1" applyFill="1" applyBorder="1"/>
    <xf numFmtId="0" fontId="15" fillId="17" borderId="94" xfId="0" applyFont="1" applyFill="1" applyBorder="1" applyAlignment="1">
      <alignment horizontal="right" vertical="center" shrinkToFit="1"/>
    </xf>
    <xf numFmtId="3" fontId="60" fillId="7" borderId="78" xfId="0" applyNumberFormat="1" applyFont="1" applyFill="1" applyBorder="1" applyAlignment="1" applyProtection="1">
      <alignment horizontal="center" vertical="center"/>
      <protection locked="0"/>
    </xf>
    <xf numFmtId="2" fontId="11" fillId="0" borderId="0" xfId="0" applyNumberFormat="1" applyFont="1" applyAlignment="1">
      <alignment horizontal="center"/>
    </xf>
    <xf numFmtId="0" fontId="19" fillId="12" borderId="210" xfId="0" applyFont="1" applyFill="1" applyBorder="1" applyAlignment="1">
      <alignment vertical="center" wrapText="1"/>
    </xf>
    <xf numFmtId="0" fontId="11" fillId="12" borderId="210" xfId="0" applyFont="1" applyFill="1" applyBorder="1" applyAlignment="1">
      <alignment vertical="center" shrinkToFit="1"/>
    </xf>
    <xf numFmtId="0" fontId="22" fillId="12" borderId="210" xfId="0" applyFont="1" applyFill="1" applyBorder="1" applyAlignment="1">
      <alignment vertical="center" shrinkToFit="1"/>
    </xf>
    <xf numFmtId="0" fontId="231" fillId="0" borderId="0" xfId="0" applyFont="1" applyAlignment="1">
      <alignment horizontal="right" vertical="center"/>
    </xf>
    <xf numFmtId="0" fontId="231" fillId="0" borderId="48" xfId="0" applyFont="1" applyBorder="1" applyAlignment="1">
      <alignment vertical="center"/>
    </xf>
    <xf numFmtId="3" fontId="231" fillId="0" borderId="56" xfId="0" applyNumberFormat="1" applyFont="1" applyBorder="1" applyAlignment="1">
      <alignment horizontal="center" vertical="center"/>
    </xf>
    <xf numFmtId="0" fontId="189" fillId="0" borderId="0" xfId="0" applyFont="1"/>
    <xf numFmtId="0" fontId="189" fillId="0" borderId="48" xfId="0" applyFont="1" applyBorder="1" applyAlignment="1">
      <alignment vertical="center"/>
    </xf>
    <xf numFmtId="3" fontId="15" fillId="0" borderId="11" xfId="0" applyNumberFormat="1" applyFont="1" applyBorder="1" applyAlignment="1">
      <alignment horizontal="center"/>
    </xf>
    <xf numFmtId="0" fontId="15" fillId="0" borderId="11" xfId="0" applyFont="1" applyBorder="1"/>
    <xf numFmtId="0" fontId="220" fillId="0" borderId="0" xfId="0" applyFont="1"/>
    <xf numFmtId="0" fontId="69" fillId="0" borderId="2" xfId="0" applyFont="1" applyBorder="1"/>
    <xf numFmtId="2" fontId="69" fillId="0" borderId="23" xfId="0" applyNumberFormat="1" applyFont="1" applyBorder="1" applyAlignment="1">
      <alignment horizontal="center" vertical="center"/>
    </xf>
    <xf numFmtId="0" fontId="15" fillId="0" borderId="0" xfId="0" applyFont="1" applyAlignment="1">
      <alignment shrinkToFit="1"/>
    </xf>
    <xf numFmtId="0" fontId="232" fillId="17" borderId="0" xfId="0" applyFont="1" applyFill="1" applyAlignment="1">
      <alignment horizontal="center" wrapText="1"/>
    </xf>
    <xf numFmtId="3" fontId="23" fillId="0" borderId="1" xfId="0" applyNumberFormat="1" applyFont="1" applyBorder="1" applyAlignment="1">
      <alignment vertical="top" wrapText="1"/>
    </xf>
    <xf numFmtId="0" fontId="15" fillId="9" borderId="14" xfId="0" applyFont="1" applyFill="1" applyBorder="1" applyAlignment="1" applyProtection="1">
      <alignment shrinkToFit="1"/>
      <protection locked="0"/>
    </xf>
    <xf numFmtId="3" fontId="116" fillId="0" borderId="0" xfId="0" applyNumberFormat="1" applyFont="1" applyAlignment="1">
      <alignment vertical="center" wrapText="1"/>
    </xf>
    <xf numFmtId="3" fontId="116" fillId="0" borderId="211" xfId="0" applyNumberFormat="1" applyFont="1" applyBorder="1" applyAlignment="1">
      <alignment vertical="center" wrapText="1"/>
    </xf>
    <xf numFmtId="0" fontId="62" fillId="2" borderId="0" xfId="0" applyFont="1" applyFill="1" applyAlignment="1">
      <alignment horizontal="center"/>
    </xf>
    <xf numFmtId="3" fontId="15" fillId="12" borderId="23" xfId="0" applyNumberFormat="1" applyFont="1" applyFill="1" applyBorder="1" applyAlignment="1">
      <alignment horizontal="center" shrinkToFit="1"/>
    </xf>
    <xf numFmtId="3" fontId="15" fillId="17" borderId="83" xfId="0" applyNumberFormat="1" applyFont="1" applyFill="1" applyBorder="1" applyAlignment="1">
      <alignment horizontal="center" vertical="center" wrapText="1"/>
    </xf>
    <xf numFmtId="3" fontId="15" fillId="17" borderId="91" xfId="0" applyNumberFormat="1" applyFont="1" applyFill="1" applyBorder="1" applyAlignment="1">
      <alignment horizontal="center" vertical="center"/>
    </xf>
    <xf numFmtId="3" fontId="15" fillId="17" borderId="65" xfId="0" applyNumberFormat="1" applyFont="1" applyFill="1" applyBorder="1" applyAlignment="1">
      <alignment horizontal="center" vertical="center" wrapText="1"/>
    </xf>
    <xf numFmtId="3" fontId="15" fillId="17" borderId="65" xfId="0" applyNumberFormat="1" applyFont="1" applyFill="1" applyBorder="1" applyAlignment="1">
      <alignment horizontal="center" vertical="center"/>
    </xf>
    <xf numFmtId="3" fontId="51" fillId="12" borderId="36" xfId="0" applyNumberFormat="1" applyFont="1" applyFill="1" applyBorder="1" applyAlignment="1">
      <alignment vertical="center" shrinkToFit="1"/>
    </xf>
    <xf numFmtId="4" fontId="24" fillId="5" borderId="14" xfId="0" applyNumberFormat="1" applyFont="1" applyFill="1" applyBorder="1" applyAlignment="1">
      <alignment horizontal="right" vertical="center" wrapText="1"/>
    </xf>
    <xf numFmtId="3" fontId="51" fillId="12" borderId="65" xfId="0" applyNumberFormat="1" applyFont="1" applyFill="1" applyBorder="1" applyAlignment="1">
      <alignment horizontal="center" vertical="center" shrinkToFit="1"/>
    </xf>
    <xf numFmtId="3" fontId="62" fillId="0" borderId="0" xfId="0" applyNumberFormat="1" applyFont="1" applyAlignment="1">
      <alignment horizontal="center"/>
    </xf>
    <xf numFmtId="3" fontId="51" fillId="12" borderId="4" xfId="0" applyNumberFormat="1" applyFont="1" applyFill="1" applyBorder="1" applyAlignment="1">
      <alignment horizontal="center" vertical="center" shrinkToFit="1"/>
    </xf>
    <xf numFmtId="3" fontId="60" fillId="7" borderId="23" xfId="0" applyNumberFormat="1" applyFont="1" applyFill="1" applyBorder="1" applyAlignment="1" applyProtection="1">
      <alignment horizontal="center" vertical="center" shrinkToFit="1"/>
      <protection locked="0"/>
    </xf>
    <xf numFmtId="3" fontId="182" fillId="5" borderId="8" xfId="0" applyNumberFormat="1" applyFont="1" applyFill="1" applyBorder="1" applyAlignment="1">
      <alignment horizontal="center" vertical="center" wrapText="1"/>
    </xf>
    <xf numFmtId="3" fontId="7" fillId="0" borderId="0" xfId="0" applyNumberFormat="1" applyFont="1" applyAlignment="1" applyProtection="1">
      <alignment horizontal="center"/>
      <protection locked="0"/>
    </xf>
    <xf numFmtId="3" fontId="23" fillId="0" borderId="23" xfId="0" applyNumberFormat="1" applyFont="1" applyBorder="1" applyAlignment="1">
      <alignment vertical="center" shrinkToFit="1"/>
    </xf>
    <xf numFmtId="3" fontId="23" fillId="5" borderId="23" xfId="0" applyNumberFormat="1" applyFont="1" applyFill="1" applyBorder="1" applyAlignment="1">
      <alignment vertical="center" shrinkToFit="1"/>
    </xf>
    <xf numFmtId="3" fontId="109" fillId="0" borderId="23" xfId="0" applyNumberFormat="1" applyFont="1" applyBorder="1" applyAlignment="1">
      <alignment vertical="center" shrinkToFit="1"/>
    </xf>
    <xf numFmtId="3" fontId="109" fillId="5" borderId="23" xfId="0" applyNumberFormat="1" applyFont="1" applyFill="1" applyBorder="1" applyAlignment="1">
      <alignment vertical="center" shrinkToFit="1"/>
    </xf>
    <xf numFmtId="0" fontId="23" fillId="0" borderId="0" xfId="0" applyFont="1" applyAlignment="1">
      <alignment horizontal="left" wrapText="1"/>
    </xf>
    <xf numFmtId="0" fontId="23" fillId="0" borderId="0" xfId="0" applyFont="1" applyAlignment="1">
      <alignment horizontal="left" vertical="center" wrapText="1"/>
    </xf>
    <xf numFmtId="3" fontId="23" fillId="0" borderId="0" xfId="0" applyNumberFormat="1" applyFont="1" applyAlignment="1">
      <alignment horizontal="left" vertical="center" wrapText="1"/>
    </xf>
    <xf numFmtId="3" fontId="23" fillId="0" borderId="0" xfId="0" applyNumberFormat="1" applyFont="1" applyAlignment="1">
      <alignment horizontal="left" wrapText="1"/>
    </xf>
    <xf numFmtId="3" fontId="172" fillId="0" borderId="0" xfId="0" applyNumberFormat="1" applyFont="1" applyAlignment="1">
      <alignment horizontal="left" vertical="center" wrapText="1"/>
    </xf>
    <xf numFmtId="0" fontId="15" fillId="0" borderId="0" xfId="0" applyFont="1" applyAlignment="1">
      <alignment horizontal="left" vertical="center" wrapText="1"/>
    </xf>
    <xf numFmtId="49" fontId="15" fillId="0" borderId="0" xfId="0" applyNumberFormat="1" applyFont="1" applyAlignment="1">
      <alignment horizontal="right"/>
    </xf>
    <xf numFmtId="4" fontId="15" fillId="2" borderId="0" xfId="0" applyNumberFormat="1" applyFont="1" applyFill="1" applyAlignment="1">
      <alignment shrinkToFit="1"/>
    </xf>
    <xf numFmtId="4" fontId="9" fillId="2" borderId="0" xfId="0" applyNumberFormat="1" applyFont="1" applyFill="1" applyAlignment="1">
      <alignment shrinkToFit="1"/>
    </xf>
    <xf numFmtId="4" fontId="15" fillId="0" borderId="0" xfId="0" applyNumberFormat="1" applyFont="1" applyAlignment="1">
      <alignment shrinkToFit="1"/>
    </xf>
    <xf numFmtId="4" fontId="15" fillId="2" borderId="0" xfId="0" applyNumberFormat="1" applyFont="1" applyFill="1"/>
    <xf numFmtId="3" fontId="13" fillId="0" borderId="84" xfId="0" applyNumberFormat="1" applyFont="1" applyBorder="1" applyAlignment="1">
      <alignment horizontal="right" vertical="center"/>
    </xf>
    <xf numFmtId="3" fontId="60" fillId="7" borderId="200" xfId="0" applyNumberFormat="1" applyFont="1" applyFill="1" applyBorder="1" applyAlignment="1" applyProtection="1">
      <alignment horizontal="right" vertical="center" shrinkToFit="1"/>
      <protection locked="0"/>
    </xf>
    <xf numFmtId="0" fontId="69" fillId="0" borderId="0" xfId="0" applyFont="1" applyAlignment="1">
      <alignment horizontal="right"/>
    </xf>
    <xf numFmtId="0" fontId="23" fillId="0" borderId="2" xfId="0" applyFont="1" applyBorder="1" applyAlignment="1">
      <alignment wrapText="1"/>
    </xf>
    <xf numFmtId="0" fontId="82" fillId="0" borderId="2" xfId="0" applyFont="1" applyBorder="1"/>
    <xf numFmtId="0" fontId="104" fillId="0" borderId="1" xfId="0" applyFont="1" applyBorder="1" applyAlignment="1">
      <alignment horizontal="center" vertical="center"/>
    </xf>
    <xf numFmtId="3" fontId="151" fillId="0" borderId="2" xfId="0" applyNumberFormat="1" applyFont="1" applyBorder="1" applyAlignment="1">
      <alignment horizontal="center"/>
    </xf>
    <xf numFmtId="0" fontId="207" fillId="5" borderId="1" xfId="0" applyFont="1" applyFill="1" applyBorder="1" applyAlignment="1">
      <alignment vertical="center" wrapText="1"/>
    </xf>
    <xf numFmtId="0" fontId="207" fillId="5" borderId="2" xfId="0" applyFont="1" applyFill="1" applyBorder="1" applyAlignment="1">
      <alignment vertical="center" wrapText="1"/>
    </xf>
    <xf numFmtId="0" fontId="233" fillId="5" borderId="0" xfId="0" applyFont="1" applyFill="1" applyAlignment="1">
      <alignment vertical="top" wrapText="1"/>
    </xf>
    <xf numFmtId="0" fontId="235" fillId="5" borderId="0" xfId="0" applyFont="1" applyFill="1" applyAlignment="1">
      <alignment vertical="top" wrapText="1"/>
    </xf>
    <xf numFmtId="2" fontId="69" fillId="5" borderId="0" xfId="0" applyNumberFormat="1" applyFont="1" applyFill="1" applyAlignment="1">
      <alignment horizontal="center"/>
    </xf>
    <xf numFmtId="17" fontId="69" fillId="5" borderId="0" xfId="0" applyNumberFormat="1" applyFont="1" applyFill="1" applyAlignment="1">
      <alignment horizontal="center"/>
    </xf>
    <xf numFmtId="2" fontId="69" fillId="0" borderId="0" xfId="0" applyNumberFormat="1" applyFont="1" applyAlignment="1">
      <alignment horizontal="center"/>
    </xf>
    <xf numFmtId="1" fontId="69" fillId="0" borderId="0" xfId="0" applyNumberFormat="1" applyFont="1" applyAlignment="1">
      <alignment horizontal="center"/>
    </xf>
    <xf numFmtId="2" fontId="69" fillId="0" borderId="12" xfId="0" applyNumberFormat="1" applyFont="1" applyBorder="1" applyAlignment="1">
      <alignment horizontal="center"/>
    </xf>
    <xf numFmtId="2" fontId="108" fillId="0" borderId="0" xfId="0" applyNumberFormat="1" applyFont="1" applyAlignment="1">
      <alignment horizontal="center" wrapText="1"/>
    </xf>
    <xf numFmtId="2" fontId="82" fillId="0" borderId="0" xfId="0" applyNumberFormat="1" applyFont="1" applyAlignment="1">
      <alignment horizontal="center" wrapText="1"/>
    </xf>
    <xf numFmtId="0" fontId="236" fillId="0" borderId="0" xfId="0" applyFont="1"/>
    <xf numFmtId="2" fontId="69" fillId="0" borderId="12" xfId="0" applyNumberFormat="1" applyFont="1" applyBorder="1" applyAlignment="1">
      <alignment horizontal="center" vertical="center"/>
    </xf>
    <xf numFmtId="2" fontId="69" fillId="5" borderId="14" xfId="0" applyNumberFormat="1" applyFont="1" applyFill="1" applyBorder="1" applyAlignment="1">
      <alignment horizontal="right" vertical="center"/>
    </xf>
    <xf numFmtId="17" fontId="145" fillId="5" borderId="10" xfId="0" applyNumberFormat="1" applyFont="1" applyFill="1" applyBorder="1" applyAlignment="1">
      <alignment horizontal="left" vertical="center" wrapText="1"/>
    </xf>
    <xf numFmtId="2" fontId="69" fillId="0" borderId="23" xfId="0" applyNumberFormat="1" applyFont="1" applyBorder="1" applyAlignment="1">
      <alignment horizontal="center"/>
    </xf>
    <xf numFmtId="17" fontId="145" fillId="5" borderId="23" xfId="0" applyNumberFormat="1" applyFont="1" applyFill="1" applyBorder="1" applyAlignment="1">
      <alignment horizontal="left" vertical="center" wrapText="1"/>
    </xf>
    <xf numFmtId="169" fontId="69" fillId="0" borderId="0" xfId="0" applyNumberFormat="1" applyFont="1" applyAlignment="1">
      <alignment horizontal="center"/>
    </xf>
    <xf numFmtId="17" fontId="69" fillId="0" borderId="0" xfId="0" applyNumberFormat="1" applyFont="1" applyAlignment="1">
      <alignment horizontal="center"/>
    </xf>
    <xf numFmtId="2" fontId="69" fillId="0" borderId="14" xfId="0" applyNumberFormat="1" applyFont="1" applyBorder="1" applyAlignment="1">
      <alignment horizontal="right" vertical="center"/>
    </xf>
    <xf numFmtId="17" fontId="145" fillId="0" borderId="10" xfId="0" applyNumberFormat="1" applyFont="1" applyBorder="1" applyAlignment="1">
      <alignment horizontal="left" vertical="center" wrapText="1"/>
    </xf>
    <xf numFmtId="17" fontId="145" fillId="0" borderId="3" xfId="0" applyNumberFormat="1" applyFont="1" applyBorder="1" applyAlignment="1">
      <alignment horizontal="left" vertical="center" wrapText="1"/>
    </xf>
    <xf numFmtId="17" fontId="145" fillId="0" borderId="21" xfId="0" applyNumberFormat="1" applyFont="1" applyBorder="1" applyAlignment="1">
      <alignment horizontal="left" vertical="center" wrapText="1"/>
    </xf>
    <xf numFmtId="17" fontId="145" fillId="5" borderId="3" xfId="0" applyNumberFormat="1" applyFont="1" applyFill="1" applyBorder="1" applyAlignment="1">
      <alignment horizontal="left" vertical="center" wrapText="1"/>
    </xf>
    <xf numFmtId="17" fontId="145" fillId="5" borderId="21" xfId="0" applyNumberFormat="1" applyFont="1" applyFill="1" applyBorder="1" applyAlignment="1">
      <alignment horizontal="left" vertical="center" wrapText="1"/>
    </xf>
    <xf numFmtId="9" fontId="69" fillId="0" borderId="0" xfId="0" applyNumberFormat="1" applyFont="1" applyAlignment="1">
      <alignment horizontal="center"/>
    </xf>
    <xf numFmtId="4" fontId="69" fillId="0" borderId="0" xfId="0" applyNumberFormat="1" applyFont="1" applyAlignment="1">
      <alignment horizontal="center"/>
    </xf>
    <xf numFmtId="0" fontId="237" fillId="17" borderId="85" xfId="0" applyFont="1" applyFill="1" applyBorder="1" applyAlignment="1">
      <alignment horizontal="center" vertical="center"/>
    </xf>
    <xf numFmtId="0" fontId="237" fillId="17" borderId="212" xfId="0" applyFont="1" applyFill="1" applyBorder="1" applyAlignment="1">
      <alignment horizontal="center" vertical="center"/>
    </xf>
    <xf numFmtId="0" fontId="56" fillId="0" borderId="0" xfId="0" applyFont="1"/>
    <xf numFmtId="0" fontId="60" fillId="17" borderId="85" xfId="0" applyFont="1" applyFill="1" applyBorder="1" applyAlignment="1">
      <alignment horizontal="center" vertical="center"/>
    </xf>
    <xf numFmtId="166" fontId="11" fillId="6" borderId="0" xfId="0" applyNumberFormat="1" applyFont="1" applyFill="1" applyAlignment="1">
      <alignment vertical="center"/>
    </xf>
    <xf numFmtId="9" fontId="60" fillId="24" borderId="23" xfId="0" applyNumberFormat="1" applyFont="1" applyFill="1" applyBorder="1" applyAlignment="1">
      <alignment horizontal="center" vertical="center"/>
    </xf>
    <xf numFmtId="0" fontId="41" fillId="5" borderId="0" xfId="0" applyFont="1" applyFill="1" applyAlignment="1">
      <alignment horizontal="center" shrinkToFit="1"/>
    </xf>
    <xf numFmtId="0" fontId="119" fillId="0" borderId="0" xfId="0" applyFont="1" applyAlignment="1">
      <alignment horizontal="center" vertical="center" wrapText="1"/>
    </xf>
    <xf numFmtId="0" fontId="56" fillId="0" borderId="0" xfId="0" applyFont="1" applyAlignment="1">
      <alignment horizontal="center" vertical="center" wrapText="1"/>
    </xf>
    <xf numFmtId="17" fontId="15" fillId="0" borderId="12" xfId="0" applyNumberFormat="1" applyFont="1" applyBorder="1" applyAlignment="1">
      <alignment horizontal="center"/>
    </xf>
    <xf numFmtId="0" fontId="15" fillId="0" borderId="3" xfId="0" applyFont="1" applyBorder="1" applyAlignment="1">
      <alignment vertical="center"/>
    </xf>
    <xf numFmtId="0" fontId="69" fillId="0" borderId="0" xfId="0" applyFont="1" applyAlignment="1">
      <alignment horizontal="center" vertical="center"/>
    </xf>
    <xf numFmtId="166" fontId="56" fillId="7" borderId="23" xfId="0" applyNumberFormat="1" applyFont="1" applyFill="1" applyBorder="1" applyAlignment="1" applyProtection="1">
      <alignment horizontal="center" vertical="center"/>
      <protection locked="0"/>
    </xf>
    <xf numFmtId="0" fontId="69" fillId="0" borderId="8" xfId="0" applyFont="1" applyBorder="1"/>
    <xf numFmtId="0" fontId="119" fillId="0" borderId="0" xfId="0" applyFont="1" applyAlignment="1">
      <alignment vertical="center" wrapText="1"/>
    </xf>
    <xf numFmtId="0" fontId="15" fillId="17" borderId="62" xfId="0" applyFont="1" applyFill="1" applyBorder="1" applyAlignment="1">
      <alignment horizontal="right" vertical="center" wrapText="1"/>
    </xf>
    <xf numFmtId="166" fontId="15" fillId="17" borderId="121" xfId="0" applyNumberFormat="1" applyFont="1" applyFill="1" applyBorder="1" applyAlignment="1">
      <alignment horizontal="right" vertical="center" wrapText="1"/>
    </xf>
    <xf numFmtId="3" fontId="15" fillId="17" borderId="21" xfId="0" applyNumberFormat="1" applyFont="1" applyFill="1" applyBorder="1" applyAlignment="1">
      <alignment horizontal="center" vertical="center" wrapText="1"/>
    </xf>
    <xf numFmtId="3" fontId="15" fillId="17" borderId="22" xfId="0" applyNumberFormat="1" applyFont="1" applyFill="1" applyBorder="1" applyAlignment="1">
      <alignment horizontal="center" vertical="center"/>
    </xf>
    <xf numFmtId="0" fontId="15" fillId="0" borderId="23" xfId="0" applyFont="1" applyBorder="1" applyAlignment="1">
      <alignment horizontal="center" vertical="center" wrapText="1"/>
    </xf>
    <xf numFmtId="0" fontId="15" fillId="17" borderId="208" xfId="0" applyFont="1" applyFill="1" applyBorder="1" applyAlignment="1">
      <alignment horizontal="center" vertical="center" wrapText="1"/>
    </xf>
    <xf numFmtId="0" fontId="15" fillId="0" borderId="68" xfId="0" applyFont="1" applyBorder="1" applyAlignment="1">
      <alignment horizontal="center" vertical="center" wrapText="1"/>
    </xf>
    <xf numFmtId="0" fontId="15" fillId="0" borderId="36" xfId="0" applyFont="1" applyBorder="1" applyAlignment="1">
      <alignment horizontal="center" vertical="center" wrapText="1"/>
    </xf>
    <xf numFmtId="169" fontId="11" fillId="0" borderId="68" xfId="0" applyNumberFormat="1" applyFont="1" applyBorder="1" applyAlignment="1">
      <alignment horizontal="center" vertical="center" wrapText="1"/>
    </xf>
    <xf numFmtId="169" fontId="11" fillId="0" borderId="99" xfId="0" applyNumberFormat="1" applyFont="1" applyBorder="1" applyAlignment="1">
      <alignment horizontal="center" vertical="center" wrapText="1"/>
    </xf>
    <xf numFmtId="0" fontId="7" fillId="0" borderId="68" xfId="0" applyFont="1" applyBorder="1"/>
    <xf numFmtId="166" fontId="15" fillId="17" borderId="79" xfId="0" applyNumberFormat="1" applyFont="1" applyFill="1" applyBorder="1" applyAlignment="1">
      <alignment horizontal="center" vertical="center" wrapText="1"/>
    </xf>
    <xf numFmtId="3" fontId="15" fillId="17" borderId="74" xfId="0" applyNumberFormat="1" applyFont="1" applyFill="1" applyBorder="1" applyAlignment="1">
      <alignment horizontal="center" vertical="center"/>
    </xf>
    <xf numFmtId="3" fontId="15" fillId="17" borderId="80" xfId="0" applyNumberFormat="1" applyFont="1" applyFill="1" applyBorder="1" applyAlignment="1">
      <alignment horizontal="center" vertical="center"/>
    </xf>
    <xf numFmtId="3" fontId="11" fillId="0" borderId="79" xfId="0" applyNumberFormat="1" applyFont="1" applyBorder="1" applyAlignment="1">
      <alignment horizontal="right" vertical="center" wrapText="1"/>
    </xf>
    <xf numFmtId="166" fontId="15" fillId="17" borderId="44" xfId="0" applyNumberFormat="1" applyFont="1" applyFill="1" applyBorder="1" applyAlignment="1">
      <alignment horizontal="center" vertical="center" wrapText="1"/>
    </xf>
    <xf numFmtId="0" fontId="11" fillId="2" borderId="0" xfId="0" applyFont="1" applyFill="1" applyAlignment="1">
      <alignment horizontal="center" wrapText="1"/>
    </xf>
    <xf numFmtId="0" fontId="11" fillId="0" borderId="27" xfId="0" applyFont="1" applyBorder="1" applyAlignment="1">
      <alignment horizontal="center" wrapText="1" shrinkToFit="1"/>
    </xf>
    <xf numFmtId="0" fontId="11" fillId="0" borderId="0" xfId="0" applyFont="1" applyAlignment="1">
      <alignment horizontal="center" wrapText="1" shrinkToFit="1"/>
    </xf>
    <xf numFmtId="3" fontId="9" fillId="0" borderId="0" xfId="0" applyNumberFormat="1" applyFont="1" applyAlignment="1">
      <alignment horizontal="right"/>
    </xf>
    <xf numFmtId="2" fontId="69" fillId="0" borderId="0" xfId="0" applyNumberFormat="1" applyFont="1"/>
    <xf numFmtId="0" fontId="239" fillId="0" borderId="0" xfId="0" applyFont="1" applyAlignment="1">
      <alignment horizontal="left" vertical="top"/>
    </xf>
    <xf numFmtId="0" fontId="69" fillId="0" borderId="0" xfId="0" applyFont="1" applyAlignment="1">
      <alignment vertical="top"/>
    </xf>
    <xf numFmtId="14" fontId="71" fillId="7" borderId="92" xfId="0" applyNumberFormat="1" applyFont="1" applyFill="1" applyBorder="1"/>
    <xf numFmtId="4" fontId="9" fillId="12" borderId="4" xfId="0" applyNumberFormat="1" applyFont="1" applyFill="1" applyBorder="1" applyAlignment="1">
      <alignment horizontal="center"/>
    </xf>
    <xf numFmtId="0" fontId="18" fillId="0" borderId="4" xfId="0" applyFont="1" applyBorder="1" applyAlignment="1">
      <alignment horizontal="center"/>
    </xf>
    <xf numFmtId="0" fontId="7" fillId="0" borderId="7" xfId="0" applyFont="1" applyBorder="1" applyAlignment="1">
      <alignment wrapText="1"/>
    </xf>
    <xf numFmtId="0" fontId="206" fillId="0" borderId="4" xfId="0" applyFont="1" applyBorder="1" applyAlignment="1">
      <alignment vertical="center" wrapText="1"/>
    </xf>
    <xf numFmtId="0" fontId="15" fillId="0" borderId="15" xfId="0" applyFont="1" applyBorder="1" applyAlignment="1">
      <alignment horizontal="left" vertical="center"/>
    </xf>
    <xf numFmtId="4" fontId="15" fillId="0" borderId="6" xfId="0" applyNumberFormat="1" applyFont="1" applyBorder="1" applyAlignment="1">
      <alignment horizontal="center" vertical="center"/>
    </xf>
    <xf numFmtId="4" fontId="15" fillId="0" borderId="22" xfId="0" applyNumberFormat="1" applyFont="1" applyBorder="1" applyAlignment="1">
      <alignment horizontal="center" vertical="center"/>
    </xf>
    <xf numFmtId="0" fontId="7" fillId="2" borderId="0" xfId="0" applyFont="1" applyFill="1" applyAlignment="1">
      <alignment wrapText="1"/>
    </xf>
    <xf numFmtId="0" fontId="208" fillId="2" borderId="65" xfId="0" applyFont="1" applyFill="1" applyBorder="1" applyAlignment="1">
      <alignment vertical="center" wrapText="1"/>
    </xf>
    <xf numFmtId="14" fontId="15" fillId="12" borderId="65" xfId="0" applyNumberFormat="1" applyFont="1" applyFill="1" applyBorder="1"/>
    <xf numFmtId="17" fontId="15" fillId="2" borderId="65" xfId="0" applyNumberFormat="1" applyFont="1" applyFill="1" applyBorder="1"/>
    <xf numFmtId="17" fontId="15" fillId="2" borderId="99" xfId="0" applyNumberFormat="1" applyFont="1" applyFill="1" applyBorder="1"/>
    <xf numFmtId="3" fontId="105" fillId="7" borderId="76" xfId="0" applyNumberFormat="1" applyFont="1" applyFill="1" applyBorder="1" applyAlignment="1" applyProtection="1">
      <alignment horizontal="center" shrinkToFit="1"/>
      <protection locked="0"/>
    </xf>
    <xf numFmtId="3" fontId="15" fillId="2" borderId="19" xfId="0" applyNumberFormat="1" applyFont="1" applyFill="1" applyBorder="1" applyAlignment="1">
      <alignment shrinkToFit="1"/>
    </xf>
    <xf numFmtId="3" fontId="15" fillId="2" borderId="23" xfId="0" applyNumberFormat="1" applyFont="1" applyFill="1" applyBorder="1" applyAlignment="1">
      <alignment shrinkToFit="1"/>
    </xf>
    <xf numFmtId="3" fontId="141" fillId="2" borderId="11" xfId="0" applyNumberFormat="1" applyFont="1" applyFill="1" applyBorder="1" applyAlignment="1">
      <alignment horizontal="right"/>
    </xf>
    <xf numFmtId="0" fontId="7" fillId="2" borderId="8" xfId="0" applyFont="1" applyFill="1" applyBorder="1" applyAlignment="1">
      <alignment wrapText="1"/>
    </xf>
    <xf numFmtId="4" fontId="7" fillId="2" borderId="14" xfId="0" applyNumberFormat="1" applyFont="1" applyFill="1" applyBorder="1" applyAlignment="1">
      <alignment horizontal="center" shrinkToFit="1"/>
    </xf>
    <xf numFmtId="0" fontId="19" fillId="2" borderId="0" xfId="0" applyFont="1" applyFill="1" applyAlignment="1">
      <alignment vertical="center" wrapText="1"/>
    </xf>
    <xf numFmtId="0" fontId="31" fillId="2" borderId="0" xfId="0" applyFont="1" applyFill="1" applyAlignment="1">
      <alignment horizontal="left" vertical="center" wrapText="1"/>
    </xf>
    <xf numFmtId="0" fontId="169" fillId="2" borderId="0" xfId="0" applyFont="1" applyFill="1" applyAlignment="1">
      <alignment vertical="center" wrapText="1"/>
    </xf>
    <xf numFmtId="0" fontId="69" fillId="0" borderId="5" xfId="0" applyFont="1" applyBorder="1"/>
    <xf numFmtId="0" fontId="165" fillId="0" borderId="17" xfId="0" applyFont="1" applyBorder="1" applyAlignment="1">
      <alignment horizontal="right" vertical="center"/>
    </xf>
    <xf numFmtId="0" fontId="165" fillId="0" borderId="0" xfId="0" applyFont="1" applyAlignment="1">
      <alignment horizontal="right" vertical="center"/>
    </xf>
    <xf numFmtId="0" fontId="7" fillId="2" borderId="0" xfId="0" applyFont="1" applyFill="1" applyAlignment="1" applyProtection="1">
      <alignment horizontal="left" vertical="center" wrapText="1"/>
      <protection locked="0"/>
    </xf>
    <xf numFmtId="0" fontId="163" fillId="0" borderId="6" xfId="0" applyFont="1" applyBorder="1" applyAlignment="1">
      <alignment horizontal="right" wrapText="1"/>
    </xf>
    <xf numFmtId="0" fontId="165" fillId="0" borderId="41" xfId="0" applyFont="1" applyBorder="1" applyAlignment="1">
      <alignment horizontal="right" vertical="center"/>
    </xf>
    <xf numFmtId="0" fontId="163" fillId="0" borderId="143" xfId="0" applyFont="1" applyBorder="1" applyAlignment="1">
      <alignment horizontal="right" wrapText="1"/>
    </xf>
    <xf numFmtId="0" fontId="65" fillId="2" borderId="0" xfId="0" applyFont="1" applyFill="1" applyAlignment="1">
      <alignment vertical="top" shrinkToFit="1"/>
    </xf>
    <xf numFmtId="0" fontId="13" fillId="0" borderId="220" xfId="0" applyFont="1" applyBorder="1" applyAlignment="1">
      <alignment vertical="top" wrapText="1"/>
    </xf>
    <xf numFmtId="4" fontId="49" fillId="2" borderId="8" xfId="0" applyNumberFormat="1" applyFont="1" applyFill="1" applyBorder="1" applyAlignment="1">
      <alignment horizontal="right"/>
    </xf>
    <xf numFmtId="9" fontId="60" fillId="13" borderId="8" xfId="1" applyFont="1" applyFill="1" applyBorder="1" applyAlignment="1" applyProtection="1">
      <alignment horizontal="center"/>
      <protection locked="0"/>
    </xf>
    <xf numFmtId="0" fontId="203" fillId="2" borderId="0" xfId="0" applyFont="1" applyFill="1" applyAlignment="1">
      <alignment horizontal="center"/>
    </xf>
    <xf numFmtId="9" fontId="203" fillId="2" borderId="8" xfId="0" applyNumberFormat="1" applyFont="1" applyFill="1" applyBorder="1" applyAlignment="1">
      <alignment horizontal="center"/>
    </xf>
    <xf numFmtId="0" fontId="60" fillId="0" borderId="0" xfId="0" applyFont="1" applyAlignment="1">
      <alignment horizontal="left" vertical="top" wrapText="1"/>
    </xf>
    <xf numFmtId="0" fontId="141" fillId="2" borderId="0" xfId="0" applyFont="1" applyFill="1"/>
    <xf numFmtId="0" fontId="69" fillId="2" borderId="0" xfId="0" applyFont="1" applyFill="1"/>
    <xf numFmtId="3" fontId="241" fillId="0" borderId="39" xfId="0" applyNumberFormat="1" applyFont="1" applyBorder="1"/>
    <xf numFmtId="165" fontId="20" fillId="11" borderId="8" xfId="0" applyNumberFormat="1" applyFont="1" applyFill="1" applyBorder="1" applyAlignment="1">
      <alignment horizontal="center" shrinkToFit="1"/>
    </xf>
    <xf numFmtId="3" fontId="20" fillId="0" borderId="23" xfId="0" applyNumberFormat="1" applyFont="1" applyBorder="1" applyAlignment="1">
      <alignment horizontal="center"/>
    </xf>
    <xf numFmtId="2" fontId="51" fillId="11" borderId="4" xfId="0" applyNumberFormat="1" applyFont="1" applyFill="1" applyBorder="1" applyAlignment="1">
      <alignment horizontal="center" vertical="center"/>
    </xf>
    <xf numFmtId="2" fontId="51" fillId="11" borderId="23" xfId="0" applyNumberFormat="1" applyFont="1" applyFill="1" applyBorder="1" applyAlignment="1">
      <alignment horizontal="center" vertical="center"/>
    </xf>
    <xf numFmtId="0" fontId="31" fillId="20" borderId="65" xfId="0" applyFont="1" applyFill="1" applyBorder="1" applyAlignment="1">
      <alignment horizontal="center" wrapText="1"/>
    </xf>
    <xf numFmtId="2" fontId="51" fillId="20" borderId="65" xfId="0" applyNumberFormat="1" applyFont="1" applyFill="1" applyBorder="1" applyAlignment="1">
      <alignment horizontal="center" vertical="center"/>
    </xf>
    <xf numFmtId="0" fontId="136" fillId="20" borderId="65" xfId="0" applyFont="1" applyFill="1" applyBorder="1" applyAlignment="1">
      <alignment horizontal="center" wrapText="1"/>
    </xf>
    <xf numFmtId="0" fontId="74" fillId="2" borderId="0" xfId="0" applyFont="1" applyFill="1" applyAlignment="1">
      <alignment horizontal="center" vertical="top"/>
    </xf>
    <xf numFmtId="166" fontId="74" fillId="0" borderId="0" xfId="0" applyNumberFormat="1" applyFont="1" applyAlignment="1">
      <alignment vertical="center"/>
    </xf>
    <xf numFmtId="0" fontId="214" fillId="0" borderId="0" xfId="0" applyFont="1" applyAlignment="1">
      <alignment horizontal="center" vertical="center"/>
    </xf>
    <xf numFmtId="4" fontId="49" fillId="2" borderId="3" xfId="0" applyNumberFormat="1" applyFont="1" applyFill="1" applyBorder="1" applyAlignment="1">
      <alignment horizontal="left"/>
    </xf>
    <xf numFmtId="0" fontId="9" fillId="0" borderId="7" xfId="0" applyFont="1" applyBorder="1" applyAlignment="1">
      <alignment vertical="center"/>
    </xf>
    <xf numFmtId="0" fontId="15" fillId="0" borderId="50" xfId="0" applyFont="1" applyBorder="1"/>
    <xf numFmtId="2" fontId="9" fillId="0" borderId="0" xfId="0" applyNumberFormat="1" applyFont="1"/>
    <xf numFmtId="0" fontId="161" fillId="0" borderId="0" xfId="0" applyFont="1" applyAlignment="1">
      <alignment vertical="center" wrapText="1"/>
    </xf>
    <xf numFmtId="0" fontId="7" fillId="0" borderId="0" xfId="0" applyFont="1" applyAlignment="1">
      <alignment vertical="center" wrapText="1"/>
    </xf>
    <xf numFmtId="0" fontId="60" fillId="0" borderId="0" xfId="0" applyFont="1" applyAlignment="1">
      <alignment vertical="top" wrapText="1"/>
    </xf>
    <xf numFmtId="0" fontId="15" fillId="0" borderId="226" xfId="0" applyFont="1" applyBorder="1"/>
    <xf numFmtId="0" fontId="54" fillId="0" borderId="55" xfId="0" applyFont="1" applyBorder="1"/>
    <xf numFmtId="0" fontId="13" fillId="0" borderId="55" xfId="0" applyFont="1" applyBorder="1"/>
    <xf numFmtId="0" fontId="243" fillId="0" borderId="0" xfId="0" applyFont="1"/>
    <xf numFmtId="0" fontId="63" fillId="0" borderId="0" xfId="0" applyFont="1"/>
    <xf numFmtId="0" fontId="63" fillId="0" borderId="53" xfId="0" applyFont="1" applyBorder="1"/>
    <xf numFmtId="3" fontId="243" fillId="0" borderId="0" xfId="0" applyNumberFormat="1" applyFont="1"/>
    <xf numFmtId="3" fontId="63" fillId="2" borderId="0" xfId="0" applyNumberFormat="1" applyFont="1" applyFill="1" applyAlignment="1">
      <alignment horizontal="left" wrapText="1"/>
    </xf>
    <xf numFmtId="49" fontId="63" fillId="2" borderId="0" xfId="0" applyNumberFormat="1" applyFont="1" applyFill="1" applyAlignment="1">
      <alignment horizontal="left" wrapText="1"/>
    </xf>
    <xf numFmtId="3" fontId="243" fillId="0" borderId="0" xfId="0" applyNumberFormat="1" applyFont="1" applyAlignment="1">
      <alignment horizontal="right"/>
    </xf>
    <xf numFmtId="3" fontId="243" fillId="0" borderId="0" xfId="0" applyNumberFormat="1" applyFont="1" applyAlignment="1">
      <alignment horizontal="center"/>
    </xf>
    <xf numFmtId="0" fontId="126" fillId="0" borderId="0" xfId="0" applyFont="1" applyAlignment="1">
      <alignment horizontal="left"/>
    </xf>
    <xf numFmtId="0" fontId="66" fillId="0" borderId="0" xfId="0" applyFont="1" applyAlignment="1">
      <alignment vertical="center" wrapText="1"/>
    </xf>
    <xf numFmtId="0" fontId="67" fillId="0" borderId="0" xfId="0" applyFont="1"/>
    <xf numFmtId="0" fontId="244" fillId="0" borderId="0" xfId="0" applyFont="1"/>
    <xf numFmtId="3" fontId="245" fillId="5" borderId="8" xfId="0" applyNumberFormat="1" applyFont="1" applyFill="1" applyBorder="1" applyAlignment="1">
      <alignment horizontal="center" vertical="center"/>
    </xf>
    <xf numFmtId="0" fontId="15" fillId="2" borderId="0" xfId="0" applyFont="1" applyFill="1" applyAlignment="1">
      <alignment wrapText="1"/>
    </xf>
    <xf numFmtId="3" fontId="60" fillId="7" borderId="109" xfId="0" applyNumberFormat="1" applyFont="1" applyFill="1" applyBorder="1" applyAlignment="1" applyProtection="1">
      <alignment horizontal="center" vertical="center"/>
      <protection locked="0"/>
    </xf>
    <xf numFmtId="166" fontId="60" fillId="7" borderId="109" xfId="0" applyNumberFormat="1" applyFont="1" applyFill="1" applyBorder="1" applyAlignment="1" applyProtection="1">
      <alignment horizontal="center" vertical="center"/>
      <protection locked="0"/>
    </xf>
    <xf numFmtId="0" fontId="58" fillId="0" borderId="0" xfId="0" applyFont="1" applyAlignment="1">
      <alignment vertical="top" wrapText="1"/>
    </xf>
    <xf numFmtId="166" fontId="234" fillId="0" borderId="0" xfId="0" applyNumberFormat="1" applyFont="1" applyAlignment="1">
      <alignment horizontal="center"/>
    </xf>
    <xf numFmtId="0" fontId="15" fillId="0" borderId="227" xfId="0" applyFont="1" applyBorder="1"/>
    <xf numFmtId="49" fontId="19" fillId="0" borderId="228" xfId="0" applyNumberFormat="1" applyFont="1" applyBorder="1" applyAlignment="1">
      <alignment horizontal="center"/>
    </xf>
    <xf numFmtId="0" fontId="11" fillId="0" borderId="227" xfId="0" applyFont="1" applyBorder="1"/>
    <xf numFmtId="164" fontId="11" fillId="0" borderId="229" xfId="0" applyNumberFormat="1" applyFont="1" applyBorder="1"/>
    <xf numFmtId="165" fontId="20" fillId="0" borderId="230" xfId="0" applyNumberFormat="1" applyFont="1" applyBorder="1" applyAlignment="1">
      <alignment horizontal="center"/>
    </xf>
    <xf numFmtId="164" fontId="11" fillId="0" borderId="231" xfId="0" applyNumberFormat="1" applyFont="1" applyBorder="1"/>
    <xf numFmtId="164" fontId="11" fillId="0" borderId="227" xfId="0" applyNumberFormat="1" applyFont="1" applyBorder="1"/>
    <xf numFmtId="164" fontId="11" fillId="11" borderId="231" xfId="0" applyNumberFormat="1" applyFont="1" applyFill="1" applyBorder="1"/>
    <xf numFmtId="165" fontId="20" fillId="11" borderId="232" xfId="0" applyNumberFormat="1" applyFont="1" applyFill="1" applyBorder="1" applyAlignment="1">
      <alignment horizontal="center"/>
    </xf>
    <xf numFmtId="164" fontId="11" fillId="11" borderId="233" xfId="0" applyNumberFormat="1" applyFont="1" applyFill="1" applyBorder="1"/>
    <xf numFmtId="3" fontId="15" fillId="0" borderId="234" xfId="0" applyNumberFormat="1" applyFont="1" applyBorder="1" applyAlignment="1">
      <alignment horizontal="right" shrinkToFit="1"/>
    </xf>
    <xf numFmtId="164" fontId="11" fillId="11" borderId="235" xfId="0" applyNumberFormat="1" applyFont="1" applyFill="1" applyBorder="1"/>
    <xf numFmtId="0" fontId="22" fillId="11" borderId="236" xfId="0" applyFont="1" applyFill="1" applyBorder="1" applyAlignment="1">
      <alignment vertical="center" wrapText="1"/>
    </xf>
    <xf numFmtId="167" fontId="9" fillId="11" borderId="237" xfId="0" applyNumberFormat="1" applyFont="1" applyFill="1" applyBorder="1" applyAlignment="1">
      <alignment horizontal="right" shrinkToFit="1"/>
    </xf>
    <xf numFmtId="165" fontId="20" fillId="11" borderId="238" xfId="0" applyNumberFormat="1" applyFont="1" applyFill="1" applyBorder="1" applyAlignment="1">
      <alignment horizontal="center"/>
    </xf>
    <xf numFmtId="3" fontId="7" fillId="25" borderId="239" xfId="0" applyNumberFormat="1" applyFont="1" applyFill="1" applyBorder="1" applyAlignment="1">
      <alignment horizontal="left" vertical="center"/>
    </xf>
    <xf numFmtId="0" fontId="15" fillId="25" borderId="0" xfId="0" applyFont="1" applyFill="1" applyAlignment="1">
      <alignment vertical="center"/>
    </xf>
    <xf numFmtId="0" fontId="15" fillId="25" borderId="240" xfId="0" applyFont="1" applyFill="1" applyBorder="1" applyAlignment="1">
      <alignment vertical="center"/>
    </xf>
    <xf numFmtId="3" fontId="15" fillId="2" borderId="239" xfId="0" applyNumberFormat="1" applyFont="1" applyFill="1" applyBorder="1" applyAlignment="1">
      <alignment horizontal="center"/>
    </xf>
    <xf numFmtId="3" fontId="15" fillId="0" borderId="241" xfId="0" applyNumberFormat="1" applyFont="1" applyBorder="1" applyAlignment="1">
      <alignment horizontal="right" shrinkToFit="1"/>
    </xf>
    <xf numFmtId="3" fontId="9" fillId="11" borderId="242" xfId="0" applyNumberFormat="1" applyFont="1" applyFill="1" applyBorder="1" applyAlignment="1">
      <alignment horizontal="right" shrinkToFit="1"/>
    </xf>
    <xf numFmtId="167" fontId="9" fillId="11" borderId="242" xfId="0" applyNumberFormat="1" applyFont="1" applyFill="1" applyBorder="1" applyAlignment="1">
      <alignment horizontal="right" shrinkToFit="1"/>
    </xf>
    <xf numFmtId="165" fontId="20" fillId="0" borderId="14" xfId="0" applyNumberFormat="1" applyFont="1" applyBorder="1" applyAlignment="1">
      <alignment horizontal="center"/>
    </xf>
    <xf numFmtId="3" fontId="20" fillId="0" borderId="14" xfId="0" applyNumberFormat="1" applyFont="1" applyBorder="1" applyAlignment="1">
      <alignment horizontal="center"/>
    </xf>
    <xf numFmtId="0" fontId="15" fillId="0" borderId="243" xfId="0" applyFont="1" applyBorder="1"/>
    <xf numFmtId="0" fontId="58" fillId="0" borderId="243" xfId="0" applyFont="1" applyBorder="1"/>
    <xf numFmtId="3" fontId="15" fillId="2" borderId="244" xfId="0" applyNumberFormat="1" applyFont="1" applyFill="1" applyBorder="1" applyAlignment="1">
      <alignment horizontal="center"/>
    </xf>
    <xf numFmtId="3" fontId="15" fillId="0" borderId="245" xfId="0" applyNumberFormat="1" applyFont="1" applyBorder="1" applyAlignment="1">
      <alignment horizontal="right" shrinkToFit="1"/>
    </xf>
    <xf numFmtId="3" fontId="15" fillId="0" borderId="246" xfId="0" applyNumberFormat="1" applyFont="1" applyBorder="1" applyAlignment="1">
      <alignment horizontal="right" shrinkToFit="1"/>
    </xf>
    <xf numFmtId="3" fontId="9" fillId="11" borderId="246" xfId="0" applyNumberFormat="1" applyFont="1" applyFill="1" applyBorder="1" applyAlignment="1">
      <alignment horizontal="right" shrinkToFit="1"/>
    </xf>
    <xf numFmtId="3" fontId="9" fillId="11" borderId="247" xfId="0" applyNumberFormat="1" applyFont="1" applyFill="1" applyBorder="1" applyAlignment="1">
      <alignment horizontal="right" shrinkToFit="1"/>
    </xf>
    <xf numFmtId="3" fontId="69" fillId="5" borderId="0" xfId="0" applyNumberFormat="1" applyFont="1" applyFill="1" applyAlignment="1">
      <alignment horizontal="center" shrinkToFit="1"/>
    </xf>
    <xf numFmtId="0" fontId="69" fillId="5" borderId="0" xfId="0" applyFont="1" applyFill="1" applyAlignment="1">
      <alignment shrinkToFit="1"/>
    </xf>
    <xf numFmtId="165" fontId="69" fillId="5" borderId="0" xfId="0" applyNumberFormat="1" applyFont="1" applyFill="1" applyAlignment="1">
      <alignment horizontal="center" shrinkToFit="1"/>
    </xf>
    <xf numFmtId="166" fontId="234" fillId="5" borderId="0" xfId="0" applyNumberFormat="1" applyFont="1" applyFill="1" applyAlignment="1">
      <alignment horizontal="center"/>
    </xf>
    <xf numFmtId="0" fontId="108" fillId="5" borderId="0" xfId="0" applyFont="1" applyFill="1"/>
    <xf numFmtId="3" fontId="15" fillId="5" borderId="12" xfId="0" applyNumberFormat="1" applyFont="1" applyFill="1" applyBorder="1" applyAlignment="1">
      <alignment horizontal="right" shrinkToFit="1"/>
    </xf>
    <xf numFmtId="3" fontId="246" fillId="0" borderId="8" xfId="0" applyNumberFormat="1" applyFont="1" applyBorder="1" applyAlignment="1">
      <alignment horizontal="right"/>
    </xf>
    <xf numFmtId="3" fontId="246" fillId="0" borderId="13" xfId="0" applyNumberFormat="1" applyFont="1" applyBorder="1" applyAlignment="1">
      <alignment horizontal="right"/>
    </xf>
    <xf numFmtId="3" fontId="11" fillId="0" borderId="8" xfId="0" applyNumberFormat="1" applyFont="1" applyBorder="1" applyAlignment="1">
      <alignment horizontal="right"/>
    </xf>
    <xf numFmtId="3" fontId="11" fillId="0" borderId="13" xfId="0" applyNumberFormat="1" applyFont="1" applyBorder="1" applyAlignment="1">
      <alignment horizontal="right"/>
    </xf>
    <xf numFmtId="165" fontId="247" fillId="0" borderId="12" xfId="0" applyNumberFormat="1" applyFont="1" applyBorder="1" applyAlignment="1">
      <alignment horizontal="center"/>
    </xf>
    <xf numFmtId="165" fontId="20" fillId="0" borderId="12" xfId="0" applyNumberFormat="1" applyFont="1" applyBorder="1" applyAlignment="1">
      <alignment horizontal="center"/>
    </xf>
    <xf numFmtId="165" fontId="20" fillId="11" borderId="14" xfId="0" applyNumberFormat="1" applyFont="1" applyFill="1" applyBorder="1" applyAlignment="1">
      <alignment horizontal="center"/>
    </xf>
    <xf numFmtId="165" fontId="20" fillId="5" borderId="12" xfId="0" applyNumberFormat="1" applyFont="1" applyFill="1" applyBorder="1" applyAlignment="1">
      <alignment horizontal="center"/>
    </xf>
    <xf numFmtId="165" fontId="20" fillId="11" borderId="12" xfId="0" applyNumberFormat="1" applyFont="1" applyFill="1" applyBorder="1" applyAlignment="1">
      <alignment horizontal="center" shrinkToFit="1"/>
    </xf>
    <xf numFmtId="0" fontId="58" fillId="0" borderId="17" xfId="0" applyFont="1" applyBorder="1"/>
    <xf numFmtId="0" fontId="58" fillId="0" borderId="0" xfId="0" applyFont="1"/>
    <xf numFmtId="0" fontId="58" fillId="0" borderId="8" xfId="0" applyFont="1" applyBorder="1"/>
    <xf numFmtId="0" fontId="69" fillId="0" borderId="17" xfId="0" applyFont="1" applyBorder="1"/>
    <xf numFmtId="0" fontId="69" fillId="0" borderId="3" xfId="0" applyFont="1" applyBorder="1"/>
    <xf numFmtId="166" fontId="234" fillId="0" borderId="243" xfId="0" applyNumberFormat="1" applyFont="1" applyBorder="1" applyAlignment="1">
      <alignment horizontal="center"/>
    </xf>
    <xf numFmtId="0" fontId="108" fillId="0" borderId="0" xfId="0" applyFont="1"/>
    <xf numFmtId="165" fontId="20" fillId="0" borderId="1" xfId="0" applyNumberFormat="1" applyFont="1" applyBorder="1" applyAlignment="1">
      <alignment horizontal="center"/>
    </xf>
    <xf numFmtId="0" fontId="188" fillId="0" borderId="0" xfId="0" applyFont="1" applyAlignment="1">
      <alignment horizontal="center" vertical="center" wrapText="1"/>
    </xf>
    <xf numFmtId="0" fontId="215" fillId="0" borderId="0" xfId="0" applyFont="1" applyAlignment="1">
      <alignment horizontal="center" vertical="center"/>
    </xf>
    <xf numFmtId="0" fontId="215" fillId="0" borderId="0" xfId="0" applyFont="1" applyAlignment="1">
      <alignment horizontal="left" vertical="center"/>
    </xf>
    <xf numFmtId="167" fontId="9" fillId="11" borderId="254" xfId="0" applyNumberFormat="1" applyFont="1" applyFill="1" applyBorder="1" applyAlignment="1">
      <alignment horizontal="right" shrinkToFit="1"/>
    </xf>
    <xf numFmtId="3" fontId="22" fillId="11" borderId="255" xfId="0" applyNumberFormat="1" applyFont="1" applyFill="1" applyBorder="1" applyAlignment="1">
      <alignment horizontal="right"/>
    </xf>
    <xf numFmtId="165" fontId="20" fillId="11" borderId="256" xfId="0" applyNumberFormat="1" applyFont="1" applyFill="1" applyBorder="1" applyAlignment="1">
      <alignment horizontal="center" shrinkToFit="1"/>
    </xf>
    <xf numFmtId="0" fontId="58" fillId="0" borderId="257" xfId="0" applyFont="1" applyBorder="1" applyAlignment="1">
      <alignment vertical="top" wrapText="1"/>
    </xf>
    <xf numFmtId="0" fontId="58" fillId="0" borderId="256" xfId="0" applyFont="1" applyBorder="1" applyAlignment="1">
      <alignment vertical="top" wrapText="1"/>
    </xf>
    <xf numFmtId="3" fontId="60" fillId="7" borderId="258" xfId="0" applyNumberFormat="1" applyFont="1" applyFill="1" applyBorder="1" applyAlignment="1" applyProtection="1">
      <alignment horizontal="center" vertical="center"/>
      <protection locked="0"/>
    </xf>
    <xf numFmtId="0" fontId="215" fillId="0" borderId="256" xfId="0" applyFont="1" applyBorder="1" applyAlignment="1">
      <alignment horizontal="center" vertical="center"/>
    </xf>
    <xf numFmtId="167" fontId="9" fillId="11" borderId="259" xfId="0" applyNumberFormat="1" applyFont="1" applyFill="1" applyBorder="1" applyAlignment="1">
      <alignment horizontal="right" shrinkToFit="1"/>
    </xf>
    <xf numFmtId="165" fontId="20" fillId="11" borderId="260" xfId="0" applyNumberFormat="1" applyFont="1" applyFill="1" applyBorder="1" applyAlignment="1">
      <alignment horizontal="center" shrinkToFit="1"/>
    </xf>
    <xf numFmtId="3" fontId="7" fillId="25" borderId="251" xfId="0" applyNumberFormat="1" applyFont="1" applyFill="1" applyBorder="1" applyAlignment="1">
      <alignment horizontal="left" vertical="center"/>
    </xf>
    <xf numFmtId="3" fontId="7" fillId="25" borderId="0" xfId="0" applyNumberFormat="1" applyFont="1" applyFill="1" applyAlignment="1">
      <alignment horizontal="center" vertical="center"/>
    </xf>
    <xf numFmtId="3" fontId="7" fillId="25" borderId="252" xfId="0" applyNumberFormat="1" applyFont="1" applyFill="1" applyBorder="1" applyAlignment="1">
      <alignment horizontal="right" vertical="center"/>
    </xf>
    <xf numFmtId="0" fontId="249" fillId="0" borderId="251" xfId="0" applyFont="1" applyBorder="1" applyAlignment="1">
      <alignment horizontal="center" vertical="center"/>
    </xf>
    <xf numFmtId="0" fontId="249" fillId="0" borderId="253" xfId="0" applyFont="1" applyBorder="1" applyAlignment="1">
      <alignment horizontal="center" vertical="center"/>
    </xf>
    <xf numFmtId="0" fontId="15" fillId="0" borderId="251" xfId="0" applyFont="1" applyBorder="1"/>
    <xf numFmtId="0" fontId="69" fillId="0" borderId="243" xfId="0" applyFont="1" applyBorder="1"/>
    <xf numFmtId="0" fontId="248" fillId="0" borderId="0" xfId="0" applyFont="1"/>
    <xf numFmtId="0" fontId="15" fillId="0" borderId="252" xfId="0" applyFont="1" applyBorder="1"/>
    <xf numFmtId="0" fontId="250" fillId="0" borderId="262" xfId="0" applyFont="1" applyBorder="1" applyAlignment="1">
      <alignment horizontal="center"/>
    </xf>
    <xf numFmtId="0" fontId="15" fillId="0" borderId="263" xfId="0" applyFont="1" applyBorder="1"/>
    <xf numFmtId="0" fontId="15" fillId="0" borderId="263" xfId="0" applyFont="1" applyBorder="1" applyAlignment="1">
      <alignment horizontal="right"/>
    </xf>
    <xf numFmtId="0" fontId="250" fillId="0" borderId="264" xfId="0" applyFont="1" applyBorder="1" applyAlignment="1">
      <alignment horizontal="center"/>
    </xf>
    <xf numFmtId="0" fontId="253" fillId="0" borderId="252" xfId="0" applyFont="1" applyBorder="1" applyAlignment="1">
      <alignment horizontal="center" vertical="center"/>
    </xf>
    <xf numFmtId="0" fontId="253" fillId="0" borderId="261" xfId="0" applyFont="1" applyBorder="1" applyAlignment="1">
      <alignment horizontal="center" vertical="center"/>
    </xf>
    <xf numFmtId="0" fontId="49" fillId="0" borderId="263" xfId="0" applyFont="1" applyBorder="1" applyAlignment="1">
      <alignment horizontal="center"/>
    </xf>
    <xf numFmtId="0" fontId="7" fillId="4" borderId="0" xfId="0" applyFont="1" applyFill="1"/>
    <xf numFmtId="0" fontId="160" fillId="4" borderId="0" xfId="0" applyFont="1" applyFill="1"/>
    <xf numFmtId="0" fontId="56" fillId="4" borderId="0" xfId="0" applyFont="1" applyFill="1"/>
    <xf numFmtId="0" fontId="88" fillId="4" borderId="0" xfId="0" applyFont="1" applyFill="1"/>
    <xf numFmtId="49" fontId="88" fillId="4" borderId="0" xfId="0" applyNumberFormat="1" applyFont="1" applyFill="1"/>
    <xf numFmtId="0" fontId="74" fillId="4" borderId="0" xfId="0" applyFont="1" applyFill="1"/>
    <xf numFmtId="0" fontId="64" fillId="4" borderId="0" xfId="0" applyFont="1" applyFill="1"/>
    <xf numFmtId="0" fontId="56" fillId="4" borderId="0" xfId="0" applyFont="1" applyFill="1" applyAlignment="1">
      <alignment vertical="top"/>
    </xf>
    <xf numFmtId="0" fontId="54" fillId="4" borderId="0" xfId="0" applyFont="1" applyFill="1"/>
    <xf numFmtId="49" fontId="54" fillId="4" borderId="0" xfId="0" applyNumberFormat="1" applyFont="1" applyFill="1" applyAlignment="1">
      <alignment horizontal="center"/>
    </xf>
    <xf numFmtId="17" fontId="254" fillId="4" borderId="0" xfId="0" applyNumberFormat="1" applyFont="1" applyFill="1"/>
    <xf numFmtId="0" fontId="254" fillId="4" borderId="0" xfId="0" applyFont="1" applyFill="1"/>
    <xf numFmtId="0" fontId="255" fillId="0" borderId="0" xfId="0" applyFont="1"/>
    <xf numFmtId="0" fontId="15" fillId="0" borderId="0" xfId="0" applyFont="1" applyAlignment="1">
      <alignment horizontal="center" vertical="center" wrapText="1"/>
    </xf>
    <xf numFmtId="166" fontId="69" fillId="0" borderId="0" xfId="0" applyNumberFormat="1" applyFont="1"/>
    <xf numFmtId="169" fontId="69" fillId="5" borderId="33" xfId="0" applyNumberFormat="1" applyFont="1" applyFill="1" applyBorder="1" applyAlignment="1">
      <alignment horizontal="center"/>
    </xf>
    <xf numFmtId="9" fontId="69" fillId="5" borderId="33" xfId="0" applyNumberFormat="1" applyFont="1" applyFill="1" applyBorder="1" applyAlignment="1">
      <alignment horizontal="center"/>
    </xf>
    <xf numFmtId="0" fontId="69" fillId="5" borderId="33" xfId="0" applyFont="1" applyFill="1" applyBorder="1" applyAlignment="1">
      <alignment horizontal="center"/>
    </xf>
    <xf numFmtId="0" fontId="6" fillId="0" borderId="23" xfId="0" applyFont="1" applyBorder="1" applyAlignment="1">
      <alignment horizontal="center"/>
    </xf>
    <xf numFmtId="4" fontId="28" fillId="5" borderId="23" xfId="0" applyNumberFormat="1" applyFont="1" applyFill="1" applyBorder="1" applyAlignment="1">
      <alignment horizontal="center" shrinkToFit="1"/>
    </xf>
    <xf numFmtId="4" fontId="28" fillId="5" borderId="14" xfId="0" applyNumberFormat="1" applyFont="1" applyFill="1" applyBorder="1" applyAlignment="1">
      <alignment horizontal="center" shrinkToFit="1"/>
    </xf>
    <xf numFmtId="0" fontId="156" fillId="0" borderId="0" xfId="0" applyFont="1" applyAlignment="1">
      <alignment vertical="center" wrapText="1"/>
    </xf>
    <xf numFmtId="0" fontId="164" fillId="0" borderId="8" xfId="0" applyFont="1" applyBorder="1" applyAlignment="1">
      <alignment horizontal="right" vertical="center" wrapText="1"/>
    </xf>
    <xf numFmtId="0" fontId="11" fillId="0" borderId="14" xfId="0" applyFont="1" applyBorder="1" applyAlignment="1">
      <alignment horizontal="center" vertical="center" wrapText="1"/>
    </xf>
    <xf numFmtId="0" fontId="11" fillId="0" borderId="10" xfId="0" applyFont="1" applyBorder="1" applyAlignment="1">
      <alignment horizontal="center" vertical="center"/>
    </xf>
    <xf numFmtId="4" fontId="9" fillId="0" borderId="10" xfId="0" applyNumberFormat="1" applyFont="1" applyBorder="1" applyAlignment="1">
      <alignment horizontal="center" vertical="center"/>
    </xf>
    <xf numFmtId="0" fontId="13" fillId="0" borderId="14" xfId="0" applyFont="1" applyBorder="1" applyAlignment="1">
      <alignment horizontal="center" vertical="center"/>
    </xf>
    <xf numFmtId="166" fontId="176" fillId="5" borderId="0" xfId="0" applyNumberFormat="1" applyFont="1" applyFill="1" applyAlignment="1">
      <alignment horizontal="right" vertical="center"/>
    </xf>
    <xf numFmtId="165" fontId="228" fillId="0" borderId="23" xfId="0" applyNumberFormat="1" applyFont="1" applyBorder="1" applyAlignment="1">
      <alignment horizontal="center"/>
    </xf>
    <xf numFmtId="0" fontId="69" fillId="0" borderId="0" xfId="0" applyFont="1" applyAlignment="1">
      <alignment wrapText="1"/>
    </xf>
    <xf numFmtId="49" fontId="256" fillId="2" borderId="71" xfId="0" applyNumberFormat="1" applyFont="1" applyFill="1" applyBorder="1" applyAlignment="1">
      <alignment horizontal="left" vertical="center" wrapText="1"/>
    </xf>
    <xf numFmtId="0" fontId="143" fillId="0" borderId="1" xfId="0" applyFont="1" applyBorder="1" applyAlignment="1">
      <alignment vertical="center"/>
    </xf>
    <xf numFmtId="0" fontId="23" fillId="0" borderId="1" xfId="0" applyFont="1" applyBorder="1" applyAlignment="1">
      <alignment wrapText="1"/>
    </xf>
    <xf numFmtId="0" fontId="23" fillId="0" borderId="0" xfId="0" applyFont="1" applyAlignment="1">
      <alignment wrapText="1"/>
    </xf>
    <xf numFmtId="0" fontId="102" fillId="0" borderId="0" xfId="0" applyFont="1" applyAlignment="1">
      <alignment horizontal="right" vertical="center"/>
    </xf>
    <xf numFmtId="0" fontId="15" fillId="0" borderId="23" xfId="0" applyFont="1" applyBorder="1" applyAlignment="1">
      <alignment horizontal="center" vertical="center"/>
    </xf>
    <xf numFmtId="0" fontId="15" fillId="0" borderId="23" xfId="0" applyFont="1" applyBorder="1" applyAlignment="1">
      <alignment horizontal="center" vertical="center" shrinkToFit="1"/>
    </xf>
    <xf numFmtId="0" fontId="11" fillId="0" borderId="1" xfId="0" applyFont="1" applyBorder="1" applyAlignment="1">
      <alignment horizontal="center" vertical="center" wrapText="1"/>
    </xf>
    <xf numFmtId="1" fontId="7" fillId="0" borderId="2" xfId="0" applyNumberFormat="1" applyFont="1" applyBorder="1" applyAlignment="1">
      <alignment horizontal="center" vertical="center"/>
    </xf>
    <xf numFmtId="17" fontId="15" fillId="0" borderId="14" xfId="0" applyNumberFormat="1" applyFont="1" applyBorder="1" applyAlignment="1">
      <alignment horizontal="center" wrapText="1"/>
    </xf>
    <xf numFmtId="16" fontId="71" fillId="0" borderId="0" xfId="0" applyNumberFormat="1" applyFont="1"/>
    <xf numFmtId="16" fontId="121" fillId="0" borderId="0" xfId="0" applyNumberFormat="1" applyFont="1" applyAlignment="1">
      <alignment horizontal="center"/>
    </xf>
    <xf numFmtId="0" fontId="141" fillId="0" borderId="34" xfId="0" applyFont="1" applyBorder="1"/>
    <xf numFmtId="1" fontId="9" fillId="0" borderId="27" xfId="0" applyNumberFormat="1" applyFont="1" applyBorder="1" applyAlignment="1">
      <alignment horizontal="center"/>
    </xf>
    <xf numFmtId="0" fontId="11" fillId="0" borderId="31" xfId="0" applyFont="1" applyBorder="1" applyAlignment="1">
      <alignment horizontal="right" vertical="center" wrapText="1"/>
    </xf>
    <xf numFmtId="4" fontId="9" fillId="2" borderId="11" xfId="0" applyNumberFormat="1" applyFont="1" applyFill="1" applyBorder="1" applyAlignment="1">
      <alignment horizontal="right" shrinkToFit="1"/>
    </xf>
    <xf numFmtId="4" fontId="60" fillId="7" borderId="170" xfId="0" applyNumberFormat="1" applyFont="1" applyFill="1" applyBorder="1" applyAlignment="1" applyProtection="1">
      <alignment horizontal="center" vertical="center" shrinkToFit="1"/>
      <protection locked="0"/>
    </xf>
    <xf numFmtId="3" fontId="141" fillId="0" borderId="0" xfId="0" applyNumberFormat="1" applyFont="1" applyAlignment="1">
      <alignment horizontal="center" vertical="center" wrapText="1"/>
    </xf>
    <xf numFmtId="0" fontId="79" fillId="0" borderId="17" xfId="0" applyFont="1" applyBorder="1"/>
    <xf numFmtId="0" fontId="79" fillId="0" borderId="8" xfId="0" applyFont="1" applyBorder="1"/>
    <xf numFmtId="14" fontId="82" fillId="2" borderId="0" xfId="0" applyNumberFormat="1" applyFont="1" applyFill="1" applyAlignment="1">
      <alignment horizontal="left"/>
    </xf>
    <xf numFmtId="0" fontId="7" fillId="0" borderId="4" xfId="0" applyFont="1" applyBorder="1" applyAlignment="1">
      <alignment shrinkToFit="1"/>
    </xf>
    <xf numFmtId="0" fontId="7" fillId="0" borderId="23" xfId="0" applyFont="1" applyBorder="1" applyAlignment="1">
      <alignment shrinkToFit="1"/>
    </xf>
    <xf numFmtId="0" fontId="23" fillId="29" borderId="213" xfId="0" applyFont="1" applyFill="1" applyBorder="1" applyAlignment="1">
      <alignment vertical="center" wrapText="1"/>
    </xf>
    <xf numFmtId="3" fontId="24" fillId="9" borderId="0" xfId="0" applyNumberFormat="1" applyFont="1" applyFill="1" applyAlignment="1">
      <alignment wrapText="1"/>
    </xf>
    <xf numFmtId="0" fontId="71" fillId="7" borderId="0" xfId="0" applyFont="1" applyFill="1"/>
    <xf numFmtId="0" fontId="71" fillId="0" borderId="23" xfId="0" applyFont="1" applyBorder="1" applyAlignment="1">
      <alignment wrapText="1"/>
    </xf>
    <xf numFmtId="0" fontId="71" fillId="7" borderId="23" xfId="0" applyFont="1" applyFill="1" applyBorder="1" applyAlignment="1" applyProtection="1">
      <alignment horizontal="center" vertical="center"/>
      <protection locked="0"/>
    </xf>
    <xf numFmtId="0" fontId="7" fillId="0" borderId="7" xfId="0" applyFont="1" applyBorder="1"/>
    <xf numFmtId="3" fontId="80" fillId="5" borderId="0" xfId="0" applyNumberFormat="1" applyFont="1" applyFill="1"/>
    <xf numFmtId="0" fontId="167" fillId="0" borderId="0" xfId="0" applyFont="1" applyAlignment="1">
      <alignment vertical="center"/>
    </xf>
    <xf numFmtId="0" fontId="167" fillId="0" borderId="0" xfId="0" applyFont="1" applyAlignment="1">
      <alignment vertical="center" wrapText="1"/>
    </xf>
    <xf numFmtId="49" fontId="18" fillId="2" borderId="6" xfId="0" applyNumberFormat="1" applyFont="1" applyFill="1" applyBorder="1" applyAlignment="1">
      <alignment horizontal="left" vertical="center"/>
    </xf>
    <xf numFmtId="0" fontId="224" fillId="2" borderId="0" xfId="0" applyFont="1" applyFill="1" applyAlignment="1">
      <alignment horizontal="center" wrapText="1"/>
    </xf>
    <xf numFmtId="0" fontId="261" fillId="0" borderId="0" xfId="0" applyFont="1"/>
    <xf numFmtId="0" fontId="15" fillId="9" borderId="138" xfId="0" applyFont="1" applyFill="1" applyBorder="1"/>
    <xf numFmtId="0" fontId="6" fillId="0" borderId="0" xfId="0" applyFont="1" applyAlignment="1">
      <alignment vertical="top" wrapText="1"/>
    </xf>
    <xf numFmtId="0" fontId="11" fillId="0" borderId="271" xfId="0" applyFont="1" applyBorder="1"/>
    <xf numFmtId="166" fontId="141" fillId="0" borderId="0" xfId="0" applyNumberFormat="1" applyFont="1" applyAlignment="1">
      <alignment horizontal="center"/>
    </xf>
    <xf numFmtId="0" fontId="22" fillId="0" borderId="0" xfId="0" applyFont="1" applyAlignment="1">
      <alignment horizontal="center" vertical="center"/>
    </xf>
    <xf numFmtId="168" fontId="15" fillId="0" borderId="4" xfId="0" applyNumberFormat="1" applyFont="1" applyBorder="1" applyAlignment="1">
      <alignment horizontal="center" shrinkToFit="1"/>
    </xf>
    <xf numFmtId="17" fontId="62" fillId="0" borderId="0" xfId="0" applyNumberFormat="1" applyFont="1" applyAlignment="1">
      <alignment shrinkToFit="1"/>
    </xf>
    <xf numFmtId="0" fontId="79" fillId="0" borderId="0" xfId="0" applyFont="1" applyAlignment="1">
      <alignment horizontal="center" vertical="center"/>
    </xf>
    <xf numFmtId="0" fontId="14" fillId="0" borderId="271" xfId="0" applyFont="1" applyBorder="1"/>
    <xf numFmtId="4" fontId="56" fillId="7" borderId="6" xfId="0" applyNumberFormat="1" applyFont="1" applyFill="1" applyBorder="1" applyAlignment="1" applyProtection="1">
      <alignment horizontal="center" vertical="center" shrinkToFit="1"/>
      <protection locked="0"/>
    </xf>
    <xf numFmtId="0" fontId="15" fillId="0" borderId="6" xfId="0" applyFont="1" applyBorder="1" applyAlignment="1">
      <alignment horizontal="center" vertical="center"/>
    </xf>
    <xf numFmtId="0" fontId="150" fillId="0" borderId="0" xfId="0" applyFont="1" applyAlignment="1">
      <alignment vertical="center"/>
    </xf>
    <xf numFmtId="0" fontId="62" fillId="0" borderId="0" xfId="0" applyFont="1" applyAlignment="1">
      <alignment shrinkToFit="1"/>
    </xf>
    <xf numFmtId="4" fontId="9" fillId="12" borderId="65" xfId="0" applyNumberFormat="1" applyFont="1" applyFill="1" applyBorder="1" applyAlignment="1">
      <alignment horizontal="center" shrinkToFit="1"/>
    </xf>
    <xf numFmtId="49" fontId="19" fillId="2" borderId="65" xfId="0" applyNumberFormat="1" applyFont="1" applyFill="1" applyBorder="1" applyAlignment="1">
      <alignment horizontal="left" vertical="center" shrinkToFit="1"/>
    </xf>
    <xf numFmtId="0" fontId="7" fillId="2" borderId="0" xfId="0" applyFont="1" applyFill="1" applyAlignment="1">
      <alignment shrinkToFit="1"/>
    </xf>
    <xf numFmtId="4" fontId="15" fillId="12" borderId="4" xfId="0" applyNumberFormat="1" applyFont="1" applyFill="1" applyBorder="1" applyAlignment="1">
      <alignment horizontal="center" shrinkToFit="1"/>
    </xf>
    <xf numFmtId="3" fontId="9" fillId="2" borderId="11" xfId="0" applyNumberFormat="1" applyFont="1" applyFill="1" applyBorder="1" applyAlignment="1">
      <alignment horizontal="right" shrinkToFit="1"/>
    </xf>
    <xf numFmtId="3" fontId="9" fillId="2" borderId="11" xfId="0" applyNumberFormat="1" applyFont="1" applyFill="1" applyBorder="1" applyAlignment="1" applyProtection="1">
      <alignment horizontal="right" shrinkToFit="1"/>
      <protection locked="0"/>
    </xf>
    <xf numFmtId="4" fontId="9" fillId="2" borderId="11" xfId="0" applyNumberFormat="1" applyFont="1" applyFill="1" applyBorder="1" applyAlignment="1">
      <alignment shrinkToFit="1"/>
    </xf>
    <xf numFmtId="0" fontId="13" fillId="2" borderId="41" xfId="0" applyFont="1" applyFill="1" applyBorder="1" applyAlignment="1" applyProtection="1">
      <alignment shrinkToFit="1"/>
      <protection locked="0"/>
    </xf>
    <xf numFmtId="0" fontId="7" fillId="2" borderId="4" xfId="0" applyFont="1" applyFill="1" applyBorder="1" applyAlignment="1" applyProtection="1">
      <alignment shrinkToFit="1"/>
      <protection locked="0"/>
    </xf>
    <xf numFmtId="4" fontId="9" fillId="12" borderId="65" xfId="0" applyNumberFormat="1" applyFont="1" applyFill="1" applyBorder="1" applyAlignment="1">
      <alignment horizontal="center" vertical="center" shrinkToFit="1"/>
    </xf>
    <xf numFmtId="0" fontId="7" fillId="2" borderId="65" xfId="0" applyFont="1" applyFill="1" applyBorder="1" applyAlignment="1" applyProtection="1">
      <alignment shrinkToFit="1"/>
      <protection locked="0"/>
    </xf>
    <xf numFmtId="4" fontId="15" fillId="12" borderId="65" xfId="0" applyNumberFormat="1" applyFont="1" applyFill="1" applyBorder="1" applyAlignment="1">
      <alignment horizontal="center" shrinkToFit="1"/>
    </xf>
    <xf numFmtId="4" fontId="105" fillId="7" borderId="65" xfId="0" applyNumberFormat="1" applyFont="1" applyFill="1" applyBorder="1" applyAlignment="1" applyProtection="1">
      <alignment horizontal="center" shrinkToFit="1"/>
      <protection locked="0"/>
    </xf>
    <xf numFmtId="2" fontId="56" fillId="7" borderId="4" xfId="0" applyNumberFormat="1" applyFont="1" applyFill="1" applyBorder="1" applyAlignment="1" applyProtection="1">
      <alignment horizontal="center" shrinkToFit="1"/>
      <protection locked="0"/>
    </xf>
    <xf numFmtId="2" fontId="56" fillId="7" borderId="23" xfId="0" applyNumberFormat="1" applyFont="1" applyFill="1" applyBorder="1" applyAlignment="1" applyProtection="1">
      <alignment horizontal="center" shrinkToFit="1"/>
      <protection locked="0"/>
    </xf>
    <xf numFmtId="4" fontId="56" fillId="7" borderId="23" xfId="0" applyNumberFormat="1" applyFont="1" applyFill="1" applyBorder="1" applyAlignment="1" applyProtection="1">
      <alignment horizontal="center" shrinkToFit="1"/>
      <protection locked="0"/>
    </xf>
    <xf numFmtId="0" fontId="13" fillId="2" borderId="0" xfId="0" applyFont="1" applyFill="1" applyAlignment="1">
      <alignment shrinkToFit="1"/>
    </xf>
    <xf numFmtId="0" fontId="5" fillId="2" borderId="0" xfId="0" applyFont="1" applyFill="1" applyAlignment="1">
      <alignment shrinkToFit="1"/>
    </xf>
    <xf numFmtId="177" fontId="7" fillId="2" borderId="0" xfId="0" applyNumberFormat="1" applyFont="1" applyFill="1" applyAlignment="1">
      <alignment horizontal="right" vertical="center" shrinkToFit="1"/>
    </xf>
    <xf numFmtId="177" fontId="7" fillId="2" borderId="48" xfId="0" applyNumberFormat="1" applyFont="1" applyFill="1" applyBorder="1" applyAlignment="1">
      <alignment horizontal="right" vertical="center" shrinkToFit="1"/>
    </xf>
    <xf numFmtId="166" fontId="15" fillId="0" borderId="65" xfId="0" applyNumberFormat="1" applyFont="1" applyBorder="1" applyAlignment="1">
      <alignment horizontal="center" shrinkToFit="1"/>
    </xf>
    <xf numFmtId="4" fontId="29" fillId="0" borderId="4" xfId="0" applyNumberFormat="1" applyFont="1" applyBorder="1" applyAlignment="1">
      <alignment horizontal="center" vertical="center" shrinkToFit="1"/>
    </xf>
    <xf numFmtId="4" fontId="13" fillId="12" borderId="65" xfId="0" applyNumberFormat="1" applyFont="1" applyFill="1" applyBorder="1" applyAlignment="1">
      <alignment horizontal="right" vertical="center" shrinkToFit="1"/>
    </xf>
    <xf numFmtId="4" fontId="7" fillId="12" borderId="4" xfId="0" applyNumberFormat="1" applyFont="1" applyFill="1" applyBorder="1" applyAlignment="1">
      <alignment horizontal="right" vertical="center" shrinkToFit="1"/>
    </xf>
    <xf numFmtId="4" fontId="13" fillId="0" borderId="23" xfId="0" applyNumberFormat="1" applyFont="1" applyBorder="1" applyAlignment="1">
      <alignment horizontal="right" shrinkToFit="1"/>
    </xf>
    <xf numFmtId="4" fontId="13" fillId="12" borderId="6" xfId="0" applyNumberFormat="1" applyFont="1" applyFill="1" applyBorder="1" applyAlignment="1">
      <alignment vertical="center"/>
    </xf>
    <xf numFmtId="4" fontId="13" fillId="12" borderId="4" xfId="0" applyNumberFormat="1" applyFont="1" applyFill="1" applyBorder="1" applyAlignment="1">
      <alignment vertical="center"/>
    </xf>
    <xf numFmtId="0" fontId="7" fillId="0" borderId="6" xfId="0" applyFont="1" applyBorder="1"/>
    <xf numFmtId="4" fontId="13" fillId="0" borderId="4" xfId="0" applyNumberFormat="1" applyFont="1" applyBorder="1" applyAlignment="1">
      <alignment horizontal="center" vertical="center" shrinkToFit="1"/>
    </xf>
    <xf numFmtId="4" fontId="15" fillId="0" borderId="5" xfId="0" applyNumberFormat="1" applyFont="1" applyBorder="1" applyAlignment="1">
      <alignment horizontal="center" vertical="center" shrinkToFit="1"/>
    </xf>
    <xf numFmtId="4" fontId="15" fillId="0" borderId="21" xfId="0" applyNumberFormat="1" applyFont="1" applyBorder="1" applyAlignment="1">
      <alignment horizontal="center" vertical="center" shrinkToFit="1"/>
    </xf>
    <xf numFmtId="4" fontId="7" fillId="0" borderId="65" xfId="0" applyNumberFormat="1" applyFont="1" applyBorder="1" applyAlignment="1">
      <alignment horizontal="right" vertical="center" shrinkToFit="1"/>
    </xf>
    <xf numFmtId="0" fontId="49" fillId="0" borderId="4" xfId="0" applyFont="1" applyBorder="1" applyAlignment="1">
      <alignment horizontal="center" shrinkToFit="1"/>
    </xf>
    <xf numFmtId="4" fontId="7" fillId="0" borderId="65" xfId="0" applyNumberFormat="1" applyFont="1" applyBorder="1" applyAlignment="1">
      <alignment horizontal="right" shrinkToFit="1"/>
    </xf>
    <xf numFmtId="0" fontId="14" fillId="2" borderId="14" xfId="0" applyFont="1" applyFill="1" applyBorder="1" applyAlignment="1">
      <alignment horizontal="center" vertical="center"/>
    </xf>
    <xf numFmtId="3" fontId="94" fillId="21" borderId="10" xfId="0" applyNumberFormat="1" applyFont="1" applyFill="1" applyBorder="1" applyAlignment="1">
      <alignment horizontal="center" shrinkToFit="1"/>
    </xf>
    <xf numFmtId="3" fontId="15" fillId="0" borderId="13" xfId="0" applyNumberFormat="1" applyFont="1" applyBorder="1" applyAlignment="1">
      <alignment horizontal="right" shrinkToFit="1"/>
    </xf>
    <xf numFmtId="3" fontId="15" fillId="3" borderId="13" xfId="0" applyNumberFormat="1" applyFont="1" applyFill="1" applyBorder="1" applyAlignment="1">
      <alignment horizontal="right" shrinkToFit="1"/>
    </xf>
    <xf numFmtId="167" fontId="15" fillId="3" borderId="17" xfId="0" applyNumberFormat="1" applyFont="1" applyFill="1" applyBorder="1" applyAlignment="1">
      <alignment horizontal="right" shrinkToFit="1"/>
    </xf>
    <xf numFmtId="3" fontId="15" fillId="0" borderId="163" xfId="0" applyNumberFormat="1" applyFont="1" applyBorder="1" applyAlignment="1">
      <alignment horizontal="right" shrinkToFit="1"/>
    </xf>
    <xf numFmtId="3" fontId="15" fillId="0" borderId="8" xfId="0" applyNumberFormat="1" applyFont="1" applyBorder="1" applyAlignment="1">
      <alignment horizontal="right" shrinkToFit="1"/>
    </xf>
    <xf numFmtId="167" fontId="15" fillId="3" borderId="0" xfId="0" applyNumberFormat="1" applyFont="1" applyFill="1" applyAlignment="1">
      <alignment horizontal="right" shrinkToFit="1"/>
    </xf>
    <xf numFmtId="3" fontId="20" fillId="0" borderId="13" xfId="0" applyNumberFormat="1" applyFont="1" applyBorder="1" applyAlignment="1">
      <alignment horizontal="right" shrinkToFit="1"/>
    </xf>
    <xf numFmtId="167" fontId="15" fillId="3" borderId="8" xfId="0" applyNumberFormat="1" applyFont="1" applyFill="1" applyBorder="1" applyAlignment="1">
      <alignment horizontal="right" shrinkToFit="1"/>
    </xf>
    <xf numFmtId="17" fontId="94" fillId="21" borderId="273" xfId="0" applyNumberFormat="1" applyFont="1" applyFill="1" applyBorder="1" applyAlignment="1">
      <alignment horizontal="center" vertical="center"/>
    </xf>
    <xf numFmtId="3" fontId="94" fillId="21" borderId="273" xfId="0" applyNumberFormat="1" applyFont="1" applyFill="1" applyBorder="1" applyAlignment="1">
      <alignment horizontal="center" shrinkToFit="1"/>
    </xf>
    <xf numFmtId="3" fontId="15" fillId="0" borderId="273" xfId="0" applyNumberFormat="1" applyFont="1" applyBorder="1" applyAlignment="1">
      <alignment horizontal="right" shrinkToFit="1"/>
    </xf>
    <xf numFmtId="3" fontId="15" fillId="3" borderId="273" xfId="0" applyNumberFormat="1" applyFont="1" applyFill="1" applyBorder="1" applyAlignment="1">
      <alignment horizontal="right" shrinkToFit="1"/>
    </xf>
    <xf numFmtId="167" fontId="15" fillId="3" borderId="274" xfId="0" applyNumberFormat="1" applyFont="1" applyFill="1" applyBorder="1" applyAlignment="1">
      <alignment horizontal="right" shrinkToFit="1"/>
    </xf>
    <xf numFmtId="3" fontId="15" fillId="0" borderId="275" xfId="0" applyNumberFormat="1" applyFont="1" applyBorder="1" applyAlignment="1">
      <alignment horizontal="right" shrinkToFit="1"/>
    </xf>
    <xf numFmtId="3" fontId="15" fillId="0" borderId="276" xfId="0" applyNumberFormat="1" applyFont="1" applyBorder="1" applyAlignment="1">
      <alignment horizontal="right" shrinkToFit="1"/>
    </xf>
    <xf numFmtId="167" fontId="15" fillId="3" borderId="277" xfId="0" applyNumberFormat="1" applyFont="1" applyFill="1" applyBorder="1" applyAlignment="1">
      <alignment horizontal="right" shrinkToFit="1"/>
    </xf>
    <xf numFmtId="3" fontId="20" fillId="0" borderId="273" xfId="0" applyNumberFormat="1" applyFont="1" applyBorder="1" applyAlignment="1">
      <alignment horizontal="right" shrinkToFit="1"/>
    </xf>
    <xf numFmtId="167" fontId="15" fillId="3" borderId="276" xfId="0" applyNumberFormat="1" applyFont="1" applyFill="1" applyBorder="1" applyAlignment="1">
      <alignment horizontal="right" shrinkToFit="1"/>
    </xf>
    <xf numFmtId="3" fontId="15" fillId="0" borderId="17" xfId="0" applyNumberFormat="1" applyFont="1" applyBorder="1" applyAlignment="1">
      <alignment horizontal="right" shrinkToFit="1"/>
    </xf>
    <xf numFmtId="3" fontId="15" fillId="0" borderId="7" xfId="0" applyNumberFormat="1" applyFont="1" applyBorder="1" applyAlignment="1">
      <alignment horizontal="right" shrinkToFit="1"/>
    </xf>
    <xf numFmtId="168" fontId="191" fillId="0" borderId="166" xfId="0" applyNumberFormat="1" applyFont="1" applyBorder="1" applyAlignment="1">
      <alignment horizontal="right" shrinkToFit="1"/>
    </xf>
    <xf numFmtId="17" fontId="193" fillId="21" borderId="13" xfId="0" applyNumberFormat="1" applyFont="1" applyFill="1" applyBorder="1" applyAlignment="1">
      <alignment horizontal="center" vertical="center"/>
    </xf>
    <xf numFmtId="17" fontId="193" fillId="21" borderId="13" xfId="0" applyNumberFormat="1" applyFont="1" applyFill="1" applyBorder="1" applyAlignment="1">
      <alignment vertical="center"/>
    </xf>
    <xf numFmtId="17" fontId="193" fillId="21" borderId="66" xfId="0" applyNumberFormat="1" applyFont="1" applyFill="1" applyBorder="1" applyAlignment="1">
      <alignment horizontal="center" vertical="center"/>
    </xf>
    <xf numFmtId="4" fontId="62" fillId="0" borderId="0" xfId="0" applyNumberFormat="1" applyFont="1" applyAlignment="1">
      <alignment horizontal="center"/>
    </xf>
    <xf numFmtId="1" fontId="262" fillId="13" borderId="14" xfId="0" applyNumberFormat="1" applyFont="1" applyFill="1" applyBorder="1" applyAlignment="1" applyProtection="1">
      <alignment horizontal="center" vertical="center" wrapText="1"/>
      <protection locked="0"/>
    </xf>
    <xf numFmtId="1" fontId="262" fillId="13" borderId="14" xfId="0" applyNumberFormat="1" applyFont="1" applyFill="1" applyBorder="1" applyAlignment="1" applyProtection="1">
      <alignment horizontal="center" wrapText="1"/>
      <protection locked="0"/>
    </xf>
    <xf numFmtId="0" fontId="183" fillId="0" borderId="0" xfId="0" applyFont="1"/>
    <xf numFmtId="0" fontId="183" fillId="0" borderId="0" xfId="0" applyFont="1" applyAlignment="1">
      <alignment shrinkToFit="1"/>
    </xf>
    <xf numFmtId="1" fontId="183" fillId="0" borderId="0" xfId="0" applyNumberFormat="1" applyFont="1" applyAlignment="1">
      <alignment shrinkToFit="1"/>
    </xf>
    <xf numFmtId="0" fontId="6" fillId="2" borderId="0" xfId="0" applyFont="1" applyFill="1" applyAlignment="1">
      <alignment vertical="top"/>
    </xf>
    <xf numFmtId="0" fontId="7" fillId="0" borderId="8" xfId="0" applyFont="1" applyBorder="1" applyAlignment="1">
      <alignment wrapText="1"/>
    </xf>
    <xf numFmtId="14" fontId="7" fillId="0" borderId="0" xfId="0" applyNumberFormat="1" applyFont="1" applyAlignment="1">
      <alignment vertical="top" shrinkToFit="1"/>
    </xf>
    <xf numFmtId="179" fontId="175" fillId="7" borderId="14" xfId="0" applyNumberFormat="1" applyFont="1" applyFill="1" applyBorder="1" applyAlignment="1" applyProtection="1">
      <alignment shrinkToFit="1"/>
      <protection locked="0"/>
    </xf>
    <xf numFmtId="0" fontId="71" fillId="0" borderId="8" xfId="0" applyFont="1" applyBorder="1" applyAlignment="1">
      <alignment vertical="center" wrapText="1"/>
    </xf>
    <xf numFmtId="0" fontId="71" fillId="0" borderId="8" xfId="0" applyFont="1" applyBorder="1" applyAlignment="1">
      <alignment horizontal="center" vertical="center" wrapText="1"/>
    </xf>
    <xf numFmtId="0" fontId="15" fillId="0" borderId="17" xfId="0" applyFont="1" applyBorder="1" applyAlignment="1">
      <alignment vertical="top" wrapText="1"/>
    </xf>
    <xf numFmtId="0" fontId="263" fillId="0" borderId="8" xfId="0" applyFont="1" applyBorder="1" applyAlignment="1">
      <alignment vertical="center" wrapText="1"/>
    </xf>
    <xf numFmtId="1" fontId="262" fillId="13" borderId="8" xfId="0" applyNumberFormat="1" applyFont="1" applyFill="1" applyBorder="1" applyAlignment="1" applyProtection="1">
      <alignment horizontal="center" wrapText="1"/>
      <protection locked="0"/>
    </xf>
    <xf numFmtId="1" fontId="262" fillId="13" borderId="8" xfId="0" applyNumberFormat="1" applyFont="1" applyFill="1" applyBorder="1" applyAlignment="1" applyProtection="1">
      <alignment horizontal="center" vertical="center" wrapText="1"/>
      <protection locked="0"/>
    </xf>
    <xf numFmtId="0" fontId="62" fillId="0" borderId="8" xfId="0" applyFont="1" applyBorder="1"/>
    <xf numFmtId="17" fontId="22" fillId="19" borderId="13" xfId="0" applyNumberFormat="1" applyFont="1" applyFill="1" applyBorder="1" applyAlignment="1">
      <alignment horizontal="center" shrinkToFit="1"/>
    </xf>
    <xf numFmtId="17" fontId="22" fillId="19" borderId="66" xfId="0" applyNumberFormat="1" applyFont="1" applyFill="1" applyBorder="1" applyAlignment="1">
      <alignment horizontal="center" shrinkToFit="1"/>
    </xf>
    <xf numFmtId="1" fontId="262" fillId="13" borderId="12" xfId="0" applyNumberFormat="1" applyFont="1" applyFill="1" applyBorder="1" applyAlignment="1" applyProtection="1">
      <alignment horizontal="center" wrapText="1"/>
      <protection locked="0"/>
    </xf>
    <xf numFmtId="0" fontId="22" fillId="19" borderId="8" xfId="0" applyFont="1" applyFill="1" applyBorder="1" applyAlignment="1">
      <alignment horizontal="center" vertical="center" shrinkToFit="1"/>
    </xf>
    <xf numFmtId="0" fontId="109" fillId="2" borderId="0" xfId="0" applyFont="1" applyFill="1" applyAlignment="1">
      <alignment horizontal="center" wrapText="1"/>
    </xf>
    <xf numFmtId="0" fontId="7" fillId="33" borderId="49" xfId="0" applyFont="1" applyFill="1" applyBorder="1"/>
    <xf numFmtId="0" fontId="7" fillId="33" borderId="0" xfId="0" applyFont="1" applyFill="1"/>
    <xf numFmtId="0" fontId="7" fillId="33" borderId="55" xfId="0" applyFont="1" applyFill="1" applyBorder="1"/>
    <xf numFmtId="0" fontId="7" fillId="33" borderId="50" xfId="0" applyFont="1" applyFill="1" applyBorder="1"/>
    <xf numFmtId="0" fontId="7" fillId="33" borderId="48" xfId="0" applyFont="1" applyFill="1" applyBorder="1"/>
    <xf numFmtId="3" fontId="7" fillId="33" borderId="52" xfId="0" applyNumberFormat="1" applyFont="1" applyFill="1" applyBorder="1" applyAlignment="1">
      <alignment shrinkToFit="1"/>
    </xf>
    <xf numFmtId="0" fontId="15" fillId="33" borderId="53" xfId="0" applyFont="1" applyFill="1" applyBorder="1"/>
    <xf numFmtId="0" fontId="7" fillId="33" borderId="53" xfId="0" applyFont="1" applyFill="1" applyBorder="1"/>
    <xf numFmtId="0" fontId="7" fillId="33" borderId="54" xfId="0" applyFont="1" applyFill="1" applyBorder="1"/>
    <xf numFmtId="0" fontId="23" fillId="33" borderId="0" xfId="0" applyFont="1" applyFill="1"/>
    <xf numFmtId="0" fontId="23" fillId="33" borderId="49" xfId="0" applyFont="1" applyFill="1" applyBorder="1" applyAlignment="1">
      <alignment shrinkToFit="1"/>
    </xf>
    <xf numFmtId="0" fontId="23" fillId="33" borderId="49" xfId="0" applyFont="1" applyFill="1" applyBorder="1"/>
    <xf numFmtId="2" fontId="15" fillId="33" borderId="0" xfId="0" applyNumberFormat="1" applyFont="1" applyFill="1" applyAlignment="1">
      <alignment horizontal="center"/>
    </xf>
    <xf numFmtId="4" fontId="60" fillId="7" borderId="23" xfId="0" applyNumberFormat="1" applyFont="1" applyFill="1" applyBorder="1" applyAlignment="1" applyProtection="1">
      <alignment horizontal="center" vertical="center" shrinkToFit="1"/>
      <protection locked="0"/>
    </xf>
    <xf numFmtId="0" fontId="7" fillId="33" borderId="0" xfId="0" applyFont="1" applyFill="1" applyAlignment="1">
      <alignment shrinkToFit="1"/>
    </xf>
    <xf numFmtId="0" fontId="105" fillId="0" borderId="0" xfId="0" applyFont="1" applyAlignment="1">
      <alignment horizontal="right" vertical="center" wrapText="1"/>
    </xf>
    <xf numFmtId="1" fontId="262" fillId="13" borderId="4" xfId="0" applyNumberFormat="1" applyFont="1" applyFill="1" applyBorder="1" applyAlignment="1" applyProtection="1">
      <alignment horizontal="center" wrapText="1"/>
      <protection locked="0"/>
    </xf>
    <xf numFmtId="1" fontId="262" fillId="13" borderId="4" xfId="0" applyNumberFormat="1" applyFont="1" applyFill="1" applyBorder="1" applyAlignment="1" applyProtection="1">
      <alignment horizontal="center" vertical="center" wrapText="1"/>
      <protection locked="0"/>
    </xf>
    <xf numFmtId="0" fontId="11" fillId="5" borderId="10" xfId="0" applyFont="1" applyFill="1" applyBorder="1" applyAlignment="1">
      <alignment shrinkToFit="1"/>
    </xf>
    <xf numFmtId="1" fontId="262" fillId="13" borderId="23" xfId="0" applyNumberFormat="1" applyFont="1" applyFill="1" applyBorder="1" applyAlignment="1" applyProtection="1">
      <alignment horizontal="center" wrapText="1"/>
      <protection locked="0"/>
    </xf>
    <xf numFmtId="3" fontId="22" fillId="19" borderId="13" xfId="0" applyNumberFormat="1" applyFont="1" applyFill="1" applyBorder="1" applyAlignment="1">
      <alignment horizontal="center" vertical="center" shrinkToFit="1"/>
    </xf>
    <xf numFmtId="3" fontId="22" fillId="19" borderId="279" xfId="0" applyNumberFormat="1" applyFont="1" applyFill="1" applyBorder="1" applyAlignment="1">
      <alignment horizontal="center" vertical="center" shrinkToFit="1"/>
    </xf>
    <xf numFmtId="3" fontId="265" fillId="19" borderId="8" xfId="0" applyNumberFormat="1" applyFont="1" applyFill="1" applyBorder="1" applyAlignment="1">
      <alignment horizontal="center" vertical="center" shrinkToFit="1"/>
    </xf>
    <xf numFmtId="3" fontId="265" fillId="19" borderId="280" xfId="0" applyNumberFormat="1" applyFont="1" applyFill="1" applyBorder="1" applyAlignment="1">
      <alignment horizontal="center" vertical="center" shrinkToFit="1"/>
    </xf>
    <xf numFmtId="3" fontId="246" fillId="19" borderId="8" xfId="0" applyNumberFormat="1" applyFont="1" applyFill="1" applyBorder="1" applyAlignment="1">
      <alignment horizontal="center" vertical="center" shrinkToFit="1"/>
    </xf>
    <xf numFmtId="3" fontId="246" fillId="19" borderId="280" xfId="0" applyNumberFormat="1" applyFont="1" applyFill="1" applyBorder="1" applyAlignment="1">
      <alignment horizontal="center" vertical="center" shrinkToFit="1"/>
    </xf>
    <xf numFmtId="3" fontId="126" fillId="19" borderId="8" xfId="0" applyNumberFormat="1" applyFont="1" applyFill="1" applyBorder="1" applyAlignment="1">
      <alignment horizontal="center" vertical="center" shrinkToFit="1"/>
    </xf>
    <xf numFmtId="3" fontId="126" fillId="19" borderId="280" xfId="0" applyNumberFormat="1" applyFont="1" applyFill="1" applyBorder="1" applyAlignment="1">
      <alignment horizontal="center" vertical="center" shrinkToFit="1"/>
    </xf>
    <xf numFmtId="3" fontId="11" fillId="19" borderId="68" xfId="0" applyNumberFormat="1" applyFont="1" applyFill="1" applyBorder="1" applyAlignment="1">
      <alignment horizontal="center" vertical="center" shrinkToFit="1"/>
    </xf>
    <xf numFmtId="3" fontId="11" fillId="19" borderId="23" xfId="0" applyNumberFormat="1" applyFont="1" applyFill="1" applyBorder="1" applyAlignment="1">
      <alignment horizontal="center" vertical="center" shrinkToFit="1"/>
    </xf>
    <xf numFmtId="3" fontId="7" fillId="19" borderId="17" xfId="0" applyNumberFormat="1" applyFont="1" applyFill="1" applyBorder="1"/>
    <xf numFmtId="3" fontId="7" fillId="19" borderId="278" xfId="0" applyNumberFormat="1" applyFont="1" applyFill="1" applyBorder="1"/>
    <xf numFmtId="3" fontId="20" fillId="19" borderId="19" xfId="0" applyNumberFormat="1" applyFont="1" applyFill="1" applyBorder="1" applyAlignment="1">
      <alignment horizontal="center"/>
    </xf>
    <xf numFmtId="3" fontId="20" fillId="19" borderId="23" xfId="0" applyNumberFormat="1" applyFont="1" applyFill="1" applyBorder="1" applyAlignment="1">
      <alignment horizontal="center"/>
    </xf>
    <xf numFmtId="3" fontId="20" fillId="19" borderId="10" xfId="0" applyNumberFormat="1" applyFont="1" applyFill="1" applyBorder="1" applyAlignment="1">
      <alignment horizontal="center"/>
    </xf>
    <xf numFmtId="3" fontId="11" fillId="19" borderId="12" xfId="0" applyNumberFormat="1" applyFont="1" applyFill="1" applyBorder="1" applyAlignment="1">
      <alignment horizontal="center" vertical="center" shrinkToFit="1"/>
    </xf>
    <xf numFmtId="3" fontId="11" fillId="19" borderId="283" xfId="0" applyNumberFormat="1" applyFont="1" applyFill="1" applyBorder="1" applyAlignment="1">
      <alignment horizontal="center" vertical="center" shrinkToFit="1"/>
    </xf>
    <xf numFmtId="3" fontId="11" fillId="19" borderId="78" xfId="0" applyNumberFormat="1" applyFont="1" applyFill="1" applyBorder="1" applyAlignment="1">
      <alignment horizontal="center" vertical="center" shrinkToFit="1"/>
    </xf>
    <xf numFmtId="3" fontId="262" fillId="13" borderId="14" xfId="0" applyNumberFormat="1" applyFont="1" applyFill="1" applyBorder="1" applyAlignment="1" applyProtection="1">
      <alignment horizontal="center" wrapText="1"/>
      <protection locked="0"/>
    </xf>
    <xf numFmtId="3" fontId="262" fillId="13" borderId="4" xfId="0" applyNumberFormat="1" applyFont="1" applyFill="1" applyBorder="1" applyAlignment="1" applyProtection="1">
      <alignment horizontal="center" wrapText="1"/>
      <protection locked="0"/>
    </xf>
    <xf numFmtId="3" fontId="262" fillId="13" borderId="8" xfId="0" applyNumberFormat="1" applyFont="1" applyFill="1" applyBorder="1" applyAlignment="1" applyProtection="1">
      <alignment horizontal="center" wrapText="1"/>
      <protection locked="0"/>
    </xf>
    <xf numFmtId="3" fontId="11" fillId="19" borderId="8" xfId="0" applyNumberFormat="1" applyFont="1" applyFill="1" applyBorder="1" applyAlignment="1">
      <alignment horizontal="center" shrinkToFit="1"/>
    </xf>
    <xf numFmtId="3" fontId="11" fillId="19" borderId="283" xfId="0" applyNumberFormat="1" applyFont="1" applyFill="1" applyBorder="1" applyAlignment="1">
      <alignment horizontal="center" shrinkToFit="1"/>
    </xf>
    <xf numFmtId="3" fontId="11" fillId="19" borderId="78" xfId="0" applyNumberFormat="1" applyFont="1" applyFill="1" applyBorder="1" applyAlignment="1">
      <alignment horizontal="center" shrinkToFit="1"/>
    </xf>
    <xf numFmtId="3" fontId="11" fillId="33" borderId="283" xfId="0" applyNumberFormat="1" applyFont="1" applyFill="1" applyBorder="1" applyAlignment="1">
      <alignment horizontal="center" shrinkToFit="1"/>
    </xf>
    <xf numFmtId="3" fontId="11" fillId="33" borderId="280" xfId="0" applyNumberFormat="1" applyFont="1" applyFill="1" applyBorder="1" applyAlignment="1">
      <alignment horizontal="center" shrinkToFit="1"/>
    </xf>
    <xf numFmtId="3" fontId="62" fillId="0" borderId="17" xfId="0" applyNumberFormat="1" applyFont="1" applyBorder="1"/>
    <xf numFmtId="3" fontId="62" fillId="0" borderId="284" xfId="0" applyNumberFormat="1" applyFont="1" applyBorder="1"/>
    <xf numFmtId="3" fontId="62" fillId="0" borderId="281" xfId="0" applyNumberFormat="1" applyFont="1" applyBorder="1"/>
    <xf numFmtId="3" fontId="62" fillId="0" borderId="96" xfId="0" applyNumberFormat="1" applyFont="1" applyBorder="1"/>
    <xf numFmtId="3" fontId="62" fillId="0" borderId="278" xfId="0" applyNumberFormat="1" applyFont="1" applyBorder="1"/>
    <xf numFmtId="3" fontId="62" fillId="0" borderId="8" xfId="0" applyNumberFormat="1" applyFont="1" applyBorder="1"/>
    <xf numFmtId="3" fontId="62" fillId="0" borderId="283" xfId="0" applyNumberFormat="1" applyFont="1" applyBorder="1"/>
    <xf numFmtId="3" fontId="62" fillId="0" borderId="280" xfId="0" applyNumberFormat="1" applyFont="1" applyBorder="1"/>
    <xf numFmtId="3" fontId="62" fillId="0" borderId="78" xfId="0" applyNumberFormat="1" applyFont="1" applyBorder="1"/>
    <xf numFmtId="3" fontId="262" fillId="13" borderId="12" xfId="0" applyNumberFormat="1" applyFont="1" applyFill="1" applyBorder="1" applyAlignment="1" applyProtection="1">
      <alignment horizontal="center" wrapText="1"/>
      <protection locked="0"/>
    </xf>
    <xf numFmtId="3" fontId="262" fillId="13" borderId="23" xfId="0" applyNumberFormat="1" applyFont="1" applyFill="1" applyBorder="1" applyAlignment="1" applyProtection="1">
      <alignment horizontal="center" wrapText="1"/>
      <protection locked="0"/>
    </xf>
    <xf numFmtId="3" fontId="11" fillId="19" borderId="14" xfId="0" applyNumberFormat="1" applyFont="1" applyFill="1" applyBorder="1" applyAlignment="1">
      <alignment horizontal="center" vertical="center" shrinkToFit="1"/>
    </xf>
    <xf numFmtId="3" fontId="19" fillId="19" borderId="287" xfId="0" applyNumberFormat="1" applyFont="1" applyFill="1" applyBorder="1" applyAlignment="1">
      <alignment horizontal="center" vertical="center" wrapText="1"/>
    </xf>
    <xf numFmtId="3" fontId="19" fillId="19" borderId="283" xfId="0" applyNumberFormat="1" applyFont="1" applyFill="1" applyBorder="1" applyAlignment="1">
      <alignment horizontal="center" vertical="center" wrapText="1"/>
    </xf>
    <xf numFmtId="3" fontId="19" fillId="19" borderId="280" xfId="0" applyNumberFormat="1" applyFont="1" applyFill="1" applyBorder="1" applyAlignment="1">
      <alignment horizontal="center" vertical="center" wrapText="1"/>
    </xf>
    <xf numFmtId="3" fontId="11" fillId="19" borderId="288" xfId="0" applyNumberFormat="1" applyFont="1" applyFill="1" applyBorder="1" applyAlignment="1">
      <alignment horizontal="center" vertical="center" shrinkToFit="1"/>
    </xf>
    <xf numFmtId="3" fontId="11" fillId="19" borderId="282" xfId="0" applyNumberFormat="1" applyFont="1" applyFill="1" applyBorder="1" applyAlignment="1">
      <alignment horizontal="center" vertical="center" shrinkToFit="1"/>
    </xf>
    <xf numFmtId="3" fontId="11" fillId="19" borderId="279" xfId="0" applyNumberFormat="1" applyFont="1" applyFill="1" applyBorder="1" applyAlignment="1">
      <alignment horizontal="center" vertical="center" shrinkToFit="1"/>
    </xf>
    <xf numFmtId="3" fontId="262" fillId="13" borderId="285" xfId="0" applyNumberFormat="1" applyFont="1" applyFill="1" applyBorder="1" applyAlignment="1" applyProtection="1">
      <alignment horizontal="center" vertical="center" wrapText="1"/>
      <protection locked="0"/>
    </xf>
    <xf numFmtId="3" fontId="262" fillId="13" borderId="282" xfId="0" applyNumberFormat="1" applyFont="1" applyFill="1" applyBorder="1" applyAlignment="1" applyProtection="1">
      <alignment horizontal="center" vertical="center" wrapText="1"/>
      <protection locked="0"/>
    </xf>
    <xf numFmtId="3" fontId="262" fillId="13" borderId="279" xfId="0" applyNumberFormat="1" applyFont="1" applyFill="1" applyBorder="1" applyAlignment="1" applyProtection="1">
      <alignment horizontal="center" vertical="center" wrapText="1"/>
      <protection locked="0"/>
    </xf>
    <xf numFmtId="3" fontId="63" fillId="0" borderId="0" xfId="0" applyNumberFormat="1" applyFont="1"/>
    <xf numFmtId="3" fontId="63" fillId="0" borderId="8" xfId="0" applyNumberFormat="1" applyFont="1" applyBorder="1"/>
    <xf numFmtId="3" fontId="19" fillId="30" borderId="23" xfId="0" applyNumberFormat="1" applyFont="1" applyFill="1" applyBorder="1" applyAlignment="1">
      <alignment horizontal="center" vertical="center" shrinkToFit="1"/>
    </xf>
    <xf numFmtId="3" fontId="22" fillId="30" borderId="10" xfId="0" applyNumberFormat="1" applyFont="1" applyFill="1" applyBorder="1" applyAlignment="1">
      <alignment horizontal="center" vertical="center" shrinkToFit="1"/>
    </xf>
    <xf numFmtId="3" fontId="265" fillId="30" borderId="10" xfId="0" applyNumberFormat="1" applyFont="1" applyFill="1" applyBorder="1" applyAlignment="1">
      <alignment horizontal="center" vertical="center" shrinkToFit="1"/>
    </xf>
    <xf numFmtId="3" fontId="246" fillId="30" borderId="10" xfId="0" applyNumberFormat="1" applyFont="1" applyFill="1" applyBorder="1" applyAlignment="1">
      <alignment horizontal="center" vertical="center" shrinkToFit="1"/>
    </xf>
    <xf numFmtId="3" fontId="271" fillId="30" borderId="10" xfId="0" applyNumberFormat="1" applyFont="1" applyFill="1" applyBorder="1" applyAlignment="1">
      <alignment horizontal="center" vertical="center" shrinkToFit="1"/>
    </xf>
    <xf numFmtId="0" fontId="22" fillId="20" borderId="23" xfId="0" applyFont="1" applyFill="1" applyBorder="1" applyAlignment="1">
      <alignment horizontal="center" vertical="center" shrinkToFit="1"/>
    </xf>
    <xf numFmtId="3" fontId="22" fillId="20" borderId="10" xfId="0" applyNumberFormat="1" applyFont="1" applyFill="1" applyBorder="1" applyAlignment="1">
      <alignment horizontal="center" vertical="center" shrinkToFit="1"/>
    </xf>
    <xf numFmtId="3" fontId="265" fillId="20" borderId="10" xfId="0" applyNumberFormat="1" applyFont="1" applyFill="1" applyBorder="1" applyAlignment="1">
      <alignment horizontal="center" vertical="center" shrinkToFit="1"/>
    </xf>
    <xf numFmtId="3" fontId="246" fillId="20" borderId="10" xfId="0" applyNumberFormat="1" applyFont="1" applyFill="1" applyBorder="1" applyAlignment="1">
      <alignment horizontal="center" vertical="center" shrinkToFit="1"/>
    </xf>
    <xf numFmtId="3" fontId="271" fillId="20" borderId="10" xfId="0" applyNumberFormat="1" applyFont="1" applyFill="1" applyBorder="1" applyAlignment="1">
      <alignment horizontal="center" vertical="center" shrinkToFit="1"/>
    </xf>
    <xf numFmtId="3" fontId="243" fillId="30" borderId="23" xfId="0" applyNumberFormat="1" applyFont="1" applyFill="1" applyBorder="1" applyAlignment="1">
      <alignment horizontal="center"/>
    </xf>
    <xf numFmtId="3" fontId="7" fillId="20" borderId="0" xfId="0" applyNumberFormat="1" applyFont="1" applyFill="1"/>
    <xf numFmtId="0" fontId="7" fillId="20" borderId="0" xfId="0" applyFont="1" applyFill="1"/>
    <xf numFmtId="3" fontId="11" fillId="20" borderId="12" xfId="0" applyNumberFormat="1" applyFont="1" applyFill="1" applyBorder="1" applyAlignment="1">
      <alignment horizontal="center" vertical="center" shrinkToFit="1"/>
    </xf>
    <xf numFmtId="3" fontId="11" fillId="20" borderId="283" xfId="0" applyNumberFormat="1" applyFont="1" applyFill="1" applyBorder="1" applyAlignment="1">
      <alignment horizontal="center" vertical="center" shrinkToFit="1"/>
    </xf>
    <xf numFmtId="3" fontId="15" fillId="20" borderId="23" xfId="0" applyNumberFormat="1" applyFont="1" applyFill="1" applyBorder="1" applyAlignment="1">
      <alignment horizontal="center" vertical="center"/>
    </xf>
    <xf numFmtId="0" fontId="272" fillId="0" borderId="8" xfId="0" applyFont="1" applyBorder="1" applyAlignment="1">
      <alignment vertical="center" wrapText="1"/>
    </xf>
    <xf numFmtId="3" fontId="31" fillId="30" borderId="23" xfId="0" applyNumberFormat="1" applyFont="1" applyFill="1" applyBorder="1" applyAlignment="1">
      <alignment horizontal="center" vertical="center" shrinkToFit="1"/>
    </xf>
    <xf numFmtId="3" fontId="31" fillId="30" borderId="14" xfId="0" applyNumberFormat="1" applyFont="1" applyFill="1" applyBorder="1" applyAlignment="1">
      <alignment horizontal="center" vertical="center" shrinkToFit="1"/>
    </xf>
    <xf numFmtId="3" fontId="22" fillId="30" borderId="23" xfId="0" applyNumberFormat="1" applyFont="1" applyFill="1" applyBorder="1" applyAlignment="1">
      <alignment horizontal="center" vertical="center" shrinkToFit="1"/>
    </xf>
    <xf numFmtId="3" fontId="22" fillId="30" borderId="14" xfId="0" applyNumberFormat="1" applyFont="1" applyFill="1" applyBorder="1" applyAlignment="1">
      <alignment horizontal="center" vertical="center" shrinkToFit="1"/>
    </xf>
    <xf numFmtId="3" fontId="11" fillId="30" borderId="124" xfId="0" applyNumberFormat="1" applyFont="1" applyFill="1" applyBorder="1" applyAlignment="1">
      <alignment horizontal="center" vertical="center" shrinkToFit="1"/>
    </xf>
    <xf numFmtId="3" fontId="11" fillId="30" borderId="6" xfId="0" applyNumberFormat="1" applyFont="1" applyFill="1" applyBorder="1" applyAlignment="1">
      <alignment horizontal="center" vertical="center" shrinkToFit="1"/>
    </xf>
    <xf numFmtId="3" fontId="19" fillId="30" borderId="76" xfId="0" applyNumberFormat="1" applyFont="1" applyFill="1" applyBorder="1" applyAlignment="1">
      <alignment horizontal="center" vertical="center" shrinkToFit="1"/>
    </xf>
    <xf numFmtId="3" fontId="19" fillId="30" borderId="4" xfId="0" applyNumberFormat="1" applyFont="1" applyFill="1" applyBorder="1" applyAlignment="1">
      <alignment horizontal="center" vertical="center" shrinkToFit="1"/>
    </xf>
    <xf numFmtId="3" fontId="11" fillId="20" borderId="8" xfId="0" applyNumberFormat="1" applyFont="1" applyFill="1" applyBorder="1" applyAlignment="1">
      <alignment horizontal="center" vertical="center" shrinkToFit="1"/>
    </xf>
    <xf numFmtId="3" fontId="31" fillId="20" borderId="287" xfId="0" applyNumberFormat="1" applyFont="1" applyFill="1" applyBorder="1" applyAlignment="1">
      <alignment horizontal="center" vertical="center" wrapText="1"/>
    </xf>
    <xf numFmtId="3" fontId="31" fillId="20" borderId="283" xfId="0" applyNumberFormat="1" applyFont="1" applyFill="1" applyBorder="1" applyAlignment="1">
      <alignment horizontal="center" vertical="center" wrapText="1"/>
    </xf>
    <xf numFmtId="3" fontId="31" fillId="20" borderId="280" xfId="0" applyNumberFormat="1" applyFont="1" applyFill="1" applyBorder="1" applyAlignment="1">
      <alignment horizontal="center" vertical="center" wrapText="1"/>
    </xf>
    <xf numFmtId="3" fontId="22" fillId="20" borderId="288" xfId="0" applyNumberFormat="1" applyFont="1" applyFill="1" applyBorder="1" applyAlignment="1">
      <alignment horizontal="center" vertical="center" shrinkToFit="1"/>
    </xf>
    <xf numFmtId="3" fontId="22" fillId="20" borderId="282" xfId="0" applyNumberFormat="1" applyFont="1" applyFill="1" applyBorder="1" applyAlignment="1">
      <alignment horizontal="center" vertical="center" shrinkToFit="1"/>
    </xf>
    <xf numFmtId="3" fontId="22" fillId="20" borderId="279" xfId="0" applyNumberFormat="1" applyFont="1" applyFill="1" applyBorder="1" applyAlignment="1">
      <alignment horizontal="center" vertical="center" shrinkToFit="1"/>
    </xf>
    <xf numFmtId="17" fontId="22" fillId="6" borderId="13" xfId="0" applyNumberFormat="1" applyFont="1" applyFill="1" applyBorder="1" applyAlignment="1">
      <alignment horizontal="center" shrinkToFit="1"/>
    </xf>
    <xf numFmtId="17" fontId="22" fillId="6" borderId="66" xfId="0" applyNumberFormat="1" applyFont="1" applyFill="1" applyBorder="1" applyAlignment="1">
      <alignment horizontal="center" shrinkToFit="1"/>
    </xf>
    <xf numFmtId="0" fontId="19" fillId="6" borderId="0" xfId="0" applyFont="1" applyFill="1" applyAlignment="1">
      <alignment horizontal="center" vertical="center"/>
    </xf>
    <xf numFmtId="3" fontId="22" fillId="6" borderId="13" xfId="0" applyNumberFormat="1" applyFont="1" applyFill="1" applyBorder="1" applyAlignment="1">
      <alignment horizontal="center" vertical="center" shrinkToFit="1"/>
    </xf>
    <xf numFmtId="3" fontId="22" fillId="6" borderId="282" xfId="0" applyNumberFormat="1" applyFont="1" applyFill="1" applyBorder="1" applyAlignment="1">
      <alignment horizontal="center" vertical="center" shrinkToFit="1"/>
    </xf>
    <xf numFmtId="3" fontId="22" fillId="6" borderId="279" xfId="0" applyNumberFormat="1" applyFont="1" applyFill="1" applyBorder="1" applyAlignment="1">
      <alignment horizontal="center" vertical="center" shrinkToFit="1"/>
    </xf>
    <xf numFmtId="3" fontId="265" fillId="6" borderId="8" xfId="0" applyNumberFormat="1" applyFont="1" applyFill="1" applyBorder="1" applyAlignment="1">
      <alignment horizontal="center" vertical="center" shrinkToFit="1"/>
    </xf>
    <xf numFmtId="3" fontId="265" fillId="6" borderId="283" xfId="0" applyNumberFormat="1" applyFont="1" applyFill="1" applyBorder="1" applyAlignment="1">
      <alignment horizontal="center" vertical="center" shrinkToFit="1"/>
    </xf>
    <xf numFmtId="3" fontId="265" fillId="6" borderId="280" xfId="0" applyNumberFormat="1" applyFont="1" applyFill="1" applyBorder="1" applyAlignment="1">
      <alignment horizontal="center" vertical="center" shrinkToFit="1"/>
    </xf>
    <xf numFmtId="3" fontId="246" fillId="6" borderId="8" xfId="0" applyNumberFormat="1" applyFont="1" applyFill="1" applyBorder="1" applyAlignment="1">
      <alignment horizontal="center" vertical="center" shrinkToFit="1"/>
    </xf>
    <xf numFmtId="3" fontId="246" fillId="6" borderId="283" xfId="0" applyNumberFormat="1" applyFont="1" applyFill="1" applyBorder="1" applyAlignment="1">
      <alignment horizontal="center" vertical="center" shrinkToFit="1"/>
    </xf>
    <xf numFmtId="3" fontId="246" fillId="6" borderId="280" xfId="0" applyNumberFormat="1" applyFont="1" applyFill="1" applyBorder="1" applyAlignment="1">
      <alignment horizontal="center" vertical="center" shrinkToFit="1"/>
    </xf>
    <xf numFmtId="3" fontId="126" fillId="6" borderId="8" xfId="0" applyNumberFormat="1" applyFont="1" applyFill="1" applyBorder="1" applyAlignment="1">
      <alignment horizontal="center" vertical="center" shrinkToFit="1"/>
    </xf>
    <xf numFmtId="3" fontId="126" fillId="6" borderId="283" xfId="0" applyNumberFormat="1" applyFont="1" applyFill="1" applyBorder="1" applyAlignment="1">
      <alignment horizontal="center" vertical="center" shrinkToFit="1"/>
    </xf>
    <xf numFmtId="3" fontId="126" fillId="6" borderId="280" xfId="0" applyNumberFormat="1" applyFont="1" applyFill="1" applyBorder="1" applyAlignment="1">
      <alignment horizontal="center" vertical="center" shrinkToFit="1"/>
    </xf>
    <xf numFmtId="3" fontId="11" fillId="6" borderId="12" xfId="0" applyNumberFormat="1" applyFont="1" applyFill="1" applyBorder="1" applyAlignment="1">
      <alignment horizontal="center" vertical="center" shrinkToFit="1"/>
    </xf>
    <xf numFmtId="3" fontId="11" fillId="6" borderId="23" xfId="0" applyNumberFormat="1" applyFont="1" applyFill="1" applyBorder="1" applyAlignment="1">
      <alignment horizontal="center" vertical="center" shrinkToFit="1"/>
    </xf>
    <xf numFmtId="3" fontId="11" fillId="6" borderId="0" xfId="0" applyNumberFormat="1" applyFont="1" applyFill="1"/>
    <xf numFmtId="3" fontId="7" fillId="6" borderId="0" xfId="0" applyNumberFormat="1" applyFont="1" applyFill="1"/>
    <xf numFmtId="3" fontId="7" fillId="6" borderId="278" xfId="0" applyNumberFormat="1" applyFont="1" applyFill="1" applyBorder="1"/>
    <xf numFmtId="3" fontId="20" fillId="6" borderId="14" xfId="0" applyNumberFormat="1" applyFont="1" applyFill="1" applyBorder="1" applyAlignment="1">
      <alignment horizontal="center"/>
    </xf>
    <xf numFmtId="3" fontId="20" fillId="6" borderId="23" xfId="0" applyNumberFormat="1" applyFont="1" applyFill="1" applyBorder="1" applyAlignment="1">
      <alignment horizontal="center"/>
    </xf>
    <xf numFmtId="3" fontId="20" fillId="6" borderId="10" xfId="0" applyNumberFormat="1" applyFont="1" applyFill="1" applyBorder="1" applyAlignment="1">
      <alignment horizontal="center"/>
    </xf>
    <xf numFmtId="3" fontId="11" fillId="6" borderId="280" xfId="0" applyNumberFormat="1" applyFont="1" applyFill="1" applyBorder="1" applyAlignment="1">
      <alignment horizontal="center" vertical="center" shrinkToFit="1"/>
    </xf>
    <xf numFmtId="0" fontId="11" fillId="6" borderId="12" xfId="0" applyFont="1" applyFill="1" applyBorder="1" applyAlignment="1">
      <alignment horizontal="center" vertical="center" shrinkToFit="1"/>
    </xf>
    <xf numFmtId="0" fontId="11" fillId="6" borderId="23" xfId="0" applyFont="1" applyFill="1" applyBorder="1" applyAlignment="1">
      <alignment horizontal="center" vertical="center" shrinkToFit="1"/>
    </xf>
    <xf numFmtId="1" fontId="20" fillId="6" borderId="14" xfId="0" applyNumberFormat="1" applyFont="1" applyFill="1" applyBorder="1" applyAlignment="1">
      <alignment horizontal="center"/>
    </xf>
    <xf numFmtId="1" fontId="20" fillId="6" borderId="23" xfId="0" applyNumberFormat="1" applyFont="1" applyFill="1" applyBorder="1" applyAlignment="1">
      <alignment horizontal="center"/>
    </xf>
    <xf numFmtId="1" fontId="20" fillId="6" borderId="10" xfId="0" applyNumberFormat="1" applyFont="1" applyFill="1" applyBorder="1" applyAlignment="1">
      <alignment horizontal="center"/>
    </xf>
    <xf numFmtId="3" fontId="11" fillId="6" borderId="283" xfId="0" applyNumberFormat="1" applyFont="1" applyFill="1" applyBorder="1" applyAlignment="1">
      <alignment horizontal="center" vertical="center" shrinkToFit="1"/>
    </xf>
    <xf numFmtId="3" fontId="11" fillId="6" borderId="51" xfId="0" applyNumberFormat="1" applyFont="1" applyFill="1" applyBorder="1" applyAlignment="1">
      <alignment horizontal="center" vertical="center" shrinkToFit="1"/>
    </xf>
    <xf numFmtId="3" fontId="11" fillId="6" borderId="8" xfId="0" applyNumberFormat="1" applyFont="1" applyFill="1" applyBorder="1" applyAlignment="1">
      <alignment horizontal="center" shrinkToFit="1"/>
    </xf>
    <xf numFmtId="3" fontId="11" fillId="6" borderId="282" xfId="0" applyNumberFormat="1" applyFont="1" applyFill="1" applyBorder="1" applyAlignment="1">
      <alignment horizontal="center" shrinkToFit="1"/>
    </xf>
    <xf numFmtId="3" fontId="11" fillId="6" borderId="279" xfId="0" applyNumberFormat="1" applyFont="1" applyFill="1" applyBorder="1" applyAlignment="1">
      <alignment horizontal="center" shrinkToFit="1"/>
    </xf>
    <xf numFmtId="3" fontId="11" fillId="6" borderId="283" xfId="0" applyNumberFormat="1" applyFont="1" applyFill="1" applyBorder="1" applyAlignment="1">
      <alignment horizontal="center" shrinkToFit="1"/>
    </xf>
    <xf numFmtId="3" fontId="11" fillId="6" borderId="280" xfId="0" applyNumberFormat="1" applyFont="1" applyFill="1" applyBorder="1" applyAlignment="1">
      <alignment horizontal="center" shrinkToFit="1"/>
    </xf>
    <xf numFmtId="0" fontId="11" fillId="6" borderId="14" xfId="0" applyFont="1" applyFill="1" applyBorder="1" applyAlignment="1">
      <alignment horizontal="center" vertical="center" shrinkToFit="1"/>
    </xf>
    <xf numFmtId="3" fontId="19" fillId="6" borderId="287" xfId="0" applyNumberFormat="1" applyFont="1" applyFill="1" applyBorder="1" applyAlignment="1">
      <alignment horizontal="center" vertical="center" wrapText="1"/>
    </xf>
    <xf numFmtId="3" fontId="19" fillId="6" borderId="283" xfId="0" applyNumberFormat="1" applyFont="1" applyFill="1" applyBorder="1" applyAlignment="1">
      <alignment horizontal="center" vertical="center" wrapText="1"/>
    </xf>
    <xf numFmtId="3" fontId="19" fillId="6" borderId="280" xfId="0" applyNumberFormat="1" applyFont="1" applyFill="1" applyBorder="1" applyAlignment="1">
      <alignment horizontal="center" vertical="center" wrapText="1"/>
    </xf>
    <xf numFmtId="1" fontId="11" fillId="6" borderId="23" xfId="0" applyNumberFormat="1" applyFont="1" applyFill="1" applyBorder="1" applyAlignment="1">
      <alignment horizontal="center" vertical="center" shrinkToFit="1"/>
    </xf>
    <xf numFmtId="1" fontId="11" fillId="6" borderId="14" xfId="0" applyNumberFormat="1" applyFont="1" applyFill="1" applyBorder="1" applyAlignment="1">
      <alignment horizontal="center" vertical="center" shrinkToFit="1"/>
    </xf>
    <xf numFmtId="3" fontId="11" fillId="6" borderId="288" xfId="0" applyNumberFormat="1" applyFont="1" applyFill="1" applyBorder="1" applyAlignment="1">
      <alignment horizontal="center" vertical="center" shrinkToFit="1"/>
    </xf>
    <xf numFmtId="3" fontId="11" fillId="6" borderId="282" xfId="0" applyNumberFormat="1" applyFont="1" applyFill="1" applyBorder="1" applyAlignment="1">
      <alignment horizontal="center" vertical="center" shrinkToFit="1"/>
    </xf>
    <xf numFmtId="3" fontId="11" fillId="6" borderId="279" xfId="0" applyNumberFormat="1" applyFont="1" applyFill="1" applyBorder="1" applyAlignment="1">
      <alignment horizontal="center" vertical="center" shrinkToFit="1"/>
    </xf>
    <xf numFmtId="3" fontId="11" fillId="6" borderId="14" xfId="0" applyNumberFormat="1" applyFont="1" applyFill="1" applyBorder="1" applyAlignment="1">
      <alignment horizontal="center" vertical="center" shrinkToFit="1"/>
    </xf>
    <xf numFmtId="3" fontId="11" fillId="26" borderId="10" xfId="0" applyNumberFormat="1" applyFont="1" applyFill="1" applyBorder="1" applyAlignment="1">
      <alignment horizontal="center" vertical="center" shrinkToFit="1"/>
    </xf>
    <xf numFmtId="3" fontId="265" fillId="26" borderId="10" xfId="0" applyNumberFormat="1" applyFont="1" applyFill="1" applyBorder="1" applyAlignment="1">
      <alignment horizontal="center" vertical="center" shrinkToFit="1"/>
    </xf>
    <xf numFmtId="3" fontId="246" fillId="26" borderId="10" xfId="0" applyNumberFormat="1" applyFont="1" applyFill="1" applyBorder="1" applyAlignment="1">
      <alignment horizontal="center" vertical="center" shrinkToFit="1"/>
    </xf>
    <xf numFmtId="3" fontId="271" fillId="26" borderId="10" xfId="0" applyNumberFormat="1" applyFont="1" applyFill="1" applyBorder="1" applyAlignment="1">
      <alignment horizontal="center" vertical="center" shrinkToFit="1"/>
    </xf>
    <xf numFmtId="0" fontId="11" fillId="26" borderId="3" xfId="0" applyFont="1" applyFill="1" applyBorder="1" applyAlignment="1">
      <alignment shrinkToFit="1"/>
    </xf>
    <xf numFmtId="3" fontId="246" fillId="33" borderId="283" xfId="0" applyNumberFormat="1" applyFont="1" applyFill="1" applyBorder="1" applyAlignment="1">
      <alignment horizontal="center" shrinkToFit="1"/>
    </xf>
    <xf numFmtId="0" fontId="22" fillId="6" borderId="8" xfId="0" applyFont="1" applyFill="1" applyBorder="1" applyAlignment="1">
      <alignment horizontal="center" vertical="center" shrinkToFit="1"/>
    </xf>
    <xf numFmtId="0" fontId="11" fillId="0" borderId="0" xfId="0" applyFont="1" applyAlignment="1">
      <alignment shrinkToFit="1"/>
    </xf>
    <xf numFmtId="9" fontId="19" fillId="6" borderId="8" xfId="0" applyNumberFormat="1" applyFont="1" applyFill="1" applyBorder="1" applyAlignment="1">
      <alignment horizontal="center" vertical="center" wrapText="1"/>
    </xf>
    <xf numFmtId="0" fontId="11" fillId="6" borderId="23" xfId="0" applyFont="1" applyFill="1" applyBorder="1" applyAlignment="1">
      <alignment horizontal="center"/>
    </xf>
    <xf numFmtId="0" fontId="11" fillId="6" borderId="14" xfId="0" applyFont="1" applyFill="1" applyBorder="1" applyAlignment="1">
      <alignment horizontal="center"/>
    </xf>
    <xf numFmtId="9" fontId="19" fillId="19" borderId="8" xfId="0" applyNumberFormat="1" applyFont="1" applyFill="1" applyBorder="1" applyAlignment="1">
      <alignment horizontal="center" vertical="center" wrapText="1"/>
    </xf>
    <xf numFmtId="0" fontId="11" fillId="19" borderId="23" xfId="0" applyFont="1" applyFill="1" applyBorder="1" applyAlignment="1">
      <alignment horizontal="center"/>
    </xf>
    <xf numFmtId="0" fontId="11" fillId="19" borderId="14" xfId="0" applyFont="1" applyFill="1" applyBorder="1" applyAlignment="1">
      <alignment horizontal="center"/>
    </xf>
    <xf numFmtId="0" fontId="22" fillId="26" borderId="289" xfId="0" applyFont="1" applyFill="1" applyBorder="1" applyAlignment="1">
      <alignment horizontal="center" vertical="center"/>
    </xf>
    <xf numFmtId="0" fontId="19" fillId="19" borderId="8" xfId="0" applyFont="1" applyFill="1" applyBorder="1" applyAlignment="1">
      <alignment vertical="center" wrapText="1"/>
    </xf>
    <xf numFmtId="0" fontId="19" fillId="6" borderId="77" xfId="0" applyFont="1" applyFill="1" applyBorder="1" applyAlignment="1">
      <alignment vertical="center" wrapText="1"/>
    </xf>
    <xf numFmtId="0" fontId="11" fillId="6" borderId="68" xfId="0" applyFont="1" applyFill="1" applyBorder="1"/>
    <xf numFmtId="0" fontId="163" fillId="6" borderId="292" xfId="0" applyFont="1" applyFill="1" applyBorder="1" applyAlignment="1">
      <alignment horizontal="center" vertical="center" shrinkToFit="1"/>
    </xf>
    <xf numFmtId="0" fontId="163" fillId="6" borderId="4" xfId="0" applyFont="1" applyFill="1" applyBorder="1" applyAlignment="1">
      <alignment horizontal="center" vertical="center" shrinkToFit="1"/>
    </xf>
    <xf numFmtId="0" fontId="163" fillId="6" borderId="3" xfId="0" applyFont="1" applyFill="1" applyBorder="1" applyAlignment="1">
      <alignment horizontal="center" vertical="center" shrinkToFit="1"/>
    </xf>
    <xf numFmtId="0" fontId="163" fillId="19" borderId="292" xfId="0" applyFont="1" applyFill="1" applyBorder="1" applyAlignment="1">
      <alignment horizontal="center" vertical="center" shrinkToFit="1"/>
    </xf>
    <xf numFmtId="0" fontId="163" fillId="19" borderId="4" xfId="0" applyFont="1" applyFill="1" applyBorder="1" applyAlignment="1">
      <alignment horizontal="center" vertical="center" shrinkToFit="1"/>
    </xf>
    <xf numFmtId="0" fontId="163" fillId="19" borderId="3" xfId="0" applyFont="1" applyFill="1" applyBorder="1" applyAlignment="1">
      <alignment horizontal="center" vertical="center" shrinkToFit="1"/>
    </xf>
    <xf numFmtId="184" fontId="9" fillId="26" borderId="18" xfId="0" applyNumberFormat="1" applyFont="1" applyFill="1" applyBorder="1" applyAlignment="1">
      <alignment vertical="center" shrinkToFit="1"/>
    </xf>
    <xf numFmtId="0" fontId="19" fillId="26" borderId="77" xfId="0" applyFont="1" applyFill="1" applyBorder="1" applyAlignment="1">
      <alignment vertical="center" wrapText="1"/>
    </xf>
    <xf numFmtId="0" fontId="11" fillId="26" borderId="19" xfId="0" applyFont="1" applyFill="1" applyBorder="1"/>
    <xf numFmtId="0" fontId="163" fillId="26" borderId="298" xfId="0" applyFont="1" applyFill="1" applyBorder="1" applyAlignment="1">
      <alignment horizontal="center" vertical="center" shrinkToFit="1"/>
    </xf>
    <xf numFmtId="0" fontId="163" fillId="26" borderId="23" xfId="0" applyFont="1" applyFill="1" applyBorder="1" applyAlignment="1">
      <alignment horizontal="center" vertical="center" shrinkToFit="1"/>
    </xf>
    <xf numFmtId="0" fontId="163" fillId="26" borderId="10" xfId="0" applyFont="1" applyFill="1" applyBorder="1" applyAlignment="1">
      <alignment horizontal="center" vertical="center" shrinkToFit="1"/>
    </xf>
    <xf numFmtId="183" fontId="11" fillId="6" borderId="77" xfId="0" applyNumberFormat="1" applyFont="1" applyFill="1" applyBorder="1" applyAlignment="1">
      <alignment shrinkToFit="1"/>
    </xf>
    <xf numFmtId="183" fontId="58" fillId="13" borderId="285" xfId="0" applyNumberFormat="1" applyFont="1" applyFill="1" applyBorder="1" applyAlignment="1" applyProtection="1">
      <alignment horizontal="center" shrinkToFit="1"/>
      <protection locked="0"/>
    </xf>
    <xf numFmtId="183" fontId="163" fillId="6" borderId="3" xfId="0" applyNumberFormat="1" applyFont="1" applyFill="1" applyBorder="1" applyAlignment="1">
      <alignment horizontal="center" shrinkToFit="1"/>
    </xf>
    <xf numFmtId="183" fontId="267" fillId="6" borderId="8" xfId="0" applyNumberFormat="1" applyFont="1" applyFill="1" applyBorder="1" applyAlignment="1">
      <alignment horizontal="center" shrinkToFit="1"/>
    </xf>
    <xf numFmtId="183" fontId="267" fillId="6" borderId="294" xfId="0" applyNumberFormat="1" applyFont="1" applyFill="1" applyBorder="1" applyAlignment="1">
      <alignment horizontal="center" shrinkToFit="1"/>
    </xf>
    <xf numFmtId="183" fontId="58" fillId="13" borderId="13" xfId="0" applyNumberFormat="1" applyFont="1" applyFill="1" applyBorder="1" applyAlignment="1" applyProtection="1">
      <alignment horizontal="center" shrinkToFit="1"/>
      <protection locked="0"/>
    </xf>
    <xf numFmtId="183" fontId="11" fillId="19" borderId="8" xfId="0" applyNumberFormat="1" applyFont="1" applyFill="1" applyBorder="1" applyAlignment="1">
      <alignment shrinkToFit="1"/>
    </xf>
    <xf numFmtId="183" fontId="11" fillId="19" borderId="3" xfId="0" applyNumberFormat="1" applyFont="1" applyFill="1" applyBorder="1" applyAlignment="1">
      <alignment horizontal="center" shrinkToFit="1"/>
    </xf>
    <xf numFmtId="183" fontId="267" fillId="19" borderId="8" xfId="0" applyNumberFormat="1" applyFont="1" applyFill="1" applyBorder="1" applyAlignment="1">
      <alignment horizontal="center" shrinkToFit="1"/>
    </xf>
    <xf numFmtId="183" fontId="267" fillId="19" borderId="294" xfId="0" applyNumberFormat="1" applyFont="1" applyFill="1" applyBorder="1" applyAlignment="1">
      <alignment horizontal="center" shrinkToFit="1"/>
    </xf>
    <xf numFmtId="183" fontId="11" fillId="26" borderId="77" xfId="0" applyNumberFormat="1" applyFont="1" applyFill="1" applyBorder="1" applyAlignment="1">
      <alignment shrinkToFit="1"/>
    </xf>
    <xf numFmtId="183" fontId="163" fillId="26" borderId="3" xfId="0" applyNumberFormat="1" applyFont="1" applyFill="1" applyBorder="1" applyAlignment="1">
      <alignment horizontal="center" shrinkToFit="1"/>
    </xf>
    <xf numFmtId="183" fontId="267" fillId="26" borderId="8" xfId="0" applyNumberFormat="1" applyFont="1" applyFill="1" applyBorder="1" applyAlignment="1">
      <alignment horizontal="center" shrinkToFit="1"/>
    </xf>
    <xf numFmtId="183" fontId="267" fillId="26" borderId="296" xfId="0" applyNumberFormat="1" applyFont="1" applyFill="1" applyBorder="1" applyAlignment="1">
      <alignment horizontal="center" shrinkToFit="1"/>
    </xf>
    <xf numFmtId="183" fontId="7" fillId="0" borderId="0" xfId="0" applyNumberFormat="1" applyFont="1"/>
    <xf numFmtId="183" fontId="58" fillId="13" borderId="19" xfId="0" applyNumberFormat="1" applyFont="1" applyFill="1" applyBorder="1" applyAlignment="1" applyProtection="1">
      <alignment horizontal="center" shrinkToFit="1"/>
      <protection locked="0"/>
    </xf>
    <xf numFmtId="183" fontId="267" fillId="6" borderId="297" xfId="0" applyNumberFormat="1" applyFont="1" applyFill="1" applyBorder="1" applyAlignment="1">
      <alignment horizontal="center" shrinkToFit="1"/>
    </xf>
    <xf numFmtId="0" fontId="145" fillId="0" borderId="77" xfId="0" applyFont="1" applyBorder="1" applyAlignment="1">
      <alignment vertical="center" wrapText="1"/>
    </xf>
    <xf numFmtId="167" fontId="164" fillId="26" borderId="3" xfId="0" applyNumberFormat="1" applyFont="1" applyFill="1" applyBorder="1" applyAlignment="1">
      <alignment horizontal="center" shrinkToFit="1"/>
    </xf>
    <xf numFmtId="169" fontId="58" fillId="13" borderId="23" xfId="0" applyNumberFormat="1" applyFont="1" applyFill="1" applyBorder="1" applyAlignment="1" applyProtection="1">
      <alignment horizontal="center" vertical="center" shrinkToFit="1"/>
      <protection locked="0"/>
    </xf>
    <xf numFmtId="169" fontId="58" fillId="13" borderId="14" xfId="0" applyNumberFormat="1" applyFont="1" applyFill="1" applyBorder="1" applyAlignment="1" applyProtection="1">
      <alignment horizontal="center" vertical="center" shrinkToFit="1"/>
      <protection locked="0"/>
    </xf>
    <xf numFmtId="169" fontId="58" fillId="13" borderId="289" xfId="0" applyNumberFormat="1" applyFont="1" applyFill="1" applyBorder="1" applyAlignment="1" applyProtection="1">
      <alignment horizontal="center" vertical="center" shrinkToFit="1"/>
      <protection locked="0"/>
    </xf>
    <xf numFmtId="169" fontId="58" fillId="13" borderId="294" xfId="0" applyNumberFormat="1" applyFont="1" applyFill="1" applyBorder="1" applyAlignment="1" applyProtection="1">
      <alignment horizontal="center" vertical="center" shrinkToFit="1"/>
      <protection locked="0"/>
    </xf>
    <xf numFmtId="183" fontId="267" fillId="6" borderId="0" xfId="0" applyNumberFormat="1" applyFont="1" applyFill="1" applyAlignment="1">
      <alignment horizontal="center" shrinkToFit="1"/>
    </xf>
    <xf numFmtId="183" fontId="11" fillId="19" borderId="0" xfId="0" applyNumberFormat="1" applyFont="1" applyFill="1" applyAlignment="1">
      <alignment shrinkToFit="1"/>
    </xf>
    <xf numFmtId="183" fontId="267" fillId="19" borderId="0" xfId="0" applyNumberFormat="1" applyFont="1" applyFill="1" applyAlignment="1">
      <alignment horizontal="center" shrinkToFit="1"/>
    </xf>
    <xf numFmtId="183" fontId="267" fillId="26" borderId="0" xfId="0" applyNumberFormat="1" applyFont="1" applyFill="1" applyAlignment="1">
      <alignment horizontal="center" shrinkToFit="1"/>
    </xf>
    <xf numFmtId="183" fontId="11" fillId="0" borderId="0" xfId="0" applyNumberFormat="1" applyFont="1" applyAlignment="1">
      <alignment shrinkToFit="1"/>
    </xf>
    <xf numFmtId="169" fontId="58" fillId="0" borderId="0" xfId="0" applyNumberFormat="1" applyFont="1" applyAlignment="1" applyProtection="1">
      <alignment horizontal="center" vertical="center" shrinkToFit="1"/>
      <protection locked="0"/>
    </xf>
    <xf numFmtId="183" fontId="58" fillId="0" borderId="0" xfId="0" applyNumberFormat="1" applyFont="1" applyAlignment="1" applyProtection="1">
      <alignment horizontal="center" shrinkToFit="1"/>
      <protection locked="0"/>
    </xf>
    <xf numFmtId="183" fontId="163" fillId="0" borderId="0" xfId="0" applyNumberFormat="1" applyFont="1" applyAlignment="1">
      <alignment horizontal="center" shrinkToFit="1"/>
    </xf>
    <xf numFmtId="183" fontId="267" fillId="0" borderId="0" xfId="0" applyNumberFormat="1" applyFont="1" applyAlignment="1">
      <alignment horizontal="center" shrinkToFit="1"/>
    </xf>
    <xf numFmtId="183" fontId="11" fillId="0" borderId="0" xfId="0" applyNumberFormat="1" applyFont="1" applyAlignment="1">
      <alignment horizontal="center" shrinkToFit="1"/>
    </xf>
    <xf numFmtId="183" fontId="58" fillId="0" borderId="0" xfId="0" applyNumberFormat="1" applyFont="1" applyAlignment="1">
      <alignment horizontal="center" shrinkToFit="1"/>
    </xf>
    <xf numFmtId="183" fontId="11" fillId="6" borderId="40" xfId="0" applyNumberFormat="1" applyFont="1" applyFill="1" applyBorder="1" applyAlignment="1">
      <alignment shrinkToFit="1"/>
    </xf>
    <xf numFmtId="169" fontId="58" fillId="13" borderId="6" xfId="0" applyNumberFormat="1" applyFont="1" applyFill="1" applyBorder="1" applyAlignment="1" applyProtection="1">
      <alignment horizontal="center" vertical="center" shrinkToFit="1"/>
      <protection locked="0"/>
    </xf>
    <xf numFmtId="169" fontId="58" fillId="13" borderId="7" xfId="0" applyNumberFormat="1" applyFont="1" applyFill="1" applyBorder="1" applyAlignment="1" applyProtection="1">
      <alignment horizontal="center" vertical="center" shrinkToFit="1"/>
      <protection locked="0"/>
    </xf>
    <xf numFmtId="183" fontId="58" fillId="13" borderId="286" xfId="0" applyNumberFormat="1" applyFont="1" applyFill="1" applyBorder="1" applyAlignment="1" applyProtection="1">
      <alignment horizontal="center" shrinkToFit="1"/>
      <protection locked="0"/>
    </xf>
    <xf numFmtId="183" fontId="163" fillId="6" borderId="2" xfId="0" applyNumberFormat="1" applyFont="1" applyFill="1" applyBorder="1" applyAlignment="1">
      <alignment horizontal="center" shrinkToFit="1"/>
    </xf>
    <xf numFmtId="183" fontId="267" fillId="6" borderId="299" xfId="0" applyNumberFormat="1" applyFont="1" applyFill="1" applyBorder="1" applyAlignment="1">
      <alignment horizontal="center" shrinkToFit="1"/>
    </xf>
    <xf numFmtId="183" fontId="11" fillId="19" borderId="2" xfId="0" applyNumberFormat="1" applyFont="1" applyFill="1" applyBorder="1" applyAlignment="1">
      <alignment horizontal="center" shrinkToFit="1"/>
    </xf>
    <xf numFmtId="183" fontId="267" fillId="19" borderId="299" xfId="0" applyNumberFormat="1" applyFont="1" applyFill="1" applyBorder="1" applyAlignment="1">
      <alignment horizontal="center" shrinkToFit="1"/>
    </xf>
    <xf numFmtId="183" fontId="58" fillId="13" borderId="17" xfId="0" applyNumberFormat="1" applyFont="1" applyFill="1" applyBorder="1" applyAlignment="1" applyProtection="1">
      <alignment horizontal="center" shrinkToFit="1"/>
      <protection locked="0"/>
    </xf>
    <xf numFmtId="183" fontId="267" fillId="6" borderId="300" xfId="0" applyNumberFormat="1" applyFont="1" applyFill="1" applyBorder="1" applyAlignment="1">
      <alignment horizontal="center" shrinkToFit="1"/>
    </xf>
    <xf numFmtId="183" fontId="11" fillId="26" borderId="40" xfId="0" applyNumberFormat="1" applyFont="1" applyFill="1" applyBorder="1" applyAlignment="1">
      <alignment shrinkToFit="1"/>
    </xf>
    <xf numFmtId="183" fontId="163" fillId="26" borderId="2" xfId="0" applyNumberFormat="1" applyFont="1" applyFill="1" applyBorder="1" applyAlignment="1">
      <alignment horizontal="center" shrinkToFit="1"/>
    </xf>
    <xf numFmtId="183" fontId="267" fillId="26" borderId="302" xfId="0" applyNumberFormat="1" applyFont="1" applyFill="1" applyBorder="1" applyAlignment="1">
      <alignment horizontal="center" shrinkToFit="1"/>
    </xf>
    <xf numFmtId="167" fontId="164" fillId="26" borderId="2" xfId="0" applyNumberFormat="1" applyFont="1" applyFill="1" applyBorder="1" applyAlignment="1">
      <alignment horizontal="center" shrinkToFit="1"/>
    </xf>
    <xf numFmtId="0" fontId="11" fillId="6" borderId="4" xfId="0" applyFont="1" applyFill="1" applyBorder="1" applyAlignment="1">
      <alignment horizontal="center"/>
    </xf>
    <xf numFmtId="0" fontId="11" fillId="6" borderId="12" xfId="0" applyFont="1" applyFill="1" applyBorder="1" applyAlignment="1">
      <alignment horizontal="center"/>
    </xf>
    <xf numFmtId="0" fontId="11" fillId="19" borderId="4" xfId="0" applyFont="1" applyFill="1" applyBorder="1" applyAlignment="1">
      <alignment horizontal="center"/>
    </xf>
    <xf numFmtId="0" fontId="11" fillId="19" borderId="12" xfId="0" applyFont="1" applyFill="1" applyBorder="1" applyAlignment="1">
      <alignment horizontal="center"/>
    </xf>
    <xf numFmtId="0" fontId="11" fillId="26" borderId="77" xfId="0" applyFont="1" applyFill="1" applyBorder="1"/>
    <xf numFmtId="0" fontId="163" fillId="26" borderId="292" xfId="0" applyFont="1" applyFill="1" applyBorder="1" applyAlignment="1">
      <alignment horizontal="center" vertical="center" shrinkToFit="1"/>
    </xf>
    <xf numFmtId="0" fontId="163" fillId="26" borderId="4" xfId="0" applyFont="1" applyFill="1" applyBorder="1" applyAlignment="1">
      <alignment horizontal="center" vertical="center" shrinkToFit="1"/>
    </xf>
    <xf numFmtId="0" fontId="22" fillId="26" borderId="8" xfId="0" applyFont="1" applyFill="1" applyBorder="1" applyAlignment="1">
      <alignment horizontal="center" vertical="center" shrinkToFit="1"/>
    </xf>
    <xf numFmtId="0" fontId="163" fillId="26" borderId="294" xfId="0" applyFont="1" applyFill="1" applyBorder="1" applyAlignment="1">
      <alignment vertical="center" shrinkToFit="1"/>
    </xf>
    <xf numFmtId="0" fontId="163" fillId="26" borderId="3" xfId="0" applyFont="1" applyFill="1" applyBorder="1" applyAlignment="1">
      <alignment horizontal="center" vertical="center" shrinkToFit="1"/>
    </xf>
    <xf numFmtId="183" fontId="11" fillId="0" borderId="17" xfId="0" applyNumberFormat="1" applyFont="1" applyBorder="1" applyAlignment="1">
      <alignment shrinkToFit="1"/>
    </xf>
    <xf numFmtId="169" fontId="58" fillId="0" borderId="17" xfId="0" applyNumberFormat="1" applyFont="1" applyBorder="1" applyAlignment="1" applyProtection="1">
      <alignment horizontal="center" vertical="center" shrinkToFit="1"/>
      <protection locked="0"/>
    </xf>
    <xf numFmtId="183" fontId="58" fillId="0" borderId="17" xfId="0" applyNumberFormat="1" applyFont="1" applyBorder="1" applyAlignment="1" applyProtection="1">
      <alignment horizontal="center" shrinkToFit="1"/>
      <protection locked="0"/>
    </xf>
    <xf numFmtId="183" fontId="163" fillId="0" borderId="17" xfId="0" applyNumberFormat="1" applyFont="1" applyBorder="1" applyAlignment="1">
      <alignment horizontal="center" shrinkToFit="1"/>
    </xf>
    <xf numFmtId="183" fontId="267" fillId="0" borderId="17" xfId="0" applyNumberFormat="1" applyFont="1" applyBorder="1" applyAlignment="1">
      <alignment horizontal="center" shrinkToFit="1"/>
    </xf>
    <xf numFmtId="183" fontId="11" fillId="0" borderId="17" xfId="0" applyNumberFormat="1" applyFont="1" applyBorder="1" applyAlignment="1">
      <alignment horizontal="center" shrinkToFit="1"/>
    </xf>
    <xf numFmtId="183" fontId="58" fillId="0" borderId="17" xfId="0" applyNumberFormat="1" applyFont="1" applyBorder="1" applyAlignment="1">
      <alignment horizontal="center" shrinkToFit="1"/>
    </xf>
    <xf numFmtId="167" fontId="164" fillId="0" borderId="17" xfId="0" applyNumberFormat="1" applyFont="1" applyBorder="1" applyAlignment="1">
      <alignment horizontal="center" shrinkToFit="1"/>
    </xf>
    <xf numFmtId="183" fontId="7" fillId="0" borderId="17" xfId="0" applyNumberFormat="1" applyFont="1" applyBorder="1"/>
    <xf numFmtId="0" fontId="11" fillId="0" borderId="8" xfId="0" applyFont="1" applyBorder="1" applyAlignment="1">
      <alignment shrinkToFit="1"/>
    </xf>
    <xf numFmtId="0" fontId="22" fillId="6" borderId="76" xfId="0" applyFont="1" applyFill="1" applyBorder="1"/>
    <xf numFmtId="183" fontId="267" fillId="6" borderId="294" xfId="0" applyNumberFormat="1" applyFont="1" applyFill="1" applyBorder="1" applyAlignment="1">
      <alignment horizontal="center" vertical="center" shrinkToFit="1"/>
    </xf>
    <xf numFmtId="183" fontId="267" fillId="19" borderId="294" xfId="0" applyNumberFormat="1" applyFont="1" applyFill="1" applyBorder="1" applyAlignment="1">
      <alignment horizontal="center" vertical="center" shrinkToFit="1"/>
    </xf>
    <xf numFmtId="0" fontId="11" fillId="6" borderId="76" xfId="0" applyFont="1" applyFill="1" applyBorder="1" applyAlignment="1">
      <alignment vertical="center"/>
    </xf>
    <xf numFmtId="0" fontId="11" fillId="6" borderId="4" xfId="0" applyFont="1" applyFill="1" applyBorder="1" applyAlignment="1">
      <alignment horizontal="center" vertical="center"/>
    </xf>
    <xf numFmtId="0" fontId="11" fillId="6" borderId="12" xfId="0" applyFont="1" applyFill="1" applyBorder="1" applyAlignment="1">
      <alignment horizontal="center" vertical="center"/>
    </xf>
    <xf numFmtId="183" fontId="267" fillId="6" borderId="297" xfId="0" applyNumberFormat="1" applyFont="1" applyFill="1" applyBorder="1" applyAlignment="1">
      <alignment horizontal="center" vertical="center" shrinkToFit="1"/>
    </xf>
    <xf numFmtId="0" fontId="11" fillId="19" borderId="4" xfId="0" applyFont="1" applyFill="1" applyBorder="1" applyAlignment="1">
      <alignment horizontal="center" vertical="center"/>
    </xf>
    <xf numFmtId="0" fontId="11" fillId="19" borderId="12" xfId="0" applyFont="1" applyFill="1" applyBorder="1" applyAlignment="1">
      <alignment horizontal="center" vertical="center"/>
    </xf>
    <xf numFmtId="0" fontId="163" fillId="26" borderId="304" xfId="0" applyFont="1" applyFill="1" applyBorder="1" applyAlignment="1">
      <alignment vertical="center" shrinkToFit="1"/>
    </xf>
    <xf numFmtId="0" fontId="74" fillId="0" borderId="0" xfId="0" applyFont="1" applyAlignment="1">
      <alignment vertical="center" wrapText="1"/>
    </xf>
    <xf numFmtId="0" fontId="22" fillId="26" borderId="14" xfId="0" applyFont="1" applyFill="1" applyBorder="1" applyAlignment="1">
      <alignment horizontal="center" vertical="center" shrinkToFit="1"/>
    </xf>
    <xf numFmtId="183" fontId="82" fillId="0" borderId="17" xfId="0" applyNumberFormat="1" applyFont="1" applyBorder="1" applyAlignment="1">
      <alignment shrinkToFit="1"/>
    </xf>
    <xf numFmtId="183" fontId="79" fillId="0" borderId="17" xfId="0" applyNumberFormat="1" applyFont="1" applyBorder="1" applyAlignment="1">
      <alignment horizontal="center" vertical="center" shrinkToFit="1"/>
    </xf>
    <xf numFmtId="183" fontId="82" fillId="0" borderId="17" xfId="0" applyNumberFormat="1" applyFont="1" applyBorder="1" applyAlignment="1">
      <alignment horizontal="center" shrinkToFit="1"/>
    </xf>
    <xf numFmtId="183" fontId="79" fillId="0" borderId="17" xfId="0" applyNumberFormat="1" applyFont="1" applyBorder="1" applyAlignment="1" applyProtection="1">
      <alignment horizontal="center" shrinkToFit="1"/>
      <protection locked="0"/>
    </xf>
    <xf numFmtId="183" fontId="62" fillId="0" borderId="17" xfId="0" applyNumberFormat="1" applyFont="1" applyBorder="1"/>
    <xf numFmtId="183" fontId="82" fillId="0" borderId="0" xfId="0" applyNumberFormat="1" applyFont="1" applyAlignment="1">
      <alignment shrinkToFit="1"/>
    </xf>
    <xf numFmtId="183" fontId="79" fillId="0" borderId="0" xfId="0" applyNumberFormat="1" applyFont="1" applyAlignment="1">
      <alignment horizontal="center" vertical="center" shrinkToFit="1"/>
    </xf>
    <xf numFmtId="183" fontId="82" fillId="0" borderId="0" xfId="0" applyNumberFormat="1" applyFont="1" applyAlignment="1">
      <alignment horizontal="center" shrinkToFit="1"/>
    </xf>
    <xf numFmtId="183" fontId="79" fillId="0" borderId="0" xfId="0" applyNumberFormat="1" applyFont="1" applyAlignment="1" applyProtection="1">
      <alignment horizontal="center" shrinkToFit="1"/>
      <protection locked="0"/>
    </xf>
    <xf numFmtId="183" fontId="62" fillId="0" borderId="0" xfId="0" applyNumberFormat="1" applyFont="1"/>
    <xf numFmtId="14" fontId="62" fillId="0" borderId="0" xfId="0" applyNumberFormat="1" applyFont="1" applyAlignment="1">
      <alignment vertical="top" shrinkToFit="1"/>
    </xf>
    <xf numFmtId="0" fontId="69" fillId="0" borderId="0" xfId="0" applyFont="1" applyAlignment="1">
      <alignment vertical="top" wrapText="1"/>
    </xf>
    <xf numFmtId="0" fontId="62" fillId="0" borderId="8" xfId="0" applyFont="1" applyBorder="1" applyAlignment="1">
      <alignment vertical="center" wrapText="1"/>
    </xf>
    <xf numFmtId="0" fontId="62" fillId="0" borderId="8" xfId="0" applyFont="1" applyBorder="1" applyAlignment="1">
      <alignment wrapText="1"/>
    </xf>
    <xf numFmtId="9" fontId="145" fillId="0" borderId="8" xfId="0" applyNumberFormat="1" applyFont="1" applyBorder="1" applyAlignment="1">
      <alignment horizontal="center" vertical="center" wrapText="1"/>
    </xf>
    <xf numFmtId="0" fontId="62" fillId="0" borderId="293" xfId="0" applyFont="1" applyBorder="1" applyAlignment="1">
      <alignment vertical="center" shrinkToFit="1"/>
    </xf>
    <xf numFmtId="0" fontId="62" fillId="0" borderId="296" xfId="0" applyFont="1" applyBorder="1" applyAlignment="1">
      <alignment vertical="center" shrinkToFit="1"/>
    </xf>
    <xf numFmtId="0" fontId="145" fillId="0" borderId="8" xfId="0" applyFont="1" applyBorder="1" applyAlignment="1">
      <alignment vertical="center" wrapText="1"/>
    </xf>
    <xf numFmtId="0" fontId="62" fillId="0" borderId="35" xfId="0" applyFont="1" applyBorder="1" applyAlignment="1">
      <alignment vertical="center" shrinkToFit="1"/>
    </xf>
    <xf numFmtId="0" fontId="82" fillId="0" borderId="292" xfId="0" applyFont="1" applyBorder="1" applyAlignment="1">
      <alignment horizontal="center" vertical="center" shrinkToFit="1"/>
    </xf>
    <xf numFmtId="0" fontId="82" fillId="0" borderId="4" xfId="0" applyFont="1" applyBorder="1" applyAlignment="1">
      <alignment horizontal="center" vertical="center" shrinkToFit="1"/>
    </xf>
    <xf numFmtId="0" fontId="79" fillId="0" borderId="8" xfId="0" applyFont="1" applyBorder="1" applyAlignment="1">
      <alignment horizontal="center" vertical="center" shrinkToFit="1"/>
    </xf>
    <xf numFmtId="9" fontId="79" fillId="0" borderId="294" xfId="0" applyNumberFormat="1" applyFont="1" applyBorder="1" applyAlignment="1">
      <alignment horizontal="center" vertical="center" shrinkToFit="1"/>
    </xf>
    <xf numFmtId="0" fontId="82" fillId="0" borderId="3" xfId="0" applyFont="1" applyBorder="1" applyAlignment="1">
      <alignment horizontal="center" vertical="center" shrinkToFit="1"/>
    </xf>
    <xf numFmtId="9" fontId="79" fillId="0" borderId="297" xfId="0" applyNumberFormat="1" applyFont="1" applyBorder="1" applyAlignment="1">
      <alignment horizontal="center" vertical="center" shrinkToFit="1"/>
    </xf>
    <xf numFmtId="9" fontId="79" fillId="0" borderId="35" xfId="0" applyNumberFormat="1" applyFont="1" applyBorder="1" applyAlignment="1">
      <alignment horizontal="center" vertical="center" shrinkToFit="1"/>
    </xf>
    <xf numFmtId="183" fontId="82" fillId="0" borderId="77" xfId="0" applyNumberFormat="1" applyFont="1" applyBorder="1" applyAlignment="1">
      <alignment shrinkToFit="1"/>
    </xf>
    <xf numFmtId="183" fontId="79" fillId="0" borderId="23" xfId="0" applyNumberFormat="1" applyFont="1" applyBorder="1" applyAlignment="1">
      <alignment horizontal="center" vertical="center" shrinkToFit="1"/>
    </xf>
    <xf numFmtId="183" fontId="79" fillId="0" borderId="14" xfId="0" applyNumberFormat="1" applyFont="1" applyBorder="1" applyAlignment="1">
      <alignment horizontal="center" vertical="center" shrinkToFit="1"/>
    </xf>
    <xf numFmtId="183" fontId="82" fillId="0" borderId="294" xfId="0" applyNumberFormat="1" applyFont="1" applyBorder="1" applyAlignment="1">
      <alignment horizontal="center" shrinkToFit="1"/>
    </xf>
    <xf numFmtId="183" fontId="82" fillId="0" borderId="3" xfId="0" applyNumberFormat="1" applyFont="1" applyBorder="1" applyAlignment="1">
      <alignment horizontal="center" shrinkToFit="1"/>
    </xf>
    <xf numFmtId="183" fontId="82" fillId="0" borderId="8" xfId="0" applyNumberFormat="1" applyFont="1" applyBorder="1" applyAlignment="1">
      <alignment horizontal="center" shrinkToFit="1"/>
    </xf>
    <xf numFmtId="183" fontId="79" fillId="0" borderId="13" xfId="0" applyNumberFormat="1" applyFont="1" applyBorder="1" applyAlignment="1" applyProtection="1">
      <alignment horizontal="center" shrinkToFit="1"/>
      <protection locked="0"/>
    </xf>
    <xf numFmtId="183" fontId="82" fillId="0" borderId="40" xfId="0" applyNumberFormat="1" applyFont="1" applyBorder="1" applyAlignment="1">
      <alignment shrinkToFit="1"/>
    </xf>
    <xf numFmtId="183" fontId="79" fillId="0" borderId="6" xfId="0" applyNumberFormat="1" applyFont="1" applyBorder="1" applyAlignment="1">
      <alignment horizontal="center" vertical="center" shrinkToFit="1"/>
    </xf>
    <xf numFmtId="183" fontId="79" fillId="0" borderId="7" xfId="0" applyNumberFormat="1" applyFont="1" applyBorder="1" applyAlignment="1">
      <alignment horizontal="center" vertical="center" shrinkToFit="1"/>
    </xf>
    <xf numFmtId="183" fontId="82" fillId="0" borderId="299" xfId="0" applyNumberFormat="1" applyFont="1" applyBorder="1" applyAlignment="1">
      <alignment horizontal="center" shrinkToFit="1"/>
    </xf>
    <xf numFmtId="183" fontId="82" fillId="0" borderId="2" xfId="0" applyNumberFormat="1" applyFont="1" applyBorder="1" applyAlignment="1">
      <alignment horizontal="center" shrinkToFit="1"/>
    </xf>
    <xf numFmtId="0" fontId="82" fillId="0" borderId="76" xfId="0" applyFont="1" applyBorder="1"/>
    <xf numFmtId="0" fontId="82" fillId="0" borderId="4" xfId="0" applyFont="1" applyBorder="1" applyAlignment="1">
      <alignment horizontal="center"/>
    </xf>
    <xf numFmtId="0" fontId="82" fillId="0" borderId="12" xfId="0" applyFont="1" applyBorder="1" applyAlignment="1">
      <alignment horizontal="center"/>
    </xf>
    <xf numFmtId="169" fontId="58" fillId="13" borderId="306" xfId="0" applyNumberFormat="1" applyFont="1" applyFill="1" applyBorder="1" applyAlignment="1" applyProtection="1">
      <alignment horizontal="center" vertical="center" shrinkToFit="1"/>
      <protection locked="0"/>
    </xf>
    <xf numFmtId="9" fontId="19" fillId="6" borderId="307" xfId="0" applyNumberFormat="1" applyFont="1" applyFill="1" applyBorder="1" applyAlignment="1">
      <alignment horizontal="center" vertical="center" wrapText="1"/>
    </xf>
    <xf numFmtId="183" fontId="267" fillId="6" borderId="307" xfId="0" applyNumberFormat="1" applyFont="1" applyFill="1" applyBorder="1" applyAlignment="1">
      <alignment horizontal="center" shrinkToFit="1"/>
    </xf>
    <xf numFmtId="9" fontId="19" fillId="19" borderId="307" xfId="0" applyNumberFormat="1" applyFont="1" applyFill="1" applyBorder="1" applyAlignment="1">
      <alignment horizontal="center" vertical="center" wrapText="1"/>
    </xf>
    <xf numFmtId="9" fontId="19" fillId="19" borderId="296" xfId="0" applyNumberFormat="1" applyFont="1" applyFill="1" applyBorder="1" applyAlignment="1">
      <alignment horizontal="center" vertical="center" wrapText="1"/>
    </xf>
    <xf numFmtId="0" fontId="7" fillId="0" borderId="0" xfId="0" applyFont="1" applyAlignment="1">
      <alignment wrapText="1"/>
    </xf>
    <xf numFmtId="0" fontId="273" fillId="6" borderId="305" xfId="0" applyFont="1" applyFill="1" applyBorder="1" applyAlignment="1">
      <alignment vertical="center" shrinkToFit="1"/>
    </xf>
    <xf numFmtId="0" fontId="273" fillId="6" borderId="308" xfId="0" applyFont="1" applyFill="1" applyBorder="1" applyAlignment="1">
      <alignment vertical="center" shrinkToFit="1"/>
    </xf>
    <xf numFmtId="0" fontId="273" fillId="19" borderId="305" xfId="0" applyFont="1" applyFill="1" applyBorder="1" applyAlignment="1">
      <alignment vertical="center" shrinkToFit="1"/>
    </xf>
    <xf numFmtId="0" fontId="273" fillId="19" borderId="308" xfId="0" applyFont="1" applyFill="1" applyBorder="1" applyAlignment="1">
      <alignment vertical="center" shrinkToFit="1"/>
    </xf>
    <xf numFmtId="0" fontId="11" fillId="19" borderId="10" xfId="0" applyFont="1" applyFill="1" applyBorder="1" applyAlignment="1">
      <alignment horizontal="center"/>
    </xf>
    <xf numFmtId="0" fontId="11" fillId="19" borderId="3" xfId="0" applyFont="1" applyFill="1" applyBorder="1" applyAlignment="1">
      <alignment horizontal="center"/>
    </xf>
    <xf numFmtId="169" fontId="58" fillId="13" borderId="297" xfId="0" applyNumberFormat="1" applyFont="1" applyFill="1" applyBorder="1" applyAlignment="1" applyProtection="1">
      <alignment horizontal="center" vertical="center" shrinkToFit="1"/>
      <protection locked="0"/>
    </xf>
    <xf numFmtId="9" fontId="19" fillId="6" borderId="297" xfId="0" applyNumberFormat="1" applyFont="1" applyFill="1" applyBorder="1" applyAlignment="1">
      <alignment horizontal="center" vertical="center" wrapText="1"/>
    </xf>
    <xf numFmtId="183" fontId="267" fillId="0" borderId="278" xfId="0" applyNumberFormat="1" applyFont="1" applyBorder="1" applyAlignment="1">
      <alignment horizontal="center" shrinkToFit="1"/>
    </xf>
    <xf numFmtId="183" fontId="267" fillId="0" borderId="34" xfId="0" applyNumberFormat="1" applyFont="1" applyBorder="1" applyAlignment="1">
      <alignment horizontal="center" shrinkToFit="1"/>
    </xf>
    <xf numFmtId="0" fontId="7" fillId="0" borderId="78" xfId="0" applyFont="1" applyBorder="1"/>
    <xf numFmtId="183" fontId="117" fillId="26" borderId="292" xfId="0" applyNumberFormat="1" applyFont="1" applyFill="1" applyBorder="1" applyAlignment="1">
      <alignment horizontal="center" shrinkToFit="1"/>
    </xf>
    <xf numFmtId="183" fontId="117" fillId="26" borderId="301" xfId="0" applyNumberFormat="1" applyFont="1" applyFill="1" applyBorder="1" applyAlignment="1">
      <alignment horizontal="center" shrinkToFit="1"/>
    </xf>
    <xf numFmtId="183" fontId="117" fillId="26" borderId="298" xfId="0" applyNumberFormat="1" applyFont="1" applyFill="1" applyBorder="1" applyAlignment="1" applyProtection="1">
      <alignment horizontal="center" shrinkToFit="1"/>
      <protection locked="0"/>
    </xf>
    <xf numFmtId="183" fontId="117" fillId="26" borderId="303" xfId="0" applyNumberFormat="1" applyFont="1" applyFill="1" applyBorder="1" applyAlignment="1" applyProtection="1">
      <alignment horizontal="center" shrinkToFit="1"/>
      <protection locked="0"/>
    </xf>
    <xf numFmtId="183" fontId="117" fillId="0" borderId="17" xfId="0" applyNumberFormat="1" applyFont="1" applyBorder="1" applyAlignment="1" applyProtection="1">
      <alignment horizontal="center" shrinkToFit="1"/>
      <protection locked="0"/>
    </xf>
    <xf numFmtId="183" fontId="117" fillId="0" borderId="0" xfId="0" applyNumberFormat="1" applyFont="1" applyAlignment="1" applyProtection="1">
      <alignment horizontal="center" shrinkToFit="1"/>
      <protection locked="0"/>
    </xf>
    <xf numFmtId="0" fontId="23" fillId="33" borderId="0" xfId="0" applyFont="1" applyFill="1" applyAlignment="1">
      <alignment horizontal="center"/>
    </xf>
    <xf numFmtId="0" fontId="170" fillId="33" borderId="0" xfId="0" applyFont="1" applyFill="1"/>
    <xf numFmtId="170" fontId="170" fillId="33" borderId="0" xfId="0" applyNumberFormat="1" applyFont="1" applyFill="1"/>
    <xf numFmtId="0" fontId="51" fillId="9" borderId="49" xfId="0" applyFont="1" applyFill="1" applyBorder="1"/>
    <xf numFmtId="0" fontId="23" fillId="9" borderId="0" xfId="0" applyFont="1" applyFill="1"/>
    <xf numFmtId="0" fontId="7" fillId="9" borderId="0" xfId="0" applyFont="1" applyFill="1"/>
    <xf numFmtId="0" fontId="7" fillId="9" borderId="55" xfId="0" applyFont="1" applyFill="1" applyBorder="1"/>
    <xf numFmtId="166" fontId="60" fillId="7" borderId="65" xfId="0" applyNumberFormat="1" applyFont="1" applyFill="1" applyBorder="1" applyAlignment="1" applyProtection="1">
      <alignment horizontal="center"/>
      <protection locked="0"/>
    </xf>
    <xf numFmtId="17" fontId="11" fillId="9" borderId="32" xfId="0" applyNumberFormat="1" applyFont="1" applyFill="1" applyBorder="1" applyAlignment="1">
      <alignment horizontal="center"/>
    </xf>
    <xf numFmtId="3" fontId="270" fillId="33" borderId="49" xfId="0" applyNumberFormat="1" applyFont="1" applyFill="1" applyBorder="1" applyAlignment="1">
      <alignment horizontal="center" shrinkToFit="1"/>
    </xf>
    <xf numFmtId="17" fontId="11" fillId="9" borderId="309" xfId="0" applyNumberFormat="1" applyFont="1" applyFill="1" applyBorder="1" applyAlignment="1">
      <alignment horizontal="center"/>
    </xf>
    <xf numFmtId="17" fontId="11" fillId="9" borderId="310" xfId="0" applyNumberFormat="1" applyFont="1" applyFill="1" applyBorder="1" applyAlignment="1">
      <alignment horizontal="center"/>
    </xf>
    <xf numFmtId="166" fontId="60" fillId="7" borderId="311" xfId="0" applyNumberFormat="1" applyFont="1" applyFill="1" applyBorder="1" applyAlignment="1" applyProtection="1">
      <alignment horizontal="center"/>
      <protection locked="0"/>
    </xf>
    <xf numFmtId="166" fontId="60" fillId="7" borderId="191" xfId="0" applyNumberFormat="1" applyFont="1" applyFill="1" applyBorder="1" applyAlignment="1" applyProtection="1">
      <alignment horizontal="center"/>
      <protection locked="0"/>
    </xf>
    <xf numFmtId="0" fontId="7" fillId="9" borderId="49" xfId="0" applyFont="1" applyFill="1" applyBorder="1"/>
    <xf numFmtId="0" fontId="7" fillId="9" borderId="48" xfId="0" applyFont="1" applyFill="1" applyBorder="1"/>
    <xf numFmtId="0" fontId="7" fillId="9" borderId="56" xfId="0" applyFont="1" applyFill="1" applyBorder="1"/>
    <xf numFmtId="0" fontId="275" fillId="0" borderId="0" xfId="0" applyFont="1" applyAlignment="1">
      <alignment shrinkToFit="1"/>
    </xf>
    <xf numFmtId="0" fontId="276" fillId="9" borderId="0" xfId="0" applyFont="1" applyFill="1"/>
    <xf numFmtId="185" fontId="62" fillId="2" borderId="0" xfId="0" applyNumberFormat="1" applyFont="1" applyFill="1"/>
    <xf numFmtId="0" fontId="163" fillId="26" borderId="297" xfId="0" applyFont="1" applyFill="1" applyBorder="1" applyAlignment="1">
      <alignment horizontal="center" vertical="center" shrinkToFit="1"/>
    </xf>
    <xf numFmtId="183" fontId="267" fillId="26" borderId="297" xfId="0" applyNumberFormat="1" applyFont="1" applyFill="1" applyBorder="1" applyAlignment="1">
      <alignment horizontal="center" shrinkToFit="1"/>
    </xf>
    <xf numFmtId="17" fontId="274" fillId="33" borderId="290" xfId="0" applyNumberFormat="1" applyFont="1" applyFill="1" applyBorder="1" applyAlignment="1">
      <alignment horizontal="center" shrinkToFit="1"/>
    </xf>
    <xf numFmtId="167" fontId="202" fillId="33" borderId="308" xfId="0" applyNumberFormat="1" applyFont="1" applyFill="1" applyBorder="1" applyAlignment="1">
      <alignment horizontal="center" shrinkToFit="1"/>
    </xf>
    <xf numFmtId="17" fontId="274" fillId="33" borderId="312" xfId="0" applyNumberFormat="1" applyFont="1" applyFill="1" applyBorder="1" applyAlignment="1">
      <alignment horizontal="center" vertical="center" shrinkToFit="1"/>
    </xf>
    <xf numFmtId="183" fontId="202" fillId="33" borderId="313" xfId="0" applyNumberFormat="1" applyFont="1" applyFill="1" applyBorder="1" applyAlignment="1">
      <alignment horizontal="center" vertical="center" shrinkToFit="1"/>
    </xf>
    <xf numFmtId="183" fontId="163" fillId="26" borderId="23" xfId="0" applyNumberFormat="1" applyFont="1" applyFill="1" applyBorder="1" applyAlignment="1">
      <alignment horizontal="center" shrinkToFit="1"/>
    </xf>
    <xf numFmtId="169" fontId="58" fillId="13" borderId="314" xfId="0" applyNumberFormat="1" applyFont="1" applyFill="1" applyBorder="1" applyAlignment="1" applyProtection="1">
      <alignment horizontal="center" vertical="center" shrinkToFit="1"/>
      <protection locked="0"/>
    </xf>
    <xf numFmtId="0" fontId="7" fillId="26" borderId="33" xfId="0" applyFont="1" applyFill="1" applyBorder="1"/>
    <xf numFmtId="0" fontId="7" fillId="26" borderId="123" xfId="0" applyFont="1" applyFill="1" applyBorder="1"/>
    <xf numFmtId="3" fontId="62" fillId="16" borderId="0" xfId="0" applyNumberFormat="1" applyFont="1" applyFill="1" applyAlignment="1">
      <alignment shrinkToFit="1"/>
    </xf>
    <xf numFmtId="3" fontId="62" fillId="17" borderId="0" xfId="0" applyNumberFormat="1" applyFont="1" applyFill="1" applyAlignment="1">
      <alignment shrinkToFit="1"/>
    </xf>
    <xf numFmtId="3" fontId="62" fillId="32" borderId="0" xfId="0" applyNumberFormat="1" applyFont="1" applyFill="1" applyAlignment="1">
      <alignment shrinkToFit="1"/>
    </xf>
    <xf numFmtId="3" fontId="62" fillId="27" borderId="0" xfId="0" applyNumberFormat="1" applyFont="1" applyFill="1" applyAlignment="1">
      <alignment shrinkToFit="1"/>
    </xf>
    <xf numFmtId="3" fontId="62" fillId="0" borderId="0" xfId="0" applyNumberFormat="1" applyFont="1" applyAlignment="1">
      <alignment shrinkToFit="1"/>
    </xf>
    <xf numFmtId="1" fontId="62" fillId="16" borderId="0" xfId="0" applyNumberFormat="1" applyFont="1" applyFill="1" applyAlignment="1">
      <alignment shrinkToFit="1"/>
    </xf>
    <xf numFmtId="1" fontId="62" fillId="17" borderId="0" xfId="0" applyNumberFormat="1" applyFont="1" applyFill="1" applyAlignment="1">
      <alignment shrinkToFit="1"/>
    </xf>
    <xf numFmtId="1" fontId="62" fillId="32" borderId="0" xfId="0" applyNumberFormat="1" applyFont="1" applyFill="1" applyAlignment="1">
      <alignment shrinkToFit="1"/>
    </xf>
    <xf numFmtId="1" fontId="62" fillId="27" borderId="0" xfId="0" applyNumberFormat="1" applyFont="1" applyFill="1" applyAlignment="1">
      <alignment shrinkToFit="1"/>
    </xf>
    <xf numFmtId="1" fontId="62" fillId="0" borderId="0" xfId="0" applyNumberFormat="1" applyFont="1" applyAlignment="1">
      <alignment shrinkToFit="1"/>
    </xf>
    <xf numFmtId="168" fontId="62" fillId="16" borderId="0" xfId="0" applyNumberFormat="1" applyFont="1" applyFill="1" applyAlignment="1">
      <alignment shrinkToFit="1"/>
    </xf>
    <xf numFmtId="168" fontId="62" fillId="17" borderId="0" xfId="0" applyNumberFormat="1" applyFont="1" applyFill="1" applyAlignment="1">
      <alignment shrinkToFit="1"/>
    </xf>
    <xf numFmtId="168" fontId="62" fillId="32" borderId="0" xfId="0" applyNumberFormat="1" applyFont="1" applyFill="1" applyAlignment="1">
      <alignment shrinkToFit="1"/>
    </xf>
    <xf numFmtId="168" fontId="62" fillId="27" borderId="0" xfId="0" applyNumberFormat="1" applyFont="1" applyFill="1" applyAlignment="1">
      <alignment shrinkToFit="1"/>
    </xf>
    <xf numFmtId="4" fontId="62" fillId="0" borderId="0" xfId="0" applyNumberFormat="1" applyFont="1" applyAlignment="1">
      <alignment shrinkToFit="1"/>
    </xf>
    <xf numFmtId="0" fontId="62" fillId="16" borderId="0" xfId="0" applyFont="1" applyFill="1" applyAlignment="1">
      <alignment shrinkToFit="1"/>
    </xf>
    <xf numFmtId="0" fontId="62" fillId="17" borderId="0" xfId="0" applyFont="1" applyFill="1" applyAlignment="1">
      <alignment shrinkToFit="1"/>
    </xf>
    <xf numFmtId="0" fontId="62" fillId="32" borderId="0" xfId="0" applyFont="1" applyFill="1" applyAlignment="1">
      <alignment shrinkToFit="1"/>
    </xf>
    <xf numFmtId="0" fontId="62" fillId="27" borderId="0" xfId="0" applyFont="1" applyFill="1" applyAlignment="1">
      <alignment shrinkToFit="1"/>
    </xf>
    <xf numFmtId="168" fontId="62" fillId="0" borderId="0" xfId="0" applyNumberFormat="1" applyFont="1" applyAlignment="1">
      <alignment shrinkToFit="1"/>
    </xf>
    <xf numFmtId="168" fontId="62" fillId="0" borderId="0" xfId="0" applyNumberFormat="1" applyFont="1"/>
    <xf numFmtId="4" fontId="15" fillId="9" borderId="23" xfId="0" applyNumberFormat="1" applyFont="1" applyFill="1" applyBorder="1"/>
    <xf numFmtId="0" fontId="181" fillId="0" borderId="12" xfId="0" applyFont="1" applyBorder="1" applyAlignment="1">
      <alignment vertical="center" wrapText="1"/>
    </xf>
    <xf numFmtId="0" fontId="181" fillId="0" borderId="15" xfId="0" applyFont="1" applyBorder="1" applyAlignment="1">
      <alignment vertical="center" wrapText="1"/>
    </xf>
    <xf numFmtId="0" fontId="277" fillId="0" borderId="12" xfId="0" applyFont="1" applyBorder="1" applyAlignment="1">
      <alignment vertical="center" wrapText="1"/>
    </xf>
    <xf numFmtId="3" fontId="13" fillId="0" borderId="316" xfId="0" applyNumberFormat="1" applyFont="1" applyBorder="1" applyAlignment="1">
      <alignment horizontal="right" vertical="center"/>
    </xf>
    <xf numFmtId="0" fontId="15" fillId="34" borderId="14" xfId="0" applyFont="1" applyFill="1" applyBorder="1" applyAlignment="1">
      <alignment vertical="center"/>
    </xf>
    <xf numFmtId="0" fontId="11" fillId="34" borderId="10" xfId="0" applyFont="1" applyFill="1" applyBorder="1" applyAlignment="1">
      <alignment vertical="center"/>
    </xf>
    <xf numFmtId="0" fontId="11" fillId="34" borderId="14" xfId="0" applyFont="1" applyFill="1" applyBorder="1" applyAlignment="1">
      <alignment vertical="center"/>
    </xf>
    <xf numFmtId="0" fontId="82" fillId="35" borderId="14" xfId="0" applyFont="1" applyFill="1" applyBorder="1" applyAlignment="1">
      <alignment vertical="center"/>
    </xf>
    <xf numFmtId="0" fontId="82" fillId="35" borderId="10" xfId="0" applyFont="1" applyFill="1" applyBorder="1" applyAlignment="1">
      <alignment vertical="center"/>
    </xf>
    <xf numFmtId="3" fontId="109" fillId="35" borderId="172" xfId="0" applyNumberFormat="1" applyFont="1" applyFill="1" applyBorder="1" applyAlignment="1">
      <alignment horizontal="center" vertical="center"/>
    </xf>
    <xf numFmtId="0" fontId="145" fillId="35" borderId="90" xfId="0" applyFont="1" applyFill="1" applyBorder="1" applyAlignment="1">
      <alignment vertical="center" wrapText="1"/>
    </xf>
    <xf numFmtId="0" fontId="126" fillId="0" borderId="161" xfId="0" applyFont="1" applyBorder="1" applyAlignment="1">
      <alignment horizontal="right" vertical="center" wrapText="1" shrinkToFit="1"/>
    </xf>
    <xf numFmtId="0" fontId="126" fillId="0" borderId="10" xfId="0" applyFont="1" applyBorder="1" applyAlignment="1">
      <alignment horizontal="right" vertical="center" wrapText="1" shrinkToFit="1"/>
    </xf>
    <xf numFmtId="0" fontId="126" fillId="0" borderId="10" xfId="0" applyFont="1" applyBorder="1" applyAlignment="1">
      <alignment horizontal="left" vertical="center" wrapText="1" shrinkToFit="1"/>
    </xf>
    <xf numFmtId="0" fontId="243" fillId="0" borderId="162" xfId="0" applyFont="1" applyBorder="1"/>
    <xf numFmtId="4" fontId="279" fillId="7" borderId="23" xfId="0" applyNumberFormat="1" applyFont="1" applyFill="1" applyBorder="1" applyAlignment="1" applyProtection="1">
      <alignment horizontal="center" vertical="center" shrinkToFit="1"/>
      <protection locked="0"/>
    </xf>
    <xf numFmtId="4" fontId="126" fillId="0" borderId="86" xfId="0" applyNumberFormat="1" applyFont="1" applyBorder="1" applyAlignment="1">
      <alignment horizontal="left" vertical="center" shrinkToFit="1"/>
    </xf>
    <xf numFmtId="4" fontId="126" fillId="0" borderId="56" xfId="0" applyNumberFormat="1" applyFont="1" applyBorder="1" applyAlignment="1">
      <alignment horizontal="left" vertical="center" shrinkToFit="1"/>
    </xf>
    <xf numFmtId="4" fontId="126" fillId="0" borderId="142" xfId="0" applyNumberFormat="1" applyFont="1" applyBorder="1" applyAlignment="1">
      <alignment horizontal="left" vertical="center" shrinkToFit="1"/>
    </xf>
    <xf numFmtId="4" fontId="126" fillId="0" borderId="136" xfId="0" applyNumberFormat="1" applyFont="1" applyBorder="1" applyAlignment="1">
      <alignment horizontal="center" vertical="center" wrapText="1"/>
    </xf>
    <xf numFmtId="4" fontId="126" fillId="0" borderId="176" xfId="0" applyNumberFormat="1" applyFont="1" applyBorder="1" applyAlignment="1">
      <alignment horizontal="left" vertical="center" shrinkToFit="1"/>
    </xf>
    <xf numFmtId="4" fontId="126" fillId="0" borderId="131" xfId="0" applyNumberFormat="1" applyFont="1" applyBorder="1" applyAlignment="1">
      <alignment horizontal="left" vertical="center"/>
    </xf>
    <xf numFmtId="4" fontId="126" fillId="0" borderId="13" xfId="0" applyNumberFormat="1" applyFont="1" applyBorder="1" applyAlignment="1">
      <alignment horizontal="left" vertical="center" shrinkToFit="1"/>
    </xf>
    <xf numFmtId="4" fontId="126" fillId="0" borderId="33" xfId="0" applyNumberFormat="1" applyFont="1" applyBorder="1" applyAlignment="1">
      <alignment horizontal="left" vertical="center" shrinkToFit="1"/>
    </xf>
    <xf numFmtId="3" fontId="243" fillId="0" borderId="0" xfId="0" applyNumberFormat="1" applyFont="1" applyAlignment="1">
      <alignment shrinkToFit="1"/>
    </xf>
    <xf numFmtId="4" fontId="126" fillId="0" borderId="139" xfId="0" applyNumberFormat="1" applyFont="1" applyBorder="1" applyAlignment="1">
      <alignment horizontal="left" vertical="center" shrinkToFit="1"/>
    </xf>
    <xf numFmtId="4" fontId="126" fillId="0" borderId="152" xfId="0" applyNumberFormat="1" applyFont="1" applyBorder="1" applyAlignment="1">
      <alignment horizontal="left" vertical="center" shrinkToFit="1"/>
    </xf>
    <xf numFmtId="4" fontId="126" fillId="0" borderId="133" xfId="0" applyNumberFormat="1" applyFont="1" applyBorder="1" applyAlignment="1">
      <alignment horizontal="left" vertical="center" shrinkToFit="1"/>
    </xf>
    <xf numFmtId="3" fontId="126" fillId="0" borderId="0" xfId="0" applyNumberFormat="1" applyFont="1" applyAlignment="1">
      <alignment horizontal="left" vertical="center" shrinkToFit="1"/>
    </xf>
    <xf numFmtId="4" fontId="126" fillId="0" borderId="171" xfId="0" applyNumberFormat="1" applyFont="1" applyBorder="1" applyAlignment="1">
      <alignment horizontal="left" vertical="center"/>
    </xf>
    <xf numFmtId="4" fontId="126" fillId="0" borderId="154" xfId="0" applyNumberFormat="1" applyFont="1" applyBorder="1" applyAlignment="1">
      <alignment horizontal="left" vertical="center"/>
    </xf>
    <xf numFmtId="4" fontId="126" fillId="0" borderId="135" xfId="0" applyNumberFormat="1" applyFont="1" applyBorder="1" applyAlignment="1">
      <alignment horizontal="left" vertical="center" shrinkToFit="1"/>
    </xf>
    <xf numFmtId="4" fontId="126" fillId="0" borderId="54" xfId="0" applyNumberFormat="1" applyFont="1" applyBorder="1" applyAlignment="1">
      <alignment horizontal="left" vertical="center" shrinkToFit="1"/>
    </xf>
    <xf numFmtId="4" fontId="126" fillId="0" borderId="132" xfId="0" applyNumberFormat="1" applyFont="1" applyBorder="1" applyAlignment="1">
      <alignment horizontal="left" vertical="center" shrinkToFit="1"/>
    </xf>
    <xf numFmtId="3" fontId="63" fillId="0" borderId="0" xfId="0" applyNumberFormat="1" applyFont="1" applyAlignment="1">
      <alignment shrinkToFit="1"/>
    </xf>
    <xf numFmtId="3" fontId="243" fillId="0" borderId="0" xfId="0" applyNumberFormat="1" applyFont="1" applyAlignment="1">
      <alignment vertical="center" shrinkToFit="1"/>
    </xf>
    <xf numFmtId="3" fontId="243" fillId="0" borderId="200" xfId="0" applyNumberFormat="1" applyFont="1" applyBorder="1" applyAlignment="1">
      <alignment shrinkToFit="1"/>
    </xf>
    <xf numFmtId="3" fontId="243" fillId="0" borderId="13" xfId="0" applyNumberFormat="1" applyFont="1" applyBorder="1" applyAlignment="1">
      <alignment vertical="center" shrinkToFit="1"/>
    </xf>
    <xf numFmtId="0" fontId="243" fillId="0" borderId="0" xfId="0" applyFont="1" applyAlignment="1">
      <alignment shrinkToFit="1"/>
    </xf>
    <xf numFmtId="4" fontId="126" fillId="0" borderId="184" xfId="0" applyNumberFormat="1" applyFont="1" applyBorder="1" applyAlignment="1">
      <alignment horizontal="left" vertical="center" shrinkToFit="1"/>
    </xf>
    <xf numFmtId="4" fontId="126" fillId="0" borderId="186" xfId="0" applyNumberFormat="1" applyFont="1" applyBorder="1" applyAlignment="1">
      <alignment horizontal="left" vertical="center" shrinkToFit="1"/>
    </xf>
    <xf numFmtId="0" fontId="15" fillId="2" borderId="0" xfId="0" applyFont="1" applyFill="1" applyAlignment="1">
      <alignment horizontal="left" shrinkToFit="1"/>
    </xf>
    <xf numFmtId="49" fontId="15" fillId="0" borderId="0" xfId="0" applyNumberFormat="1" applyFont="1" applyAlignment="1">
      <alignment horizontal="left"/>
    </xf>
    <xf numFmtId="4" fontId="15" fillId="2" borderId="0" xfId="0" applyNumberFormat="1" applyFont="1" applyFill="1" applyAlignment="1">
      <alignment horizontal="left" shrinkToFit="1"/>
    </xf>
    <xf numFmtId="0" fontId="7" fillId="0" borderId="318" xfId="0" applyFont="1" applyBorder="1"/>
    <xf numFmtId="49" fontId="15" fillId="0" borderId="318" xfId="0" applyNumberFormat="1" applyFont="1" applyBorder="1" applyAlignment="1">
      <alignment horizontal="center"/>
    </xf>
    <xf numFmtId="0" fontId="15" fillId="0" borderId="318" xfId="0" applyFont="1" applyBorder="1" applyAlignment="1">
      <alignment horizontal="left"/>
    </xf>
    <xf numFmtId="49" fontId="15" fillId="0" borderId="318" xfId="0" applyNumberFormat="1" applyFont="1" applyBorder="1" applyAlignment="1">
      <alignment horizontal="left"/>
    </xf>
    <xf numFmtId="4" fontId="15" fillId="2" borderId="318" xfId="0" applyNumberFormat="1" applyFont="1" applyFill="1" applyBorder="1" applyAlignment="1">
      <alignment horizontal="left" shrinkToFit="1"/>
    </xf>
    <xf numFmtId="0" fontId="15" fillId="0" borderId="318" xfId="0" applyFont="1" applyBorder="1"/>
    <xf numFmtId="3" fontId="163" fillId="0" borderId="318" xfId="0" applyNumberFormat="1" applyFont="1" applyBorder="1" applyAlignment="1">
      <alignment horizontal="left" vertical="top"/>
    </xf>
    <xf numFmtId="0" fontId="23" fillId="0" borderId="318" xfId="0" applyFont="1" applyBorder="1"/>
    <xf numFmtId="0" fontId="23" fillId="2" borderId="318" xfId="0" applyFont="1" applyFill="1" applyBorder="1"/>
    <xf numFmtId="14" fontId="100" fillId="0" borderId="319" xfId="0" applyNumberFormat="1" applyFont="1" applyBorder="1"/>
    <xf numFmtId="4" fontId="104" fillId="7" borderId="23" xfId="0" applyNumberFormat="1" applyFont="1" applyFill="1" applyBorder="1" applyAlignment="1" applyProtection="1">
      <alignment horizontal="center" vertical="center" shrinkToFit="1"/>
      <protection locked="0"/>
    </xf>
    <xf numFmtId="4" fontId="104" fillId="7" borderId="65" xfId="0" applyNumberFormat="1" applyFont="1" applyFill="1" applyBorder="1" applyAlignment="1" applyProtection="1">
      <alignment horizontal="center" vertical="center" shrinkToFit="1"/>
      <protection locked="0"/>
    </xf>
    <xf numFmtId="4" fontId="104" fillId="7" borderId="23" xfId="0" applyNumberFormat="1" applyFont="1" applyFill="1" applyBorder="1" applyAlignment="1">
      <alignment horizontal="center" vertical="center" wrapText="1" shrinkToFit="1"/>
    </xf>
    <xf numFmtId="4" fontId="104" fillId="7" borderId="65" xfId="0" applyNumberFormat="1" applyFont="1" applyFill="1" applyBorder="1" applyAlignment="1">
      <alignment horizontal="center" vertical="center" shrinkToFit="1"/>
    </xf>
    <xf numFmtId="0" fontId="11" fillId="9" borderId="14" xfId="0" applyFont="1" applyFill="1" applyBorder="1" applyAlignment="1">
      <alignment horizontal="right" vertical="center" wrapText="1"/>
    </xf>
    <xf numFmtId="4" fontId="51" fillId="7" borderId="320" xfId="0" applyNumberFormat="1" applyFont="1" applyFill="1" applyBorder="1" applyAlignment="1">
      <alignment horizontal="center" vertical="center" shrinkToFit="1"/>
    </xf>
    <xf numFmtId="4" fontId="51" fillId="7" borderId="321" xfId="0" applyNumberFormat="1" applyFont="1" applyFill="1" applyBorder="1" applyAlignment="1">
      <alignment horizontal="center" vertical="center" shrinkToFit="1"/>
    </xf>
    <xf numFmtId="0" fontId="11" fillId="0" borderId="322" xfId="0" applyFont="1" applyBorder="1" applyAlignment="1">
      <alignment horizontal="center" vertical="center"/>
    </xf>
    <xf numFmtId="0" fontId="11" fillId="0" borderId="323" xfId="0" applyFont="1" applyBorder="1" applyAlignment="1">
      <alignment horizontal="center" vertical="center"/>
    </xf>
    <xf numFmtId="4" fontId="58" fillId="7" borderId="23" xfId="0" applyNumberFormat="1" applyFont="1" applyFill="1" applyBorder="1" applyAlignment="1">
      <alignment horizontal="center" vertical="center" wrapText="1" shrinkToFit="1"/>
    </xf>
    <xf numFmtId="0" fontId="22" fillId="9" borderId="46" xfId="0" applyFont="1" applyFill="1" applyBorder="1" applyAlignment="1">
      <alignment horizontal="center" vertical="center" wrapText="1"/>
    </xf>
    <xf numFmtId="4" fontId="104" fillId="9" borderId="65" xfId="0" applyNumberFormat="1" applyFont="1" applyFill="1" applyBorder="1" applyAlignment="1">
      <alignment horizontal="center" vertical="center" shrinkToFit="1"/>
    </xf>
    <xf numFmtId="0" fontId="15" fillId="7" borderId="13" xfId="0" applyFont="1" applyFill="1" applyBorder="1" applyProtection="1">
      <protection locked="0"/>
    </xf>
    <xf numFmtId="0" fontId="64" fillId="9" borderId="23" xfId="0" applyFont="1" applyFill="1" applyBorder="1" applyAlignment="1">
      <alignment horizontal="center" vertical="center" wrapText="1"/>
    </xf>
    <xf numFmtId="0" fontId="15" fillId="0" borderId="12" xfId="0" applyFont="1" applyBorder="1" applyProtection="1">
      <protection locked="0"/>
    </xf>
    <xf numFmtId="0" fontId="60" fillId="9" borderId="14" xfId="0" applyFont="1" applyFill="1" applyBorder="1" applyAlignment="1">
      <alignment horizontal="center" vertical="center"/>
    </xf>
    <xf numFmtId="170" fontId="60" fillId="7" borderId="109" xfId="0" applyNumberFormat="1" applyFont="1" applyFill="1" applyBorder="1" applyAlignment="1" applyProtection="1">
      <alignment horizontal="center" shrinkToFit="1"/>
      <protection locked="0"/>
    </xf>
    <xf numFmtId="0" fontId="31" fillId="2" borderId="0" xfId="0" applyFont="1" applyFill="1" applyAlignment="1">
      <alignment horizontal="left" vertical="top" wrapText="1"/>
    </xf>
    <xf numFmtId="0" fontId="60" fillId="0" borderId="0" xfId="0" applyFont="1" applyAlignment="1">
      <alignment horizontal="right"/>
    </xf>
    <xf numFmtId="0" fontId="15" fillId="2" borderId="327" xfId="0" applyFont="1" applyFill="1" applyBorder="1" applyAlignment="1">
      <alignment horizontal="left" shrinkToFit="1"/>
    </xf>
    <xf numFmtId="4" fontId="51" fillId="19" borderId="320" xfId="0" applyNumberFormat="1" applyFont="1" applyFill="1" applyBorder="1" applyAlignment="1">
      <alignment horizontal="center" vertical="center" shrinkToFit="1"/>
    </xf>
    <xf numFmtId="0" fontId="11" fillId="19" borderId="14" xfId="0" applyFont="1" applyFill="1" applyBorder="1" applyAlignment="1">
      <alignment horizontal="right" vertical="center" wrapText="1"/>
    </xf>
    <xf numFmtId="4" fontId="104" fillId="19" borderId="23" xfId="0" applyNumberFormat="1" applyFont="1" applyFill="1" applyBorder="1" applyAlignment="1">
      <alignment horizontal="center" vertical="center" shrinkToFit="1"/>
    </xf>
    <xf numFmtId="4" fontId="104" fillId="19" borderId="65" xfId="0" applyNumberFormat="1" applyFont="1" applyFill="1" applyBorder="1" applyAlignment="1">
      <alignment horizontal="center" vertical="center" shrinkToFit="1"/>
    </xf>
    <xf numFmtId="4" fontId="51" fillId="19" borderId="321" xfId="0" applyNumberFormat="1" applyFont="1" applyFill="1" applyBorder="1" applyAlignment="1">
      <alignment horizontal="center" vertical="center" shrinkToFit="1"/>
    </xf>
    <xf numFmtId="0" fontId="64" fillId="24" borderId="23" xfId="0" applyFont="1" applyFill="1" applyBorder="1" applyAlignment="1">
      <alignment horizontal="center" vertical="center" wrapText="1"/>
    </xf>
    <xf numFmtId="4" fontId="51" fillId="24" borderId="320" xfId="0" applyNumberFormat="1" applyFont="1" applyFill="1" applyBorder="1" applyAlignment="1">
      <alignment horizontal="center" vertical="center" shrinkToFit="1"/>
    </xf>
    <xf numFmtId="0" fontId="11" fillId="24" borderId="14" xfId="0" applyFont="1" applyFill="1" applyBorder="1" applyAlignment="1">
      <alignment horizontal="right" vertical="center" wrapText="1"/>
    </xf>
    <xf numFmtId="4" fontId="104" fillId="24" borderId="23" xfId="0" applyNumberFormat="1" applyFont="1" applyFill="1" applyBorder="1" applyAlignment="1">
      <alignment horizontal="center" vertical="center" shrinkToFit="1"/>
    </xf>
    <xf numFmtId="4" fontId="104" fillId="24" borderId="65" xfId="0" applyNumberFormat="1" applyFont="1" applyFill="1" applyBorder="1" applyAlignment="1">
      <alignment horizontal="center" vertical="center" shrinkToFit="1"/>
    </xf>
    <xf numFmtId="4" fontId="51" fillId="24" borderId="321" xfId="0" applyNumberFormat="1" applyFont="1" applyFill="1" applyBorder="1" applyAlignment="1">
      <alignment horizontal="center" vertical="center" shrinkToFit="1"/>
    </xf>
    <xf numFmtId="0" fontId="11" fillId="19" borderId="23" xfId="0" applyFont="1" applyFill="1" applyBorder="1" applyAlignment="1">
      <alignment horizontal="center" vertical="center" wrapText="1"/>
    </xf>
    <xf numFmtId="4" fontId="51" fillId="19" borderId="65" xfId="0" applyNumberFormat="1" applyFont="1" applyFill="1" applyBorder="1" applyAlignment="1">
      <alignment horizontal="center" vertical="center" shrinkToFit="1"/>
    </xf>
    <xf numFmtId="0" fontId="11" fillId="24" borderId="23" xfId="0" applyFont="1" applyFill="1" applyBorder="1" applyAlignment="1">
      <alignment horizontal="center" vertical="center" wrapText="1"/>
    </xf>
    <xf numFmtId="4" fontId="51" fillId="24" borderId="65" xfId="0" applyNumberFormat="1" applyFont="1" applyFill="1" applyBorder="1" applyAlignment="1">
      <alignment horizontal="center" vertical="center" shrinkToFit="1"/>
    </xf>
    <xf numFmtId="0" fontId="15" fillId="24" borderId="0" xfId="0" applyFont="1" applyFill="1"/>
    <xf numFmtId="0" fontId="11" fillId="19" borderId="4" xfId="0" applyFont="1" applyFill="1" applyBorder="1" applyAlignment="1">
      <alignment horizontal="center" vertical="center" wrapText="1"/>
    </xf>
    <xf numFmtId="4" fontId="51" fillId="19" borderId="328" xfId="0" applyNumberFormat="1" applyFont="1" applyFill="1" applyBorder="1" applyAlignment="1">
      <alignment horizontal="center" vertical="center" shrinkToFit="1"/>
    </xf>
    <xf numFmtId="0" fontId="11" fillId="19" borderId="12" xfId="0" applyFont="1" applyFill="1" applyBorder="1" applyAlignment="1">
      <alignment horizontal="right" vertical="center" wrapText="1"/>
    </xf>
    <xf numFmtId="4" fontId="104" fillId="19" borderId="4" xfId="0" applyNumberFormat="1" applyFont="1" applyFill="1" applyBorder="1" applyAlignment="1">
      <alignment horizontal="center" vertical="center" shrinkToFit="1"/>
    </xf>
    <xf numFmtId="4" fontId="51" fillId="19" borderId="330" xfId="0" applyNumberFormat="1" applyFont="1" applyFill="1" applyBorder="1" applyAlignment="1">
      <alignment horizontal="center" vertical="center" shrinkToFit="1"/>
    </xf>
    <xf numFmtId="0" fontId="11" fillId="19" borderId="42" xfId="0" applyFont="1" applyFill="1" applyBorder="1" applyAlignment="1">
      <alignment horizontal="right" vertical="center" wrapText="1"/>
    </xf>
    <xf numFmtId="4" fontId="104" fillId="19" borderId="32" xfId="0" applyNumberFormat="1" applyFont="1" applyFill="1" applyBorder="1" applyAlignment="1">
      <alignment horizontal="center" vertical="center" shrinkToFit="1"/>
    </xf>
    <xf numFmtId="0" fontId="11" fillId="19" borderId="32" xfId="0" applyFont="1" applyFill="1" applyBorder="1" applyAlignment="1">
      <alignment horizontal="center" vertical="center" wrapText="1"/>
    </xf>
    <xf numFmtId="4" fontId="280" fillId="35" borderId="74" xfId="0" applyNumberFormat="1" applyFont="1" applyFill="1" applyBorder="1" applyAlignment="1">
      <alignment horizontal="center" vertical="center" shrinkToFit="1"/>
    </xf>
    <xf numFmtId="169" fontId="280" fillId="35" borderId="44" xfId="0" applyNumberFormat="1" applyFont="1" applyFill="1" applyBorder="1" applyAlignment="1">
      <alignment horizontal="center" vertical="center" shrinkToFit="1"/>
    </xf>
    <xf numFmtId="0" fontId="11" fillId="19" borderId="46" xfId="0" applyFont="1" applyFill="1" applyBorder="1" applyAlignment="1">
      <alignment horizontal="center" vertical="center" wrapText="1"/>
    </xf>
    <xf numFmtId="0" fontId="11" fillId="24" borderId="46" xfId="0" applyFont="1" applyFill="1" applyBorder="1" applyAlignment="1">
      <alignment horizontal="center" vertical="center" wrapText="1"/>
    </xf>
    <xf numFmtId="0" fontId="82" fillId="35" borderId="46" xfId="0" applyFont="1" applyFill="1" applyBorder="1" applyAlignment="1">
      <alignment horizontal="center" vertical="center" wrapText="1"/>
    </xf>
    <xf numFmtId="0" fontId="21" fillId="2" borderId="0" xfId="0" applyFont="1" applyFill="1"/>
    <xf numFmtId="0" fontId="71" fillId="0" borderId="0" xfId="0" applyFont="1" applyAlignment="1">
      <alignment horizontal="left"/>
    </xf>
    <xf numFmtId="170" fontId="69" fillId="2" borderId="0" xfId="0" applyNumberFormat="1" applyFont="1" applyFill="1"/>
    <xf numFmtId="0" fontId="281" fillId="0" borderId="0" xfId="0" applyFont="1"/>
    <xf numFmtId="3" fontId="281" fillId="0" borderId="0" xfId="0" applyNumberFormat="1" applyFont="1" applyAlignment="1">
      <alignment horizontal="center"/>
    </xf>
    <xf numFmtId="0" fontId="87" fillId="0" borderId="0" xfId="0" applyFont="1"/>
    <xf numFmtId="3" fontId="281" fillId="0" borderId="0" xfId="0" applyNumberFormat="1" applyFont="1" applyAlignment="1">
      <alignment horizontal="left"/>
    </xf>
    <xf numFmtId="3" fontId="282" fillId="0" borderId="0" xfId="0" applyNumberFormat="1" applyFont="1" applyAlignment="1">
      <alignment horizontal="center"/>
    </xf>
    <xf numFmtId="9" fontId="62" fillId="2" borderId="0" xfId="1" applyFont="1" applyFill="1" applyBorder="1" applyAlignment="1">
      <alignment horizontal="center"/>
    </xf>
    <xf numFmtId="49" fontId="219" fillId="2" borderId="0" xfId="0" applyNumberFormat="1" applyFont="1" applyFill="1" applyAlignment="1">
      <alignment horizontal="right"/>
    </xf>
    <xf numFmtId="49" fontId="283" fillId="2" borderId="0" xfId="0" applyNumberFormat="1" applyFont="1" applyFill="1"/>
    <xf numFmtId="49" fontId="108" fillId="2" borderId="0" xfId="0" applyNumberFormat="1" applyFont="1" applyFill="1" applyAlignment="1">
      <alignment wrapText="1"/>
    </xf>
    <xf numFmtId="0" fontId="284" fillId="2" borderId="0" xfId="0" applyFont="1" applyFill="1" applyAlignment="1">
      <alignment vertical="top" wrapText="1"/>
    </xf>
    <xf numFmtId="0" fontId="284" fillId="2" borderId="28" xfId="0" applyFont="1" applyFill="1" applyBorder="1" applyAlignment="1">
      <alignment vertical="top" wrapText="1"/>
    </xf>
    <xf numFmtId="0" fontId="108" fillId="2" borderId="0" xfId="0" applyFont="1" applyFill="1" applyAlignment="1" applyProtection="1">
      <alignment wrapText="1"/>
      <protection locked="0"/>
    </xf>
    <xf numFmtId="0" fontId="56" fillId="5" borderId="0" xfId="0" applyFont="1" applyFill="1" applyAlignment="1">
      <alignment vertical="center"/>
    </xf>
    <xf numFmtId="3" fontId="24" fillId="2" borderId="0" xfId="0" applyNumberFormat="1" applyFont="1" applyFill="1"/>
    <xf numFmtId="3" fontId="108" fillId="2" borderId="1" xfId="0" applyNumberFormat="1" applyFont="1" applyFill="1" applyBorder="1"/>
    <xf numFmtId="0" fontId="7" fillId="0" borderId="331" xfId="0" applyFont="1" applyBorder="1"/>
    <xf numFmtId="0" fontId="7" fillId="0" borderId="331" xfId="0" applyFont="1" applyBorder="1" applyAlignment="1">
      <alignment horizontal="right"/>
    </xf>
    <xf numFmtId="0" fontId="85" fillId="0" borderId="331" xfId="0" applyFont="1" applyBorder="1"/>
    <xf numFmtId="14" fontId="71" fillId="0" borderId="331" xfId="0" applyNumberFormat="1" applyFont="1" applyBorder="1" applyAlignment="1">
      <alignment shrinkToFit="1"/>
    </xf>
    <xf numFmtId="0" fontId="11" fillId="0" borderId="13" xfId="0" applyFont="1" applyBorder="1" applyAlignment="1">
      <alignment horizontal="left"/>
    </xf>
    <xf numFmtId="3" fontId="105" fillId="0" borderId="23" xfId="0" applyNumberFormat="1" applyFont="1" applyBorder="1" applyAlignment="1">
      <alignment horizontal="center" vertical="center" shrinkToFit="1"/>
    </xf>
    <xf numFmtId="4" fontId="60" fillId="7" borderId="23" xfId="0" applyNumberFormat="1" applyFont="1" applyFill="1" applyBorder="1" applyAlignment="1" applyProtection="1">
      <alignment horizontal="center"/>
      <protection locked="0"/>
    </xf>
    <xf numFmtId="0" fontId="60" fillId="0" borderId="0" xfId="0" applyFont="1" applyAlignment="1">
      <alignment horizontal="right" vertical="center" wrapText="1"/>
    </xf>
    <xf numFmtId="4" fontId="288" fillId="0" borderId="332" xfId="0" applyNumberFormat="1" applyFont="1" applyBorder="1" applyAlignment="1" applyProtection="1">
      <alignment horizontal="center" vertical="center" wrapText="1"/>
      <protection locked="0"/>
    </xf>
    <xf numFmtId="0" fontId="19" fillId="2" borderId="0" xfId="0" applyFont="1" applyFill="1" applyAlignment="1">
      <alignment horizontal="left" vertical="center" wrapText="1"/>
    </xf>
    <xf numFmtId="0" fontId="59" fillId="2" borderId="48" xfId="0" applyFont="1" applyFill="1" applyBorder="1" applyAlignment="1">
      <alignment horizontal="right" vertical="center" wrapText="1"/>
    </xf>
    <xf numFmtId="0" fontId="48" fillId="9" borderId="0" xfId="0" applyFont="1" applyFill="1" applyAlignment="1">
      <alignment horizontal="left" vertical="center" wrapText="1"/>
    </xf>
    <xf numFmtId="0" fontId="15" fillId="2" borderId="0" xfId="0" applyFont="1" applyFill="1" applyAlignment="1">
      <alignment horizontal="left" vertical="top" wrapText="1"/>
    </xf>
    <xf numFmtId="0" fontId="9" fillId="0" borderId="0" xfId="0" applyFont="1" applyAlignment="1">
      <alignment horizontal="center"/>
    </xf>
    <xf numFmtId="0" fontId="15" fillId="16" borderId="0" xfId="0" applyFont="1" applyFill="1" applyAlignment="1">
      <alignment horizontal="center" wrapText="1"/>
    </xf>
    <xf numFmtId="0" fontId="7" fillId="5" borderId="0" xfId="0" applyFont="1" applyFill="1" applyAlignment="1">
      <alignment horizontal="left"/>
    </xf>
    <xf numFmtId="3" fontId="245" fillId="5" borderId="0" xfId="0" applyNumberFormat="1" applyFont="1" applyFill="1" applyAlignment="1">
      <alignment horizontal="center" vertical="center"/>
    </xf>
    <xf numFmtId="0" fontId="23" fillId="0" borderId="334" xfId="0" applyFont="1" applyBorder="1" applyAlignment="1">
      <alignment wrapText="1"/>
    </xf>
    <xf numFmtId="0" fontId="82" fillId="0" borderId="28" xfId="0" applyFont="1" applyBorder="1"/>
    <xf numFmtId="3" fontId="151" fillId="0" borderId="336" xfId="0" applyNumberFormat="1" applyFont="1" applyBorder="1" applyAlignment="1">
      <alignment horizontal="center"/>
    </xf>
    <xf numFmtId="0" fontId="104" fillId="0" borderId="1" xfId="0" applyFont="1" applyBorder="1" applyAlignment="1">
      <alignment vertical="center"/>
    </xf>
    <xf numFmtId="3" fontId="280" fillId="0" borderId="128" xfId="0" applyNumberFormat="1" applyFont="1" applyBorder="1" applyAlignment="1">
      <alignment vertical="center"/>
    </xf>
    <xf numFmtId="2" fontId="15" fillId="34" borderId="14" xfId="0" applyNumberFormat="1" applyFont="1" applyFill="1" applyBorder="1" applyAlignment="1">
      <alignment horizontal="right" vertical="center"/>
    </xf>
    <xf numFmtId="2" fontId="69" fillId="35" borderId="14" xfId="0" applyNumberFormat="1" applyFont="1" applyFill="1" applyBorder="1" applyAlignment="1">
      <alignment horizontal="right" vertical="center"/>
    </xf>
    <xf numFmtId="0" fontId="290" fillId="2" borderId="48" xfId="0" applyFont="1" applyFill="1" applyBorder="1" applyAlignment="1">
      <alignment horizontal="right" vertical="center" wrapText="1"/>
    </xf>
    <xf numFmtId="169" fontId="291" fillId="0" borderId="112" xfId="0" applyNumberFormat="1" applyFont="1" applyBorder="1" applyAlignment="1">
      <alignment horizontal="center" vertical="center"/>
    </xf>
    <xf numFmtId="0" fontId="23" fillId="0" borderId="0" xfId="0" applyFont="1" applyAlignment="1">
      <alignment horizontal="center" wrapText="1"/>
    </xf>
    <xf numFmtId="179" fontId="72" fillId="8" borderId="0" xfId="0" applyNumberFormat="1" applyFont="1" applyFill="1" applyAlignment="1">
      <alignment shrinkToFit="1"/>
    </xf>
    <xf numFmtId="179" fontId="72" fillId="8" borderId="2" xfId="0" applyNumberFormat="1" applyFont="1" applyFill="1" applyBorder="1" applyAlignment="1">
      <alignment shrinkToFit="1"/>
    </xf>
    <xf numFmtId="0" fontId="85" fillId="8" borderId="0" xfId="0" applyFont="1" applyFill="1"/>
    <xf numFmtId="0" fontId="292" fillId="0" borderId="0" xfId="0" applyFont="1" applyAlignment="1">
      <alignment horizontal="center"/>
    </xf>
    <xf numFmtId="0" fontId="19" fillId="2" borderId="0" xfId="0" applyFont="1" applyFill="1"/>
    <xf numFmtId="3" fontId="151" fillId="0" borderId="8" xfId="0" applyNumberFormat="1" applyFont="1" applyBorder="1" applyAlignment="1">
      <alignment horizontal="center"/>
    </xf>
    <xf numFmtId="0" fontId="104" fillId="0" borderId="8" xfId="0" applyFont="1" applyBorder="1" applyAlignment="1">
      <alignment horizontal="center" vertical="top"/>
    </xf>
    <xf numFmtId="0" fontId="69" fillId="0" borderId="0" xfId="0" applyFont="1" applyAlignment="1">
      <alignment horizontal="center" vertical="top"/>
    </xf>
    <xf numFmtId="0" fontId="15" fillId="8" borderId="0" xfId="0" applyFont="1" applyFill="1"/>
    <xf numFmtId="0" fontId="293" fillId="0" borderId="0" xfId="0" applyFont="1" applyAlignment="1">
      <alignment horizontal="center" vertical="center"/>
    </xf>
    <xf numFmtId="0" fontId="64" fillId="0" borderId="0" xfId="0" applyFont="1" applyAlignment="1" applyProtection="1">
      <alignment horizontal="center"/>
      <protection locked="0"/>
    </xf>
    <xf numFmtId="0" fontId="54" fillId="5" borderId="0" xfId="0" applyFont="1" applyFill="1" applyAlignment="1">
      <alignment horizontal="center"/>
    </xf>
    <xf numFmtId="2" fontId="60" fillId="0" borderId="2" xfId="0" applyNumberFormat="1" applyFont="1" applyBorder="1" applyAlignment="1">
      <alignment horizontal="center" vertical="center"/>
    </xf>
    <xf numFmtId="0" fontId="294" fillId="0" borderId="0" xfId="0" applyFont="1" applyAlignment="1">
      <alignment horizontal="right" vertical="center" shrinkToFit="1"/>
    </xf>
    <xf numFmtId="166" fontId="60" fillId="7" borderId="6" xfId="0" applyNumberFormat="1" applyFont="1" applyFill="1" applyBorder="1" applyAlignment="1" applyProtection="1">
      <alignment horizontal="center" vertical="center"/>
      <protection locked="0"/>
    </xf>
    <xf numFmtId="0" fontId="64" fillId="5" borderId="0" xfId="0" applyFont="1" applyFill="1" applyAlignment="1">
      <alignment vertical="top"/>
    </xf>
    <xf numFmtId="0" fontId="69" fillId="0" borderId="0" xfId="0" applyFont="1" applyAlignment="1">
      <alignment horizontal="left" vertical="center" wrapText="1"/>
    </xf>
    <xf numFmtId="166" fontId="60" fillId="7" borderId="270" xfId="0" applyNumberFormat="1" applyFont="1" applyFill="1" applyBorder="1" applyAlignment="1" applyProtection="1">
      <alignment horizontal="center"/>
      <protection locked="0"/>
    </xf>
    <xf numFmtId="0" fontId="19" fillId="0" borderId="91" xfId="0" applyFont="1" applyBorder="1" applyAlignment="1">
      <alignment horizontal="center" vertical="center" wrapText="1"/>
    </xf>
    <xf numFmtId="0" fontId="54" fillId="0" borderId="0" xfId="0" applyFont="1" applyAlignment="1">
      <alignment horizontal="left" wrapText="1"/>
    </xf>
    <xf numFmtId="0" fontId="144" fillId="0" borderId="0" xfId="0" applyFont="1" applyAlignment="1">
      <alignment vertical="center" wrapText="1"/>
    </xf>
    <xf numFmtId="0" fontId="295" fillId="0" borderId="0" xfId="0" applyFont="1" applyAlignment="1">
      <alignment horizontal="center"/>
    </xf>
    <xf numFmtId="0" fontId="15" fillId="0" borderId="40" xfId="0" applyFont="1" applyBorder="1"/>
    <xf numFmtId="0" fontId="15" fillId="0" borderId="20" xfId="0" applyFont="1" applyBorder="1"/>
    <xf numFmtId="166" fontId="60" fillId="7" borderId="65" xfId="0" applyNumberFormat="1" applyFont="1" applyFill="1" applyBorder="1" applyAlignment="1" applyProtection="1">
      <alignment horizontal="center" vertical="center"/>
      <protection locked="0"/>
    </xf>
    <xf numFmtId="0" fontId="69" fillId="0" borderId="40" xfId="0" applyFont="1" applyBorder="1" applyAlignment="1">
      <alignment horizontal="center" vertical="center"/>
    </xf>
    <xf numFmtId="0" fontId="296" fillId="0" borderId="0" xfId="0" applyFont="1" applyAlignment="1">
      <alignment horizontal="center" vertical="center"/>
    </xf>
    <xf numFmtId="0" fontId="258" fillId="0" borderId="0" xfId="0" applyFont="1" applyAlignment="1">
      <alignment horizontal="center" wrapText="1"/>
    </xf>
    <xf numFmtId="0" fontId="69" fillId="0" borderId="20" xfId="0" applyFont="1" applyBorder="1"/>
    <xf numFmtId="166" fontId="69" fillId="0" borderId="34" xfId="0" applyNumberFormat="1" applyFont="1" applyBorder="1" applyAlignment="1">
      <alignment horizontal="center"/>
    </xf>
    <xf numFmtId="0" fontId="69" fillId="0" borderId="0" xfId="0" applyFont="1" applyAlignment="1">
      <alignment horizontal="center" vertical="center" wrapText="1"/>
    </xf>
    <xf numFmtId="166" fontId="69" fillId="0" borderId="0" xfId="0" applyNumberFormat="1" applyFont="1" applyAlignment="1">
      <alignment horizontal="center"/>
    </xf>
    <xf numFmtId="0" fontId="69" fillId="0" borderId="0" xfId="0" applyFont="1" applyAlignment="1">
      <alignment vertical="center" wrapText="1"/>
    </xf>
    <xf numFmtId="0" fontId="69" fillId="0" borderId="0" xfId="0" applyFont="1" applyAlignment="1">
      <alignment horizontal="right" vertical="center" wrapText="1"/>
    </xf>
    <xf numFmtId="166" fontId="141" fillId="0" borderId="0" xfId="0" applyNumberFormat="1" applyFont="1" applyAlignment="1">
      <alignment horizontal="center" vertical="center"/>
    </xf>
    <xf numFmtId="166" fontId="69" fillId="0" borderId="0" xfId="0" applyNumberFormat="1" applyFont="1" applyAlignment="1">
      <alignment vertical="top"/>
    </xf>
    <xf numFmtId="166" fontId="297" fillId="4" borderId="0" xfId="0" applyNumberFormat="1" applyFont="1" applyFill="1" applyAlignment="1">
      <alignment horizontal="center" vertical="center"/>
    </xf>
    <xf numFmtId="0" fontId="109" fillId="0" borderId="0" xfId="0" applyFont="1"/>
    <xf numFmtId="4" fontId="69" fillId="0" borderId="23" xfId="0" applyNumberFormat="1" applyFont="1" applyBorder="1" applyAlignment="1">
      <alignment horizontal="center" shrinkToFit="1"/>
    </xf>
    <xf numFmtId="0" fontId="69" fillId="0" borderId="23" xfId="0" applyFont="1" applyBorder="1" applyAlignment="1">
      <alignment horizontal="center" shrinkToFit="1"/>
    </xf>
    <xf numFmtId="0" fontId="149" fillId="0" borderId="0" xfId="0" applyFont="1" applyAlignment="1">
      <alignment shrinkToFit="1"/>
    </xf>
    <xf numFmtId="0" fontId="109" fillId="0" borderId="0" xfId="0" applyFont="1" applyAlignment="1">
      <alignment shrinkToFit="1"/>
    </xf>
    <xf numFmtId="0" fontId="109" fillId="0" borderId="0" xfId="0" applyFont="1" applyAlignment="1">
      <alignment horizontal="right"/>
    </xf>
    <xf numFmtId="17" fontId="69" fillId="0" borderId="8" xfId="0" applyNumberFormat="1" applyFont="1" applyBorder="1" applyAlignment="1">
      <alignment horizontal="center"/>
    </xf>
    <xf numFmtId="17" fontId="69" fillId="0" borderId="78" xfId="0" applyNumberFormat="1" applyFont="1" applyBorder="1" applyAlignment="1">
      <alignment horizontal="center"/>
    </xf>
    <xf numFmtId="166" fontId="141" fillId="0" borderId="23" xfId="0" applyNumberFormat="1" applyFont="1" applyBorder="1" applyAlignment="1" applyProtection="1">
      <alignment horizontal="center"/>
      <protection locked="0"/>
    </xf>
    <xf numFmtId="166" fontId="15" fillId="0" borderId="36" xfId="0" applyNumberFormat="1" applyFont="1" applyBorder="1" applyAlignment="1">
      <alignment horizontal="center" vertical="center"/>
    </xf>
    <xf numFmtId="166" fontId="15" fillId="0" borderId="67" xfId="0" applyNumberFormat="1" applyFont="1" applyBorder="1" applyAlignment="1">
      <alignment horizontal="center" vertical="center"/>
    </xf>
    <xf numFmtId="4" fontId="13" fillId="2" borderId="119" xfId="0" applyNumberFormat="1" applyFont="1" applyFill="1" applyBorder="1" applyProtection="1">
      <protection locked="0"/>
    </xf>
    <xf numFmtId="0" fontId="7" fillId="2" borderId="41" xfId="0" applyFont="1" applyFill="1" applyBorder="1" applyAlignment="1" applyProtection="1">
      <alignment shrinkToFit="1"/>
      <protection locked="0"/>
    </xf>
    <xf numFmtId="4" fontId="15" fillId="36" borderId="32" xfId="0" applyNumberFormat="1" applyFont="1" applyFill="1" applyBorder="1" applyAlignment="1">
      <alignment horizontal="center" vertical="center" shrinkToFit="1"/>
    </xf>
    <xf numFmtId="3" fontId="9" fillId="36" borderId="32" xfId="0" applyNumberFormat="1" applyFont="1" applyFill="1" applyBorder="1" applyAlignment="1">
      <alignment horizontal="left" vertical="center" shrinkToFit="1"/>
    </xf>
    <xf numFmtId="0" fontId="7" fillId="2" borderId="32" xfId="0" applyFont="1" applyFill="1" applyBorder="1" applyAlignment="1" applyProtection="1">
      <alignment shrinkToFit="1"/>
      <protection locked="0"/>
    </xf>
    <xf numFmtId="0" fontId="88" fillId="2" borderId="0" xfId="0" applyFont="1" applyFill="1"/>
    <xf numFmtId="2" fontId="60" fillId="0" borderId="0" xfId="0" applyNumberFormat="1" applyFont="1" applyAlignment="1">
      <alignment horizontal="center" vertical="center"/>
    </xf>
    <xf numFmtId="0" fontId="91" fillId="0" borderId="0" xfId="0" applyFont="1" applyAlignment="1">
      <alignment vertical="center"/>
    </xf>
    <xf numFmtId="0" fontId="149" fillId="0" borderId="0" xfId="0" applyFont="1" applyAlignment="1">
      <alignment horizontal="right" vertical="center"/>
    </xf>
    <xf numFmtId="0" fontId="69" fillId="2" borderId="0" xfId="0" applyFont="1" applyFill="1" applyAlignment="1">
      <alignment vertical="center"/>
    </xf>
    <xf numFmtId="166" fontId="82" fillId="0" borderId="0" xfId="0" applyNumberFormat="1" applyFont="1" applyAlignment="1">
      <alignment vertical="top" shrinkToFit="1"/>
    </xf>
    <xf numFmtId="166" fontId="62" fillId="0" borderId="0" xfId="0" applyNumberFormat="1" applyFont="1" applyAlignment="1">
      <alignment shrinkToFit="1"/>
    </xf>
    <xf numFmtId="0" fontId="11" fillId="2" borderId="1" xfId="0" applyFont="1" applyFill="1" applyBorder="1" applyAlignment="1" applyProtection="1">
      <alignment vertical="top" wrapText="1"/>
      <protection locked="0"/>
    </xf>
    <xf numFmtId="0" fontId="167" fillId="0" borderId="0" xfId="0" applyFont="1"/>
    <xf numFmtId="0" fontId="300" fillId="0" borderId="341" xfId="0" applyFont="1" applyBorder="1" applyAlignment="1">
      <alignment horizontal="center"/>
    </xf>
    <xf numFmtId="14" fontId="114" fillId="0" borderId="92" xfId="0" applyNumberFormat="1" applyFont="1" applyBorder="1"/>
    <xf numFmtId="14" fontId="41" fillId="0" borderId="0" xfId="0" applyNumberFormat="1" applyFont="1" applyAlignment="1">
      <alignment vertical="center" shrinkToFit="1"/>
    </xf>
    <xf numFmtId="0" fontId="60" fillId="0" borderId="0" xfId="0" applyFont="1" applyAlignment="1">
      <alignment horizontal="center" vertical="center"/>
    </xf>
    <xf numFmtId="14" fontId="167" fillId="0" borderId="92" xfId="0" applyNumberFormat="1" applyFont="1" applyBorder="1"/>
    <xf numFmtId="183" fontId="29" fillId="3" borderId="14" xfId="0" applyNumberFormat="1" applyFont="1" applyFill="1" applyBorder="1" applyAlignment="1">
      <alignment horizontal="right" vertical="center" shrinkToFit="1"/>
    </xf>
    <xf numFmtId="0" fontId="164" fillId="0" borderId="30" xfId="0" applyFont="1" applyBorder="1" applyAlignment="1">
      <alignment horizontal="right" vertical="center" wrapText="1"/>
    </xf>
    <xf numFmtId="1" fontId="7" fillId="6" borderId="0" xfId="0" applyNumberFormat="1" applyFont="1" applyFill="1" applyAlignment="1">
      <alignment horizontal="center"/>
    </xf>
    <xf numFmtId="3" fontId="7" fillId="6" borderId="0" xfId="0" applyNumberFormat="1" applyFont="1" applyFill="1" applyAlignment="1">
      <alignment horizontal="center"/>
    </xf>
    <xf numFmtId="0" fontId="88" fillId="0" borderId="0" xfId="0" applyFont="1" applyAlignment="1">
      <alignment horizontal="center" vertical="center"/>
    </xf>
    <xf numFmtId="0" fontId="79" fillId="0" borderId="0" xfId="0" applyFont="1" applyAlignment="1">
      <alignment horizontal="center" wrapText="1"/>
    </xf>
    <xf numFmtId="0" fontId="82" fillId="0" borderId="0" xfId="0" applyFont="1" applyAlignment="1">
      <alignment horizontal="center" wrapText="1"/>
    </xf>
    <xf numFmtId="166" fontId="141" fillId="0" borderId="0" xfId="0" applyNumberFormat="1" applyFont="1" applyAlignment="1" applyProtection="1">
      <alignment horizontal="center"/>
      <protection locked="0"/>
    </xf>
    <xf numFmtId="1" fontId="141" fillId="0" borderId="0" xfId="0" applyNumberFormat="1" applyFont="1" applyAlignment="1" applyProtection="1">
      <alignment horizontal="center"/>
      <protection locked="0"/>
    </xf>
    <xf numFmtId="0" fontId="109" fillId="0" borderId="0" xfId="0" applyFont="1" applyAlignment="1">
      <alignment horizontal="center" vertical="center"/>
    </xf>
    <xf numFmtId="1" fontId="60" fillId="17" borderId="85" xfId="0" applyNumberFormat="1" applyFont="1" applyFill="1" applyBorder="1" applyAlignment="1">
      <alignment horizontal="center" vertical="center"/>
    </xf>
    <xf numFmtId="1" fontId="60" fillId="17" borderId="94" xfId="0" applyNumberFormat="1" applyFont="1" applyFill="1" applyBorder="1" applyAlignment="1">
      <alignment horizontal="center" vertical="center"/>
    </xf>
    <xf numFmtId="3" fontId="176" fillId="0" borderId="0" xfId="0" applyNumberFormat="1" applyFont="1"/>
    <xf numFmtId="4" fontId="176" fillId="0" borderId="0" xfId="0" applyNumberFormat="1" applyFont="1"/>
    <xf numFmtId="4" fontId="15" fillId="0" borderId="23" xfId="0" applyNumberFormat="1" applyFont="1" applyBorder="1" applyAlignment="1" applyProtection="1">
      <alignment horizontal="right"/>
      <protection locked="0"/>
    </xf>
    <xf numFmtId="4" fontId="15" fillId="0" borderId="32" xfId="0" applyNumberFormat="1" applyFont="1" applyBorder="1" applyAlignment="1" applyProtection="1">
      <alignment horizontal="right"/>
      <protection locked="0"/>
    </xf>
    <xf numFmtId="4" fontId="15" fillId="0" borderId="143" xfId="0" applyNumberFormat="1" applyFont="1" applyBorder="1" applyAlignment="1" applyProtection="1">
      <alignment horizontal="right"/>
      <protection locked="0"/>
    </xf>
    <xf numFmtId="4" fontId="15" fillId="0" borderId="6" xfId="0" applyNumberFormat="1" applyFont="1" applyBorder="1" applyAlignment="1" applyProtection="1">
      <alignment horizontal="right"/>
      <protection locked="0"/>
    </xf>
    <xf numFmtId="0" fontId="19" fillId="0" borderId="15" xfId="0" applyFont="1" applyBorder="1" applyAlignment="1" applyProtection="1">
      <alignment vertical="center" wrapText="1"/>
      <protection locked="0"/>
    </xf>
    <xf numFmtId="4" fontId="60" fillId="7" borderId="342" xfId="0" applyNumberFormat="1" applyFont="1" applyFill="1" applyBorder="1" applyAlignment="1" applyProtection="1">
      <alignment horizontal="right" vertical="center" shrinkToFit="1"/>
      <protection locked="0"/>
    </xf>
    <xf numFmtId="4" fontId="15" fillId="0" borderId="0" xfId="0" applyNumberFormat="1" applyFont="1" applyProtection="1">
      <protection locked="0"/>
    </xf>
    <xf numFmtId="3" fontId="74" fillId="2" borderId="0" xfId="0" applyNumberFormat="1" applyFont="1" applyFill="1" applyAlignment="1">
      <alignment vertical="top" shrinkToFit="1"/>
    </xf>
    <xf numFmtId="14" fontId="62" fillId="5" borderId="0" xfId="0" applyNumberFormat="1" applyFont="1" applyFill="1"/>
    <xf numFmtId="9" fontId="86" fillId="0" borderId="0" xfId="0" applyNumberFormat="1" applyFont="1"/>
    <xf numFmtId="0" fontId="71" fillId="0" borderId="0" xfId="0" applyFont="1" applyAlignment="1">
      <alignment vertical="top"/>
    </xf>
    <xf numFmtId="2" fontId="60" fillId="7" borderId="23" xfId="0" applyNumberFormat="1" applyFont="1" applyFill="1" applyBorder="1" applyAlignment="1" applyProtection="1">
      <alignment horizontal="center" vertical="center" shrinkToFit="1"/>
      <protection locked="0"/>
    </xf>
    <xf numFmtId="2" fontId="60" fillId="7" borderId="65" xfId="0" applyNumberFormat="1" applyFont="1" applyFill="1" applyBorder="1" applyAlignment="1" applyProtection="1">
      <alignment horizontal="center" vertical="center" shrinkToFit="1"/>
      <protection locked="0"/>
    </xf>
    <xf numFmtId="2" fontId="60" fillId="7" borderId="46" xfId="0" applyNumberFormat="1" applyFont="1" applyFill="1" applyBorder="1" applyAlignment="1" applyProtection="1">
      <alignment horizontal="center" vertical="center" shrinkToFit="1"/>
      <protection locked="0"/>
    </xf>
    <xf numFmtId="0" fontId="167" fillId="0" borderId="0" xfId="0" applyFont="1" applyAlignment="1">
      <alignment horizontal="center"/>
    </xf>
    <xf numFmtId="0" fontId="111" fillId="0" borderId="54" xfId="0" applyFont="1" applyBorder="1" applyAlignment="1">
      <alignment horizontal="right" vertical="center"/>
    </xf>
    <xf numFmtId="0" fontId="302" fillId="0" borderId="0" xfId="0" applyFont="1"/>
    <xf numFmtId="0" fontId="303" fillId="0" borderId="0" xfId="0" applyFont="1"/>
    <xf numFmtId="0" fontId="160" fillId="2" borderId="0" xfId="0" applyFont="1" applyFill="1"/>
    <xf numFmtId="3" fontId="160" fillId="2" borderId="0" xfId="0" applyNumberFormat="1" applyFont="1" applyFill="1" applyAlignment="1">
      <alignment shrinkToFit="1"/>
    </xf>
    <xf numFmtId="0" fontId="11" fillId="2" borderId="0" xfId="0" applyFont="1" applyFill="1" applyAlignment="1">
      <alignment shrinkToFit="1"/>
    </xf>
    <xf numFmtId="0" fontId="54" fillId="0" borderId="0" xfId="0" applyFont="1" applyAlignment="1">
      <alignment wrapText="1"/>
    </xf>
    <xf numFmtId="14" fontId="105" fillId="0" borderId="0" xfId="0" applyNumberFormat="1" applyFont="1" applyAlignment="1">
      <alignment horizontal="right"/>
    </xf>
    <xf numFmtId="0" fontId="15" fillId="0" borderId="53" xfId="0" applyFont="1" applyBorder="1" applyAlignment="1">
      <alignment horizontal="center" shrinkToFit="1"/>
    </xf>
    <xf numFmtId="0" fontId="15" fillId="0" borderId="54" xfId="0" applyFont="1" applyBorder="1" applyAlignment="1">
      <alignment horizontal="center" shrinkToFit="1"/>
    </xf>
    <xf numFmtId="166" fontId="56" fillId="7" borderId="14" xfId="0" applyNumberFormat="1" applyFont="1" applyFill="1" applyBorder="1" applyAlignment="1" applyProtection="1">
      <alignment horizontal="center" vertical="center"/>
      <protection locked="0"/>
    </xf>
    <xf numFmtId="0" fontId="54" fillId="0" borderId="48" xfId="0" applyFont="1" applyBorder="1" applyAlignment="1">
      <alignment wrapText="1"/>
    </xf>
    <xf numFmtId="0" fontId="215" fillId="0" borderId="0" xfId="0" applyFont="1" applyAlignment="1">
      <alignment horizontal="center"/>
    </xf>
    <xf numFmtId="0" fontId="279" fillId="0" borderId="0" xfId="0" applyFont="1" applyAlignment="1">
      <alignment horizontal="right"/>
    </xf>
    <xf numFmtId="0" fontId="54" fillId="0" borderId="50" xfId="0" applyFont="1" applyBorder="1" applyAlignment="1">
      <alignment wrapText="1"/>
    </xf>
    <xf numFmtId="0" fontId="28" fillId="0" borderId="13" xfId="0" applyFont="1" applyBorder="1" applyAlignment="1">
      <alignment horizontal="center" vertical="center"/>
    </xf>
    <xf numFmtId="166" fontId="141" fillId="0" borderId="0" xfId="0" applyNumberFormat="1" applyFont="1" applyAlignment="1">
      <alignment vertical="center"/>
    </xf>
    <xf numFmtId="0" fontId="15" fillId="33" borderId="2" xfId="0" applyFont="1" applyFill="1" applyBorder="1"/>
    <xf numFmtId="0" fontId="301" fillId="33" borderId="8" xfId="0" applyFont="1" applyFill="1" applyBorder="1" applyAlignment="1">
      <alignment vertical="center"/>
    </xf>
    <xf numFmtId="0" fontId="15" fillId="6" borderId="8" xfId="0" applyFont="1" applyFill="1" applyBorder="1"/>
    <xf numFmtId="0" fontId="156" fillId="0" borderId="0" xfId="0" applyFont="1"/>
    <xf numFmtId="14" fontId="304" fillId="0" borderId="0" xfId="0" applyNumberFormat="1" applyFont="1" applyAlignment="1">
      <alignment vertical="center" shrinkToFit="1"/>
    </xf>
    <xf numFmtId="0" fontId="156" fillId="0" borderId="0" xfId="0" applyFont="1" applyAlignment="1">
      <alignment vertical="center"/>
    </xf>
    <xf numFmtId="14" fontId="82" fillId="0" borderId="0" xfId="0" applyNumberFormat="1" applyFont="1" applyAlignment="1">
      <alignment vertical="top" wrapText="1"/>
    </xf>
    <xf numFmtId="0" fontId="307" fillId="0" borderId="0" xfId="0" applyFont="1"/>
    <xf numFmtId="0" fontId="307" fillId="0" borderId="0" xfId="0" applyFont="1" applyAlignment="1">
      <alignment vertical="center"/>
    </xf>
    <xf numFmtId="0" fontId="308" fillId="0" borderId="0" xfId="0" applyFont="1"/>
    <xf numFmtId="49" fontId="18" fillId="2" borderId="52" xfId="0" applyNumberFormat="1" applyFont="1" applyFill="1" applyBorder="1"/>
    <xf numFmtId="0" fontId="7" fillId="0" borderId="53" xfId="0" applyFont="1" applyBorder="1"/>
    <xf numFmtId="0" fontId="9" fillId="0" borderId="49" xfId="0" applyFont="1" applyBorder="1" applyAlignment="1">
      <alignment vertical="center"/>
    </xf>
    <xf numFmtId="0" fontId="15" fillId="19" borderId="0" xfId="0" applyFont="1" applyFill="1" applyAlignment="1">
      <alignment vertical="center"/>
    </xf>
    <xf numFmtId="0" fontId="15" fillId="19" borderId="0" xfId="0" applyFont="1" applyFill="1"/>
    <xf numFmtId="0" fontId="15" fillId="24" borderId="0" xfId="0" applyFont="1" applyFill="1" applyAlignment="1">
      <alignment vertical="center"/>
    </xf>
    <xf numFmtId="4" fontId="104" fillId="19" borderId="310" xfId="0" applyNumberFormat="1" applyFont="1" applyFill="1" applyBorder="1" applyAlignment="1">
      <alignment horizontal="center" vertical="center" shrinkToFit="1"/>
    </xf>
    <xf numFmtId="4" fontId="104" fillId="19" borderId="191" xfId="0" applyNumberFormat="1" applyFont="1" applyFill="1" applyBorder="1" applyAlignment="1">
      <alignment horizontal="center" vertical="center" shrinkToFit="1"/>
    </xf>
    <xf numFmtId="4" fontId="104" fillId="24" borderId="346" xfId="0" applyNumberFormat="1" applyFont="1" applyFill="1" applyBorder="1" applyAlignment="1">
      <alignment horizontal="center" vertical="center" shrinkToFit="1"/>
    </xf>
    <xf numFmtId="4" fontId="104" fillId="24" borderId="191" xfId="0" applyNumberFormat="1" applyFont="1" applyFill="1" applyBorder="1" applyAlignment="1">
      <alignment horizontal="center" vertical="center" shrinkToFit="1"/>
    </xf>
    <xf numFmtId="0" fontId="62" fillId="35" borderId="144" xfId="0" applyFont="1" applyFill="1" applyBorder="1" applyAlignment="1">
      <alignment horizontal="right" vertical="center" wrapText="1"/>
    </xf>
    <xf numFmtId="169" fontId="280" fillId="35" borderId="347" xfId="0" applyNumberFormat="1" applyFont="1" applyFill="1" applyBorder="1" applyAlignment="1">
      <alignment horizontal="center" vertical="center" shrinkToFit="1"/>
    </xf>
    <xf numFmtId="4" fontId="104" fillId="19" borderId="348" xfId="0" applyNumberFormat="1" applyFont="1" applyFill="1" applyBorder="1" applyAlignment="1">
      <alignment horizontal="center" vertical="center" shrinkToFit="1"/>
    </xf>
    <xf numFmtId="4" fontId="104" fillId="19" borderId="346" xfId="0" applyNumberFormat="1" applyFont="1" applyFill="1" applyBorder="1" applyAlignment="1">
      <alignment horizontal="center" vertical="center" shrinkToFit="1"/>
    </xf>
    <xf numFmtId="0" fontId="7" fillId="0" borderId="50" xfId="0" applyFont="1" applyBorder="1"/>
    <xf numFmtId="4" fontId="104" fillId="24" borderId="172" xfId="0" applyNumberFormat="1" applyFont="1" applyFill="1" applyBorder="1" applyAlignment="1">
      <alignment horizontal="center" vertical="center" shrinkToFit="1"/>
    </xf>
    <xf numFmtId="4" fontId="51" fillId="24" borderId="350" xfId="0" applyNumberFormat="1" applyFont="1" applyFill="1" applyBorder="1" applyAlignment="1">
      <alignment horizontal="center" vertical="center" shrinkToFit="1"/>
    </xf>
    <xf numFmtId="0" fontId="11" fillId="24" borderId="90" xfId="0" applyFont="1" applyFill="1" applyBorder="1" applyAlignment="1">
      <alignment horizontal="center" vertical="center" wrapText="1"/>
    </xf>
    <xf numFmtId="4" fontId="104" fillId="24" borderId="225" xfId="0" applyNumberFormat="1" applyFont="1" applyFill="1" applyBorder="1" applyAlignment="1">
      <alignment horizontal="center" vertical="center" shrinkToFit="1"/>
    </xf>
    <xf numFmtId="0" fontId="310" fillId="0" borderId="0" xfId="0" applyFont="1"/>
    <xf numFmtId="1" fontId="141" fillId="0" borderId="0" xfId="0" applyNumberFormat="1" applyFont="1"/>
    <xf numFmtId="0" fontId="60" fillId="0" borderId="0" xfId="0" applyFont="1" applyAlignment="1">
      <alignment vertical="center"/>
    </xf>
    <xf numFmtId="0" fontId="176" fillId="33" borderId="3" xfId="0" applyFont="1" applyFill="1" applyBorder="1" applyAlignment="1">
      <alignment vertical="top"/>
    </xf>
    <xf numFmtId="0" fontId="19" fillId="33" borderId="2" xfId="0" applyFont="1" applyFill="1" applyBorder="1" applyAlignment="1">
      <alignment vertical="center"/>
    </xf>
    <xf numFmtId="0" fontId="11" fillId="0" borderId="0" xfId="0" applyFont="1" applyAlignment="1">
      <alignment horizontal="left"/>
    </xf>
    <xf numFmtId="0" fontId="11" fillId="0" borderId="1" xfId="0" applyFont="1" applyBorder="1" applyAlignment="1">
      <alignment horizontal="center"/>
    </xf>
    <xf numFmtId="0" fontId="101" fillId="7" borderId="92" xfId="0" applyFont="1" applyFill="1" applyBorder="1" applyAlignment="1" applyProtection="1">
      <alignment horizontal="center" vertical="center"/>
      <protection locked="0"/>
    </xf>
    <xf numFmtId="4" fontId="15" fillId="0" borderId="6" xfId="0" applyNumberFormat="1" applyFont="1" applyBorder="1" applyAlignment="1" applyProtection="1">
      <alignment horizontal="right" vertical="center" shrinkToFit="1"/>
      <protection locked="0"/>
    </xf>
    <xf numFmtId="4" fontId="15" fillId="0" borderId="41" xfId="0" applyNumberFormat="1" applyFont="1" applyBorder="1" applyAlignment="1" applyProtection="1">
      <alignment horizontal="right" vertical="center" shrinkToFit="1"/>
      <protection locked="0"/>
    </xf>
    <xf numFmtId="4" fontId="15" fillId="0" borderId="143" xfId="0" applyNumberFormat="1" applyFont="1" applyBorder="1" applyAlignment="1" applyProtection="1">
      <alignment horizontal="right" vertical="center" shrinkToFit="1"/>
      <protection locked="0"/>
    </xf>
    <xf numFmtId="4" fontId="15" fillId="5" borderId="6" xfId="0" applyNumberFormat="1" applyFont="1" applyFill="1" applyBorder="1" applyAlignment="1" applyProtection="1">
      <alignment horizontal="right" vertical="center" shrinkToFit="1"/>
      <protection locked="0"/>
    </xf>
    <xf numFmtId="4" fontId="15" fillId="5" borderId="41" xfId="0" applyNumberFormat="1" applyFont="1" applyFill="1" applyBorder="1" applyAlignment="1" applyProtection="1">
      <alignment horizontal="right" vertical="center" shrinkToFit="1"/>
      <protection locked="0"/>
    </xf>
    <xf numFmtId="4" fontId="15" fillId="5" borderId="143" xfId="0" applyNumberFormat="1" applyFont="1" applyFill="1" applyBorder="1" applyAlignment="1" applyProtection="1">
      <alignment horizontal="right" vertical="center" shrinkToFit="1"/>
      <protection locked="0"/>
    </xf>
    <xf numFmtId="4" fontId="15" fillId="0" borderId="6" xfId="0" applyNumberFormat="1" applyFont="1" applyBorder="1" applyAlignment="1" applyProtection="1">
      <alignment horizontal="right" shrinkToFit="1"/>
      <protection locked="0"/>
    </xf>
    <xf numFmtId="4" fontId="60" fillId="5" borderId="41" xfId="0" applyNumberFormat="1" applyFont="1" applyFill="1" applyBorder="1" applyAlignment="1" applyProtection="1">
      <alignment horizontal="right" shrinkToFit="1"/>
      <protection locked="0"/>
    </xf>
    <xf numFmtId="4" fontId="15" fillId="0" borderId="143" xfId="0" applyNumberFormat="1" applyFont="1" applyBorder="1" applyAlignment="1" applyProtection="1">
      <alignment horizontal="right" shrinkToFit="1"/>
      <protection locked="0"/>
    </xf>
    <xf numFmtId="4" fontId="311" fillId="5" borderId="143" xfId="0" applyNumberFormat="1" applyFont="1" applyFill="1" applyBorder="1" applyAlignment="1" applyProtection="1">
      <alignment horizontal="right" vertical="center" shrinkToFit="1"/>
      <protection locked="0"/>
    </xf>
    <xf numFmtId="0" fontId="15" fillId="19" borderId="8" xfId="0" applyFont="1" applyFill="1" applyBorder="1"/>
    <xf numFmtId="0" fontId="301" fillId="19" borderId="8" xfId="0" applyFont="1" applyFill="1" applyBorder="1" applyAlignment="1">
      <alignment vertical="top" wrapText="1"/>
    </xf>
    <xf numFmtId="0" fontId="176" fillId="19" borderId="3" xfId="0" applyFont="1" applyFill="1" applyBorder="1" applyAlignment="1">
      <alignment vertical="top"/>
    </xf>
    <xf numFmtId="0" fontId="301" fillId="6" borderId="8" xfId="0" applyFont="1" applyFill="1" applyBorder="1" applyAlignment="1">
      <alignment vertical="top" wrapText="1"/>
    </xf>
    <xf numFmtId="0" fontId="176" fillId="6" borderId="3" xfId="0" applyFont="1" applyFill="1" applyBorder="1" applyAlignment="1">
      <alignment vertical="top"/>
    </xf>
    <xf numFmtId="0" fontId="312" fillId="0" borderId="0" xfId="0" applyFont="1"/>
    <xf numFmtId="1" fontId="312" fillId="0" borderId="0" xfId="0" applyNumberFormat="1" applyFont="1"/>
    <xf numFmtId="0" fontId="313" fillId="0" borderId="0" xfId="0" applyFont="1" applyAlignment="1">
      <alignment horizontal="center" vertical="center"/>
    </xf>
    <xf numFmtId="3" fontId="60" fillId="0" borderId="36" xfId="0" applyNumberFormat="1" applyFont="1" applyBorder="1" applyAlignment="1">
      <alignment horizontal="center" vertical="center" shrinkToFit="1"/>
    </xf>
    <xf numFmtId="177" fontId="60" fillId="0" borderId="0" xfId="0" applyNumberFormat="1" applyFont="1"/>
    <xf numFmtId="166" fontId="54" fillId="0" borderId="0" xfId="0" applyNumberFormat="1" applyFont="1" applyAlignment="1">
      <alignment horizontal="center"/>
    </xf>
    <xf numFmtId="0" fontId="116" fillId="0" borderId="0" xfId="0" applyFont="1"/>
    <xf numFmtId="0" fontId="56" fillId="0" borderId="40" xfId="0" applyFont="1" applyBorder="1" applyAlignment="1">
      <alignment vertical="center" wrapText="1"/>
    </xf>
    <xf numFmtId="0" fontId="56" fillId="0" borderId="1" xfId="0" applyFont="1" applyBorder="1" applyAlignment="1">
      <alignment vertical="center" wrapText="1"/>
    </xf>
    <xf numFmtId="0" fontId="6" fillId="0" borderId="1" xfId="0" applyFont="1" applyBorder="1"/>
    <xf numFmtId="4" fontId="15" fillId="0" borderId="1" xfId="0" applyNumberFormat="1" applyFont="1" applyBorder="1" applyAlignment="1">
      <alignment horizontal="center" shrinkToFit="1"/>
    </xf>
    <xf numFmtId="0" fontId="21" fillId="0" borderId="1" xfId="0" applyFont="1" applyBorder="1" applyAlignment="1">
      <alignment vertical="center"/>
    </xf>
    <xf numFmtId="17" fontId="69" fillId="0" borderId="0" xfId="0" applyNumberFormat="1" applyFont="1"/>
    <xf numFmtId="0" fontId="117" fillId="0" borderId="48" xfId="0" applyFont="1" applyBorder="1" applyAlignment="1">
      <alignment vertical="center" wrapText="1"/>
    </xf>
    <xf numFmtId="166" fontId="15" fillId="0" borderId="23" xfId="0" applyNumberFormat="1" applyFont="1" applyBorder="1" applyAlignment="1">
      <alignment horizontal="center"/>
    </xf>
    <xf numFmtId="166" fontId="15" fillId="0" borderId="270" xfId="0" applyNumberFormat="1" applyFont="1" applyBorder="1" applyAlignment="1">
      <alignment horizontal="center"/>
    </xf>
    <xf numFmtId="0" fontId="6" fillId="2" borderId="0" xfId="0" applyFont="1" applyFill="1" applyAlignment="1">
      <alignment vertical="top" wrapText="1" shrinkToFit="1"/>
    </xf>
    <xf numFmtId="0" fontId="11" fillId="2" borderId="6" xfId="0" applyFont="1" applyFill="1" applyBorder="1" applyAlignment="1">
      <alignment horizontal="center" wrapText="1"/>
    </xf>
    <xf numFmtId="0" fontId="11" fillId="0" borderId="23" xfId="0" applyFont="1" applyBorder="1" applyAlignment="1">
      <alignment horizontal="left"/>
    </xf>
    <xf numFmtId="0" fontId="315" fillId="5" borderId="75" xfId="0" applyFont="1" applyFill="1" applyBorder="1" applyAlignment="1">
      <alignment horizontal="center" vertical="center"/>
    </xf>
    <xf numFmtId="0" fontId="14" fillId="5" borderId="74" xfId="0" applyFont="1" applyFill="1" applyBorder="1" applyAlignment="1">
      <alignment horizontal="center" vertical="center"/>
    </xf>
    <xf numFmtId="0" fontId="6" fillId="0" borderId="17" xfId="0" applyFont="1" applyBorder="1"/>
    <xf numFmtId="0" fontId="15" fillId="9" borderId="10" xfId="0" applyFont="1" applyFill="1" applyBorder="1" applyAlignment="1">
      <alignment shrinkToFit="1"/>
    </xf>
    <xf numFmtId="0" fontId="15" fillId="9" borderId="122" xfId="0" applyFont="1" applyFill="1" applyBorder="1" applyAlignment="1">
      <alignment shrinkToFit="1"/>
    </xf>
    <xf numFmtId="0" fontId="15" fillId="9" borderId="65" xfId="0" applyFont="1" applyFill="1" applyBorder="1" applyAlignment="1">
      <alignment shrinkToFit="1"/>
    </xf>
    <xf numFmtId="4" fontId="60" fillId="7" borderId="136" xfId="0" applyNumberFormat="1" applyFont="1" applyFill="1" applyBorder="1" applyAlignment="1" applyProtection="1">
      <alignment horizontal="right" shrinkToFit="1"/>
      <protection locked="0"/>
    </xf>
    <xf numFmtId="4" fontId="60" fillId="7" borderId="12" xfId="0" applyNumberFormat="1" applyFont="1" applyFill="1" applyBorder="1" applyAlignment="1" applyProtection="1">
      <alignment horizontal="right" shrinkToFit="1"/>
      <protection locked="0"/>
    </xf>
    <xf numFmtId="0" fontId="64" fillId="0" borderId="93" xfId="0" applyFont="1" applyBorder="1" applyAlignment="1">
      <alignment vertical="center" wrapText="1"/>
    </xf>
    <xf numFmtId="3" fontId="15" fillId="0" borderId="144" xfId="0" applyNumberFormat="1" applyFont="1" applyBorder="1"/>
    <xf numFmtId="4" fontId="126" fillId="0" borderId="171" xfId="0" applyNumberFormat="1" applyFont="1" applyBorder="1" applyAlignment="1">
      <alignment vertical="center" textRotation="90" shrinkToFit="1"/>
    </xf>
    <xf numFmtId="4" fontId="126" fillId="0" borderId="131" xfId="0" applyNumberFormat="1" applyFont="1" applyBorder="1" applyAlignment="1">
      <alignment vertical="center" textRotation="90" shrinkToFit="1"/>
    </xf>
    <xf numFmtId="4" fontId="126" fillId="0" borderId="135" xfId="0" applyNumberFormat="1" applyFont="1" applyBorder="1" applyAlignment="1">
      <alignment vertical="center" textRotation="90" shrinkToFit="1"/>
    </xf>
    <xf numFmtId="4" fontId="126" fillId="0" borderId="200" xfId="0" applyNumberFormat="1" applyFont="1" applyBorder="1" applyAlignment="1">
      <alignment horizontal="left" vertical="center" shrinkToFit="1"/>
    </xf>
    <xf numFmtId="4" fontId="126" fillId="0" borderId="352" xfId="0" applyNumberFormat="1" applyFont="1" applyBorder="1" applyAlignment="1">
      <alignment horizontal="left" vertical="center" shrinkToFit="1"/>
    </xf>
    <xf numFmtId="3" fontId="126" fillId="0" borderId="55" xfId="0" applyNumberFormat="1" applyFont="1" applyBorder="1" applyAlignment="1">
      <alignment vertical="center" textRotation="90" shrinkToFit="1"/>
    </xf>
    <xf numFmtId="3" fontId="126" fillId="0" borderId="142" xfId="0" applyNumberFormat="1" applyFont="1" applyBorder="1" applyAlignment="1">
      <alignment vertical="center" textRotation="90" shrinkToFit="1"/>
    </xf>
    <xf numFmtId="165" fontId="262" fillId="3" borderId="23" xfId="0" applyNumberFormat="1" applyFont="1" applyFill="1" applyBorder="1" applyAlignment="1">
      <alignment horizontal="center" vertical="center"/>
    </xf>
    <xf numFmtId="0" fontId="167" fillId="0" borderId="0" xfId="0" applyFont="1" applyAlignment="1">
      <alignment horizontal="right"/>
    </xf>
    <xf numFmtId="9" fontId="60" fillId="7" borderId="4" xfId="0" applyNumberFormat="1" applyFont="1" applyFill="1" applyBorder="1" applyAlignment="1" applyProtection="1">
      <alignment horizontal="center" vertical="center"/>
      <protection locked="0"/>
    </xf>
    <xf numFmtId="169" fontId="60" fillId="7" borderId="4" xfId="0" applyNumberFormat="1" applyFont="1" applyFill="1" applyBorder="1" applyAlignment="1" applyProtection="1">
      <alignment horizontal="center" vertical="center"/>
      <protection locked="0"/>
    </xf>
    <xf numFmtId="0" fontId="15" fillId="0" borderId="353" xfId="0" applyFont="1" applyBorder="1"/>
    <xf numFmtId="9" fontId="60" fillId="7" borderId="23" xfId="0" applyNumberFormat="1" applyFont="1" applyFill="1" applyBorder="1" applyAlignment="1" applyProtection="1">
      <alignment horizontal="center" vertical="center" shrinkToFit="1"/>
      <protection locked="0"/>
    </xf>
    <xf numFmtId="0" fontId="15" fillId="0" borderId="12" xfId="0" applyFont="1" applyBorder="1" applyAlignment="1">
      <alignment horizontal="center" vertical="center" shrinkToFit="1"/>
    </xf>
    <xf numFmtId="0" fontId="74" fillId="5" borderId="0" xfId="0" applyFont="1" applyFill="1"/>
    <xf numFmtId="0" fontId="9" fillId="2" borderId="0" xfId="0" applyFont="1" applyFill="1" applyAlignment="1">
      <alignment horizontal="center" vertical="center" wrapText="1"/>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13" fillId="2" borderId="0" xfId="0" applyFont="1" applyFill="1" applyAlignment="1">
      <alignment horizontal="left" vertical="top" shrinkToFit="1"/>
    </xf>
    <xf numFmtId="3" fontId="15" fillId="0" borderId="0" xfId="0" applyNumberFormat="1" applyFont="1" applyAlignment="1">
      <alignment horizontal="center" vertical="center"/>
    </xf>
    <xf numFmtId="0" fontId="20" fillId="0" borderId="0" xfId="0" applyFont="1" applyAlignment="1">
      <alignment horizontal="center"/>
    </xf>
    <xf numFmtId="177" fontId="20" fillId="0" borderId="0" xfId="0" applyNumberFormat="1" applyFont="1" applyAlignment="1">
      <alignment horizontal="center" vertical="center"/>
    </xf>
    <xf numFmtId="168" fontId="15" fillId="0" borderId="0" xfId="0" applyNumberFormat="1" applyFont="1" applyAlignment="1">
      <alignment horizontal="center" vertical="center"/>
    </xf>
    <xf numFmtId="0" fontId="9" fillId="2" borderId="0" xfId="0" applyFont="1" applyFill="1" applyAlignment="1">
      <alignment horizontal="center" vertical="top"/>
    </xf>
    <xf numFmtId="3" fontId="15" fillId="0" borderId="0" xfId="0" applyNumberFormat="1" applyFont="1" applyAlignment="1">
      <alignment horizontal="right"/>
    </xf>
    <xf numFmtId="3" fontId="231" fillId="0" borderId="0" xfId="0" applyNumberFormat="1" applyFont="1" applyAlignment="1">
      <alignment horizontal="center" vertical="center"/>
    </xf>
    <xf numFmtId="170" fontId="23" fillId="0" borderId="0" xfId="0" applyNumberFormat="1" applyFont="1" applyAlignment="1">
      <alignment horizontal="left" shrinkToFit="1"/>
    </xf>
    <xf numFmtId="170" fontId="23" fillId="2" borderId="0" xfId="0" applyNumberFormat="1" applyFont="1" applyFill="1" applyAlignment="1">
      <alignment horizontal="left" shrinkToFit="1"/>
    </xf>
    <xf numFmtId="0" fontId="11" fillId="0" borderId="50" xfId="0" applyFont="1" applyBorder="1" applyAlignment="1">
      <alignment vertical="center"/>
    </xf>
    <xf numFmtId="2" fontId="317" fillId="0" borderId="4" xfId="0" applyNumberFormat="1" applyFont="1" applyBorder="1" applyAlignment="1">
      <alignment horizontal="center"/>
    </xf>
    <xf numFmtId="0" fontId="33" fillId="33" borderId="3" xfId="0" applyFont="1" applyFill="1" applyBorder="1" applyAlignment="1">
      <alignment shrinkToFit="1"/>
    </xf>
    <xf numFmtId="3" fontId="33" fillId="33" borderId="4" xfId="0" applyNumberFormat="1" applyFont="1" applyFill="1" applyBorder="1" applyAlignment="1">
      <alignment horizontal="center"/>
    </xf>
    <xf numFmtId="2" fontId="33" fillId="33" borderId="4" xfId="0" applyNumberFormat="1" applyFont="1" applyFill="1" applyBorder="1" applyAlignment="1">
      <alignment horizontal="center"/>
    </xf>
    <xf numFmtId="1" fontId="18" fillId="6" borderId="12" xfId="0" applyNumberFormat="1" applyFont="1" applyFill="1" applyBorder="1" applyAlignment="1">
      <alignment horizontal="center"/>
    </xf>
    <xf numFmtId="0" fontId="33" fillId="6" borderId="0" xfId="0" applyFont="1" applyFill="1"/>
    <xf numFmtId="0" fontId="33" fillId="0" borderId="0" xfId="0" applyFont="1"/>
    <xf numFmtId="166" fontId="49" fillId="33" borderId="12" xfId="0" applyNumberFormat="1" applyFont="1" applyFill="1" applyBorder="1" applyAlignment="1">
      <alignment horizontal="center"/>
    </xf>
    <xf numFmtId="3" fontId="33" fillId="6" borderId="4" xfId="0" applyNumberFormat="1" applyFont="1" applyFill="1" applyBorder="1" applyAlignment="1">
      <alignment horizontal="center"/>
    </xf>
    <xf numFmtId="1" fontId="205" fillId="6" borderId="4" xfId="0" applyNumberFormat="1" applyFont="1" applyFill="1" applyBorder="1" applyAlignment="1">
      <alignment horizontal="center"/>
    </xf>
    <xf numFmtId="3" fontId="33" fillId="6" borderId="0" xfId="0" applyNumberFormat="1" applyFont="1" applyFill="1" applyAlignment="1">
      <alignment horizontal="center"/>
    </xf>
    <xf numFmtId="0" fontId="33" fillId="33" borderId="21" xfId="0" applyFont="1" applyFill="1" applyBorder="1" applyAlignment="1">
      <alignment shrinkToFit="1"/>
    </xf>
    <xf numFmtId="3" fontId="33" fillId="33" borderId="22" xfId="0" applyNumberFormat="1" applyFont="1" applyFill="1" applyBorder="1" applyAlignment="1">
      <alignment horizontal="center"/>
    </xf>
    <xf numFmtId="2" fontId="33" fillId="33" borderId="22" xfId="0" applyNumberFormat="1" applyFont="1" applyFill="1" applyBorder="1" applyAlignment="1">
      <alignment horizontal="center"/>
    </xf>
    <xf numFmtId="1" fontId="18" fillId="6" borderId="15" xfId="0" applyNumberFormat="1" applyFont="1" applyFill="1" applyBorder="1" applyAlignment="1">
      <alignment horizontal="center"/>
    </xf>
    <xf numFmtId="0" fontId="33" fillId="6" borderId="33" xfId="0" applyFont="1" applyFill="1" applyBorder="1"/>
    <xf numFmtId="0" fontId="33" fillId="0" borderId="33" xfId="0" applyFont="1" applyBorder="1"/>
    <xf numFmtId="166" fontId="49" fillId="33" borderId="15" xfId="0" applyNumberFormat="1" applyFont="1" applyFill="1" applyBorder="1" applyAlignment="1">
      <alignment horizontal="center"/>
    </xf>
    <xf numFmtId="3" fontId="33" fillId="6" borderId="22" xfId="0" applyNumberFormat="1" applyFont="1" applyFill="1" applyBorder="1" applyAlignment="1">
      <alignment horizontal="center"/>
    </xf>
    <xf numFmtId="1" fontId="205" fillId="6" borderId="22" xfId="0" applyNumberFormat="1" applyFont="1" applyFill="1" applyBorder="1" applyAlignment="1">
      <alignment horizontal="center"/>
    </xf>
    <xf numFmtId="3" fontId="33" fillId="6" borderId="15" xfId="0" applyNumberFormat="1" applyFont="1" applyFill="1" applyBorder="1" applyAlignment="1">
      <alignment horizontal="center"/>
    </xf>
    <xf numFmtId="0" fontId="15" fillId="6" borderId="33" xfId="0" applyFont="1" applyFill="1" applyBorder="1" applyAlignment="1">
      <alignment horizontal="right"/>
    </xf>
    <xf numFmtId="3" fontId="15" fillId="6" borderId="33" xfId="0" applyNumberFormat="1" applyFont="1" applyFill="1" applyBorder="1" applyAlignment="1">
      <alignment horizontal="center"/>
    </xf>
    <xf numFmtId="166" fontId="15" fillId="6" borderId="33" xfId="0" applyNumberFormat="1" applyFont="1" applyFill="1" applyBorder="1" applyAlignment="1">
      <alignment horizontal="center"/>
    </xf>
    <xf numFmtId="0" fontId="0" fillId="0" borderId="4" xfId="0" applyBorder="1" applyAlignment="1">
      <alignment vertical="center"/>
    </xf>
    <xf numFmtId="0" fontId="114" fillId="0" borderId="0" xfId="0" applyFont="1"/>
    <xf numFmtId="0" fontId="28" fillId="33" borderId="3" xfId="0" applyFont="1" applyFill="1" applyBorder="1" applyAlignment="1">
      <alignment shrinkToFit="1"/>
    </xf>
    <xf numFmtId="0" fontId="15" fillId="33" borderId="23" xfId="0" applyFont="1" applyFill="1" applyBorder="1" applyAlignment="1">
      <alignment horizontal="center" vertical="center"/>
    </xf>
    <xf numFmtId="166" fontId="11" fillId="33" borderId="89" xfId="0" applyNumberFormat="1" applyFont="1" applyFill="1" applyBorder="1" applyAlignment="1">
      <alignment horizontal="center"/>
    </xf>
    <xf numFmtId="2" fontId="11" fillId="33" borderId="89" xfId="0" applyNumberFormat="1" applyFont="1" applyFill="1" applyBorder="1" applyAlignment="1">
      <alignment horizontal="center"/>
    </xf>
    <xf numFmtId="166" fontId="11" fillId="33" borderId="90" xfId="0" applyNumberFormat="1" applyFont="1" applyFill="1" applyBorder="1" applyAlignment="1">
      <alignment horizontal="center"/>
    </xf>
    <xf numFmtId="0" fontId="11" fillId="0" borderId="3" xfId="0" applyFont="1" applyBorder="1" applyAlignment="1">
      <alignment shrinkToFit="1"/>
    </xf>
    <xf numFmtId="0" fontId="11" fillId="0" borderId="10" xfId="0" applyFont="1" applyBorder="1" applyAlignment="1">
      <alignment shrinkToFit="1"/>
    </xf>
    <xf numFmtId="3" fontId="243" fillId="30" borderId="4" xfId="0" applyNumberFormat="1" applyFont="1" applyFill="1" applyBorder="1" applyAlignment="1">
      <alignment horizontal="center"/>
    </xf>
    <xf numFmtId="3" fontId="15" fillId="20" borderId="4" xfId="0" applyNumberFormat="1" applyFont="1" applyFill="1" applyBorder="1" applyAlignment="1">
      <alignment horizontal="center" vertical="center"/>
    </xf>
    <xf numFmtId="3" fontId="246" fillId="33" borderId="354" xfId="0" applyNumberFormat="1" applyFont="1" applyFill="1" applyBorder="1" applyAlignment="1">
      <alignment horizontal="center" shrinkToFit="1"/>
    </xf>
    <xf numFmtId="1" fontId="262" fillId="13" borderId="46" xfId="0" applyNumberFormat="1" applyFont="1" applyFill="1" applyBorder="1" applyAlignment="1" applyProtection="1">
      <alignment horizontal="center" vertical="center" wrapText="1"/>
      <protection locked="0"/>
    </xf>
    <xf numFmtId="1" fontId="262" fillId="13" borderId="65" xfId="0" applyNumberFormat="1" applyFont="1" applyFill="1" applyBorder="1" applyAlignment="1" applyProtection="1">
      <alignment horizontal="center" vertical="center" wrapText="1"/>
      <protection locked="0"/>
    </xf>
    <xf numFmtId="1" fontId="262" fillId="13" borderId="64" xfId="0" applyNumberFormat="1" applyFont="1" applyFill="1" applyBorder="1" applyAlignment="1" applyProtection="1">
      <alignment horizontal="center" vertical="center" wrapText="1"/>
      <protection locked="0"/>
    </xf>
    <xf numFmtId="3" fontId="11" fillId="33" borderId="64" xfId="0" applyNumberFormat="1" applyFont="1" applyFill="1" applyBorder="1" applyAlignment="1">
      <alignment horizontal="center" shrinkToFit="1"/>
    </xf>
    <xf numFmtId="3" fontId="11" fillId="33" borderId="354" xfId="0" applyNumberFormat="1" applyFont="1" applyFill="1" applyBorder="1" applyAlignment="1">
      <alignment horizontal="center" shrinkToFit="1"/>
    </xf>
    <xf numFmtId="3" fontId="11" fillId="33" borderId="355" xfId="0" applyNumberFormat="1" applyFont="1" applyFill="1" applyBorder="1" applyAlignment="1">
      <alignment horizontal="center" shrinkToFit="1"/>
    </xf>
    <xf numFmtId="3" fontId="243" fillId="30" borderId="65" xfId="0" applyNumberFormat="1" applyFont="1" applyFill="1" applyBorder="1" applyAlignment="1">
      <alignment horizontal="center"/>
    </xf>
    <xf numFmtId="3" fontId="15" fillId="20" borderId="65" xfId="0" applyNumberFormat="1" applyFont="1" applyFill="1" applyBorder="1" applyAlignment="1">
      <alignment horizontal="center" vertical="center"/>
    </xf>
    <xf numFmtId="169" fontId="58" fillId="13" borderId="4" xfId="0" applyNumberFormat="1" applyFont="1" applyFill="1" applyBorder="1" applyAlignment="1" applyProtection="1">
      <alignment horizontal="center" vertical="center" shrinkToFit="1"/>
      <protection locked="0"/>
    </xf>
    <xf numFmtId="169" fontId="58" fillId="13" borderId="12" xfId="0" applyNumberFormat="1" applyFont="1" applyFill="1" applyBorder="1" applyAlignment="1" applyProtection="1">
      <alignment horizontal="center" vertical="center" shrinkToFit="1"/>
      <protection locked="0"/>
    </xf>
    <xf numFmtId="183" fontId="58" fillId="13" borderId="356" xfId="0" applyNumberFormat="1" applyFont="1" applyFill="1" applyBorder="1" applyAlignment="1" applyProtection="1">
      <alignment horizontal="center" shrinkToFit="1"/>
      <protection locked="0"/>
    </xf>
    <xf numFmtId="183" fontId="58" fillId="13" borderId="8" xfId="0" applyNumberFormat="1" applyFont="1" applyFill="1" applyBorder="1" applyAlignment="1" applyProtection="1">
      <alignment horizontal="center" shrinkToFit="1"/>
      <protection locked="0"/>
    </xf>
    <xf numFmtId="183" fontId="117" fillId="26" borderId="3" xfId="0" applyNumberFormat="1" applyFont="1" applyFill="1" applyBorder="1" applyAlignment="1" applyProtection="1">
      <alignment horizontal="center" shrinkToFit="1"/>
      <protection locked="0"/>
    </xf>
    <xf numFmtId="183" fontId="163" fillId="26" borderId="4" xfId="0" applyNumberFormat="1" applyFont="1" applyFill="1" applyBorder="1" applyAlignment="1">
      <alignment horizontal="center" shrinkToFit="1"/>
    </xf>
    <xf numFmtId="169" fontId="58" fillId="13" borderId="65" xfId="0" applyNumberFormat="1" applyFont="1" applyFill="1" applyBorder="1" applyAlignment="1" applyProtection="1">
      <alignment horizontal="center" vertical="center" shrinkToFit="1"/>
      <protection locked="0"/>
    </xf>
    <xf numFmtId="169" fontId="58" fillId="13" borderId="46" xfId="0" applyNumberFormat="1" applyFont="1" applyFill="1" applyBorder="1" applyAlignment="1" applyProtection="1">
      <alignment horizontal="center" vertical="center" shrinkToFit="1"/>
      <protection locked="0"/>
    </xf>
    <xf numFmtId="183" fontId="58" fillId="13" borderId="357" xfId="0" applyNumberFormat="1" applyFont="1" applyFill="1" applyBorder="1" applyAlignment="1" applyProtection="1">
      <alignment horizontal="center" shrinkToFit="1"/>
      <protection locked="0"/>
    </xf>
    <xf numFmtId="168" fontId="142" fillId="0" borderId="0" xfId="0" applyNumberFormat="1" applyFont="1" applyAlignment="1">
      <alignment horizontal="center" vertical="center"/>
    </xf>
    <xf numFmtId="0" fontId="59" fillId="2" borderId="0" xfId="0" applyFont="1" applyFill="1" applyAlignment="1">
      <alignment vertical="center" wrapText="1"/>
    </xf>
    <xf numFmtId="168" fontId="58" fillId="0" borderId="14" xfId="0" applyNumberFormat="1" applyFont="1" applyBorder="1" applyAlignment="1">
      <alignment vertical="center"/>
    </xf>
    <xf numFmtId="168" fontId="79" fillId="0" borderId="0" xfId="0" applyNumberFormat="1" applyFont="1" applyAlignment="1">
      <alignment horizontal="center" vertical="center"/>
    </xf>
    <xf numFmtId="0" fontId="79" fillId="5" borderId="0" xfId="0" applyFont="1" applyFill="1" applyAlignment="1">
      <alignment horizontal="left" vertical="center" wrapText="1"/>
    </xf>
    <xf numFmtId="0" fontId="69" fillId="2" borderId="0" xfId="0" applyFont="1" applyFill="1" applyAlignment="1">
      <alignment horizontal="center"/>
    </xf>
    <xf numFmtId="3" fontId="141" fillId="5" borderId="0" xfId="0" applyNumberFormat="1" applyFont="1" applyFill="1" applyAlignment="1">
      <alignment horizontal="center" vertical="center"/>
    </xf>
    <xf numFmtId="3" fontId="141" fillId="2" borderId="0" xfId="0" applyNumberFormat="1" applyFont="1" applyFill="1" applyAlignment="1">
      <alignment vertical="center"/>
    </xf>
    <xf numFmtId="3" fontId="69" fillId="5" borderId="0" xfId="0" applyNumberFormat="1" applyFont="1" applyFill="1" applyAlignment="1">
      <alignment horizontal="right"/>
    </xf>
    <xf numFmtId="3" fontId="69" fillId="5" borderId="0" xfId="0" applyNumberFormat="1" applyFont="1" applyFill="1" applyAlignment="1">
      <alignment horizontal="right" vertical="center"/>
    </xf>
    <xf numFmtId="3" fontId="141" fillId="5" borderId="0" xfId="0" applyNumberFormat="1" applyFont="1" applyFill="1"/>
    <xf numFmtId="3" fontId="141" fillId="0" borderId="0" xfId="0" applyNumberFormat="1" applyFont="1"/>
    <xf numFmtId="166" fontId="60" fillId="7" borderId="172" xfId="0" applyNumberFormat="1" applyFont="1" applyFill="1" applyBorder="1" applyAlignment="1">
      <alignment horizontal="center" vertical="center"/>
    </xf>
    <xf numFmtId="166" fontId="60" fillId="7" borderId="362" xfId="0" applyNumberFormat="1" applyFont="1" applyFill="1" applyBorder="1" applyAlignment="1">
      <alignment horizontal="center" vertical="center"/>
    </xf>
    <xf numFmtId="166" fontId="60" fillId="7" borderId="225" xfId="0" applyNumberFormat="1" applyFont="1" applyFill="1" applyBorder="1" applyAlignment="1">
      <alignment horizontal="center" vertical="center"/>
    </xf>
    <xf numFmtId="0" fontId="88" fillId="6" borderId="175" xfId="0" applyFont="1" applyFill="1" applyBorder="1" applyAlignment="1">
      <alignment vertical="center"/>
    </xf>
    <xf numFmtId="0" fontId="56" fillId="6" borderId="200" xfId="0" applyFont="1" applyFill="1" applyBorder="1" applyAlignment="1">
      <alignment vertical="center" wrapText="1"/>
    </xf>
    <xf numFmtId="4" fontId="15" fillId="0" borderId="4" xfId="0" applyNumberFormat="1" applyFont="1" applyBorder="1" applyAlignment="1">
      <alignment horizontal="center" shrinkToFit="1"/>
    </xf>
    <xf numFmtId="4" fontId="15" fillId="5" borderId="4" xfId="0" applyNumberFormat="1" applyFont="1" applyFill="1" applyBorder="1" applyAlignment="1">
      <alignment horizontal="center" shrinkToFit="1"/>
    </xf>
    <xf numFmtId="168" fontId="15" fillId="0" borderId="22" xfId="0" applyNumberFormat="1" applyFont="1" applyBorder="1" applyAlignment="1">
      <alignment horizontal="center" shrinkToFit="1"/>
    </xf>
    <xf numFmtId="4" fontId="15" fillId="0" borderId="65" xfId="0" applyNumberFormat="1" applyFont="1" applyBorder="1" applyAlignment="1">
      <alignment horizontal="center" shrinkToFit="1"/>
    </xf>
    <xf numFmtId="168" fontId="15" fillId="5" borderId="65" xfId="0" applyNumberFormat="1" applyFont="1" applyFill="1" applyBorder="1" applyAlignment="1">
      <alignment horizontal="center" shrinkToFit="1"/>
    </xf>
    <xf numFmtId="4" fontId="15" fillId="5" borderId="65" xfId="0" applyNumberFormat="1" applyFont="1" applyFill="1" applyBorder="1" applyAlignment="1">
      <alignment horizontal="center" shrinkToFit="1"/>
    </xf>
    <xf numFmtId="0" fontId="6" fillId="0" borderId="33" xfId="0" applyFont="1" applyBorder="1"/>
    <xf numFmtId="166" fontId="60" fillId="7" borderId="4" xfId="0" applyNumberFormat="1" applyFont="1" applyFill="1" applyBorder="1" applyAlignment="1" applyProtection="1">
      <alignment horizontal="center"/>
      <protection locked="0"/>
    </xf>
    <xf numFmtId="166" fontId="60" fillId="7" borderId="364" xfId="0" applyNumberFormat="1" applyFont="1" applyFill="1" applyBorder="1" applyAlignment="1" applyProtection="1">
      <alignment horizontal="center"/>
      <protection locked="0"/>
    </xf>
    <xf numFmtId="166" fontId="15" fillId="0" borderId="65" xfId="0" applyNumberFormat="1" applyFont="1" applyBorder="1" applyAlignment="1">
      <alignment horizontal="center"/>
    </xf>
    <xf numFmtId="166" fontId="15" fillId="0" borderId="363" xfId="0" applyNumberFormat="1" applyFont="1" applyBorder="1" applyAlignment="1">
      <alignment horizontal="center"/>
    </xf>
    <xf numFmtId="0" fontId="105" fillId="7" borderId="3" xfId="0" applyFont="1" applyFill="1" applyBorder="1" applyAlignment="1" applyProtection="1">
      <alignment wrapText="1" shrinkToFit="1"/>
      <protection locked="0"/>
    </xf>
    <xf numFmtId="4" fontId="28" fillId="5" borderId="4" xfId="0" applyNumberFormat="1" applyFont="1" applyFill="1" applyBorder="1" applyAlignment="1">
      <alignment horizontal="center" shrinkToFit="1"/>
    </xf>
    <xf numFmtId="0" fontId="60" fillId="7" borderId="4" xfId="0" applyFont="1" applyFill="1" applyBorder="1" applyAlignment="1" applyProtection="1">
      <alignment horizontal="center"/>
      <protection locked="0"/>
    </xf>
    <xf numFmtId="166" fontId="60" fillId="18" borderId="365" xfId="2" applyNumberFormat="1" applyFont="1" applyFill="1" applyBorder="1" applyAlignment="1" applyProtection="1">
      <alignment horizontal="center"/>
      <protection locked="0"/>
    </xf>
    <xf numFmtId="0" fontId="28" fillId="0" borderId="122" xfId="0" applyFont="1" applyBorder="1" applyAlignment="1">
      <alignment shrinkToFit="1"/>
    </xf>
    <xf numFmtId="0" fontId="6" fillId="0" borderId="65" xfId="0" applyFont="1" applyBorder="1" applyAlignment="1">
      <alignment horizontal="center"/>
    </xf>
    <xf numFmtId="4" fontId="28" fillId="5" borderId="65" xfId="0" applyNumberFormat="1" applyFont="1" applyFill="1" applyBorder="1" applyAlignment="1">
      <alignment horizontal="center" shrinkToFit="1"/>
    </xf>
    <xf numFmtId="4" fontId="28" fillId="5" borderId="46" xfId="0" applyNumberFormat="1" applyFont="1" applyFill="1" applyBorder="1" applyAlignment="1">
      <alignment horizontal="center" shrinkToFit="1"/>
    </xf>
    <xf numFmtId="0" fontId="15" fillId="0" borderId="65" xfId="0" applyFont="1" applyBorder="1" applyAlignment="1">
      <alignment horizontal="center"/>
    </xf>
    <xf numFmtId="0" fontId="69" fillId="0" borderId="0" xfId="0" applyFont="1" applyProtection="1">
      <protection locked="0"/>
    </xf>
    <xf numFmtId="0" fontId="82" fillId="0" borderId="0" xfId="0" applyFont="1" applyProtection="1">
      <protection locked="0"/>
    </xf>
    <xf numFmtId="168" fontId="15" fillId="0" borderId="23" xfId="0" applyNumberFormat="1" applyFont="1" applyBorder="1" applyAlignment="1">
      <alignment horizontal="center" shrinkToFit="1"/>
    </xf>
    <xf numFmtId="169" fontId="319" fillId="0" borderId="1" xfId="0" applyNumberFormat="1" applyFont="1" applyBorder="1" applyAlignment="1">
      <alignment vertical="center" wrapText="1"/>
    </xf>
    <xf numFmtId="3" fontId="60" fillId="7" borderId="14" xfId="0" applyNumberFormat="1" applyFont="1" applyFill="1" applyBorder="1" applyAlignment="1" applyProtection="1">
      <alignment horizontal="center" vertical="center" shrinkToFit="1"/>
      <protection locked="0"/>
    </xf>
    <xf numFmtId="3" fontId="105" fillId="7" borderId="46" xfId="0" applyNumberFormat="1" applyFont="1" applyFill="1" applyBorder="1" applyAlignment="1" applyProtection="1">
      <alignment horizontal="center" vertical="center" shrinkToFit="1"/>
      <protection locked="0"/>
    </xf>
    <xf numFmtId="0" fontId="7" fillId="5" borderId="2" xfId="0" applyFont="1" applyFill="1" applyBorder="1"/>
    <xf numFmtId="0" fontId="321" fillId="0" borderId="366" xfId="0" applyFont="1" applyBorder="1"/>
    <xf numFmtId="0" fontId="7" fillId="5" borderId="367" xfId="0" applyFont="1" applyFill="1" applyBorder="1"/>
    <xf numFmtId="169" fontId="11" fillId="0" borderId="7" xfId="0" applyNumberFormat="1" applyFont="1" applyBorder="1" applyAlignment="1">
      <alignment horizontal="center" vertical="center" wrapText="1"/>
    </xf>
    <xf numFmtId="3" fontId="52" fillId="5" borderId="46" xfId="0" applyNumberFormat="1" applyFont="1" applyFill="1" applyBorder="1" applyAlignment="1">
      <alignment horizontal="center" vertical="center" wrapText="1"/>
    </xf>
    <xf numFmtId="3" fontId="60" fillId="0" borderId="14" xfId="0" applyNumberFormat="1" applyFont="1" applyBorder="1" applyAlignment="1" applyProtection="1">
      <alignment horizontal="center" vertical="center" shrinkToFit="1"/>
      <protection locked="0"/>
    </xf>
    <xf numFmtId="4" fontId="23" fillId="5" borderId="14" xfId="0" applyNumberFormat="1" applyFont="1" applyFill="1" applyBorder="1" applyAlignment="1">
      <alignment horizontal="right" vertical="center" shrinkToFit="1"/>
    </xf>
    <xf numFmtId="0" fontId="7" fillId="5" borderId="1" xfId="0" applyFont="1" applyFill="1" applyBorder="1"/>
    <xf numFmtId="0" fontId="13" fillId="5" borderId="1" xfId="0" applyFont="1" applyFill="1" applyBorder="1"/>
    <xf numFmtId="0" fontId="320" fillId="0" borderId="7" xfId="0" applyFont="1" applyBorder="1"/>
    <xf numFmtId="0" fontId="322" fillId="0" borderId="1" xfId="0" applyFont="1" applyBorder="1"/>
    <xf numFmtId="0" fontId="320" fillId="0" borderId="12" xfId="0" applyFont="1" applyBorder="1"/>
    <xf numFmtId="171" fontId="15" fillId="0" borderId="284" xfId="0" applyNumberFormat="1" applyFont="1" applyBorder="1" applyAlignment="1">
      <alignment horizontal="right"/>
    </xf>
    <xf numFmtId="171" fontId="15" fillId="0" borderId="283" xfId="0" applyNumberFormat="1" applyFont="1" applyBorder="1"/>
    <xf numFmtId="171" fontId="320" fillId="2" borderId="284" xfId="0" applyNumberFormat="1" applyFont="1" applyFill="1" applyBorder="1" applyAlignment="1">
      <alignment horizontal="right"/>
    </xf>
    <xf numFmtId="171" fontId="320" fillId="2" borderId="96" xfId="0" applyNumberFormat="1" applyFont="1" applyFill="1" applyBorder="1" applyAlignment="1">
      <alignment horizontal="right"/>
    </xf>
    <xf numFmtId="171" fontId="320" fillId="0" borderId="283" xfId="0" applyNumberFormat="1" applyFont="1" applyBorder="1"/>
    <xf numFmtId="171" fontId="15" fillId="0" borderId="284" xfId="0" applyNumberFormat="1" applyFont="1" applyBorder="1"/>
    <xf numFmtId="2" fontId="15" fillId="0" borderId="283" xfId="0" applyNumberFormat="1" applyFont="1" applyBorder="1" applyAlignment="1">
      <alignment horizontal="center"/>
    </xf>
    <xf numFmtId="170" fontId="68" fillId="2" borderId="283" xfId="0" applyNumberFormat="1" applyFont="1" applyFill="1" applyBorder="1" applyAlignment="1">
      <alignment horizontal="center" shrinkToFit="1"/>
    </xf>
    <xf numFmtId="171" fontId="15" fillId="0" borderId="284" xfId="0" applyNumberFormat="1" applyFont="1" applyBorder="1" applyAlignment="1">
      <alignment horizontal="center"/>
    </xf>
    <xf numFmtId="171" fontId="15" fillId="0" borderId="283" xfId="0" applyNumberFormat="1" applyFont="1" applyBorder="1" applyAlignment="1">
      <alignment horizontal="center"/>
    </xf>
    <xf numFmtId="171" fontId="320" fillId="2" borderId="284" xfId="0" applyNumberFormat="1" applyFont="1" applyFill="1" applyBorder="1" applyAlignment="1">
      <alignment horizontal="center"/>
    </xf>
    <xf numFmtId="171" fontId="320" fillId="2" borderId="96" xfId="0" applyNumberFormat="1" applyFont="1" applyFill="1" applyBorder="1" applyAlignment="1">
      <alignment horizontal="center"/>
    </xf>
    <xf numFmtId="171" fontId="320" fillId="0" borderId="283" xfId="0" applyNumberFormat="1" applyFont="1" applyBorder="1" applyAlignment="1">
      <alignment horizontal="center"/>
    </xf>
    <xf numFmtId="0" fontId="23" fillId="0" borderId="12" xfId="0" applyFont="1" applyBorder="1" applyAlignment="1">
      <alignment horizontal="right" vertical="center" wrapText="1"/>
    </xf>
    <xf numFmtId="0" fontId="15" fillId="0" borderId="0" xfId="0" applyFont="1" applyAlignment="1">
      <alignment horizontal="left" vertical="center"/>
    </xf>
    <xf numFmtId="2" fontId="82" fillId="0" borderId="0" xfId="0" applyNumberFormat="1" applyFont="1" applyAlignment="1">
      <alignment horizontal="center"/>
    </xf>
    <xf numFmtId="171" fontId="15" fillId="0" borderId="226" xfId="0" applyNumberFormat="1" applyFont="1" applyBorder="1" applyAlignment="1">
      <alignment horizontal="right"/>
    </xf>
    <xf numFmtId="171" fontId="15" fillId="0" borderId="118" xfId="0" applyNumberFormat="1" applyFont="1" applyBorder="1"/>
    <xf numFmtId="171" fontId="320" fillId="2" borderId="226" xfId="0" applyNumberFormat="1" applyFont="1" applyFill="1" applyBorder="1" applyAlignment="1">
      <alignment horizontal="right"/>
    </xf>
    <xf numFmtId="171" fontId="320" fillId="2" borderId="55" xfId="0" applyNumberFormat="1" applyFont="1" applyFill="1" applyBorder="1" applyAlignment="1">
      <alignment horizontal="right"/>
    </xf>
    <xf numFmtId="171" fontId="320" fillId="0" borderId="118" xfId="0" applyNumberFormat="1" applyFont="1" applyBorder="1"/>
    <xf numFmtId="171" fontId="15" fillId="0" borderId="226" xfId="0" applyNumberFormat="1" applyFont="1" applyBorder="1"/>
    <xf numFmtId="2" fontId="15" fillId="0" borderId="118" xfId="0" applyNumberFormat="1" applyFont="1" applyBorder="1" applyAlignment="1">
      <alignment horizontal="center"/>
    </xf>
    <xf numFmtId="0" fontId="63" fillId="2" borderId="55" xfId="0" applyFont="1" applyFill="1" applyBorder="1" applyAlignment="1">
      <alignment vertical="top" wrapText="1"/>
    </xf>
    <xf numFmtId="0" fontId="9" fillId="2" borderId="1" xfId="0" applyFont="1" applyFill="1" applyBorder="1" applyAlignment="1">
      <alignment vertical="center" wrapText="1"/>
    </xf>
    <xf numFmtId="0" fontId="9" fillId="2" borderId="0" xfId="0" applyFont="1" applyFill="1" applyAlignment="1">
      <alignment vertical="center" wrapText="1"/>
    </xf>
    <xf numFmtId="0" fontId="15" fillId="2" borderId="0" xfId="0" applyFont="1" applyFill="1" applyAlignment="1">
      <alignment horizontal="center" vertical="center" shrinkToFit="1"/>
    </xf>
    <xf numFmtId="0" fontId="23" fillId="19" borderId="90" xfId="0" applyFont="1" applyFill="1" applyBorder="1" applyAlignment="1">
      <alignment horizontal="right" vertical="center" wrapText="1"/>
    </xf>
    <xf numFmtId="170" fontId="9" fillId="19" borderId="368" xfId="0" applyNumberFormat="1" applyFont="1" applyFill="1" applyBorder="1" applyAlignment="1">
      <alignment horizontal="center" shrinkToFit="1"/>
    </xf>
    <xf numFmtId="170" fontId="23" fillId="19" borderId="69" xfId="0" applyNumberFormat="1" applyFont="1" applyFill="1" applyBorder="1" applyAlignment="1">
      <alignment horizontal="left" shrinkToFit="1"/>
    </xf>
    <xf numFmtId="170" fontId="68" fillId="19" borderId="283" xfId="0" applyNumberFormat="1" applyFont="1" applyFill="1" applyBorder="1" applyAlignment="1">
      <alignment horizontal="center" shrinkToFit="1"/>
    </xf>
    <xf numFmtId="170" fontId="23" fillId="19" borderId="3" xfId="0" applyNumberFormat="1" applyFont="1" applyFill="1" applyBorder="1" applyAlignment="1">
      <alignment horizontal="left" shrinkToFit="1"/>
    </xf>
    <xf numFmtId="0" fontId="51" fillId="19" borderId="90" xfId="0" applyFont="1" applyFill="1" applyBorder="1" applyAlignment="1">
      <alignment horizontal="right" vertical="center" wrapText="1"/>
    </xf>
    <xf numFmtId="166" fontId="11" fillId="0" borderId="0" xfId="0" applyNumberFormat="1" applyFont="1" applyAlignment="1">
      <alignment horizontal="center" vertical="center"/>
    </xf>
    <xf numFmtId="166" fontId="11" fillId="0" borderId="55" xfId="0" applyNumberFormat="1" applyFont="1" applyBorder="1" applyAlignment="1">
      <alignment horizontal="center" vertical="center"/>
    </xf>
    <xf numFmtId="166" fontId="11" fillId="0" borderId="48" xfId="0" applyNumberFormat="1" applyFont="1" applyBorder="1" applyAlignment="1">
      <alignment horizontal="center" vertical="center"/>
    </xf>
    <xf numFmtId="0" fontId="23" fillId="19" borderId="90" xfId="0" applyFont="1" applyFill="1" applyBorder="1" applyAlignment="1">
      <alignment horizontal="right" wrapText="1"/>
    </xf>
    <xf numFmtId="0" fontId="23" fillId="19" borderId="12" xfId="0" applyFont="1" applyFill="1" applyBorder="1" applyAlignment="1">
      <alignment horizontal="right" wrapText="1"/>
    </xf>
    <xf numFmtId="0" fontId="23" fillId="0" borderId="200" xfId="0" applyFont="1" applyBorder="1" applyAlignment="1">
      <alignment horizontal="right" vertical="center" wrapText="1"/>
    </xf>
    <xf numFmtId="170" fontId="9" fillId="0" borderId="370" xfId="0" applyNumberFormat="1" applyFont="1" applyBorder="1" applyAlignment="1">
      <alignment horizontal="center" shrinkToFit="1"/>
    </xf>
    <xf numFmtId="170" fontId="23" fillId="0" borderId="371" xfId="0" applyNumberFormat="1" applyFont="1" applyBorder="1" applyAlignment="1">
      <alignment horizontal="left" shrinkToFit="1"/>
    </xf>
    <xf numFmtId="0" fontId="23" fillId="19" borderId="15" xfId="0" applyFont="1" applyFill="1" applyBorder="1" applyAlignment="1">
      <alignment horizontal="right" wrapText="1"/>
    </xf>
    <xf numFmtId="170" fontId="68" fillId="19" borderId="145" xfId="0" applyNumberFormat="1" applyFont="1" applyFill="1" applyBorder="1" applyAlignment="1">
      <alignment horizontal="center" shrinkToFit="1"/>
    </xf>
    <xf numFmtId="170" fontId="23" fillId="19" borderId="21" xfId="0" applyNumberFormat="1" applyFont="1" applyFill="1" applyBorder="1" applyAlignment="1">
      <alignment horizontal="left" shrinkToFit="1"/>
    </xf>
    <xf numFmtId="0" fontId="51" fillId="0" borderId="200" xfId="0" applyFont="1" applyBorder="1" applyAlignment="1">
      <alignment horizontal="right" vertical="center" wrapText="1"/>
    </xf>
    <xf numFmtId="0" fontId="23" fillId="19" borderId="15" xfId="0" applyFont="1" applyFill="1" applyBorder="1" applyAlignment="1">
      <alignment horizontal="right" vertical="center" wrapText="1"/>
    </xf>
    <xf numFmtId="183" fontId="11" fillId="33" borderId="77" xfId="0" applyNumberFormat="1" applyFont="1" applyFill="1" applyBorder="1" applyAlignment="1">
      <alignment shrinkToFit="1"/>
    </xf>
    <xf numFmtId="183" fontId="11" fillId="33" borderId="121" xfId="0" applyNumberFormat="1" applyFont="1" applyFill="1" applyBorder="1" applyAlignment="1">
      <alignment shrinkToFit="1"/>
    </xf>
    <xf numFmtId="183" fontId="163" fillId="33" borderId="3" xfId="0" applyNumberFormat="1" applyFont="1" applyFill="1" applyBorder="1" applyAlignment="1">
      <alignment horizontal="center" shrinkToFit="1"/>
    </xf>
    <xf numFmtId="183" fontId="267" fillId="33" borderId="8" xfId="0" applyNumberFormat="1" applyFont="1" applyFill="1" applyBorder="1" applyAlignment="1">
      <alignment horizontal="center" shrinkToFit="1"/>
    </xf>
    <xf numFmtId="183" fontId="267" fillId="33" borderId="294" xfId="0" applyNumberFormat="1" applyFont="1" applyFill="1" applyBorder="1" applyAlignment="1">
      <alignment horizontal="center" shrinkToFit="1"/>
    </xf>
    <xf numFmtId="183" fontId="163" fillId="33" borderId="122" xfId="0" applyNumberFormat="1" applyFont="1" applyFill="1" applyBorder="1" applyAlignment="1">
      <alignment horizontal="center" shrinkToFit="1"/>
    </xf>
    <xf numFmtId="183" fontId="267" fillId="33" borderId="64" xfId="0" applyNumberFormat="1" applyFont="1" applyFill="1" applyBorder="1" applyAlignment="1">
      <alignment horizontal="center" shrinkToFit="1"/>
    </xf>
    <xf numFmtId="183" fontId="267" fillId="33" borderId="358" xfId="0" applyNumberFormat="1" applyFont="1" applyFill="1" applyBorder="1" applyAlignment="1">
      <alignment horizontal="center" shrinkToFit="1"/>
    </xf>
    <xf numFmtId="183" fontId="267" fillId="33" borderId="297" xfId="0" applyNumberFormat="1" applyFont="1" applyFill="1" applyBorder="1" applyAlignment="1">
      <alignment horizontal="center" shrinkToFit="1"/>
    </xf>
    <xf numFmtId="183" fontId="267" fillId="33" borderId="359" xfId="0" applyNumberFormat="1" applyFont="1" applyFill="1" applyBorder="1" applyAlignment="1">
      <alignment horizontal="center" shrinkToFit="1"/>
    </xf>
    <xf numFmtId="183" fontId="11" fillId="33" borderId="8" xfId="0" applyNumberFormat="1" applyFont="1" applyFill="1" applyBorder="1" applyAlignment="1">
      <alignment shrinkToFit="1"/>
    </xf>
    <xf numFmtId="183" fontId="11" fillId="33" borderId="64" xfId="0" applyNumberFormat="1" applyFont="1" applyFill="1" applyBorder="1" applyAlignment="1">
      <alignment shrinkToFit="1"/>
    </xf>
    <xf numFmtId="183" fontId="117" fillId="33" borderId="292" xfId="0" applyNumberFormat="1" applyFont="1" applyFill="1" applyBorder="1" applyAlignment="1">
      <alignment horizontal="center" shrinkToFit="1"/>
    </xf>
    <xf numFmtId="183" fontId="267" fillId="33" borderId="296" xfId="0" applyNumberFormat="1" applyFont="1" applyFill="1" applyBorder="1" applyAlignment="1">
      <alignment horizontal="center" shrinkToFit="1"/>
    </xf>
    <xf numFmtId="183" fontId="117" fillId="33" borderId="298" xfId="0" applyNumberFormat="1" applyFont="1" applyFill="1" applyBorder="1" applyAlignment="1" applyProtection="1">
      <alignment horizontal="center" shrinkToFit="1"/>
      <protection locked="0"/>
    </xf>
    <xf numFmtId="167" fontId="164" fillId="33" borderId="3" xfId="0" applyNumberFormat="1" applyFont="1" applyFill="1" applyBorder="1" applyAlignment="1">
      <alignment horizontal="center" shrinkToFit="1"/>
    </xf>
    <xf numFmtId="183" fontId="117" fillId="33" borderId="360" xfId="0" applyNumberFormat="1" applyFont="1" applyFill="1" applyBorder="1" applyAlignment="1">
      <alignment horizontal="center" shrinkToFit="1"/>
    </xf>
    <xf numFmtId="183" fontId="117" fillId="33" borderId="360" xfId="0" applyNumberFormat="1" applyFont="1" applyFill="1" applyBorder="1" applyAlignment="1" applyProtection="1">
      <alignment horizontal="center" shrinkToFit="1"/>
      <protection locked="0"/>
    </xf>
    <xf numFmtId="167" fontId="164" fillId="33" borderId="122" xfId="0" applyNumberFormat="1" applyFont="1" applyFill="1" applyBorder="1" applyAlignment="1">
      <alignment horizontal="center" shrinkToFit="1"/>
    </xf>
    <xf numFmtId="183" fontId="163" fillId="33" borderId="23" xfId="0" applyNumberFormat="1" applyFont="1" applyFill="1" applyBorder="1" applyAlignment="1">
      <alignment horizontal="center" shrinkToFit="1"/>
    </xf>
    <xf numFmtId="183" fontId="163" fillId="33" borderId="65" xfId="0" applyNumberFormat="1" applyFont="1" applyFill="1" applyBorder="1" applyAlignment="1">
      <alignment horizontal="center" shrinkToFit="1"/>
    </xf>
    <xf numFmtId="177" fontId="60" fillId="7" borderId="4" xfId="0" applyNumberFormat="1" applyFont="1" applyFill="1" applyBorder="1" applyAlignment="1" applyProtection="1">
      <alignment horizontal="center" vertical="center"/>
      <protection locked="0"/>
    </xf>
    <xf numFmtId="177" fontId="60" fillId="7" borderId="23" xfId="0" applyNumberFormat="1" applyFont="1" applyFill="1" applyBorder="1" applyAlignment="1" applyProtection="1">
      <alignment horizontal="center" vertical="center"/>
      <protection locked="0"/>
    </xf>
    <xf numFmtId="0" fontId="323" fillId="0" borderId="41" xfId="0" applyFont="1" applyBorder="1"/>
    <xf numFmtId="9" fontId="69" fillId="0" borderId="41" xfId="0" applyNumberFormat="1" applyFont="1" applyBorder="1" applyAlignment="1">
      <alignment vertical="center"/>
    </xf>
    <xf numFmtId="9" fontId="69" fillId="0" borderId="4" xfId="0" applyNumberFormat="1" applyFont="1" applyBorder="1" applyAlignment="1">
      <alignment vertical="center"/>
    </xf>
    <xf numFmtId="166" fontId="176" fillId="0" borderId="0" xfId="0" applyNumberFormat="1" applyFont="1" applyAlignment="1">
      <alignment horizontal="right"/>
    </xf>
    <xf numFmtId="0" fontId="156" fillId="5" borderId="56" xfId="0" applyFont="1" applyFill="1" applyBorder="1"/>
    <xf numFmtId="0" fontId="306" fillId="0" borderId="0" xfId="0" applyFont="1" applyAlignment="1">
      <alignment vertical="center" shrinkToFit="1"/>
    </xf>
    <xf numFmtId="0" fontId="54" fillId="0" borderId="0" xfId="0" applyFont="1" applyAlignment="1">
      <alignment vertical="center" wrapText="1"/>
    </xf>
    <xf numFmtId="14" fontId="88" fillId="0" borderId="0" xfId="0" applyNumberFormat="1" applyFont="1" applyAlignment="1">
      <alignment vertical="center" shrinkToFit="1"/>
    </xf>
    <xf numFmtId="0" fontId="15" fillId="0" borderId="104" xfId="0" applyFont="1" applyBorder="1"/>
    <xf numFmtId="0" fontId="69" fillId="0" borderId="104" xfId="0" applyFont="1" applyBorder="1"/>
    <xf numFmtId="0" fontId="54" fillId="0" borderId="104" xfId="0" applyFont="1" applyBorder="1"/>
    <xf numFmtId="1" fontId="69" fillId="0" borderId="0" xfId="0" applyNumberFormat="1" applyFont="1"/>
    <xf numFmtId="10" fontId="69" fillId="0" borderId="0" xfId="0" applyNumberFormat="1" applyFont="1"/>
    <xf numFmtId="0" fontId="25" fillId="17" borderId="85" xfId="0" applyFont="1" applyFill="1" applyBorder="1" applyAlignment="1">
      <alignment horizontal="left" vertical="center" wrapText="1" shrinkToFit="1"/>
    </xf>
    <xf numFmtId="0" fontId="324" fillId="0" borderId="49" xfId="0" applyFont="1" applyBorder="1"/>
    <xf numFmtId="0" fontId="0" fillId="0" borderId="50" xfId="0" applyBorder="1" applyAlignment="1">
      <alignment vertical="center" shrinkToFit="1"/>
    </xf>
    <xf numFmtId="0" fontId="57" fillId="2" borderId="0" xfId="0" applyFont="1" applyFill="1" applyAlignment="1">
      <alignment horizontal="center" vertical="top"/>
    </xf>
    <xf numFmtId="0" fontId="69" fillId="2" borderId="40" xfId="0" applyFont="1" applyFill="1" applyBorder="1" applyAlignment="1">
      <alignment wrapText="1"/>
    </xf>
    <xf numFmtId="0" fontId="69" fillId="2" borderId="0" xfId="0" applyFont="1" applyFill="1" applyAlignment="1">
      <alignment wrapText="1"/>
    </xf>
    <xf numFmtId="0" fontId="56" fillId="0" borderId="0" xfId="0" applyFont="1" applyAlignment="1">
      <alignment horizontal="left" vertical="center" wrapText="1"/>
    </xf>
    <xf numFmtId="0" fontId="23" fillId="15" borderId="6" xfId="0" applyFont="1" applyFill="1" applyBorder="1" applyAlignment="1">
      <alignment horizontal="center" vertical="center" wrapText="1"/>
    </xf>
    <xf numFmtId="0" fontId="60" fillId="15" borderId="4" xfId="0" applyFont="1" applyFill="1" applyBorder="1" applyAlignment="1">
      <alignment horizontal="center"/>
    </xf>
    <xf numFmtId="3" fontId="236" fillId="0" borderId="11" xfId="0" applyNumberFormat="1" applyFont="1" applyBorder="1"/>
    <xf numFmtId="0" fontId="106" fillId="0" borderId="0" xfId="0" applyFont="1" applyAlignment="1">
      <alignment horizontal="center" vertical="center" wrapText="1"/>
    </xf>
    <xf numFmtId="0" fontId="79" fillId="0" borderId="0" xfId="0" applyFont="1" applyAlignment="1">
      <alignment vertical="center" wrapText="1"/>
    </xf>
    <xf numFmtId="0" fontId="222" fillId="0" borderId="0" xfId="0" applyFont="1" applyAlignment="1">
      <alignment horizontal="right" vertical="top"/>
    </xf>
    <xf numFmtId="0" fontId="91" fillId="0" borderId="0" xfId="0" applyFont="1" applyAlignment="1">
      <alignment vertical="top"/>
    </xf>
    <xf numFmtId="0" fontId="21" fillId="0" borderId="0" xfId="0" applyFont="1" applyAlignment="1">
      <alignment horizontal="center" vertical="top"/>
    </xf>
    <xf numFmtId="0" fontId="21" fillId="0" borderId="0" xfId="0" applyFont="1" applyAlignment="1">
      <alignment vertical="top"/>
    </xf>
    <xf numFmtId="0" fontId="326" fillId="0" borderId="0" xfId="0" applyFont="1" applyAlignment="1">
      <alignment vertical="center" wrapText="1"/>
    </xf>
    <xf numFmtId="0" fontId="326" fillId="0" borderId="0" xfId="0" applyFont="1" applyAlignment="1">
      <alignment wrapText="1"/>
    </xf>
    <xf numFmtId="3" fontId="88" fillId="7" borderId="92" xfId="0" applyNumberFormat="1" applyFont="1" applyFill="1" applyBorder="1" applyAlignment="1" applyProtection="1">
      <alignment horizontal="center" vertical="center"/>
      <protection locked="0"/>
    </xf>
    <xf numFmtId="0" fontId="79" fillId="2" borderId="0" xfId="0" applyFont="1" applyFill="1" applyAlignment="1">
      <alignment horizontal="left" vertical="center" wrapText="1"/>
    </xf>
    <xf numFmtId="0" fontId="9" fillId="0" borderId="52" xfId="0" applyFont="1" applyBorder="1"/>
    <xf numFmtId="0" fontId="54" fillId="0" borderId="53" xfId="0" applyFont="1" applyBorder="1"/>
    <xf numFmtId="0" fontId="11" fillId="0" borderId="49" xfId="0" applyFont="1" applyBorder="1" applyAlignment="1">
      <alignment horizontal="center"/>
    </xf>
    <xf numFmtId="0" fontId="11" fillId="0" borderId="55" xfId="0" applyFont="1" applyBorder="1"/>
    <xf numFmtId="0" fontId="11" fillId="0" borderId="96" xfId="0" applyFont="1" applyBorder="1" applyAlignment="1">
      <alignment horizontal="center"/>
    </xf>
    <xf numFmtId="166" fontId="11" fillId="0" borderId="96" xfId="0" applyNumberFormat="1" applyFont="1" applyBorder="1" applyAlignment="1">
      <alignment horizontal="center" vertical="center"/>
    </xf>
    <xf numFmtId="166" fontId="11" fillId="0" borderId="97" xfId="0" applyNumberFormat="1" applyFont="1" applyBorder="1" applyAlignment="1">
      <alignment horizontal="center" vertical="center"/>
    </xf>
    <xf numFmtId="166" fontId="11" fillId="0" borderId="49" xfId="0" applyNumberFormat="1" applyFont="1" applyBorder="1" applyAlignment="1">
      <alignment horizontal="center" vertical="center"/>
    </xf>
    <xf numFmtId="166" fontId="11" fillId="0" borderId="50" xfId="0" applyNumberFormat="1" applyFont="1" applyBorder="1" applyAlignment="1">
      <alignment horizontal="center" vertical="center"/>
    </xf>
    <xf numFmtId="0" fontId="11" fillId="3" borderId="14" xfId="0" applyFont="1" applyFill="1" applyBorder="1" applyAlignment="1">
      <alignment vertical="center"/>
    </xf>
    <xf numFmtId="0" fontId="24" fillId="0" borderId="26" xfId="0" applyFont="1" applyBorder="1"/>
    <xf numFmtId="0" fontId="259" fillId="0" borderId="0" xfId="0" applyFont="1" applyAlignment="1">
      <alignment horizontal="center" vertical="center"/>
    </xf>
    <xf numFmtId="0" fontId="259" fillId="0" borderId="0" xfId="0" applyFont="1" applyAlignment="1">
      <alignment horizontal="left" vertical="center"/>
    </xf>
    <xf numFmtId="0" fontId="224" fillId="2" borderId="0" xfId="0" applyFont="1" applyFill="1" applyAlignment="1">
      <alignment horizontal="left" vertical="center" wrapText="1"/>
    </xf>
    <xf numFmtId="0" fontId="58" fillId="2" borderId="0" xfId="0" applyFont="1" applyFill="1" applyAlignment="1">
      <alignment horizontal="center" vertical="center" wrapText="1"/>
    </xf>
    <xf numFmtId="0" fontId="59" fillId="2" borderId="0" xfId="0" applyFont="1" applyFill="1" applyAlignment="1">
      <alignment horizontal="center" vertical="center" wrapText="1"/>
    </xf>
    <xf numFmtId="0" fontId="58" fillId="2" borderId="2" xfId="0" applyFont="1" applyFill="1" applyBorder="1" applyAlignment="1">
      <alignment horizontal="center" vertical="center" wrapText="1"/>
    </xf>
    <xf numFmtId="0" fontId="25" fillId="0" borderId="0" xfId="0" applyFont="1" applyAlignment="1">
      <alignment horizontal="right" vertical="center"/>
    </xf>
    <xf numFmtId="4" fontId="7" fillId="0" borderId="0" xfId="0" applyNumberFormat="1" applyFont="1" applyAlignment="1">
      <alignment horizontal="right" vertical="center" shrinkToFit="1"/>
    </xf>
    <xf numFmtId="3" fontId="268" fillId="2" borderId="190" xfId="0" applyNumberFormat="1" applyFont="1" applyFill="1" applyBorder="1" applyAlignment="1">
      <alignment vertical="center" wrapText="1"/>
    </xf>
    <xf numFmtId="3" fontId="75" fillId="2" borderId="10" xfId="0" applyNumberFormat="1" applyFont="1" applyFill="1" applyBorder="1" applyAlignment="1">
      <alignment vertical="center" wrapText="1"/>
    </xf>
    <xf numFmtId="0" fontId="54" fillId="0" borderId="55" xfId="0" applyFont="1" applyBorder="1" applyAlignment="1">
      <alignment vertical="center" wrapText="1"/>
    </xf>
    <xf numFmtId="0" fontId="7" fillId="26" borderId="4" xfId="0" applyFont="1" applyFill="1" applyBorder="1" applyAlignment="1">
      <alignment shrinkToFit="1"/>
    </xf>
    <xf numFmtId="4" fontId="7" fillId="26" borderId="4" xfId="0" applyNumberFormat="1" applyFont="1" applyFill="1" applyBorder="1"/>
    <xf numFmtId="4" fontId="7" fillId="26" borderId="6" xfId="0" applyNumberFormat="1" applyFont="1" applyFill="1" applyBorder="1"/>
    <xf numFmtId="4" fontId="56" fillId="7" borderId="41" xfId="0" applyNumberFormat="1" applyFont="1" applyFill="1" applyBorder="1" applyAlignment="1" applyProtection="1">
      <alignment horizontal="center"/>
      <protection locked="0"/>
    </xf>
    <xf numFmtId="0" fontId="62" fillId="0" borderId="10" xfId="0" applyFont="1" applyBorder="1"/>
    <xf numFmtId="1" fontId="33" fillId="33" borderId="4" xfId="0" applyNumberFormat="1" applyFont="1" applyFill="1" applyBorder="1" applyAlignment="1">
      <alignment horizontal="right"/>
    </xf>
    <xf numFmtId="1" fontId="33" fillId="33" borderId="22" xfId="0" applyNumberFormat="1" applyFont="1" applyFill="1" applyBorder="1" applyAlignment="1">
      <alignment horizontal="right"/>
    </xf>
    <xf numFmtId="0" fontId="153" fillId="0" borderId="84" xfId="0" applyFont="1" applyBorder="1" applyAlignment="1">
      <alignment vertical="center" wrapText="1"/>
    </xf>
    <xf numFmtId="0" fontId="153" fillId="0" borderId="85" xfId="0" applyFont="1" applyBorder="1" applyAlignment="1">
      <alignment vertical="center" wrapText="1"/>
    </xf>
    <xf numFmtId="0" fontId="153" fillId="0" borderId="86" xfId="0" applyFont="1" applyBorder="1" applyAlignment="1">
      <alignment vertical="center" wrapText="1"/>
    </xf>
    <xf numFmtId="2" fontId="54" fillId="0" borderId="0" xfId="0" applyNumberFormat="1" applyFont="1" applyAlignment="1">
      <alignment horizontal="center"/>
    </xf>
    <xf numFmtId="0" fontId="7" fillId="33" borderId="3" xfId="0" applyFont="1" applyFill="1" applyBorder="1" applyAlignment="1">
      <alignment shrinkToFit="1"/>
    </xf>
    <xf numFmtId="3" fontId="7" fillId="33" borderId="4" xfId="0" applyNumberFormat="1" applyFont="1" applyFill="1" applyBorder="1"/>
    <xf numFmtId="2" fontId="12" fillId="33" borderId="4" xfId="0" applyNumberFormat="1" applyFont="1" applyFill="1" applyBorder="1" applyAlignment="1">
      <alignment horizontal="center"/>
    </xf>
    <xf numFmtId="3" fontId="7" fillId="33" borderId="4" xfId="0" applyNumberFormat="1" applyFont="1" applyFill="1" applyBorder="1" applyAlignment="1">
      <alignment horizontal="center"/>
    </xf>
    <xf numFmtId="2" fontId="7" fillId="33" borderId="4" xfId="0" applyNumberFormat="1" applyFont="1" applyFill="1" applyBorder="1" applyAlignment="1">
      <alignment horizontal="center"/>
    </xf>
    <xf numFmtId="166" fontId="9" fillId="33" borderId="12" xfId="0" applyNumberFormat="1" applyFont="1" applyFill="1" applyBorder="1" applyAlignment="1">
      <alignment horizontal="center"/>
    </xf>
    <xf numFmtId="2" fontId="56" fillId="7" borderId="22" xfId="0" applyNumberFormat="1" applyFont="1" applyFill="1" applyBorder="1" applyAlignment="1" applyProtection="1">
      <alignment horizontal="center"/>
      <protection locked="0"/>
    </xf>
    <xf numFmtId="0" fontId="7" fillId="33" borderId="21" xfId="0" applyFont="1" applyFill="1" applyBorder="1" applyAlignment="1">
      <alignment shrinkToFit="1"/>
    </xf>
    <xf numFmtId="3" fontId="7" fillId="33" borderId="22" xfId="0" applyNumberFormat="1" applyFont="1" applyFill="1" applyBorder="1"/>
    <xf numFmtId="2" fontId="12" fillId="33" borderId="22" xfId="0" applyNumberFormat="1" applyFont="1" applyFill="1" applyBorder="1" applyAlignment="1">
      <alignment horizontal="center"/>
    </xf>
    <xf numFmtId="3" fontId="7" fillId="33" borderId="22" xfId="0" applyNumberFormat="1" applyFont="1" applyFill="1" applyBorder="1" applyAlignment="1">
      <alignment horizontal="center"/>
    </xf>
    <xf numFmtId="2" fontId="7" fillId="33" borderId="22" xfId="0" applyNumberFormat="1" applyFont="1" applyFill="1" applyBorder="1" applyAlignment="1">
      <alignment horizontal="center"/>
    </xf>
    <xf numFmtId="1" fontId="13" fillId="6" borderId="46" xfId="0" applyNumberFormat="1" applyFont="1" applyFill="1" applyBorder="1" applyAlignment="1">
      <alignment horizontal="center"/>
    </xf>
    <xf numFmtId="0" fontId="7" fillId="6" borderId="33" xfId="0" applyFont="1" applyFill="1" applyBorder="1"/>
    <xf numFmtId="166" fontId="9" fillId="33" borderId="15" xfId="0" applyNumberFormat="1" applyFont="1" applyFill="1" applyBorder="1" applyAlignment="1">
      <alignment horizontal="center"/>
    </xf>
    <xf numFmtId="3" fontId="7" fillId="6" borderId="22" xfId="0" applyNumberFormat="1" applyFont="1" applyFill="1" applyBorder="1" applyAlignment="1">
      <alignment horizontal="center"/>
    </xf>
    <xf numFmtId="1" fontId="29" fillId="6" borderId="22" xfId="0" applyNumberFormat="1" applyFont="1" applyFill="1" applyBorder="1" applyAlignment="1">
      <alignment horizontal="center"/>
    </xf>
    <xf numFmtId="4" fontId="7" fillId="6" borderId="22" xfId="0" applyNumberFormat="1" applyFont="1" applyFill="1" applyBorder="1" applyAlignment="1">
      <alignment horizontal="center"/>
    </xf>
    <xf numFmtId="1" fontId="7" fillId="6" borderId="33" xfId="0" applyNumberFormat="1" applyFont="1" applyFill="1" applyBorder="1" applyAlignment="1">
      <alignment horizontal="center"/>
    </xf>
    <xf numFmtId="2" fontId="62" fillId="5" borderId="0" xfId="0" applyNumberFormat="1" applyFont="1" applyFill="1"/>
    <xf numFmtId="3" fontId="82" fillId="2" borderId="0" xfId="0" applyNumberFormat="1" applyFont="1" applyFill="1" applyAlignment="1">
      <alignment horizontal="left" wrapText="1"/>
    </xf>
    <xf numFmtId="0" fontId="69" fillId="0" borderId="0" xfId="0" applyFont="1" applyAlignment="1">
      <alignment horizontal="right" wrapText="1"/>
    </xf>
    <xf numFmtId="168" fontId="62" fillId="0" borderId="0" xfId="0" applyNumberFormat="1" applyFont="1" applyAlignment="1">
      <alignment horizontal="center"/>
    </xf>
    <xf numFmtId="4" fontId="140" fillId="0" borderId="23" xfId="0" applyNumberFormat="1" applyFont="1" applyBorder="1" applyAlignment="1">
      <alignment shrinkToFit="1"/>
    </xf>
    <xf numFmtId="168" fontId="140" fillId="0" borderId="0" xfId="0" applyNumberFormat="1" applyFont="1"/>
    <xf numFmtId="2" fontId="150" fillId="5" borderId="0" xfId="0" applyNumberFormat="1" applyFont="1" applyFill="1" applyAlignment="1">
      <alignment horizontal="center" vertical="center" wrapText="1"/>
    </xf>
    <xf numFmtId="0" fontId="151" fillId="5" borderId="48" xfId="0" applyFont="1" applyFill="1" applyBorder="1" applyAlignment="1">
      <alignment vertical="center" wrapText="1"/>
    </xf>
    <xf numFmtId="0" fontId="141" fillId="0" borderId="1" xfId="0" applyFont="1" applyBorder="1" applyAlignment="1">
      <alignment horizontal="center"/>
    </xf>
    <xf numFmtId="166" fontId="141" fillId="0" borderId="0" xfId="0" applyNumberFormat="1" applyFont="1" applyAlignment="1">
      <alignment horizontal="center" shrinkToFit="1"/>
    </xf>
    <xf numFmtId="0" fontId="156" fillId="0" borderId="0" xfId="0" applyFont="1" applyAlignment="1">
      <alignment horizontal="center"/>
    </xf>
    <xf numFmtId="9" fontId="140" fillId="0" borderId="23" xfId="0" applyNumberFormat="1" applyFont="1" applyBorder="1" applyAlignment="1" applyProtection="1">
      <alignment horizontal="center"/>
      <protection locked="0"/>
    </xf>
    <xf numFmtId="2" fontId="82" fillId="0" borderId="0" xfId="0" applyNumberFormat="1" applyFont="1" applyAlignment="1">
      <alignment horizontal="center" vertical="center"/>
    </xf>
    <xf numFmtId="0" fontId="69" fillId="0" borderId="8" xfId="0" applyFont="1" applyBorder="1" applyAlignment="1">
      <alignment horizontal="center" shrinkToFit="1"/>
    </xf>
    <xf numFmtId="0" fontId="156" fillId="0" borderId="8" xfId="0" applyFont="1" applyBorder="1" applyAlignment="1">
      <alignment horizontal="center"/>
    </xf>
    <xf numFmtId="0" fontId="69" fillId="0" borderId="8" xfId="0" applyFont="1" applyBorder="1" applyAlignment="1">
      <alignment horizontal="center"/>
    </xf>
    <xf numFmtId="166" fontId="82" fillId="0" borderId="0" xfId="0" applyNumberFormat="1" applyFont="1" applyAlignment="1">
      <alignment horizontal="center"/>
    </xf>
    <xf numFmtId="0" fontId="82" fillId="0" borderId="0" xfId="0" applyFont="1" applyAlignment="1">
      <alignment horizontal="center" vertical="center"/>
    </xf>
    <xf numFmtId="2" fontId="82" fillId="0" borderId="0" xfId="0" applyNumberFormat="1" applyFont="1"/>
    <xf numFmtId="166" fontId="140" fillId="0" borderId="4" xfId="0" applyNumberFormat="1" applyFont="1" applyBorder="1" applyAlignment="1">
      <alignment horizontal="center"/>
    </xf>
    <xf numFmtId="166" fontId="151" fillId="0" borderId="0" xfId="0" applyNumberFormat="1" applyFont="1"/>
    <xf numFmtId="9" fontId="140" fillId="0" borderId="0" xfId="0" applyNumberFormat="1" applyFont="1" applyAlignment="1">
      <alignment horizontal="center"/>
    </xf>
    <xf numFmtId="2" fontId="140" fillId="0" borderId="12" xfId="0" applyNumberFormat="1" applyFont="1" applyBorder="1" applyAlignment="1">
      <alignment horizontal="center"/>
    </xf>
    <xf numFmtId="0" fontId="140" fillId="0" borderId="3" xfId="0" applyFont="1" applyBorder="1" applyAlignment="1">
      <alignment shrinkToFit="1"/>
    </xf>
    <xf numFmtId="0" fontId="140" fillId="0" borderId="4" xfId="0" applyFont="1" applyBorder="1" applyAlignment="1">
      <alignment horizontal="right"/>
    </xf>
    <xf numFmtId="2" fontId="62" fillId="0" borderId="0" xfId="0" applyNumberFormat="1" applyFont="1"/>
    <xf numFmtId="0" fontId="23" fillId="24" borderId="23" xfId="0" applyFont="1" applyFill="1" applyBorder="1" applyAlignment="1">
      <alignment horizontal="center" vertical="center" wrapText="1"/>
    </xf>
    <xf numFmtId="0" fontId="11" fillId="0" borderId="0" xfId="0" applyFont="1" applyAlignment="1">
      <alignment vertical="center" wrapText="1"/>
    </xf>
    <xf numFmtId="0" fontId="131" fillId="0" borderId="0" xfId="0" applyFont="1" applyAlignment="1">
      <alignment horizontal="center" vertical="center"/>
    </xf>
    <xf numFmtId="0" fontId="333" fillId="0" borderId="0" xfId="0" applyFont="1" applyAlignment="1">
      <alignment vertical="center"/>
    </xf>
    <xf numFmtId="0" fontId="333" fillId="0" borderId="2" xfId="0" applyFont="1" applyBorder="1" applyAlignment="1">
      <alignment vertical="center"/>
    </xf>
    <xf numFmtId="2" fontId="334" fillId="6" borderId="65" xfId="0" applyNumberFormat="1" applyFont="1" applyFill="1" applyBorder="1" applyAlignment="1">
      <alignment horizontal="center" vertical="center"/>
    </xf>
    <xf numFmtId="166" fontId="334" fillId="6" borderId="65" xfId="0" applyNumberFormat="1" applyFont="1" applyFill="1" applyBorder="1" applyAlignment="1">
      <alignment horizontal="center" vertical="center"/>
    </xf>
    <xf numFmtId="1" fontId="334" fillId="6" borderId="65" xfId="0" applyNumberFormat="1" applyFont="1" applyFill="1" applyBorder="1" applyAlignment="1">
      <alignment horizontal="center" vertical="center"/>
    </xf>
    <xf numFmtId="0" fontId="335" fillId="0" borderId="0" xfId="0" applyFont="1"/>
    <xf numFmtId="0" fontId="335" fillId="0" borderId="2" xfId="0" applyFont="1" applyBorder="1"/>
    <xf numFmtId="0" fontId="198" fillId="6" borderId="4" xfId="0" applyFont="1" applyFill="1" applyBorder="1" applyAlignment="1">
      <alignment horizontal="center" vertical="center" wrapText="1"/>
    </xf>
    <xf numFmtId="2" fontId="334" fillId="6" borderId="6" xfId="0" applyNumberFormat="1" applyFont="1" applyFill="1" applyBorder="1" applyAlignment="1">
      <alignment horizontal="center" vertical="center"/>
    </xf>
    <xf numFmtId="166" fontId="330" fillId="0" borderId="0" xfId="0" applyNumberFormat="1" applyFont="1" applyAlignment="1">
      <alignment horizontal="center"/>
    </xf>
    <xf numFmtId="2" fontId="330" fillId="0" borderId="0" xfId="0" applyNumberFormat="1" applyFont="1" applyAlignment="1">
      <alignment horizontal="center"/>
    </xf>
    <xf numFmtId="166" fontId="330" fillId="0" borderId="43" xfId="0" applyNumberFormat="1" applyFont="1" applyBorder="1" applyAlignment="1">
      <alignment horizontal="center"/>
    </xf>
    <xf numFmtId="2" fontId="330" fillId="0" borderId="43" xfId="0" applyNumberFormat="1" applyFont="1" applyBorder="1" applyAlignment="1">
      <alignment horizontal="center"/>
    </xf>
    <xf numFmtId="0" fontId="85" fillId="0" borderId="32" xfId="0" applyFont="1" applyBorder="1" applyAlignment="1">
      <alignment horizontal="center" vertical="center" wrapText="1"/>
    </xf>
    <xf numFmtId="0" fontId="85" fillId="7" borderId="32" xfId="0" applyFont="1" applyFill="1" applyBorder="1" applyAlignment="1">
      <alignment horizontal="center" vertical="center" wrapText="1"/>
    </xf>
    <xf numFmtId="0" fontId="193" fillId="0" borderId="12" xfId="0" applyFont="1" applyBorder="1" applyAlignment="1">
      <alignment vertical="center"/>
    </xf>
    <xf numFmtId="0" fontId="193" fillId="0" borderId="8" xfId="0" applyFont="1" applyBorder="1" applyAlignment="1">
      <alignment vertical="center"/>
    </xf>
    <xf numFmtId="1" fontId="193" fillId="0" borderId="23" xfId="0" applyNumberFormat="1" applyFont="1" applyBorder="1" applyAlignment="1">
      <alignment horizontal="center" vertical="center"/>
    </xf>
    <xf numFmtId="2" fontId="193" fillId="0" borderId="23" xfId="0" applyNumberFormat="1" applyFont="1" applyBorder="1" applyAlignment="1">
      <alignment horizontal="center" vertical="center"/>
    </xf>
    <xf numFmtId="1" fontId="193" fillId="7" borderId="23" xfId="0" applyNumberFormat="1" applyFont="1" applyFill="1" applyBorder="1" applyAlignment="1">
      <alignment horizontal="center" vertical="center"/>
    </xf>
    <xf numFmtId="2" fontId="193" fillId="7" borderId="23" xfId="0" applyNumberFormat="1" applyFont="1" applyFill="1" applyBorder="1" applyAlignment="1">
      <alignment horizontal="center" vertical="center"/>
    </xf>
    <xf numFmtId="169" fontId="193" fillId="7" borderId="23" xfId="0" applyNumberFormat="1" applyFont="1" applyFill="1" applyBorder="1" applyAlignment="1">
      <alignment horizontal="center" vertical="center"/>
    </xf>
    <xf numFmtId="0" fontId="85" fillId="9" borderId="23" xfId="0" applyFont="1" applyFill="1" applyBorder="1" applyAlignment="1">
      <alignment horizontal="center"/>
    </xf>
    <xf numFmtId="166" fontId="334" fillId="9" borderId="65" xfId="0" applyNumberFormat="1" applyFont="1" applyFill="1" applyBorder="1" applyAlignment="1">
      <alignment horizontal="center"/>
    </xf>
    <xf numFmtId="2" fontId="334" fillId="9" borderId="65" xfId="0" applyNumberFormat="1" applyFont="1" applyFill="1" applyBorder="1" applyAlignment="1">
      <alignment horizontal="center"/>
    </xf>
    <xf numFmtId="0" fontId="233" fillId="0" borderId="32" xfId="0" applyFont="1" applyBorder="1" applyAlignment="1">
      <alignment horizontal="left"/>
    </xf>
    <xf numFmtId="0" fontId="198" fillId="0" borderId="178" xfId="0" applyFont="1" applyBorder="1"/>
    <xf numFmtId="0" fontId="198" fillId="0" borderId="43" xfId="0" applyFont="1" applyBorder="1"/>
    <xf numFmtId="0" fontId="85" fillId="0" borderId="178" xfId="0" applyFont="1" applyBorder="1"/>
    <xf numFmtId="0" fontId="85" fillId="0" borderId="43" xfId="0" applyFont="1" applyBorder="1"/>
    <xf numFmtId="0" fontId="198" fillId="0" borderId="9" xfId="0" applyFont="1" applyBorder="1"/>
    <xf numFmtId="0" fontId="198" fillId="0" borderId="0" xfId="0" applyFont="1"/>
    <xf numFmtId="3" fontId="85" fillId="19" borderId="23" xfId="0" applyNumberFormat="1" applyFont="1" applyFill="1" applyBorder="1" applyAlignment="1">
      <alignment horizontal="center" vertical="center" shrinkToFit="1"/>
    </xf>
    <xf numFmtId="0" fontId="193" fillId="19" borderId="23" xfId="0" applyFont="1" applyFill="1" applyBorder="1" applyAlignment="1">
      <alignment horizontal="center" vertical="center" shrinkToFit="1"/>
    </xf>
    <xf numFmtId="0" fontId="85" fillId="16" borderId="23" xfId="0" applyFont="1" applyFill="1" applyBorder="1" applyAlignment="1">
      <alignment horizontal="center" vertical="center" shrinkToFit="1"/>
    </xf>
    <xf numFmtId="0" fontId="193" fillId="16" borderId="23" xfId="0" applyFont="1" applyFill="1" applyBorder="1" applyAlignment="1">
      <alignment horizontal="center" vertical="center" shrinkToFit="1"/>
    </xf>
    <xf numFmtId="0" fontId="85" fillId="19" borderId="23" xfId="0" applyFont="1" applyFill="1" applyBorder="1" applyAlignment="1">
      <alignment horizontal="center" vertical="center" shrinkToFit="1"/>
    </xf>
    <xf numFmtId="1" fontId="334" fillId="19" borderId="23" xfId="0" applyNumberFormat="1" applyFont="1" applyFill="1" applyBorder="1" applyAlignment="1">
      <alignment horizontal="center" vertical="center"/>
    </xf>
    <xf numFmtId="0" fontId="334" fillId="0" borderId="0" xfId="0" applyFont="1" applyAlignment="1">
      <alignment vertical="center"/>
    </xf>
    <xf numFmtId="1" fontId="334" fillId="16" borderId="23" xfId="0" applyNumberFormat="1" applyFont="1" applyFill="1" applyBorder="1" applyAlignment="1">
      <alignment horizontal="center" vertical="center"/>
    </xf>
    <xf numFmtId="0" fontId="85" fillId="19" borderId="4" xfId="0" applyFont="1" applyFill="1" applyBorder="1" applyAlignment="1">
      <alignment horizontal="center" vertical="center" shrinkToFit="1"/>
    </xf>
    <xf numFmtId="0" fontId="85" fillId="16" borderId="4" xfId="0" applyFont="1" applyFill="1" applyBorder="1" applyAlignment="1">
      <alignment horizontal="center" vertical="center" shrinkToFit="1"/>
    </xf>
    <xf numFmtId="0" fontId="336" fillId="0" borderId="0" xfId="0" applyFont="1"/>
    <xf numFmtId="2" fontId="334" fillId="19" borderId="65" xfId="0" applyNumberFormat="1" applyFont="1" applyFill="1" applyBorder="1" applyAlignment="1">
      <alignment horizontal="center" vertical="center"/>
    </xf>
    <xf numFmtId="1" fontId="334" fillId="19" borderId="65" xfId="0" applyNumberFormat="1" applyFont="1" applyFill="1" applyBorder="1" applyAlignment="1">
      <alignment horizontal="center" vertical="center"/>
    </xf>
    <xf numFmtId="0" fontId="333" fillId="0" borderId="33" xfId="0" applyFont="1" applyBorder="1" applyAlignment="1">
      <alignment vertical="center"/>
    </xf>
    <xf numFmtId="1" fontId="334" fillId="16" borderId="65" xfId="0" applyNumberFormat="1" applyFont="1" applyFill="1" applyBorder="1" applyAlignment="1">
      <alignment horizontal="center" vertical="center"/>
    </xf>
    <xf numFmtId="2" fontId="334" fillId="16" borderId="65" xfId="0" applyNumberFormat="1" applyFont="1" applyFill="1" applyBorder="1" applyAlignment="1">
      <alignment horizontal="center" vertical="center"/>
    </xf>
    <xf numFmtId="0" fontId="337" fillId="0" borderId="0" xfId="0" applyFont="1" applyAlignment="1">
      <alignment vertical="center"/>
    </xf>
    <xf numFmtId="0" fontId="193" fillId="0" borderId="0" xfId="0" applyFont="1" applyAlignment="1">
      <alignment vertical="center"/>
    </xf>
    <xf numFmtId="0" fontId="334" fillId="0" borderId="0" xfId="0" applyFont="1"/>
    <xf numFmtId="1" fontId="333" fillId="0" borderId="0" xfId="0" applyNumberFormat="1" applyFont="1" applyAlignment="1">
      <alignment horizontal="center" vertical="center"/>
    </xf>
    <xf numFmtId="186" fontId="334" fillId="19" borderId="23" xfId="0" applyNumberFormat="1" applyFont="1" applyFill="1" applyBorder="1" applyAlignment="1">
      <alignment horizontal="center" vertical="center"/>
    </xf>
    <xf numFmtId="186" fontId="334" fillId="16" borderId="23" xfId="0" applyNumberFormat="1" applyFont="1" applyFill="1" applyBorder="1" applyAlignment="1">
      <alignment horizontal="center" vertical="center"/>
    </xf>
    <xf numFmtId="2" fontId="85" fillId="0" borderId="0" xfId="0" applyNumberFormat="1" applyFont="1" applyAlignment="1">
      <alignment horizontal="center"/>
    </xf>
    <xf numFmtId="166" fontId="85" fillId="0" borderId="0" xfId="0" applyNumberFormat="1" applyFont="1" applyAlignment="1">
      <alignment horizontal="center"/>
    </xf>
    <xf numFmtId="0" fontId="307" fillId="0" borderId="0" xfId="0" applyFont="1" applyAlignment="1">
      <alignment wrapText="1"/>
    </xf>
    <xf numFmtId="0" fontId="343" fillId="0" borderId="0" xfId="0" applyFont="1" applyAlignment="1">
      <alignment wrapText="1"/>
    </xf>
    <xf numFmtId="0" fontId="122" fillId="0" borderId="0" xfId="0" applyFont="1" applyAlignment="1">
      <alignment horizontal="center"/>
    </xf>
    <xf numFmtId="166" fontId="307" fillId="0" borderId="0" xfId="0" applyNumberFormat="1" applyFont="1" applyAlignment="1">
      <alignment vertical="center"/>
    </xf>
    <xf numFmtId="0" fontId="307" fillId="0" borderId="0" xfId="0" applyFont="1" applyAlignment="1">
      <alignment wrapText="1" shrinkToFit="1"/>
    </xf>
    <xf numFmtId="0" fontId="343" fillId="0" borderId="0" xfId="0" applyFont="1" applyAlignment="1">
      <alignment horizontal="center"/>
    </xf>
    <xf numFmtId="0" fontId="122" fillId="0" borderId="0" xfId="0" applyFont="1" applyAlignment="1">
      <alignment vertical="center"/>
    </xf>
    <xf numFmtId="2" fontId="122" fillId="0" borderId="0" xfId="0" applyNumberFormat="1" applyFont="1"/>
    <xf numFmtId="166" fontId="122" fillId="0" borderId="0" xfId="0" applyNumberFormat="1" applyFont="1"/>
    <xf numFmtId="169" fontId="122" fillId="0" borderId="0" xfId="0" applyNumberFormat="1" applyFont="1"/>
    <xf numFmtId="168" fontId="122" fillId="0" borderId="0" xfId="0" applyNumberFormat="1" applyFont="1"/>
    <xf numFmtId="3" fontId="122" fillId="0" borderId="0" xfId="0" applyNumberFormat="1" applyFont="1"/>
    <xf numFmtId="1" fontId="122" fillId="0" borderId="0" xfId="0" applyNumberFormat="1" applyFont="1"/>
    <xf numFmtId="0" fontId="338" fillId="0" borderId="0" xfId="0" applyFont="1"/>
    <xf numFmtId="0" fontId="343" fillId="0" borderId="0" xfId="0" applyFont="1" applyAlignment="1">
      <alignment vertical="center"/>
    </xf>
    <xf numFmtId="0" fontId="343" fillId="0" borderId="0" xfId="0" applyFont="1"/>
    <xf numFmtId="0" fontId="331" fillId="0" borderId="0" xfId="0" applyFont="1"/>
    <xf numFmtId="0" fontId="345" fillId="0" borderId="0" xfId="0" applyFont="1" applyAlignment="1">
      <alignment vertical="center"/>
    </xf>
    <xf numFmtId="0" fontId="338" fillId="0" borderId="0" xfId="0" applyFont="1" applyAlignment="1">
      <alignment horizontal="center" vertical="center" wrapText="1"/>
    </xf>
    <xf numFmtId="0" fontId="339" fillId="0" borderId="0" xfId="0" applyFont="1" applyAlignment="1">
      <alignment horizontal="center" vertical="center" wrapText="1"/>
    </xf>
    <xf numFmtId="0" fontId="340" fillId="0" borderId="0" xfId="0" applyFont="1" applyAlignment="1">
      <alignment horizontal="center" vertical="center" wrapText="1"/>
    </xf>
    <xf numFmtId="0" fontId="340" fillId="0" borderId="0" xfId="0" applyFont="1" applyAlignment="1">
      <alignment vertical="center" wrapText="1"/>
    </xf>
    <xf numFmtId="0" fontId="307" fillId="0" borderId="0" xfId="0" applyFont="1" applyAlignment="1">
      <alignment vertical="center" wrapText="1"/>
    </xf>
    <xf numFmtId="0" fontId="339" fillId="0" borderId="0" xfId="0" applyFont="1" applyAlignment="1">
      <alignment wrapText="1"/>
    </xf>
    <xf numFmtId="0" fontId="339" fillId="0" borderId="0" xfId="0" applyFont="1" applyAlignment="1">
      <alignment vertical="center" wrapText="1"/>
    </xf>
    <xf numFmtId="0" fontId="341" fillId="0" borderId="0" xfId="0" applyFont="1" applyAlignment="1">
      <alignment vertical="top" wrapText="1"/>
    </xf>
    <xf numFmtId="0" fontId="342" fillId="0" borderId="0" xfId="0" applyFont="1" applyAlignment="1">
      <alignment vertical="center" wrapText="1"/>
    </xf>
    <xf numFmtId="0" fontId="342" fillId="0" borderId="0" xfId="0" applyFont="1" applyAlignment="1">
      <alignment wrapText="1"/>
    </xf>
    <xf numFmtId="0" fontId="343" fillId="0" borderId="0" xfId="0" applyFont="1" applyAlignment="1">
      <alignment horizontal="center" wrapText="1"/>
    </xf>
    <xf numFmtId="0" fontId="122" fillId="0" borderId="0" xfId="0" applyFont="1" applyAlignment="1">
      <alignment horizontal="center" shrinkToFit="1"/>
    </xf>
    <xf numFmtId="3" fontId="339" fillId="0" borderId="0" xfId="0" applyNumberFormat="1" applyFont="1" applyAlignment="1">
      <alignment horizontal="center" vertical="center" shrinkToFit="1"/>
    </xf>
    <xf numFmtId="3" fontId="307" fillId="0" borderId="0" xfId="0" applyNumberFormat="1" applyFont="1" applyAlignment="1">
      <alignment horizontal="center" vertical="center" shrinkToFit="1"/>
    </xf>
    <xf numFmtId="0" fontId="307" fillId="0" borderId="0" xfId="0" applyFont="1" applyAlignment="1">
      <alignment horizontal="center" vertical="center" shrinkToFit="1"/>
    </xf>
    <xf numFmtId="17" fontId="344" fillId="0" borderId="0" xfId="0" applyNumberFormat="1" applyFont="1" applyAlignment="1">
      <alignment horizontal="center" vertical="center" shrinkToFit="1"/>
    </xf>
    <xf numFmtId="183" fontId="344" fillId="0" borderId="0" xfId="0" applyNumberFormat="1" applyFont="1" applyAlignment="1">
      <alignment horizontal="center" vertical="center" shrinkToFit="1"/>
    </xf>
    <xf numFmtId="0" fontId="307" fillId="0" borderId="0" xfId="0" applyFont="1" applyAlignment="1">
      <alignment vertical="center" wrapText="1" shrinkToFit="1"/>
    </xf>
    <xf numFmtId="17" fontId="343" fillId="0" borderId="0" xfId="0" applyNumberFormat="1"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343" fillId="0" borderId="0" xfId="0" applyFont="1" applyAlignment="1">
      <alignment vertical="top" wrapText="1"/>
    </xf>
    <xf numFmtId="0" fontId="122" fillId="0" borderId="0" xfId="0" applyFont="1" applyAlignment="1">
      <alignment horizontal="center" vertical="center" shrinkToFit="1"/>
    </xf>
    <xf numFmtId="0" fontId="343" fillId="0" borderId="0" xfId="0" applyFont="1" applyAlignment="1">
      <alignment horizontal="center" vertical="center" shrinkToFit="1"/>
    </xf>
    <xf numFmtId="0" fontId="122" fillId="0" borderId="0" xfId="0" applyFont="1" applyAlignment="1">
      <alignment wrapText="1" shrinkToFit="1"/>
    </xf>
    <xf numFmtId="166" fontId="343" fillId="0" borderId="0" xfId="0" applyNumberFormat="1" applyFont="1" applyAlignment="1">
      <alignment horizontal="center" shrinkToFit="1"/>
    </xf>
    <xf numFmtId="0" fontId="344" fillId="0" borderId="0" xfId="0" applyFont="1" applyAlignment="1">
      <alignment horizontal="center" wrapText="1"/>
    </xf>
    <xf numFmtId="0" fontId="346" fillId="0" borderId="0" xfId="0" applyFont="1"/>
    <xf numFmtId="17" fontId="344" fillId="0" borderId="0" xfId="0" applyNumberFormat="1" applyFont="1" applyAlignment="1">
      <alignment horizontal="center" shrinkToFit="1"/>
    </xf>
    <xf numFmtId="167" fontId="344" fillId="0" borderId="0" xfId="0" applyNumberFormat="1" applyFont="1" applyAlignment="1">
      <alignment horizontal="center" shrinkToFit="1"/>
    </xf>
    <xf numFmtId="9" fontId="343" fillId="0" borderId="0" xfId="0" applyNumberFormat="1" applyFont="1" applyAlignment="1">
      <alignment horizontal="center" vertical="center"/>
    </xf>
    <xf numFmtId="17" fontId="344" fillId="0" borderId="0" xfId="0" applyNumberFormat="1" applyFont="1" applyAlignment="1">
      <alignment horizontal="center"/>
    </xf>
    <xf numFmtId="0" fontId="307" fillId="0" borderId="0" xfId="0" applyFont="1" applyAlignment="1">
      <alignment horizontal="center"/>
    </xf>
    <xf numFmtId="0" fontId="344" fillId="0" borderId="0" xfId="0" applyFont="1" applyAlignment="1">
      <alignment horizontal="center" vertical="center" shrinkToFit="1"/>
    </xf>
    <xf numFmtId="0" fontId="197" fillId="0" borderId="0" xfId="0" applyFont="1"/>
    <xf numFmtId="177" fontId="13" fillId="14" borderId="13" xfId="0" applyNumberFormat="1" applyFont="1" applyFill="1" applyBorder="1"/>
    <xf numFmtId="169" fontId="74" fillId="2" borderId="8" xfId="1" applyNumberFormat="1" applyFont="1" applyFill="1" applyBorder="1" applyAlignment="1">
      <alignment horizontal="center"/>
    </xf>
    <xf numFmtId="0" fontId="64" fillId="0" borderId="0" xfId="0" applyFont="1" applyAlignment="1">
      <alignment vertical="center"/>
    </xf>
    <xf numFmtId="0" fontId="69" fillId="0" borderId="0" xfId="0" applyFont="1" applyAlignment="1">
      <alignment horizontal="left" wrapText="1"/>
    </xf>
    <xf numFmtId="0" fontId="104" fillId="0" borderId="43" xfId="0" applyFont="1" applyBorder="1" applyAlignment="1">
      <alignment horizontal="right"/>
    </xf>
    <xf numFmtId="0" fontId="176" fillId="15" borderId="33" xfId="0" applyFont="1" applyFill="1" applyBorder="1" applyAlignment="1">
      <alignment horizontal="right" vertical="center"/>
    </xf>
    <xf numFmtId="2" fontId="176" fillId="15" borderId="33" xfId="0" applyNumberFormat="1" applyFont="1" applyFill="1" applyBorder="1" applyAlignment="1">
      <alignment horizontal="center" vertical="center"/>
    </xf>
    <xf numFmtId="0" fontId="25" fillId="15" borderId="33" xfId="0" applyFont="1" applyFill="1" applyBorder="1" applyAlignment="1">
      <alignment horizontal="right" vertical="center"/>
    </xf>
    <xf numFmtId="169" fontId="9" fillId="0" borderId="0" xfId="1" applyNumberFormat="1" applyFont="1" applyAlignment="1">
      <alignment horizontal="center" vertical="center"/>
    </xf>
    <xf numFmtId="10" fontId="11" fillId="0" borderId="0" xfId="0" applyNumberFormat="1" applyFont="1" applyAlignment="1">
      <alignment horizontal="left" vertical="center"/>
    </xf>
    <xf numFmtId="2" fontId="56" fillId="14" borderId="10" xfId="0" applyNumberFormat="1" applyFont="1" applyFill="1" applyBorder="1"/>
    <xf numFmtId="2" fontId="74" fillId="2" borderId="3" xfId="0" applyNumberFormat="1" applyFont="1" applyFill="1" applyBorder="1" applyAlignment="1">
      <alignment horizontal="right"/>
    </xf>
    <xf numFmtId="2" fontId="56" fillId="14" borderId="189" xfId="0" applyNumberFormat="1" applyFont="1" applyFill="1" applyBorder="1" applyAlignment="1">
      <alignment vertical="center"/>
    </xf>
    <xf numFmtId="2" fontId="54" fillId="15" borderId="21" xfId="0" applyNumberFormat="1" applyFont="1" applyFill="1" applyBorder="1" applyAlignment="1">
      <alignment vertical="center"/>
    </xf>
    <xf numFmtId="169" fontId="167" fillId="0" borderId="0" xfId="0" applyNumberFormat="1" applyFont="1" applyAlignment="1">
      <alignment vertical="center" shrinkToFit="1"/>
    </xf>
    <xf numFmtId="177" fontId="9" fillId="0" borderId="0" xfId="0" applyNumberFormat="1" applyFont="1" applyAlignment="1">
      <alignment horizontal="center" vertical="center"/>
    </xf>
    <xf numFmtId="169" fontId="167" fillId="0" borderId="0" xfId="0" applyNumberFormat="1" applyFont="1" applyAlignment="1">
      <alignment horizontal="center" vertical="center" shrinkToFit="1"/>
    </xf>
    <xf numFmtId="169" fontId="167" fillId="0" borderId="0" xfId="0" applyNumberFormat="1" applyFont="1" applyAlignment="1">
      <alignment horizontal="right" vertical="center" shrinkToFit="1"/>
    </xf>
    <xf numFmtId="177" fontId="167" fillId="7" borderId="0" xfId="0" applyNumberFormat="1" applyFont="1" applyFill="1" applyAlignment="1" applyProtection="1">
      <alignment horizontal="center" vertical="center" shrinkToFit="1"/>
      <protection locked="0"/>
    </xf>
    <xf numFmtId="0" fontId="85" fillId="0" borderId="0" xfId="0" applyFont="1" applyAlignment="1">
      <alignment vertical="center" wrapText="1"/>
    </xf>
    <xf numFmtId="0" fontId="15" fillId="26" borderId="53" xfId="0" applyFont="1" applyFill="1" applyBorder="1"/>
    <xf numFmtId="0" fontId="15" fillId="26" borderId="54" xfId="0" applyFont="1" applyFill="1" applyBorder="1"/>
    <xf numFmtId="0" fontId="15" fillId="26" borderId="49" xfId="0" applyFont="1" applyFill="1" applyBorder="1"/>
    <xf numFmtId="177" fontId="167" fillId="26" borderId="0" xfId="0" applyNumberFormat="1" applyFont="1" applyFill="1" applyAlignment="1">
      <alignment horizontal="left" vertical="center" shrinkToFit="1"/>
    </xf>
    <xf numFmtId="0" fontId="15" fillId="26" borderId="55" xfId="0" applyFont="1" applyFill="1" applyBorder="1"/>
    <xf numFmtId="0" fontId="193" fillId="26" borderId="0" xfId="0" applyFont="1" applyFill="1" applyAlignment="1">
      <alignment horizontal="right"/>
    </xf>
    <xf numFmtId="169" fontId="347" fillId="26" borderId="0" xfId="0" applyNumberFormat="1" applyFont="1" applyFill="1" applyAlignment="1">
      <alignment horizontal="center" wrapText="1"/>
    </xf>
    <xf numFmtId="0" fontId="193" fillId="26" borderId="0" xfId="0" applyFont="1" applyFill="1" applyAlignment="1">
      <alignment horizontal="left"/>
    </xf>
    <xf numFmtId="0" fontId="85" fillId="26" borderId="0" xfId="0" applyFont="1" applyFill="1" applyAlignment="1">
      <alignment vertical="center" wrapText="1"/>
    </xf>
    <xf numFmtId="0" fontId="15" fillId="26" borderId="0" xfId="0" applyFont="1" applyFill="1"/>
    <xf numFmtId="0" fontId="15" fillId="26" borderId="50" xfId="0" applyFont="1" applyFill="1" applyBorder="1"/>
    <xf numFmtId="0" fontId="85" fillId="26" borderId="48" xfId="0" applyFont="1" applyFill="1" applyBorder="1" applyAlignment="1">
      <alignment horizontal="left"/>
    </xf>
    <xf numFmtId="0" fontId="15" fillId="26" borderId="48" xfId="0" applyFont="1" applyFill="1" applyBorder="1"/>
    <xf numFmtId="0" fontId="15" fillId="26" borderId="56" xfId="0" applyFont="1" applyFill="1" applyBorder="1"/>
    <xf numFmtId="0" fontId="193" fillId="26" borderId="52" xfId="0" applyFont="1" applyFill="1" applyBorder="1" applyAlignment="1">
      <alignment vertical="center"/>
    </xf>
    <xf numFmtId="0" fontId="13" fillId="14" borderId="90" xfId="0" applyFont="1" applyFill="1" applyBorder="1" applyAlignment="1">
      <alignment horizontal="left" vertical="center"/>
    </xf>
    <xf numFmtId="2" fontId="25" fillId="15" borderId="95" xfId="0" applyNumberFormat="1" applyFont="1" applyFill="1" applyBorder="1" applyAlignment="1">
      <alignment horizontal="center" vertical="center"/>
    </xf>
    <xf numFmtId="177" fontId="167" fillId="0" borderId="0" xfId="0" applyNumberFormat="1" applyFont="1" applyAlignment="1">
      <alignment horizontal="right" vertical="center" shrinkToFit="1"/>
    </xf>
    <xf numFmtId="0" fontId="22" fillId="0" borderId="7" xfId="0" applyFont="1" applyBorder="1" applyAlignment="1">
      <alignment vertical="center"/>
    </xf>
    <xf numFmtId="0" fontId="11" fillId="0" borderId="17" xfId="0" applyFont="1" applyBorder="1"/>
    <xf numFmtId="0" fontId="22" fillId="0" borderId="5" xfId="0" applyFont="1" applyBorder="1"/>
    <xf numFmtId="169" fontId="11" fillId="0" borderId="2" xfId="0" applyNumberFormat="1" applyFont="1" applyBorder="1" applyAlignment="1">
      <alignment vertical="center" shrinkToFit="1"/>
    </xf>
    <xf numFmtId="169" fontId="11" fillId="0" borderId="2" xfId="0" applyNumberFormat="1" applyFont="1" applyBorder="1" applyAlignment="1">
      <alignment vertical="center" wrapText="1"/>
    </xf>
    <xf numFmtId="0" fontId="11" fillId="0" borderId="2" xfId="0" applyFont="1" applyBorder="1" applyAlignment="1">
      <alignment vertical="center" wrapText="1"/>
    </xf>
    <xf numFmtId="169" fontId="11" fillId="0" borderId="2" xfId="0" applyNumberFormat="1" applyFont="1" applyBorder="1" applyAlignment="1">
      <alignment vertical="top"/>
    </xf>
    <xf numFmtId="0" fontId="11" fillId="0" borderId="12" xfId="0" applyFont="1" applyBorder="1" applyAlignment="1">
      <alignment horizontal="right"/>
    </xf>
    <xf numFmtId="169" fontId="11" fillId="0" borderId="8" xfId="0" applyNumberFormat="1" applyFont="1" applyBorder="1" applyAlignment="1">
      <alignment horizontal="right"/>
    </xf>
    <xf numFmtId="0" fontId="11" fillId="0" borderId="8" xfId="0" applyFont="1" applyBorder="1" applyAlignment="1">
      <alignment horizontal="right"/>
    </xf>
    <xf numFmtId="2" fontId="11" fillId="0" borderId="3" xfId="0" applyNumberFormat="1" applyFont="1" applyBorder="1"/>
    <xf numFmtId="0" fontId="175" fillId="0" borderId="0" xfId="0" applyFont="1" applyAlignment="1">
      <alignment vertical="center"/>
    </xf>
    <xf numFmtId="0" fontId="261" fillId="0" borderId="0" xfId="0" applyFont="1" applyAlignment="1">
      <alignment vertical="center"/>
    </xf>
    <xf numFmtId="0" fontId="349" fillId="0" borderId="0" xfId="0" applyFont="1"/>
    <xf numFmtId="0" fontId="348" fillId="0" borderId="0" xfId="0" applyFont="1"/>
    <xf numFmtId="0" fontId="73" fillId="0" borderId="0" xfId="0" applyFont="1" applyAlignment="1">
      <alignment vertical="center"/>
    </xf>
    <xf numFmtId="0" fontId="85" fillId="33" borderId="23" xfId="0" applyFont="1" applyFill="1" applyBorder="1"/>
    <xf numFmtId="0" fontId="85" fillId="33" borderId="23" xfId="0" applyFont="1" applyFill="1" applyBorder="1" applyAlignment="1">
      <alignment horizontal="center" vertical="center"/>
    </xf>
    <xf numFmtId="0" fontId="85" fillId="33" borderId="65" xfId="0" applyFont="1" applyFill="1" applyBorder="1"/>
    <xf numFmtId="166" fontId="193" fillId="33" borderId="65" xfId="0" applyNumberFormat="1" applyFont="1" applyFill="1" applyBorder="1" applyAlignment="1">
      <alignment horizontal="center" vertical="center"/>
    </xf>
    <xf numFmtId="2" fontId="193" fillId="33" borderId="65" xfId="0" applyNumberFormat="1" applyFont="1" applyFill="1" applyBorder="1" applyAlignment="1">
      <alignment horizontal="center" vertical="center"/>
    </xf>
    <xf numFmtId="0" fontId="85" fillId="6" borderId="23" xfId="0" applyFont="1" applyFill="1" applyBorder="1" applyAlignment="1">
      <alignment horizontal="center" wrapText="1"/>
    </xf>
    <xf numFmtId="0" fontId="85" fillId="0" borderId="1" xfId="0" applyFont="1" applyBorder="1"/>
    <xf numFmtId="0" fontId="69" fillId="0" borderId="53" xfId="0" applyFont="1" applyBorder="1" applyAlignment="1">
      <alignment horizontal="center"/>
    </xf>
    <xf numFmtId="0" fontId="54" fillId="0" borderId="49" xfId="0" applyFont="1" applyBorder="1" applyAlignment="1">
      <alignment vertical="center" wrapText="1"/>
    </xf>
    <xf numFmtId="0" fontId="69" fillId="0" borderId="48" xfId="0" applyFont="1" applyBorder="1"/>
    <xf numFmtId="0" fontId="15" fillId="0" borderId="56" xfId="0" applyFont="1" applyBorder="1"/>
    <xf numFmtId="14" fontId="56" fillId="0" borderId="53" xfId="0" applyNumberFormat="1" applyFont="1" applyBorder="1" applyAlignment="1">
      <alignment vertical="center" shrinkToFit="1"/>
    </xf>
    <xf numFmtId="0" fontId="109" fillId="0" borderId="175" xfId="0" applyFont="1" applyBorder="1" applyAlignment="1">
      <alignment vertical="center" wrapText="1"/>
    </xf>
    <xf numFmtId="0" fontId="54" fillId="0" borderId="353" xfId="0" applyFont="1" applyBorder="1"/>
    <xf numFmtId="0" fontId="329" fillId="0" borderId="0" xfId="0" applyFont="1" applyAlignment="1">
      <alignment vertical="center" wrapText="1"/>
    </xf>
    <xf numFmtId="0" fontId="15" fillId="0" borderId="104" xfId="0" applyFont="1" applyBorder="1" applyAlignment="1">
      <alignment vertical="center" wrapText="1"/>
    </xf>
    <xf numFmtId="0" fontId="324" fillId="0" borderId="49" xfId="0" applyFont="1" applyBorder="1" applyAlignment="1">
      <alignment wrapText="1"/>
    </xf>
    <xf numFmtId="0" fontId="324" fillId="0" borderId="53" xfId="0" applyFont="1" applyBorder="1" applyAlignment="1">
      <alignment horizontal="center"/>
    </xf>
    <xf numFmtId="166" fontId="11" fillId="0" borderId="55" xfId="0" applyNumberFormat="1" applyFont="1" applyBorder="1" applyAlignment="1">
      <alignment horizontal="center" vertical="center" shrinkToFit="1"/>
    </xf>
    <xf numFmtId="14" fontId="88" fillId="0" borderId="52" xfId="0" applyNumberFormat="1" applyFont="1" applyBorder="1" applyAlignment="1">
      <alignment vertical="center" shrinkToFit="1"/>
    </xf>
    <xf numFmtId="0" fontId="69" fillId="0" borderId="353" xfId="0" applyFont="1" applyBorder="1"/>
    <xf numFmtId="0" fontId="91" fillId="0" borderId="53" xfId="0" applyFont="1" applyBorder="1" applyAlignment="1">
      <alignment vertical="center" wrapText="1"/>
    </xf>
    <xf numFmtId="0" fontId="54" fillId="0" borderId="0" xfId="0" applyFont="1" applyAlignment="1">
      <alignment vertical="center"/>
    </xf>
    <xf numFmtId="3" fontId="54" fillId="0" borderId="23" xfId="0" applyNumberFormat="1" applyFont="1" applyBorder="1" applyAlignment="1">
      <alignment horizontal="center" vertical="center"/>
    </xf>
    <xf numFmtId="3" fontId="64" fillId="0" borderId="0" xfId="0" applyNumberFormat="1" applyFont="1" applyAlignment="1">
      <alignment horizontal="center"/>
    </xf>
    <xf numFmtId="0" fontId="56" fillId="0" borderId="3" xfId="0" applyFont="1" applyBorder="1" applyAlignment="1">
      <alignment shrinkToFit="1"/>
    </xf>
    <xf numFmtId="1" fontId="56" fillId="0" borderId="4" xfId="0" applyNumberFormat="1" applyFont="1" applyBorder="1" applyAlignment="1">
      <alignment horizontal="right"/>
    </xf>
    <xf numFmtId="166" fontId="56" fillId="0" borderId="4" xfId="0" applyNumberFormat="1" applyFont="1" applyBorder="1" applyAlignment="1">
      <alignment horizontal="center"/>
    </xf>
    <xf numFmtId="3" fontId="74" fillId="0" borderId="4" xfId="0" applyNumberFormat="1" applyFont="1" applyBorder="1" applyAlignment="1">
      <alignment horizontal="center"/>
    </xf>
    <xf numFmtId="2" fontId="74" fillId="0" borderId="4" xfId="0" applyNumberFormat="1" applyFont="1" applyBorder="1" applyAlignment="1">
      <alignment horizontal="center"/>
    </xf>
    <xf numFmtId="1" fontId="56" fillId="0" borderId="12" xfId="0" applyNumberFormat="1" applyFont="1" applyBorder="1" applyAlignment="1">
      <alignment horizontal="center"/>
    </xf>
    <xf numFmtId="2" fontId="74" fillId="0" borderId="14" xfId="0" applyNumberFormat="1" applyFont="1" applyBorder="1" applyAlignment="1">
      <alignment horizontal="center"/>
    </xf>
    <xf numFmtId="2" fontId="74" fillId="0" borderId="10" xfId="0" applyNumberFormat="1" applyFont="1" applyBorder="1"/>
    <xf numFmtId="166" fontId="60" fillId="0" borderId="12" xfId="0" applyNumberFormat="1" applyFont="1" applyBorder="1" applyAlignment="1">
      <alignment horizontal="center"/>
    </xf>
    <xf numFmtId="4" fontId="74" fillId="0" borderId="4" xfId="0" applyNumberFormat="1" applyFont="1" applyBorder="1" applyAlignment="1">
      <alignment horizontal="center"/>
    </xf>
    <xf numFmtId="2" fontId="56" fillId="0" borderId="0" xfId="0" applyNumberFormat="1" applyFont="1" applyAlignment="1">
      <alignment horizontal="center"/>
    </xf>
    <xf numFmtId="0" fontId="64" fillId="0" borderId="0" xfId="0" applyFont="1" applyAlignment="1">
      <alignment horizontal="right"/>
    </xf>
    <xf numFmtId="0" fontId="23" fillId="0" borderId="15" xfId="0" applyFont="1" applyBorder="1" applyAlignment="1">
      <alignment horizontal="right" wrapText="1"/>
    </xf>
    <xf numFmtId="170" fontId="68" fillId="0" borderId="145" xfId="0" applyNumberFormat="1" applyFont="1" applyBorder="1" applyAlignment="1">
      <alignment horizontal="center" shrinkToFit="1"/>
    </xf>
    <xf numFmtId="170" fontId="23" fillId="0" borderId="21" xfId="0" applyNumberFormat="1" applyFont="1" applyBorder="1" applyAlignment="1">
      <alignment horizontal="left" shrinkToFit="1"/>
    </xf>
    <xf numFmtId="0" fontId="324" fillId="0" borderId="0" xfId="0" applyFont="1"/>
    <xf numFmtId="0" fontId="272" fillId="0" borderId="0" xfId="0" applyFont="1"/>
    <xf numFmtId="166" fontId="15" fillId="0" borderId="23" xfId="0" applyNumberFormat="1" applyFont="1" applyBorder="1" applyAlignment="1">
      <alignment horizontal="center" vertical="center"/>
    </xf>
    <xf numFmtId="166" fontId="15" fillId="0" borderId="23" xfId="0" applyNumberFormat="1" applyFont="1" applyBorder="1" applyAlignment="1" applyProtection="1">
      <alignment horizontal="center" vertical="center"/>
      <protection locked="0"/>
    </xf>
    <xf numFmtId="166" fontId="69" fillId="0" borderId="0" xfId="0" applyNumberFormat="1" applyFont="1" applyAlignment="1">
      <alignment horizontal="center" vertical="center"/>
    </xf>
    <xf numFmtId="0" fontId="353" fillId="0" borderId="0" xfId="0" applyFont="1" applyAlignment="1">
      <alignment vertical="center"/>
    </xf>
    <xf numFmtId="166" fontId="69" fillId="0" borderId="2" xfId="0" applyNumberFormat="1" applyFont="1" applyBorder="1" applyAlignment="1">
      <alignment vertical="center"/>
    </xf>
    <xf numFmtId="0" fontId="141" fillId="0" borderId="0" xfId="0" applyFont="1" applyAlignment="1">
      <alignment vertical="center" wrapText="1"/>
    </xf>
    <xf numFmtId="9" fontId="69" fillId="0" borderId="0" xfId="0" applyNumberFormat="1" applyFont="1" applyAlignment="1">
      <alignment vertical="top"/>
    </xf>
    <xf numFmtId="0" fontId="354" fillId="0" borderId="0" xfId="0" applyFont="1" applyAlignment="1">
      <alignment vertical="center" wrapText="1"/>
    </xf>
    <xf numFmtId="17" fontId="145" fillId="0" borderId="23" xfId="0" applyNumberFormat="1" applyFont="1" applyBorder="1" applyAlignment="1">
      <alignment horizontal="left" vertical="center" wrapText="1"/>
    </xf>
    <xf numFmtId="0" fontId="7" fillId="16" borderId="0" xfId="0" applyFont="1" applyFill="1"/>
    <xf numFmtId="0" fontId="15" fillId="16" borderId="0" xfId="0" applyFont="1" applyFill="1" applyAlignment="1">
      <alignment horizontal="right"/>
    </xf>
    <xf numFmtId="3" fontId="15" fillId="16" borderId="0" xfId="0" applyNumberFormat="1" applyFont="1" applyFill="1" applyAlignment="1">
      <alignment horizontal="center"/>
    </xf>
    <xf numFmtId="0" fontId="13" fillId="16" borderId="0" xfId="0" applyFont="1" applyFill="1"/>
    <xf numFmtId="10" fontId="11" fillId="16" borderId="0" xfId="0" applyNumberFormat="1" applyFont="1" applyFill="1" applyAlignment="1">
      <alignment horizontal="left"/>
    </xf>
    <xf numFmtId="0" fontId="356" fillId="2" borderId="0" xfId="0" applyFont="1" applyFill="1" applyAlignment="1">
      <alignment vertical="center" wrapText="1"/>
    </xf>
    <xf numFmtId="2" fontId="318" fillId="33" borderId="4" xfId="0" applyNumberFormat="1" applyFont="1" applyFill="1" applyBorder="1" applyAlignment="1">
      <alignment horizontal="center"/>
    </xf>
    <xf numFmtId="2" fontId="318" fillId="33" borderId="22" xfId="0" applyNumberFormat="1" applyFont="1" applyFill="1" applyBorder="1" applyAlignment="1">
      <alignment horizontal="center"/>
    </xf>
    <xf numFmtId="49" fontId="7" fillId="2" borderId="0" xfId="0" applyNumberFormat="1" applyFont="1" applyFill="1" applyAlignment="1">
      <alignment vertical="center" wrapText="1"/>
    </xf>
    <xf numFmtId="0" fontId="75" fillId="0" borderId="0" xfId="0" applyFont="1" applyAlignment="1">
      <alignment wrapText="1"/>
    </xf>
    <xf numFmtId="169" fontId="167" fillId="0" borderId="34" xfId="0" applyNumberFormat="1" applyFont="1" applyBorder="1" applyAlignment="1">
      <alignment vertical="center" shrinkToFit="1"/>
    </xf>
    <xf numFmtId="0" fontId="15" fillId="26" borderId="373" xfId="0" applyFont="1" applyFill="1" applyBorder="1"/>
    <xf numFmtId="0" fontId="15" fillId="26" borderId="34" xfId="0" applyFont="1" applyFill="1" applyBorder="1"/>
    <xf numFmtId="0" fontId="15" fillId="26" borderId="144" xfId="0" applyFont="1" applyFill="1" applyBorder="1"/>
    <xf numFmtId="0" fontId="85" fillId="26" borderId="33" xfId="0" applyFont="1" applyFill="1" applyBorder="1" applyAlignment="1">
      <alignment horizontal="left"/>
    </xf>
    <xf numFmtId="0" fontId="15" fillId="26" borderId="33" xfId="0" applyFont="1" applyFill="1" applyBorder="1"/>
    <xf numFmtId="0" fontId="15" fillId="26" borderId="123" xfId="0" applyFont="1" applyFill="1" applyBorder="1"/>
    <xf numFmtId="0" fontId="85" fillId="0" borderId="40" xfId="0" applyFont="1" applyBorder="1" applyAlignment="1">
      <alignment wrapText="1"/>
    </xf>
    <xf numFmtId="0" fontId="7" fillId="5" borderId="0" xfId="0" applyFont="1" applyFill="1" applyProtection="1">
      <protection locked="0"/>
    </xf>
    <xf numFmtId="2" fontId="54" fillId="5" borderId="0" xfId="0" applyNumberFormat="1" applyFont="1" applyFill="1" applyAlignment="1">
      <alignment horizontal="left" wrapText="1"/>
    </xf>
    <xf numFmtId="2" fontId="15" fillId="0" borderId="12" xfId="0" applyNumberFormat="1" applyFont="1" applyBorder="1" applyAlignment="1">
      <alignment horizontal="center" vertical="center" shrinkToFit="1"/>
    </xf>
    <xf numFmtId="2" fontId="15" fillId="0" borderId="42" xfId="0" applyNumberFormat="1" applyFont="1" applyBorder="1" applyAlignment="1">
      <alignment horizontal="center" vertical="center" shrinkToFit="1"/>
    </xf>
    <xf numFmtId="0" fontId="15" fillId="0" borderId="0" xfId="0" applyFont="1" applyAlignment="1">
      <alignment horizontal="center" shrinkToFit="1"/>
    </xf>
    <xf numFmtId="17" fontId="15" fillId="5" borderId="0" xfId="0" applyNumberFormat="1" applyFont="1" applyFill="1" applyAlignment="1">
      <alignment horizontal="center" shrinkToFit="1"/>
    </xf>
    <xf numFmtId="49" fontId="15" fillId="16" borderId="0" xfId="0" applyNumberFormat="1" applyFont="1" applyFill="1" applyAlignment="1" applyProtection="1">
      <alignment horizontal="center"/>
      <protection locked="0"/>
    </xf>
    <xf numFmtId="0" fontId="141" fillId="5" borderId="4" xfId="0" applyFont="1" applyFill="1" applyBorder="1" applyAlignment="1" applyProtection="1">
      <alignment horizontal="center"/>
      <protection locked="0"/>
    </xf>
    <xf numFmtId="0" fontId="294" fillId="0" borderId="0" xfId="0" applyFont="1" applyAlignment="1">
      <alignment vertical="top"/>
    </xf>
    <xf numFmtId="0" fontId="85" fillId="0" borderId="55" xfId="0" applyFont="1" applyBorder="1"/>
    <xf numFmtId="0" fontId="335" fillId="0" borderId="55" xfId="0" applyFont="1" applyBorder="1"/>
    <xf numFmtId="0" fontId="333" fillId="0" borderId="55" xfId="0" applyFont="1" applyBorder="1" applyAlignment="1">
      <alignment vertical="center"/>
    </xf>
    <xf numFmtId="0" fontId="294" fillId="0" borderId="55" xfId="0" applyFont="1" applyBorder="1" applyAlignment="1">
      <alignment vertical="top"/>
    </xf>
    <xf numFmtId="0" fontId="193" fillId="0" borderId="55" xfId="0" applyFont="1" applyBorder="1" applyAlignment="1">
      <alignment vertical="center"/>
    </xf>
    <xf numFmtId="0" fontId="334" fillId="0" borderId="55" xfId="0" applyFont="1" applyBorder="1"/>
    <xf numFmtId="0" fontId="198" fillId="0" borderId="55" xfId="0" applyFont="1" applyBorder="1"/>
    <xf numFmtId="0" fontId="334" fillId="0" borderId="55" xfId="0" applyFont="1" applyBorder="1" applyAlignment="1">
      <alignment vertical="center"/>
    </xf>
    <xf numFmtId="2" fontId="15" fillId="34" borderId="337" xfId="0" applyNumberFormat="1" applyFont="1" applyFill="1" applyBorder="1" applyAlignment="1">
      <alignment horizontal="right" vertical="center" shrinkToFit="1"/>
    </xf>
    <xf numFmtId="2" fontId="15" fillId="34" borderId="338" xfId="0" applyNumberFormat="1" applyFont="1" applyFill="1" applyBorder="1" applyAlignment="1">
      <alignment horizontal="right" vertical="center" shrinkToFit="1"/>
    </xf>
    <xf numFmtId="2" fontId="69" fillId="35" borderId="339" xfId="0" applyNumberFormat="1" applyFont="1" applyFill="1" applyBorder="1" applyAlignment="1">
      <alignment horizontal="right" vertical="center" shrinkToFit="1"/>
    </xf>
    <xf numFmtId="166" fontId="54" fillId="0" borderId="0" xfId="0" applyNumberFormat="1" applyFont="1" applyAlignment="1">
      <alignment vertical="center" wrapText="1"/>
    </xf>
    <xf numFmtId="168" fontId="141" fillId="0" borderId="0" xfId="0" applyNumberFormat="1" applyFont="1"/>
    <xf numFmtId="168" fontId="69" fillId="0" borderId="0" xfId="0" applyNumberFormat="1" applyFont="1"/>
    <xf numFmtId="4" fontId="358" fillId="0" borderId="8" xfId="0" applyNumberFormat="1" applyFont="1" applyBorder="1" applyAlignment="1">
      <alignment horizontal="center"/>
    </xf>
    <xf numFmtId="0" fontId="71" fillId="19" borderId="0" xfId="0" applyFont="1" applyFill="1" applyAlignment="1">
      <alignment horizontal="left" vertical="center" wrapText="1"/>
    </xf>
    <xf numFmtId="0" fontId="71" fillId="0" borderId="0" xfId="0" applyFont="1" applyAlignment="1">
      <alignment horizontal="right"/>
    </xf>
    <xf numFmtId="0" fontId="167" fillId="0" borderId="0" xfId="0" applyFont="1" applyAlignment="1">
      <alignment horizontal="center"/>
    </xf>
    <xf numFmtId="0" fontId="72" fillId="0" borderId="0" xfId="0" applyFont="1" applyAlignment="1">
      <alignment horizontal="left" vertical="center" wrapText="1"/>
    </xf>
    <xf numFmtId="0" fontId="85" fillId="0" borderId="0" xfId="0" applyFont="1" applyAlignment="1">
      <alignment horizontal="left" vertical="center" wrapText="1"/>
    </xf>
    <xf numFmtId="0" fontId="158" fillId="0" borderId="0" xfId="0" applyFont="1" applyAlignment="1">
      <alignment horizontal="center" vertical="center"/>
    </xf>
    <xf numFmtId="0" fontId="115" fillId="0" borderId="0" xfId="0" applyFont="1" applyAlignment="1">
      <alignment horizontal="left" wrapText="1"/>
    </xf>
    <xf numFmtId="0" fontId="77" fillId="0" borderId="0" xfId="0" applyFont="1" applyAlignment="1">
      <alignment horizontal="left" vertical="center" wrapText="1"/>
    </xf>
    <xf numFmtId="0" fontId="71" fillId="0" borderId="0" xfId="0" applyFont="1" applyAlignment="1">
      <alignment horizontal="left" vertical="top" wrapText="1"/>
    </xf>
    <xf numFmtId="0" fontId="116" fillId="4" borderId="0" xfId="0" applyFont="1" applyFill="1" applyAlignment="1">
      <alignment horizontal="center" vertical="center" wrapText="1" shrinkToFit="1"/>
    </xf>
    <xf numFmtId="0" fontId="309" fillId="0" borderId="34" xfId="0" applyFont="1" applyBorder="1" applyAlignment="1">
      <alignment horizontal="center" vertical="center"/>
    </xf>
    <xf numFmtId="0" fontId="259" fillId="0" borderId="1" xfId="0" applyFont="1" applyBorder="1" applyAlignment="1">
      <alignment horizontal="center"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7" xfId="0" applyFont="1" applyBorder="1" applyAlignment="1">
      <alignment horizontal="center" vertical="center" wrapText="1"/>
    </xf>
    <xf numFmtId="0" fontId="23" fillId="0" borderId="5" xfId="0" applyFont="1" applyBorder="1" applyAlignment="1">
      <alignment horizontal="center" vertical="center" wrapText="1"/>
    </xf>
    <xf numFmtId="166" fontId="13" fillId="0" borderId="5" xfId="0" applyNumberFormat="1" applyFont="1" applyBorder="1" applyAlignment="1">
      <alignment horizontal="center" vertical="center"/>
    </xf>
    <xf numFmtId="166" fontId="13" fillId="0" borderId="3" xfId="0" applyNumberFormat="1" applyFont="1" applyBorder="1" applyAlignment="1">
      <alignment horizontal="center" vertical="center"/>
    </xf>
    <xf numFmtId="0" fontId="9" fillId="0" borderId="7" xfId="0" applyFont="1" applyBorder="1" applyAlignment="1">
      <alignment horizontal="center" vertical="center" wrapText="1"/>
    </xf>
    <xf numFmtId="0" fontId="9" fillId="0" borderId="12" xfId="0" applyFont="1" applyBorder="1" applyAlignment="1">
      <alignment horizontal="center" vertical="center" wrapText="1"/>
    </xf>
    <xf numFmtId="0" fontId="205" fillId="0" borderId="125" xfId="0" applyFont="1" applyBorder="1" applyAlignment="1">
      <alignment horizontal="left" wrapText="1"/>
    </xf>
    <xf numFmtId="0" fontId="205" fillId="0" borderId="43" xfId="0" applyFont="1" applyBorder="1" applyAlignment="1">
      <alignment horizontal="left" wrapText="1"/>
    </xf>
    <xf numFmtId="0" fontId="205" fillId="0" borderId="47" xfId="0" applyFont="1" applyBorder="1" applyAlignment="1">
      <alignment horizontal="left" wrapText="1"/>
    </xf>
    <xf numFmtId="0" fontId="101" fillId="7" borderId="39" xfId="0" applyFont="1" applyFill="1" applyBorder="1" applyAlignment="1" applyProtection="1">
      <alignment horizontal="center" vertical="center"/>
      <protection locked="0"/>
    </xf>
    <xf numFmtId="0" fontId="101" fillId="7" borderId="15" xfId="0" applyFont="1" applyFill="1" applyBorder="1" applyAlignment="1" applyProtection="1">
      <alignment horizontal="center" vertical="center"/>
      <protection locked="0"/>
    </xf>
    <xf numFmtId="0" fontId="147" fillId="0" borderId="343" xfId="0" applyFont="1" applyBorder="1" applyAlignment="1">
      <alignment horizontal="center" vertical="center"/>
    </xf>
    <xf numFmtId="0" fontId="147" fillId="0" borderId="344" xfId="0" applyFont="1" applyBorder="1" applyAlignment="1">
      <alignment horizontal="center" vertical="center"/>
    </xf>
    <xf numFmtId="0" fontId="116" fillId="0" borderId="23" xfId="0" applyFont="1" applyBorder="1" applyAlignment="1">
      <alignment horizontal="left" vertical="center" wrapText="1"/>
    </xf>
    <xf numFmtId="0" fontId="20" fillId="0" borderId="17" xfId="0" applyFont="1" applyBorder="1" applyAlignment="1">
      <alignment horizontal="left" vertical="top" wrapText="1"/>
    </xf>
    <xf numFmtId="0" fontId="20" fillId="0" borderId="0" xfId="0" applyFont="1" applyAlignment="1">
      <alignment horizontal="left" vertical="top" wrapText="1"/>
    </xf>
    <xf numFmtId="0" fontId="11" fillId="0" borderId="269" xfId="0" applyFont="1" applyBorder="1" applyAlignment="1">
      <alignment horizontal="center" vertical="center" wrapText="1"/>
    </xf>
    <xf numFmtId="0" fontId="11" fillId="0" borderId="265"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0" xfId="0" applyFont="1" applyAlignment="1">
      <alignment horizontal="center" vertical="center" wrapText="1"/>
    </xf>
    <xf numFmtId="0" fontId="144" fillId="0" borderId="7" xfId="0" applyFont="1" applyBorder="1" applyAlignment="1">
      <alignment horizontal="right"/>
    </xf>
    <xf numFmtId="0" fontId="144" fillId="0" borderId="17" xfId="0" applyFont="1" applyBorder="1" applyAlignment="1">
      <alignment horizontal="right"/>
    </xf>
    <xf numFmtId="0" fontId="15" fillId="0" borderId="53" xfId="0" applyFont="1" applyBorder="1" applyAlignment="1">
      <alignment horizontal="center" vertical="center" shrinkToFit="1"/>
    </xf>
    <xf numFmtId="14" fontId="13" fillId="0" borderId="0" xfId="0" applyNumberFormat="1" applyFont="1" applyAlignment="1">
      <alignment horizontal="center" vertical="center" shrinkToFit="1"/>
    </xf>
    <xf numFmtId="173" fontId="88" fillId="7" borderId="53" xfId="0" applyNumberFormat="1" applyFont="1" applyFill="1" applyBorder="1" applyAlignment="1" applyProtection="1">
      <alignment horizontal="center" vertical="center" wrapText="1"/>
      <protection locked="0"/>
    </xf>
    <xf numFmtId="173" fontId="88" fillId="7" borderId="0" xfId="0" applyNumberFormat="1" applyFont="1" applyFill="1" applyAlignment="1" applyProtection="1">
      <alignment horizontal="center" vertical="center" wrapText="1"/>
      <protection locked="0"/>
    </xf>
    <xf numFmtId="0" fontId="206" fillId="0" borderId="53" xfId="0" applyFont="1" applyBorder="1" applyAlignment="1">
      <alignment horizontal="center" vertical="center" wrapText="1"/>
    </xf>
    <xf numFmtId="0" fontId="15" fillId="0" borderId="175" xfId="0" applyFont="1" applyBorder="1" applyAlignment="1">
      <alignment horizontal="center" vertical="center" wrapText="1"/>
    </xf>
    <xf numFmtId="0" fontId="15" fillId="0" borderId="35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3" xfId="0" applyFont="1" applyBorder="1" applyAlignment="1">
      <alignment horizontal="center" vertical="center" wrapText="1"/>
    </xf>
    <xf numFmtId="0" fontId="54" fillId="0" borderId="48" xfId="0" applyFont="1" applyBorder="1" applyAlignment="1">
      <alignment horizontal="center" vertical="center" wrapText="1"/>
    </xf>
    <xf numFmtId="0" fontId="15" fillId="0" borderId="84" xfId="0" applyFont="1" applyBorder="1" applyAlignment="1">
      <alignment horizontal="right" vertical="center" wrapText="1"/>
    </xf>
    <xf numFmtId="0" fontId="15" fillId="0" borderId="85" xfId="0" applyFont="1" applyBorder="1" applyAlignment="1">
      <alignment horizontal="right" vertical="center" wrapText="1"/>
    </xf>
    <xf numFmtId="172" fontId="23" fillId="0" borderId="85" xfId="0" applyNumberFormat="1" applyFont="1" applyBorder="1" applyAlignment="1">
      <alignment horizontal="center" vertical="center" shrinkToFit="1"/>
    </xf>
    <xf numFmtId="172" fontId="23" fillId="0" borderId="86" xfId="0" applyNumberFormat="1" applyFont="1" applyBorder="1" applyAlignment="1">
      <alignment horizontal="center" vertical="center" shrinkToFit="1"/>
    </xf>
    <xf numFmtId="0" fontId="41" fillId="5" borderId="0" xfId="0" applyFont="1" applyFill="1" applyAlignment="1">
      <alignment horizontal="center" shrinkToFit="1"/>
    </xf>
    <xf numFmtId="0" fontId="15" fillId="0" borderId="40" xfId="0" applyFont="1" applyBorder="1" applyAlignment="1">
      <alignment horizontal="center" vertical="center" wrapText="1"/>
    </xf>
    <xf numFmtId="0" fontId="15" fillId="0" borderId="2" xfId="0" applyFont="1" applyBorder="1" applyAlignment="1">
      <alignment horizontal="center" vertical="center" wrapText="1"/>
    </xf>
    <xf numFmtId="0" fontId="143" fillId="0" borderId="0" xfId="0" applyFont="1" applyAlignment="1">
      <alignment horizontal="right" vertical="center"/>
    </xf>
    <xf numFmtId="0" fontId="143" fillId="0" borderId="34" xfId="0" applyFont="1" applyBorder="1" applyAlignment="1">
      <alignment horizontal="right" vertical="center"/>
    </xf>
    <xf numFmtId="0" fontId="28" fillId="0" borderId="0" xfId="0" applyFont="1" applyAlignment="1">
      <alignment horizontal="right" vertical="center" wrapText="1"/>
    </xf>
    <xf numFmtId="0" fontId="28" fillId="0" borderId="34" xfId="0" applyFont="1" applyBorder="1" applyAlignment="1">
      <alignment horizontal="right" vertical="center" wrapText="1"/>
    </xf>
    <xf numFmtId="0" fontId="88" fillId="0" borderId="8" xfId="0" applyFont="1" applyBorder="1" applyAlignment="1">
      <alignment horizontal="center" wrapText="1"/>
    </xf>
    <xf numFmtId="0" fontId="7" fillId="0" borderId="49" xfId="0" applyFont="1" applyBorder="1" applyAlignment="1">
      <alignment horizontal="left" vertical="center" wrapText="1"/>
    </xf>
    <xf numFmtId="0" fontId="7" fillId="0" borderId="0" xfId="0" applyFont="1" applyAlignment="1">
      <alignment horizontal="left" vertical="center" wrapText="1"/>
    </xf>
    <xf numFmtId="0" fontId="15" fillId="2" borderId="125" xfId="0" applyFont="1" applyFill="1" applyBorder="1" applyAlignment="1">
      <alignment horizontal="left" vertical="top" wrapText="1"/>
    </xf>
    <xf numFmtId="0" fontId="15" fillId="2" borderId="43" xfId="0" applyFont="1" applyFill="1" applyBorder="1" applyAlignment="1">
      <alignment horizontal="left" vertical="top" wrapText="1"/>
    </xf>
    <xf numFmtId="0" fontId="15" fillId="2" borderId="20" xfId="0" applyFont="1" applyFill="1" applyBorder="1" applyAlignment="1">
      <alignment horizontal="left" vertical="top" wrapText="1"/>
    </xf>
    <xf numFmtId="0" fontId="15" fillId="2" borderId="33" xfId="0" applyFont="1" applyFill="1" applyBorder="1" applyAlignment="1">
      <alignment horizontal="left" vertical="top" wrapText="1"/>
    </xf>
    <xf numFmtId="0" fontId="11" fillId="2" borderId="43"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5" fillId="0" borderId="40" xfId="0" applyFont="1" applyBorder="1" applyAlignment="1">
      <alignment horizontal="left" vertical="center" wrapText="1"/>
    </xf>
    <xf numFmtId="0" fontId="15" fillId="0" borderId="0" xfId="0" applyFont="1" applyAlignment="1">
      <alignment horizontal="left" vertical="center" wrapText="1"/>
    </xf>
    <xf numFmtId="0" fontId="26" fillId="0" borderId="50" xfId="0" applyFont="1" applyBorder="1" applyAlignment="1">
      <alignment horizontal="left" vertical="center"/>
    </xf>
    <xf numFmtId="0" fontId="26" fillId="0" borderId="48" xfId="0" applyFont="1" applyBorder="1" applyAlignment="1">
      <alignment horizontal="left" vertical="center"/>
    </xf>
    <xf numFmtId="14" fontId="88" fillId="7" borderId="13" xfId="0" applyNumberFormat="1" applyFont="1" applyFill="1" applyBorder="1" applyAlignment="1" applyProtection="1">
      <alignment horizontal="center" vertical="center" shrinkToFit="1"/>
      <protection locked="0"/>
    </xf>
    <xf numFmtId="14" fontId="88" fillId="0" borderId="13" xfId="0" applyNumberFormat="1" applyFont="1" applyBorder="1" applyAlignment="1">
      <alignment horizontal="left" vertical="center" shrinkToFit="1"/>
    </xf>
    <xf numFmtId="0" fontId="28" fillId="0" borderId="190" xfId="0" applyFont="1" applyBorder="1" applyAlignment="1">
      <alignment horizontal="center" vertical="center"/>
    </xf>
    <xf numFmtId="0" fontId="28" fillId="0" borderId="13" xfId="0" applyFont="1" applyBorder="1" applyAlignment="1">
      <alignment horizontal="center" vertical="center"/>
    </xf>
    <xf numFmtId="0" fontId="26" fillId="0" borderId="52" xfId="0" applyFont="1" applyBorder="1" applyAlignment="1">
      <alignment horizontal="center" vertical="center"/>
    </xf>
    <xf numFmtId="0" fontId="26" fillId="0" borderId="53" xfId="0" applyFont="1" applyBorder="1" applyAlignment="1">
      <alignment horizontal="center" vertical="center"/>
    </xf>
    <xf numFmtId="0" fontId="88" fillId="0" borderId="0" xfId="0" applyFont="1" applyAlignment="1">
      <alignment horizontal="center" vertical="center" wrapText="1"/>
    </xf>
    <xf numFmtId="0" fontId="15" fillId="0" borderId="53" xfId="0" applyFont="1" applyBorder="1" applyAlignment="1">
      <alignment horizontal="left" vertical="center" wrapText="1"/>
    </xf>
    <xf numFmtId="0" fontId="15" fillId="0" borderId="54" xfId="0" applyFont="1" applyBorder="1" applyAlignment="1">
      <alignment horizontal="left" vertical="center" wrapText="1"/>
    </xf>
    <xf numFmtId="0" fontId="15" fillId="0" borderId="48" xfId="0" applyFont="1" applyBorder="1" applyAlignment="1">
      <alignment horizontal="left" vertical="center" wrapText="1"/>
    </xf>
    <xf numFmtId="0" fontId="15" fillId="0" borderId="56" xfId="0" applyFont="1" applyBorder="1" applyAlignment="1">
      <alignment horizontal="left" vertical="center" wrapText="1"/>
    </xf>
    <xf numFmtId="0" fontId="56" fillId="7" borderId="14" xfId="0" applyFont="1" applyFill="1" applyBorder="1" applyAlignment="1" applyProtection="1">
      <alignment horizontal="center" vertical="center" wrapText="1"/>
      <protection locked="0"/>
    </xf>
    <xf numFmtId="0" fontId="56" fillId="7" borderId="13"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56" fillId="0" borderId="0" xfId="0" applyFont="1" applyAlignment="1">
      <alignment horizontal="left" vertical="center" wrapText="1"/>
    </xf>
    <xf numFmtId="0" fontId="29" fillId="0" borderId="0" xfId="0" applyFont="1" applyAlignment="1">
      <alignment horizontal="left" vertical="center" wrapText="1"/>
    </xf>
    <xf numFmtId="0" fontId="56" fillId="0" borderId="49" xfId="0" applyFont="1" applyBorder="1" applyAlignment="1">
      <alignment horizontal="left" vertical="center" wrapText="1"/>
    </xf>
    <xf numFmtId="0" fontId="325" fillId="0" borderId="84" xfId="0" applyFont="1" applyBorder="1" applyAlignment="1">
      <alignment horizontal="center" vertical="center" wrapText="1"/>
    </xf>
    <xf numFmtId="0" fontId="325" fillId="0" borderId="85" xfId="0" applyFont="1" applyBorder="1" applyAlignment="1">
      <alignment horizontal="center" vertical="center" wrapText="1"/>
    </xf>
    <xf numFmtId="0" fontId="56" fillId="0" borderId="85" xfId="0" applyFont="1" applyBorder="1" applyAlignment="1">
      <alignment horizontal="center" vertical="center" wrapText="1"/>
    </xf>
    <xf numFmtId="0" fontId="56" fillId="0" borderId="86" xfId="0" applyFont="1" applyBorder="1" applyAlignment="1">
      <alignment horizontal="center" vertical="center" wrapText="1"/>
    </xf>
    <xf numFmtId="0" fontId="326" fillId="0" borderId="92" xfId="0" applyFont="1" applyBorder="1" applyAlignment="1">
      <alignment horizontal="right" vertical="top" wrapText="1"/>
    </xf>
    <xf numFmtId="0" fontId="326" fillId="0" borderId="92" xfId="0" applyFont="1" applyBorder="1" applyAlignment="1">
      <alignment horizontal="right" vertical="center" wrapText="1"/>
    </xf>
    <xf numFmtId="3" fontId="88" fillId="7" borderId="92" xfId="0" applyNumberFormat="1" applyFont="1" applyFill="1" applyBorder="1" applyAlignment="1" applyProtection="1">
      <alignment horizontal="center" vertical="center"/>
      <protection locked="0"/>
    </xf>
    <xf numFmtId="166" fontId="56" fillId="7" borderId="0" xfId="0" applyNumberFormat="1" applyFont="1" applyFill="1" applyAlignment="1" applyProtection="1">
      <alignment horizontal="center" vertical="center"/>
      <protection locked="0"/>
    </xf>
    <xf numFmtId="166" fontId="56" fillId="7" borderId="48" xfId="0" applyNumberFormat="1" applyFont="1" applyFill="1" applyBorder="1" applyAlignment="1" applyProtection="1">
      <alignment horizontal="center" vertical="center"/>
      <protection locked="0"/>
    </xf>
    <xf numFmtId="0" fontId="23" fillId="0" borderId="0" xfId="0" applyFont="1" applyAlignment="1">
      <alignment horizontal="left" vertical="center" wrapText="1"/>
    </xf>
    <xf numFmtId="0" fontId="23" fillId="0" borderId="12" xfId="0" applyFont="1" applyBorder="1" applyAlignment="1">
      <alignment horizontal="left" vertical="center" wrapText="1"/>
    </xf>
    <xf numFmtId="0" fontId="23" fillId="0" borderId="8" xfId="0" applyFont="1" applyBorder="1" applyAlignment="1">
      <alignment horizontal="left" vertical="center" wrapText="1"/>
    </xf>
    <xf numFmtId="0" fontId="58" fillId="0" borderId="0" xfId="0" applyFont="1" applyAlignment="1">
      <alignment horizontal="center" vertical="center" wrapText="1"/>
    </xf>
    <xf numFmtId="0" fontId="58" fillId="0" borderId="104" xfId="0" applyFont="1" applyBorder="1" applyAlignment="1">
      <alignment horizontal="center" vertical="center" wrapText="1"/>
    </xf>
    <xf numFmtId="0" fontId="88" fillId="0" borderId="104" xfId="0" applyFont="1" applyBorder="1" applyAlignment="1">
      <alignment horizontal="center" vertical="center" wrapText="1"/>
    </xf>
    <xf numFmtId="166" fontId="60" fillId="7" borderId="0" xfId="0" applyNumberFormat="1" applyFont="1" applyFill="1" applyAlignment="1" applyProtection="1">
      <alignment horizontal="center" vertical="center"/>
      <protection locked="0"/>
    </xf>
    <xf numFmtId="166" fontId="60" fillId="7" borderId="104" xfId="0" applyNumberFormat="1" applyFont="1" applyFill="1" applyBorder="1" applyAlignment="1" applyProtection="1">
      <alignment horizontal="center" vertical="center"/>
      <protection locked="0"/>
    </xf>
    <xf numFmtId="0" fontId="11" fillId="0" borderId="8" xfId="0" applyFont="1" applyBorder="1" applyAlignment="1">
      <alignment horizontal="center" vertical="top" wrapText="1"/>
    </xf>
    <xf numFmtId="0" fontId="11" fillId="0" borderId="3" xfId="0" applyFont="1" applyBorder="1" applyAlignment="1">
      <alignment horizontal="center" vertical="top" wrapText="1"/>
    </xf>
    <xf numFmtId="14" fontId="56" fillId="0" borderId="53" xfId="0" applyNumberFormat="1" applyFont="1" applyBorder="1" applyAlignment="1">
      <alignment horizontal="left" vertical="center" wrapText="1"/>
    </xf>
    <xf numFmtId="14" fontId="56" fillId="0" borderId="54" xfId="0" applyNumberFormat="1" applyFont="1" applyBorder="1" applyAlignment="1">
      <alignment horizontal="left" vertical="center" wrapText="1"/>
    </xf>
    <xf numFmtId="0" fontId="54" fillId="0" borderId="0" xfId="0" applyFont="1" applyAlignment="1">
      <alignment horizontal="center" vertical="center" wrapText="1"/>
    </xf>
    <xf numFmtId="0" fontId="54" fillId="0" borderId="55" xfId="0" applyFont="1" applyBorder="1" applyAlignment="1">
      <alignment horizontal="center" vertical="center" wrapText="1"/>
    </xf>
    <xf numFmtId="0" fontId="54" fillId="19" borderId="13" xfId="0" applyFont="1" applyFill="1" applyBorder="1" applyAlignment="1">
      <alignment horizontal="left" vertical="center" wrapText="1"/>
    </xf>
    <xf numFmtId="0" fontId="131" fillId="0" borderId="0" xfId="0" applyFont="1" applyAlignment="1">
      <alignment horizontal="left" vertical="center" wrapText="1"/>
    </xf>
    <xf numFmtId="0" fontId="132" fillId="0" borderId="0" xfId="0" applyFont="1" applyAlignment="1">
      <alignment horizontal="center" vertical="center" wrapText="1"/>
    </xf>
    <xf numFmtId="0" fontId="15" fillId="0" borderId="8" xfId="0" applyFont="1" applyBorder="1" applyAlignment="1">
      <alignment horizontal="left" vertical="center" wrapText="1"/>
    </xf>
    <xf numFmtId="0" fontId="15" fillId="0" borderId="7" xfId="0" applyFont="1" applyBorder="1" applyAlignment="1">
      <alignment horizontal="left" vertical="center" wrapText="1"/>
    </xf>
    <xf numFmtId="0" fontId="15" fillId="0" borderId="17" xfId="0" applyFont="1" applyBorder="1" applyAlignment="1">
      <alignment horizontal="left"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88" fillId="33" borderId="84" xfId="0" applyFont="1" applyFill="1" applyBorder="1" applyAlignment="1" applyProtection="1">
      <alignment horizontal="center" vertical="center" wrapText="1"/>
      <protection locked="0"/>
    </xf>
    <xf numFmtId="0" fontId="88" fillId="33" borderId="85" xfId="0" applyFont="1" applyFill="1" applyBorder="1" applyAlignment="1" applyProtection="1">
      <alignment horizontal="center" vertical="center" wrapText="1"/>
      <protection locked="0"/>
    </xf>
    <xf numFmtId="0" fontId="88" fillId="33" borderId="86" xfId="0" applyFont="1" applyFill="1" applyBorder="1" applyAlignment="1" applyProtection="1">
      <alignment horizontal="center" vertical="center" wrapText="1"/>
      <protection locked="0"/>
    </xf>
    <xf numFmtId="0" fontId="15" fillId="0" borderId="7" xfId="0" applyFont="1" applyBorder="1" applyAlignment="1">
      <alignment horizontal="left" wrapText="1"/>
    </xf>
    <xf numFmtId="0" fontId="15" fillId="0" borderId="17" xfId="0" applyFont="1" applyBorder="1" applyAlignment="1">
      <alignment horizontal="left" wrapText="1"/>
    </xf>
    <xf numFmtId="0" fontId="15" fillId="0" borderId="5" xfId="0" applyFont="1" applyBorder="1" applyAlignment="1">
      <alignment horizontal="left" wrapText="1"/>
    </xf>
    <xf numFmtId="0" fontId="259" fillId="0" borderId="7" xfId="0" applyFont="1" applyBorder="1" applyAlignment="1">
      <alignment horizontal="center" vertical="center" wrapText="1"/>
    </xf>
    <xf numFmtId="0" fontId="259" fillId="0" borderId="17" xfId="0" applyFont="1" applyBorder="1" applyAlignment="1">
      <alignment horizontal="center" vertical="center" wrapText="1"/>
    </xf>
    <xf numFmtId="0" fontId="56" fillId="19" borderId="84" xfId="0" applyFont="1" applyFill="1" applyBorder="1" applyAlignment="1" applyProtection="1">
      <alignment horizontal="center" vertical="center" wrapText="1"/>
      <protection locked="0"/>
    </xf>
    <xf numFmtId="0" fontId="56" fillId="19" borderId="85" xfId="0" applyFont="1" applyFill="1" applyBorder="1" applyAlignment="1" applyProtection="1">
      <alignment horizontal="center" vertical="center" wrapText="1"/>
      <protection locked="0"/>
    </xf>
    <xf numFmtId="0" fontId="56" fillId="19" borderId="86" xfId="0" applyFont="1" applyFill="1" applyBorder="1" applyAlignment="1" applyProtection="1">
      <alignment horizontal="center" vertical="center" wrapText="1"/>
      <protection locked="0"/>
    </xf>
    <xf numFmtId="14" fontId="56" fillId="0" borderId="52" xfId="0" applyNumberFormat="1" applyFont="1" applyBorder="1" applyAlignment="1">
      <alignment horizontal="center" vertical="center" wrapText="1"/>
    </xf>
    <xf numFmtId="14" fontId="56" fillId="0" borderId="53" xfId="0" applyNumberFormat="1" applyFont="1" applyBorder="1" applyAlignment="1">
      <alignment horizontal="center" vertical="center" wrapText="1"/>
    </xf>
    <xf numFmtId="0" fontId="306" fillId="0" borderId="0" xfId="0" applyFont="1" applyAlignment="1">
      <alignment horizontal="left" vertical="center" shrinkToFit="1"/>
    </xf>
    <xf numFmtId="0" fontId="305" fillId="0" borderId="0" xfId="0" applyFont="1" applyAlignment="1">
      <alignment horizontal="center" vertical="center" wrapText="1"/>
    </xf>
    <xf numFmtId="0" fontId="56" fillId="6" borderId="84" xfId="0" applyFont="1" applyFill="1" applyBorder="1" applyAlignment="1" applyProtection="1">
      <alignment horizontal="center" vertical="center" wrapText="1"/>
      <protection locked="0"/>
    </xf>
    <xf numFmtId="0" fontId="56" fillId="6" borderId="85" xfId="0" applyFont="1" applyFill="1" applyBorder="1" applyAlignment="1" applyProtection="1">
      <alignment horizontal="center" vertical="center" wrapText="1"/>
      <protection locked="0"/>
    </xf>
    <xf numFmtId="0" fontId="56" fillId="6" borderId="86" xfId="0" applyFont="1" applyFill="1" applyBorder="1" applyAlignment="1" applyProtection="1">
      <alignment horizontal="center" vertical="center" wrapText="1"/>
      <protection locked="0"/>
    </xf>
    <xf numFmtId="0" fontId="88" fillId="6" borderId="0" xfId="0" applyFont="1" applyFill="1" applyAlignment="1">
      <alignment horizontal="center" textRotation="90" wrapText="1"/>
    </xf>
    <xf numFmtId="0" fontId="54" fillId="33" borderId="13" xfId="0" applyFont="1" applyFill="1" applyBorder="1" applyAlignment="1">
      <alignment horizontal="left" vertical="center" wrapText="1"/>
    </xf>
    <xf numFmtId="0" fontId="54" fillId="0" borderId="1" xfId="0" applyFont="1" applyBorder="1" applyAlignment="1">
      <alignment horizontal="center"/>
    </xf>
    <xf numFmtId="0" fontId="54" fillId="0" borderId="0" xfId="0" applyFont="1" applyAlignment="1">
      <alignment horizontal="center"/>
    </xf>
    <xf numFmtId="0" fontId="54" fillId="33" borderId="8" xfId="0" applyFont="1" applyFill="1" applyBorder="1" applyAlignment="1">
      <alignment horizontal="center" vertical="top" wrapText="1"/>
    </xf>
    <xf numFmtId="0" fontId="88" fillId="19" borderId="0" xfId="0" applyFont="1" applyFill="1" applyAlignment="1">
      <alignment horizontal="center" textRotation="90" wrapText="1"/>
    </xf>
    <xf numFmtId="0" fontId="88" fillId="33" borderId="0" xfId="0" applyFont="1" applyFill="1" applyAlignment="1">
      <alignment horizontal="center" textRotation="90" wrapText="1"/>
    </xf>
    <xf numFmtId="0" fontId="54" fillId="6" borderId="8" xfId="0" applyFont="1" applyFill="1" applyBorder="1" applyAlignment="1">
      <alignment horizontal="left" vertical="center" wrapText="1"/>
    </xf>
    <xf numFmtId="0" fontId="60" fillId="0" borderId="0" xfId="0" applyFont="1" applyAlignment="1">
      <alignment horizontal="center" vertical="center" wrapText="1"/>
    </xf>
    <xf numFmtId="0" fontId="15" fillId="0" borderId="0" xfId="0" applyFont="1" applyAlignment="1">
      <alignment horizontal="left" wrapText="1"/>
    </xf>
    <xf numFmtId="0" fontId="15" fillId="0" borderId="0" xfId="0" applyFont="1" applyAlignment="1">
      <alignment horizontal="left"/>
    </xf>
    <xf numFmtId="0" fontId="15" fillId="0" borderId="55" xfId="0" applyFont="1" applyBorder="1" applyAlignment="1">
      <alignment horizontal="left"/>
    </xf>
    <xf numFmtId="0" fontId="54" fillId="0" borderId="49" xfId="0" applyFont="1" applyBorder="1" applyAlignment="1">
      <alignment horizontal="center" vertical="center" wrapText="1"/>
    </xf>
    <xf numFmtId="4" fontId="255" fillId="0" borderId="6" xfId="0" applyNumberFormat="1" applyFont="1" applyBorder="1" applyAlignment="1" applyProtection="1">
      <alignment horizontal="center"/>
      <protection locked="0"/>
    </xf>
    <xf numFmtId="4" fontId="255" fillId="0" borderId="143" xfId="0" applyNumberFormat="1" applyFont="1" applyBorder="1" applyAlignment="1" applyProtection="1">
      <alignment horizontal="center"/>
      <protection locked="0"/>
    </xf>
    <xf numFmtId="4" fontId="15" fillId="0" borderId="6" xfId="0" applyNumberFormat="1" applyFont="1" applyBorder="1" applyAlignment="1" applyProtection="1">
      <alignment horizontal="center"/>
      <protection locked="0"/>
    </xf>
    <xf numFmtId="4" fontId="15" fillId="0" borderId="41" xfId="0" applyNumberFormat="1" applyFont="1" applyBorder="1" applyAlignment="1" applyProtection="1">
      <alignment horizontal="center"/>
      <protection locked="0"/>
    </xf>
    <xf numFmtId="0" fontId="11" fillId="0" borderId="326" xfId="0" applyFont="1" applyBorder="1" applyAlignment="1">
      <alignment horizontal="center" vertical="center" wrapText="1"/>
    </xf>
    <xf numFmtId="0" fontId="11" fillId="0" borderId="325" xfId="0" applyFont="1" applyBorder="1" applyAlignment="1">
      <alignment horizontal="center" vertical="center" wrapText="1"/>
    </xf>
    <xf numFmtId="0" fontId="19" fillId="0" borderId="12" xfId="0" applyFont="1" applyBorder="1" applyAlignment="1">
      <alignment horizontal="left" vertical="center" wrapText="1"/>
    </xf>
    <xf numFmtId="0" fontId="19" fillId="0" borderId="8" xfId="0" applyFont="1" applyBorder="1" applyAlignment="1">
      <alignment horizontal="left" vertical="center" wrapText="1"/>
    </xf>
    <xf numFmtId="0" fontId="19" fillId="0" borderId="46" xfId="0" applyFont="1" applyBorder="1" applyAlignment="1">
      <alignment horizontal="left" vertical="center" wrapText="1"/>
    </xf>
    <xf numFmtId="0" fontId="19" fillId="0" borderId="64" xfId="0" applyFont="1" applyBorder="1" applyAlignment="1">
      <alignment horizontal="left" vertical="center" wrapText="1"/>
    </xf>
    <xf numFmtId="0" fontId="15" fillId="0" borderId="0" xfId="0" applyFont="1" applyAlignment="1">
      <alignment horizontal="left" vertical="top" wrapText="1"/>
    </xf>
    <xf numFmtId="0" fontId="9" fillId="0" borderId="6" xfId="0" applyFont="1" applyBorder="1" applyAlignment="1">
      <alignment horizontal="center" wrapText="1"/>
    </xf>
    <xf numFmtId="0" fontId="9" fillId="0" borderId="4" xfId="0" applyFont="1" applyBorder="1" applyAlignment="1">
      <alignment horizontal="center" wrapText="1"/>
    </xf>
    <xf numFmtId="0" fontId="19" fillId="0" borderId="15" xfId="0" applyFont="1" applyBorder="1" applyAlignment="1">
      <alignment horizontal="left" vertical="center" wrapText="1"/>
    </xf>
    <xf numFmtId="0" fontId="19" fillId="0" borderId="33" xfId="0" applyFont="1" applyBorder="1" applyAlignment="1">
      <alignment horizontal="left" vertical="center" wrapText="1"/>
    </xf>
    <xf numFmtId="3" fontId="23" fillId="0" borderId="49" xfId="0" applyNumberFormat="1" applyFont="1" applyBorder="1" applyAlignment="1">
      <alignment horizontal="left" vertical="center" wrapText="1"/>
    </xf>
    <xf numFmtId="3" fontId="23" fillId="0" borderId="0" xfId="0" applyNumberFormat="1" applyFont="1" applyAlignment="1">
      <alignment horizontal="left" vertical="center" wrapText="1"/>
    </xf>
    <xf numFmtId="0" fontId="15" fillId="0" borderId="7"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5" xfId="0" applyFont="1" applyBorder="1" applyAlignment="1">
      <alignment horizontal="center" vertical="center" wrapText="1"/>
    </xf>
    <xf numFmtId="0" fontId="54" fillId="7" borderId="1" xfId="0" applyFont="1" applyFill="1" applyBorder="1" applyAlignment="1" applyProtection="1">
      <alignment horizontal="left" vertical="top"/>
      <protection locked="0"/>
    </xf>
    <xf numFmtId="0" fontId="54" fillId="7" borderId="0" xfId="0" applyFont="1" applyFill="1" applyAlignment="1" applyProtection="1">
      <alignment horizontal="left" vertical="top"/>
      <protection locked="0"/>
    </xf>
    <xf numFmtId="0" fontId="54" fillId="7" borderId="2" xfId="0" applyFont="1" applyFill="1" applyBorder="1" applyAlignment="1" applyProtection="1">
      <alignment horizontal="left" vertical="top"/>
      <protection locked="0"/>
    </xf>
    <xf numFmtId="0" fontId="54" fillId="7" borderId="12" xfId="0" applyFont="1" applyFill="1" applyBorder="1" applyAlignment="1" applyProtection="1">
      <alignment horizontal="left" vertical="top"/>
      <protection locked="0"/>
    </xf>
    <xf numFmtId="0" fontId="54" fillId="7" borderId="8" xfId="0" applyFont="1" applyFill="1" applyBorder="1" applyAlignment="1" applyProtection="1">
      <alignment horizontal="left" vertical="top"/>
      <protection locked="0"/>
    </xf>
    <xf numFmtId="0" fontId="54" fillId="7" borderId="3" xfId="0" applyFont="1" applyFill="1" applyBorder="1" applyAlignment="1" applyProtection="1">
      <alignment horizontal="left" vertical="top"/>
      <protection locked="0"/>
    </xf>
    <xf numFmtId="4" fontId="126" fillId="0" borderId="131" xfId="0" applyNumberFormat="1" applyFont="1" applyBorder="1" applyAlignment="1">
      <alignment horizontal="center" vertical="center" textRotation="90" shrinkToFit="1"/>
    </xf>
    <xf numFmtId="4" fontId="126" fillId="0" borderId="135" xfId="0" applyNumberFormat="1" applyFont="1" applyBorder="1" applyAlignment="1">
      <alignment horizontal="center" vertical="center" textRotation="90" shrinkToFit="1"/>
    </xf>
    <xf numFmtId="4" fontId="126" fillId="0" borderId="153" xfId="0" applyNumberFormat="1" applyFont="1" applyBorder="1" applyAlignment="1">
      <alignment horizontal="left" vertical="center" textRotation="90"/>
    </xf>
    <xf numFmtId="4" fontId="126" fillId="0" borderId="131" xfId="0" applyNumberFormat="1" applyFont="1" applyBorder="1" applyAlignment="1">
      <alignment horizontal="left" vertical="center" textRotation="90"/>
    </xf>
    <xf numFmtId="4" fontId="126" fillId="0" borderId="160" xfId="0" applyNumberFormat="1" applyFont="1" applyBorder="1" applyAlignment="1">
      <alignment horizontal="left" vertical="center" textRotation="90"/>
    </xf>
    <xf numFmtId="3" fontId="7" fillId="0" borderId="49" xfId="0" applyNumberFormat="1" applyFont="1" applyBorder="1" applyAlignment="1">
      <alignment horizontal="left" vertical="center" wrapText="1"/>
    </xf>
    <xf numFmtId="3" fontId="7" fillId="0" borderId="0" xfId="0" applyNumberFormat="1" applyFont="1" applyAlignment="1">
      <alignment horizontal="left" vertical="center" wrapText="1"/>
    </xf>
    <xf numFmtId="3" fontId="60" fillId="0" borderId="49" xfId="0" applyNumberFormat="1" applyFont="1" applyBorder="1" applyAlignment="1">
      <alignment horizontal="center" vertical="center" wrapText="1"/>
    </xf>
    <xf numFmtId="3" fontId="60" fillId="0" borderId="0" xfId="0" applyNumberFormat="1" applyFont="1" applyAlignment="1">
      <alignment horizontal="center" vertical="center" wrapText="1"/>
    </xf>
    <xf numFmtId="0" fontId="11" fillId="0" borderId="1" xfId="0" applyFont="1" applyBorder="1" applyAlignment="1">
      <alignment horizontal="left" vertical="center" wrapText="1"/>
    </xf>
    <xf numFmtId="0" fontId="11" fillId="0" borderId="0" xfId="0" applyFont="1" applyAlignment="1">
      <alignment horizontal="left" vertical="center" wrapText="1"/>
    </xf>
    <xf numFmtId="0" fontId="58" fillId="0" borderId="5" xfId="0" applyFont="1" applyBorder="1" applyAlignment="1">
      <alignment horizontal="center" vertical="center" wrapText="1" shrinkToFit="1"/>
    </xf>
    <xf numFmtId="0" fontId="58" fillId="0" borderId="3" xfId="0" applyFont="1" applyBorder="1" applyAlignment="1">
      <alignment horizontal="center" vertical="center" wrapText="1" shrinkToFit="1"/>
    </xf>
    <xf numFmtId="0" fontId="170" fillId="0" borderId="0" xfId="0" applyFont="1" applyAlignment="1">
      <alignment horizontal="right" vertical="center" wrapText="1"/>
    </xf>
    <xf numFmtId="3" fontId="60" fillId="0" borderId="43" xfId="0" applyNumberFormat="1" applyFont="1" applyBorder="1" applyAlignment="1">
      <alignment horizontal="left" wrapText="1"/>
    </xf>
    <xf numFmtId="0" fontId="172" fillId="0" borderId="17" xfId="0" applyFont="1" applyBorder="1" applyAlignment="1">
      <alignment horizontal="left" vertical="center" wrapText="1"/>
    </xf>
    <xf numFmtId="0" fontId="172" fillId="0" borderId="0" xfId="0" applyFont="1" applyAlignment="1">
      <alignment horizontal="left" vertical="center" wrapText="1"/>
    </xf>
    <xf numFmtId="0" fontId="172" fillId="0" borderId="30" xfId="0" applyFont="1" applyBorder="1" applyAlignment="1">
      <alignment horizontal="left" vertical="center" wrapText="1"/>
    </xf>
    <xf numFmtId="4" fontId="126" fillId="0" borderId="55" xfId="0" applyNumberFormat="1" applyFont="1" applyBorder="1" applyAlignment="1">
      <alignment horizontal="left" vertical="center" textRotation="90"/>
    </xf>
    <xf numFmtId="4" fontId="126" fillId="0" borderId="142" xfId="0" applyNumberFormat="1" applyFont="1" applyBorder="1" applyAlignment="1">
      <alignment horizontal="left" vertical="center" textRotation="90"/>
    </xf>
    <xf numFmtId="0" fontId="163" fillId="0" borderId="17" xfId="0" applyFont="1" applyBorder="1" applyAlignment="1">
      <alignment horizontal="left" vertical="center" wrapText="1"/>
    </xf>
    <xf numFmtId="0" fontId="163" fillId="0" borderId="0" xfId="0" applyFont="1" applyAlignment="1">
      <alignment horizontal="left" vertical="center" wrapText="1"/>
    </xf>
    <xf numFmtId="0" fontId="163" fillId="0" borderId="30" xfId="0" applyFont="1" applyBorder="1" applyAlignment="1">
      <alignment horizontal="left" vertical="center" wrapText="1"/>
    </xf>
    <xf numFmtId="3" fontId="104" fillId="0" borderId="49" xfId="0" applyNumberFormat="1" applyFont="1" applyBorder="1" applyAlignment="1">
      <alignment horizontal="left" vertical="center" wrapText="1"/>
    </xf>
    <xf numFmtId="3" fontId="104" fillId="0" borderId="0" xfId="0" applyNumberFormat="1" applyFont="1" applyAlignment="1">
      <alignment horizontal="left" vertical="center" wrapText="1"/>
    </xf>
    <xf numFmtId="3" fontId="104" fillId="0" borderId="144" xfId="0" applyNumberFormat="1" applyFont="1" applyBorder="1" applyAlignment="1">
      <alignment horizontal="left" vertical="center" wrapText="1"/>
    </xf>
    <xf numFmtId="3" fontId="104" fillId="0" borderId="33" xfId="0" applyNumberFormat="1" applyFont="1" applyBorder="1" applyAlignment="1">
      <alignment horizontal="left" vertical="center" wrapText="1"/>
    </xf>
    <xf numFmtId="4" fontId="126" fillId="0" borderId="195" xfId="0" applyNumberFormat="1" applyFont="1" applyBorder="1" applyAlignment="1">
      <alignment horizontal="left" vertical="center" textRotation="90"/>
    </xf>
    <xf numFmtId="4" fontId="126" fillId="0" borderId="154" xfId="0" applyNumberFormat="1" applyFont="1" applyBorder="1" applyAlignment="1">
      <alignment horizontal="left" vertical="center" textRotation="90"/>
    </xf>
    <xf numFmtId="3" fontId="23" fillId="0" borderId="49" xfId="0" applyNumberFormat="1" applyFont="1" applyBorder="1" applyAlignment="1">
      <alignment horizontal="left" vertical="top" wrapText="1"/>
    </xf>
    <xf numFmtId="3" fontId="23" fillId="0" borderId="0" xfId="0" applyNumberFormat="1" applyFont="1" applyAlignment="1">
      <alignment horizontal="left" vertical="top" wrapText="1"/>
    </xf>
    <xf numFmtId="3" fontId="23" fillId="0" borderId="50" xfId="0" applyNumberFormat="1" applyFont="1" applyBorder="1" applyAlignment="1">
      <alignment horizontal="left" vertical="center" wrapText="1"/>
    </xf>
    <xf numFmtId="3" fontId="23" fillId="0" borderId="48" xfId="0" applyNumberFormat="1" applyFont="1" applyBorder="1" applyAlignment="1">
      <alignment horizontal="left" vertical="center" wrapText="1"/>
    </xf>
    <xf numFmtId="3" fontId="104" fillId="0" borderId="43" xfId="0" applyNumberFormat="1" applyFont="1" applyBorder="1" applyAlignment="1">
      <alignment horizontal="left" wrapText="1"/>
    </xf>
    <xf numFmtId="3" fontId="60" fillId="0" borderId="1" xfId="0" applyNumberFormat="1" applyFont="1" applyBorder="1" applyAlignment="1">
      <alignment horizontal="center" vertical="center" wrapText="1"/>
    </xf>
    <xf numFmtId="3" fontId="165" fillId="0" borderId="144" xfId="0" applyNumberFormat="1" applyFont="1" applyBorder="1" applyAlignment="1">
      <alignment horizontal="left" wrapText="1"/>
    </xf>
    <xf numFmtId="3" fontId="165" fillId="0" borderId="33" xfId="0" applyNumberFormat="1" applyFont="1" applyBorder="1" applyAlignment="1">
      <alignment horizontal="left" wrapText="1"/>
    </xf>
    <xf numFmtId="3" fontId="163" fillId="0" borderId="190" xfId="0" applyNumberFormat="1" applyFont="1" applyBorder="1" applyAlignment="1">
      <alignment horizontal="left" vertical="center" wrapText="1"/>
    </xf>
    <xf numFmtId="3" fontId="163" fillId="0" borderId="13" xfId="0" applyNumberFormat="1" applyFont="1" applyBorder="1" applyAlignment="1">
      <alignment horizontal="left" vertical="center" wrapText="1"/>
    </xf>
    <xf numFmtId="0" fontId="9" fillId="0" borderId="0" xfId="0" applyFont="1" applyAlignment="1">
      <alignment horizontal="left" vertical="top" wrapText="1"/>
    </xf>
    <xf numFmtId="0" fontId="13" fillId="0" borderId="217" xfId="0" applyFont="1" applyBorder="1" applyAlignment="1">
      <alignment horizontal="left" vertical="top" wrapText="1"/>
    </xf>
    <xf numFmtId="0" fontId="13" fillId="0" borderId="215" xfId="0" applyFont="1" applyBorder="1" applyAlignment="1">
      <alignment horizontal="left" vertical="top" wrapText="1"/>
    </xf>
    <xf numFmtId="0" fontId="13" fillId="0" borderId="218" xfId="0" applyFont="1" applyBorder="1" applyAlignment="1">
      <alignment horizontal="left" vertical="top" wrapText="1"/>
    </xf>
    <xf numFmtId="0" fontId="15" fillId="2" borderId="0" xfId="0" applyFont="1" applyFill="1" applyAlignment="1">
      <alignment horizontal="left" shrinkToFit="1"/>
    </xf>
    <xf numFmtId="0" fontId="15" fillId="2" borderId="318" xfId="0" applyFont="1" applyFill="1" applyBorder="1" applyAlignment="1">
      <alignment horizontal="left" shrinkToFit="1"/>
    </xf>
    <xf numFmtId="0" fontId="240" fillId="0" borderId="219" xfId="3" applyBorder="1" applyAlignment="1">
      <alignment horizontal="center" vertical="center" wrapText="1"/>
    </xf>
    <xf numFmtId="0" fontId="240" fillId="0" borderId="216" xfId="3" applyBorder="1" applyAlignment="1">
      <alignment horizontal="center" vertical="center" wrapText="1"/>
    </xf>
    <xf numFmtId="0" fontId="23" fillId="0" borderId="0" xfId="0" applyFont="1" applyAlignment="1">
      <alignment horizontal="left" vertical="top" wrapText="1"/>
    </xf>
    <xf numFmtId="4" fontId="11" fillId="16" borderId="93" xfId="0" applyNumberFormat="1" applyFont="1" applyFill="1" applyBorder="1" applyAlignment="1">
      <alignment horizontal="center" vertical="center" shrinkToFit="1"/>
    </xf>
    <xf numFmtId="4" fontId="11" fillId="16" borderId="97" xfId="0" applyNumberFormat="1" applyFont="1" applyFill="1" applyBorder="1" applyAlignment="1">
      <alignment horizontal="center" vertical="center" shrinkToFit="1"/>
    </xf>
    <xf numFmtId="0" fontId="74" fillId="0" borderId="49" xfId="0" applyFont="1" applyBorder="1" applyAlignment="1">
      <alignment horizontal="center" vertical="center" wrapText="1"/>
    </xf>
    <xf numFmtId="0" fontId="74" fillId="0" borderId="0" xfId="0" applyFont="1" applyAlignment="1">
      <alignment horizontal="center" vertical="center" wrapText="1"/>
    </xf>
    <xf numFmtId="0" fontId="90" fillId="0" borderId="52" xfId="0" applyFont="1" applyBorder="1" applyAlignment="1">
      <alignment horizontal="left" wrapText="1"/>
    </xf>
    <xf numFmtId="0" fontId="90" fillId="0" borderId="53" xfId="0" applyFont="1" applyBorder="1" applyAlignment="1">
      <alignment horizontal="left" wrapText="1"/>
    </xf>
    <xf numFmtId="0" fontId="90" fillId="0" borderId="54" xfId="0" applyFont="1" applyBorder="1" applyAlignment="1">
      <alignment horizontal="left" wrapText="1"/>
    </xf>
    <xf numFmtId="0" fontId="90" fillId="0" borderId="49" xfId="0" applyFont="1" applyBorder="1" applyAlignment="1">
      <alignment horizontal="left" wrapText="1"/>
    </xf>
    <xf numFmtId="0" fontId="90" fillId="0" borderId="0" xfId="0" applyFont="1" applyAlignment="1">
      <alignment horizontal="left" wrapText="1"/>
    </xf>
    <xf numFmtId="0" fontId="90" fillId="0" borderId="55" xfId="0" applyFont="1" applyBorder="1" applyAlignment="1">
      <alignment horizontal="left" wrapText="1"/>
    </xf>
    <xf numFmtId="0" fontId="90" fillId="0" borderId="51" xfId="0" applyFont="1" applyBorder="1" applyAlignment="1">
      <alignment horizontal="left" wrapText="1"/>
    </xf>
    <xf numFmtId="0" fontId="90" fillId="0" borderId="8" xfId="0" applyFont="1" applyBorder="1" applyAlignment="1">
      <alignment horizontal="left" wrapText="1"/>
    </xf>
    <xf numFmtId="0" fontId="90" fillId="0" borderId="118" xfId="0" applyFont="1" applyBorder="1" applyAlignment="1">
      <alignment horizontal="left" wrapText="1"/>
    </xf>
    <xf numFmtId="0" fontId="11" fillId="0" borderId="96" xfId="0" applyFont="1" applyBorder="1" applyAlignment="1">
      <alignment horizontal="center" wrapText="1"/>
    </xf>
    <xf numFmtId="0" fontId="11" fillId="0" borderId="145" xfId="0" applyFont="1" applyBorder="1" applyAlignment="1">
      <alignment horizontal="center" wrapText="1"/>
    </xf>
    <xf numFmtId="0" fontId="56" fillId="0" borderId="0" xfId="0" applyFont="1" applyAlignment="1">
      <alignment horizontal="center" vertical="center" wrapText="1"/>
    </xf>
    <xf numFmtId="0" fontId="15" fillId="0" borderId="49" xfId="0" applyFont="1" applyBorder="1" applyAlignment="1">
      <alignment horizontal="left" vertical="center" wrapText="1"/>
    </xf>
    <xf numFmtId="0" fontId="15" fillId="0" borderId="144" xfId="0" applyFont="1" applyBorder="1" applyAlignment="1">
      <alignment horizontal="left" vertical="center" wrapText="1"/>
    </xf>
    <xf numFmtId="0" fontId="15" fillId="0" borderId="33" xfId="0" applyFont="1" applyBorder="1" applyAlignment="1">
      <alignment horizontal="left" vertical="center" wrapText="1"/>
    </xf>
    <xf numFmtId="0" fontId="56" fillId="0" borderId="49" xfId="0" applyFont="1" applyBorder="1" applyAlignment="1">
      <alignment horizontal="center" vertical="center" wrapText="1"/>
    </xf>
    <xf numFmtId="0" fontId="6" fillId="0" borderId="52" xfId="0" applyFont="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357" fillId="0" borderId="0" xfId="3" applyFont="1" applyAlignment="1">
      <alignment horizontal="center" wrapText="1"/>
    </xf>
    <xf numFmtId="0" fontId="15" fillId="4" borderId="0" xfId="0" applyFont="1" applyFill="1" applyAlignment="1">
      <alignment horizontal="center" vertical="center" wrapText="1"/>
    </xf>
    <xf numFmtId="0" fontId="15" fillId="4" borderId="48" xfId="0" applyFont="1" applyFill="1" applyBorder="1" applyAlignment="1">
      <alignment horizontal="center" vertical="center" wrapText="1"/>
    </xf>
    <xf numFmtId="0" fontId="23" fillId="0" borderId="49" xfId="0" applyFont="1" applyBorder="1" applyAlignment="1">
      <alignment horizontal="left" vertical="center" wrapText="1"/>
    </xf>
    <xf numFmtId="0" fontId="23" fillId="0" borderId="55" xfId="0" applyFont="1" applyBorder="1" applyAlignment="1">
      <alignment horizontal="left" vertical="center" wrapText="1"/>
    </xf>
    <xf numFmtId="0" fontId="23" fillId="0" borderId="50" xfId="0" applyFont="1" applyBorder="1" applyAlignment="1">
      <alignment horizontal="left" vertical="center" wrapText="1"/>
    </xf>
    <xf numFmtId="0" fontId="23" fillId="0" borderId="48" xfId="0" applyFont="1" applyBorder="1" applyAlignment="1">
      <alignment horizontal="left" vertical="center" wrapText="1"/>
    </xf>
    <xf numFmtId="0" fontId="23" fillId="0" borderId="56" xfId="0" applyFont="1" applyBorder="1" applyAlignment="1">
      <alignment horizontal="left" vertical="center" wrapText="1"/>
    </xf>
    <xf numFmtId="169" fontId="13" fillId="12" borderId="23" xfId="0" applyNumberFormat="1" applyFont="1" applyFill="1" applyBorder="1" applyAlignment="1">
      <alignment horizontal="center" vertical="center" wrapText="1"/>
    </xf>
    <xf numFmtId="0" fontId="11" fillId="0" borderId="93" xfId="0" applyFont="1" applyBorder="1" applyAlignment="1">
      <alignment horizontal="left" wrapText="1"/>
    </xf>
    <xf numFmtId="0" fontId="11" fillId="0" borderId="96" xfId="0" applyFont="1" applyBorder="1" applyAlignment="1">
      <alignment horizontal="left" wrapText="1"/>
    </xf>
    <xf numFmtId="0" fontId="11" fillId="0" borderId="145" xfId="0" applyFont="1" applyBorder="1" applyAlignment="1">
      <alignment horizontal="left" wrapText="1"/>
    </xf>
    <xf numFmtId="0" fontId="56" fillId="0" borderId="0" xfId="0" applyFont="1" applyAlignment="1">
      <alignment horizontal="center" wrapText="1"/>
    </xf>
    <xf numFmtId="49" fontId="15" fillId="0" borderId="0" xfId="0" applyNumberFormat="1" applyFont="1" applyAlignment="1">
      <alignment horizontal="left" wrapText="1"/>
    </xf>
    <xf numFmtId="0" fontId="239" fillId="0" borderId="0" xfId="0" applyFont="1" applyAlignment="1">
      <alignment horizontal="left" vertical="top"/>
    </xf>
    <xf numFmtId="0" fontId="298" fillId="37" borderId="55" xfId="0" applyFont="1" applyFill="1" applyBorder="1" applyAlignment="1">
      <alignment horizontal="center" wrapText="1"/>
    </xf>
    <xf numFmtId="0" fontId="11" fillId="0" borderId="55" xfId="0" applyFont="1" applyBorder="1" applyAlignment="1">
      <alignment horizontal="center" wrapText="1"/>
    </xf>
    <xf numFmtId="0" fontId="11" fillId="0" borderId="118" xfId="0" applyFont="1" applyBorder="1" applyAlignment="1">
      <alignment horizontal="center" wrapText="1"/>
    </xf>
    <xf numFmtId="3" fontId="170" fillId="0" borderId="185" xfId="0" applyNumberFormat="1" applyFont="1" applyBorder="1" applyAlignment="1">
      <alignment horizontal="left" vertical="center" wrapText="1"/>
    </xf>
    <xf numFmtId="3" fontId="170" fillId="0" borderId="183" xfId="0" applyNumberFormat="1" applyFont="1" applyBorder="1" applyAlignment="1">
      <alignment horizontal="left" vertical="center" wrapText="1"/>
    </xf>
    <xf numFmtId="3" fontId="104" fillId="0" borderId="43" xfId="0" applyNumberFormat="1" applyFont="1" applyBorder="1" applyAlignment="1">
      <alignment horizontal="left" vertical="center" wrapText="1"/>
    </xf>
    <xf numFmtId="14" fontId="11" fillId="2" borderId="331" xfId="0" applyNumberFormat="1" applyFont="1" applyFill="1" applyBorder="1" applyAlignment="1">
      <alignment horizontal="left"/>
    </xf>
    <xf numFmtId="3" fontId="104" fillId="0" borderId="1" xfId="0" applyNumberFormat="1" applyFont="1" applyBorder="1" applyAlignment="1">
      <alignment horizontal="center" vertical="center" wrapText="1"/>
    </xf>
    <xf numFmtId="3" fontId="104" fillId="0" borderId="0" xfId="0" applyNumberFormat="1" applyFont="1" applyAlignment="1">
      <alignment horizontal="center" vertical="center" wrapText="1"/>
    </xf>
    <xf numFmtId="4" fontId="126" fillId="0" borderId="55" xfId="0" applyNumberFormat="1" applyFont="1" applyBorder="1" applyAlignment="1">
      <alignment horizontal="left" vertical="center" textRotation="90" shrinkToFit="1"/>
    </xf>
    <xf numFmtId="4" fontId="126" fillId="0" borderId="133" xfId="0" applyNumberFormat="1" applyFont="1" applyBorder="1" applyAlignment="1">
      <alignment horizontal="left" vertical="center" textRotation="90" shrinkToFit="1"/>
    </xf>
    <xf numFmtId="3" fontId="172" fillId="0" borderId="49" xfId="0" applyNumberFormat="1" applyFont="1" applyBorder="1" applyAlignment="1">
      <alignment horizontal="left" vertical="center" wrapText="1"/>
    </xf>
    <xf numFmtId="3" fontId="172" fillId="0" borderId="0" xfId="0" applyNumberFormat="1" applyFont="1" applyAlignment="1">
      <alignment horizontal="left" vertical="center" wrapText="1"/>
    </xf>
    <xf numFmtId="4" fontId="126" fillId="0" borderId="151" xfId="0" applyNumberFormat="1" applyFont="1" applyBorder="1" applyAlignment="1">
      <alignment horizontal="left" vertical="center" textRotation="90" shrinkToFit="1"/>
    </xf>
    <xf numFmtId="4" fontId="126" fillId="0" borderId="131" xfId="0" applyNumberFormat="1" applyFont="1" applyBorder="1" applyAlignment="1">
      <alignment horizontal="left" vertical="center" textRotation="90" shrinkToFit="1"/>
    </xf>
    <xf numFmtId="4" fontId="126" fillId="0" borderId="135" xfId="0" applyNumberFormat="1" applyFont="1" applyBorder="1" applyAlignment="1">
      <alignment horizontal="left" vertical="center" textRotation="90" shrinkToFit="1"/>
    </xf>
    <xf numFmtId="3" fontId="54" fillId="0" borderId="0" xfId="0" applyNumberFormat="1" applyFont="1" applyAlignment="1">
      <alignment horizontal="center" vertical="center" wrapText="1"/>
    </xf>
    <xf numFmtId="4" fontId="126" fillId="0" borderId="134" xfId="0" applyNumberFormat="1" applyFont="1" applyBorder="1" applyAlignment="1">
      <alignment horizontal="left" vertical="center" textRotation="90" shrinkToFit="1"/>
    </xf>
    <xf numFmtId="3" fontId="165" fillId="0" borderId="49" xfId="0" applyNumberFormat="1" applyFont="1" applyBorder="1" applyAlignment="1">
      <alignment horizontal="left" vertical="center" wrapText="1"/>
    </xf>
    <xf numFmtId="3" fontId="165" fillId="0" borderId="0" xfId="0" applyNumberFormat="1" applyFont="1" applyAlignment="1">
      <alignment horizontal="left" vertical="center" wrapText="1"/>
    </xf>
    <xf numFmtId="4" fontId="126" fillId="0" borderId="54" xfId="0" applyNumberFormat="1" applyFont="1" applyBorder="1" applyAlignment="1">
      <alignment horizontal="left" vertical="center" shrinkToFit="1"/>
    </xf>
    <xf numFmtId="4" fontId="126" fillId="0" borderId="55" xfId="0" applyNumberFormat="1" applyFont="1" applyBorder="1" applyAlignment="1">
      <alignment horizontal="left" vertical="center" shrinkToFit="1"/>
    </xf>
    <xf numFmtId="4" fontId="126" fillId="0" borderId="133" xfId="0" applyNumberFormat="1" applyFont="1" applyBorder="1" applyAlignment="1">
      <alignment horizontal="left" vertical="center" shrinkToFit="1"/>
    </xf>
    <xf numFmtId="3" fontId="11" fillId="0" borderId="50" xfId="0" applyNumberFormat="1" applyFont="1" applyBorder="1" applyAlignment="1">
      <alignment horizontal="left" vertical="center" wrapText="1"/>
    </xf>
    <xf numFmtId="3" fontId="11" fillId="0" borderId="48" xfId="0" applyNumberFormat="1" applyFont="1" applyBorder="1" applyAlignment="1">
      <alignment horizontal="left" vertical="center" wrapText="1"/>
    </xf>
    <xf numFmtId="3" fontId="170" fillId="0" borderId="49" xfId="0" applyNumberFormat="1" applyFont="1" applyBorder="1" applyAlignment="1">
      <alignment horizontal="left" vertical="center" wrapText="1"/>
    </xf>
    <xf numFmtId="3" fontId="170" fillId="0" borderId="0" xfId="0" applyNumberFormat="1" applyFont="1" applyAlignment="1">
      <alignment horizontal="left" vertical="center" wrapText="1"/>
    </xf>
    <xf numFmtId="4" fontId="126" fillId="0" borderId="193" xfId="0" applyNumberFormat="1" applyFont="1" applyBorder="1" applyAlignment="1">
      <alignment horizontal="left" vertical="center" textRotation="90"/>
    </xf>
    <xf numFmtId="4" fontId="126" fillId="0" borderId="194" xfId="0" applyNumberFormat="1" applyFont="1" applyBorder="1" applyAlignment="1">
      <alignment horizontal="left" vertical="center" textRotation="90"/>
    </xf>
    <xf numFmtId="4" fontId="126" fillId="0" borderId="54" xfId="0" applyNumberFormat="1" applyFont="1" applyBorder="1" applyAlignment="1">
      <alignment horizontal="left" vertical="center" textRotation="90"/>
    </xf>
    <xf numFmtId="4" fontId="126" fillId="0" borderId="56" xfId="0" applyNumberFormat="1" applyFont="1" applyBorder="1" applyAlignment="1">
      <alignment horizontal="left" vertical="center" textRotation="90"/>
    </xf>
    <xf numFmtId="4" fontId="126" fillId="0" borderId="133" xfId="0" applyNumberFormat="1" applyFont="1" applyBorder="1" applyAlignment="1">
      <alignment horizontal="left" vertical="center" textRotation="90"/>
    </xf>
    <xf numFmtId="0" fontId="7" fillId="2" borderId="0" xfId="0" applyFont="1" applyFill="1" applyAlignment="1">
      <alignment horizontal="left" vertical="center" wrapText="1"/>
    </xf>
    <xf numFmtId="0" fontId="104" fillId="0" borderId="39" xfId="0" applyFont="1" applyBorder="1" applyAlignment="1">
      <alignment horizontal="left" wrapText="1"/>
    </xf>
    <xf numFmtId="0" fontId="104" fillId="0" borderId="43" xfId="0" applyFont="1" applyBorder="1" applyAlignment="1">
      <alignment horizontal="left" wrapText="1"/>
    </xf>
    <xf numFmtId="3" fontId="60" fillId="0" borderId="0" xfId="0" applyNumberFormat="1" applyFont="1" applyAlignment="1">
      <alignment horizontal="left" vertical="center" wrapText="1"/>
    </xf>
    <xf numFmtId="3" fontId="51" fillId="0" borderId="49" xfId="0" applyNumberFormat="1" applyFont="1" applyBorder="1" applyAlignment="1">
      <alignment horizontal="left" vertical="center" wrapText="1"/>
    </xf>
    <xf numFmtId="3" fontId="51" fillId="0" borderId="0" xfId="0" applyNumberFormat="1" applyFont="1" applyAlignment="1">
      <alignment horizontal="left" vertical="center" wrapText="1"/>
    </xf>
    <xf numFmtId="3" fontId="170" fillId="0" borderId="144" xfId="0" applyNumberFormat="1" applyFont="1" applyBorder="1" applyAlignment="1">
      <alignment horizontal="left" vertical="center" wrapText="1"/>
    </xf>
    <xf numFmtId="3" fontId="170" fillId="0" borderId="33" xfId="0" applyNumberFormat="1" applyFont="1" applyBorder="1" applyAlignment="1">
      <alignment horizontal="left" vertical="center" wrapText="1"/>
    </xf>
    <xf numFmtId="3" fontId="11" fillId="0" borderId="315" xfId="0" applyNumberFormat="1" applyFont="1" applyBorder="1" applyAlignment="1">
      <alignment horizontal="left" vertical="center" wrapText="1"/>
    </xf>
    <xf numFmtId="3" fontId="11" fillId="0" borderId="317" xfId="0" applyNumberFormat="1" applyFont="1" applyBorder="1" applyAlignment="1">
      <alignment horizontal="left" vertical="center" wrapText="1"/>
    </xf>
    <xf numFmtId="3" fontId="58" fillId="0" borderId="43" xfId="0" applyNumberFormat="1" applyFont="1" applyBorder="1" applyAlignment="1">
      <alignment horizontal="left" wrapText="1"/>
    </xf>
    <xf numFmtId="3" fontId="15" fillId="0" borderId="49" xfId="0" applyNumberFormat="1" applyFont="1" applyBorder="1" applyAlignment="1">
      <alignment horizontal="left" vertical="center" wrapText="1"/>
    </xf>
    <xf numFmtId="3" fontId="15" fillId="0" borderId="0" xfId="0" applyNumberFormat="1" applyFont="1" applyAlignment="1">
      <alignment horizontal="left" vertical="center" wrapText="1"/>
    </xf>
    <xf numFmtId="4" fontId="126" fillId="0" borderId="137" xfId="0" applyNumberFormat="1" applyFont="1" applyBorder="1" applyAlignment="1">
      <alignment horizontal="left" vertical="center" textRotation="90" shrinkToFit="1"/>
    </xf>
    <xf numFmtId="4" fontId="126" fillId="0" borderId="142" xfId="0" applyNumberFormat="1" applyFont="1" applyBorder="1" applyAlignment="1">
      <alignment horizontal="left" vertical="center" textRotation="90" shrinkToFit="1"/>
    </xf>
    <xf numFmtId="3" fontId="116" fillId="0" borderId="49" xfId="0" applyNumberFormat="1" applyFont="1" applyBorder="1" applyAlignment="1">
      <alignment horizontal="left" wrapText="1"/>
    </xf>
    <xf numFmtId="3" fontId="116" fillId="0" borderId="0" xfId="0" applyNumberFormat="1" applyFont="1" applyAlignment="1">
      <alignment horizontal="left" wrapText="1"/>
    </xf>
    <xf numFmtId="3" fontId="11" fillId="0" borderId="0" xfId="0" applyNumberFormat="1" applyFont="1" applyAlignment="1">
      <alignment horizontal="left" vertical="center" wrapText="1"/>
    </xf>
    <xf numFmtId="3" fontId="165" fillId="0" borderId="144" xfId="0" applyNumberFormat="1" applyFont="1" applyBorder="1" applyAlignment="1">
      <alignment horizontal="left" vertical="center" wrapText="1"/>
    </xf>
    <xf numFmtId="3" fontId="165" fillId="0" borderId="33" xfId="0" applyNumberFormat="1" applyFont="1" applyBorder="1" applyAlignment="1">
      <alignment horizontal="left" vertical="center" wrapText="1"/>
    </xf>
    <xf numFmtId="3" fontId="164" fillId="0" borderId="49" xfId="0" applyNumberFormat="1" applyFont="1" applyBorder="1" applyAlignment="1">
      <alignment horizontal="left" vertical="top" wrapText="1"/>
    </xf>
    <xf numFmtId="3" fontId="164" fillId="0" borderId="0" xfId="0" applyNumberFormat="1" applyFont="1" applyAlignment="1">
      <alignment horizontal="left" vertical="top" wrapText="1"/>
    </xf>
    <xf numFmtId="3" fontId="23" fillId="0" borderId="39" xfId="0" applyNumberFormat="1" applyFont="1" applyBorder="1" applyAlignment="1">
      <alignment horizontal="left" vertical="top" wrapText="1"/>
    </xf>
    <xf numFmtId="3" fontId="23" fillId="0" borderId="43" xfId="0" applyNumberFormat="1" applyFont="1" applyBorder="1" applyAlignment="1">
      <alignment horizontal="left" vertical="top" wrapText="1"/>
    </xf>
    <xf numFmtId="3" fontId="23" fillId="0" borderId="1" xfId="0" applyNumberFormat="1" applyFont="1" applyBorder="1" applyAlignment="1">
      <alignment horizontal="left" vertical="top" wrapText="1"/>
    </xf>
    <xf numFmtId="3" fontId="104" fillId="0" borderId="1" xfId="0" applyNumberFormat="1" applyFont="1" applyBorder="1" applyAlignment="1">
      <alignment horizontal="left" vertical="center" wrapText="1"/>
    </xf>
    <xf numFmtId="3" fontId="54" fillId="0" borderId="1" xfId="0" applyNumberFormat="1" applyFont="1" applyBorder="1" applyAlignment="1">
      <alignment horizontal="center" vertical="center" wrapText="1"/>
    </xf>
    <xf numFmtId="3" fontId="316" fillId="0" borderId="0" xfId="0" applyNumberFormat="1" applyFont="1" applyAlignment="1">
      <alignment horizontal="center" vertical="center" wrapText="1"/>
    </xf>
    <xf numFmtId="3" fontId="316" fillId="0" borderId="2" xfId="0" applyNumberFormat="1" applyFont="1" applyBorder="1" applyAlignment="1">
      <alignment horizontal="center" vertical="center" wrapText="1"/>
    </xf>
    <xf numFmtId="4" fontId="126" fillId="0" borderId="153" xfId="0" applyNumberFormat="1" applyFont="1" applyBorder="1" applyAlignment="1">
      <alignment horizontal="left" vertical="center" shrinkToFit="1"/>
    </xf>
    <xf numFmtId="4" fontId="126" fillId="0" borderId="135" xfId="0" applyNumberFormat="1" applyFont="1" applyBorder="1" applyAlignment="1">
      <alignment horizontal="left" vertical="center" shrinkToFit="1"/>
    </xf>
    <xf numFmtId="3" fontId="58" fillId="0" borderId="144" xfId="0" applyNumberFormat="1" applyFont="1" applyBorder="1" applyAlignment="1">
      <alignment horizontal="left" vertical="center"/>
    </xf>
    <xf numFmtId="3" fontId="58" fillId="0" borderId="33" xfId="0" applyNumberFormat="1" applyFont="1" applyBorder="1" applyAlignment="1">
      <alignment horizontal="left" vertical="center"/>
    </xf>
    <xf numFmtId="3" fontId="170" fillId="0" borderId="52" xfId="0" applyNumberFormat="1" applyFont="1" applyBorder="1" applyAlignment="1">
      <alignment horizontal="left" vertical="center" wrapText="1"/>
    </xf>
    <xf numFmtId="3" fontId="170" fillId="0" borderId="53" xfId="0" applyNumberFormat="1" applyFont="1" applyBorder="1" applyAlignment="1">
      <alignment horizontal="left" vertical="center" wrapText="1"/>
    </xf>
    <xf numFmtId="3" fontId="23" fillId="0" borderId="0" xfId="0" applyNumberFormat="1" applyFont="1" applyAlignment="1">
      <alignment horizontal="left" wrapText="1"/>
    </xf>
    <xf numFmtId="3" fontId="58" fillId="0" borderId="0" xfId="0" applyNumberFormat="1" applyFont="1" applyAlignment="1">
      <alignment horizontal="left" vertical="center" wrapText="1"/>
    </xf>
    <xf numFmtId="0" fontId="181" fillId="0" borderId="39" xfId="0" applyFont="1" applyBorder="1" applyAlignment="1">
      <alignment horizontal="left" vertical="center" wrapText="1"/>
    </xf>
    <xf numFmtId="0" fontId="181" fillId="0" borderId="12" xfId="0" applyFont="1" applyBorder="1" applyAlignment="1">
      <alignment horizontal="left" vertical="center" wrapText="1"/>
    </xf>
    <xf numFmtId="0" fontId="15" fillId="7" borderId="136" xfId="0" applyFont="1" applyFill="1" applyBorder="1" applyAlignment="1" applyProtection="1">
      <alignment horizontal="left" shrinkToFit="1"/>
      <protection locked="0"/>
    </xf>
    <xf numFmtId="0" fontId="15" fillId="7" borderId="324" xfId="0" applyFont="1" applyFill="1" applyBorder="1" applyAlignment="1" applyProtection="1">
      <alignment horizontal="left" shrinkToFit="1"/>
      <protection locked="0"/>
    </xf>
    <xf numFmtId="0" fontId="23" fillId="0" borderId="17" xfId="0" applyFont="1" applyBorder="1" applyAlignment="1">
      <alignment horizontal="left" vertical="center" wrapText="1"/>
    </xf>
    <xf numFmtId="0" fontId="23" fillId="0" borderId="30" xfId="0" applyFont="1" applyBorder="1" applyAlignment="1">
      <alignment horizontal="left" vertical="center" wrapText="1"/>
    </xf>
    <xf numFmtId="4" fontId="126" fillId="0" borderId="151" xfId="0" applyNumberFormat="1" applyFont="1" applyBorder="1" applyAlignment="1">
      <alignment horizontal="center" vertical="center" shrinkToFit="1"/>
    </xf>
    <xf numFmtId="4" fontId="126" fillId="0" borderId="135" xfId="0" applyNumberFormat="1" applyFont="1" applyBorder="1" applyAlignment="1">
      <alignment horizontal="center" vertical="center" shrinkToFit="1"/>
    </xf>
    <xf numFmtId="0" fontId="23" fillId="0" borderId="5" xfId="0" applyFont="1" applyBorder="1" applyAlignment="1">
      <alignment horizontal="left" vertical="center" wrapText="1"/>
    </xf>
    <xf numFmtId="0" fontId="163" fillId="0" borderId="17" xfId="0" applyFont="1" applyBorder="1" applyAlignment="1">
      <alignment horizontal="right" wrapText="1"/>
    </xf>
    <xf numFmtId="0" fontId="163" fillId="0" borderId="8" xfId="0" applyFont="1" applyBorder="1" applyAlignment="1">
      <alignment horizontal="right" wrapText="1"/>
    </xf>
    <xf numFmtId="4" fontId="126" fillId="0" borderId="135" xfId="0" applyNumberFormat="1" applyFont="1" applyBorder="1" applyAlignment="1">
      <alignment horizontal="left" vertical="center" textRotation="90"/>
    </xf>
    <xf numFmtId="3" fontId="11" fillId="0" borderId="159" xfId="0" applyNumberFormat="1" applyFont="1" applyBorder="1" applyAlignment="1">
      <alignment horizontal="left" vertical="center" wrapText="1"/>
    </xf>
    <xf numFmtId="3" fontId="11" fillId="0" borderId="157" xfId="0" applyNumberFormat="1" applyFont="1" applyBorder="1" applyAlignment="1">
      <alignment horizontal="left" vertical="center" wrapText="1"/>
    </xf>
    <xf numFmtId="3" fontId="104" fillId="0" borderId="136" xfId="0" applyNumberFormat="1" applyFont="1" applyBorder="1" applyAlignment="1">
      <alignment horizontal="left" vertical="center" wrapText="1"/>
    </xf>
    <xf numFmtId="3" fontId="104" fillId="0" borderId="149" xfId="0" applyNumberFormat="1" applyFont="1" applyBorder="1" applyAlignment="1">
      <alignment horizontal="left" vertical="center" wrapText="1"/>
    </xf>
    <xf numFmtId="0" fontId="7" fillId="15" borderId="17"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6" fillId="2" borderId="0" xfId="0" applyFont="1" applyFill="1" applyAlignment="1">
      <alignment horizontal="left" vertical="top" wrapText="1" shrinkToFit="1"/>
    </xf>
    <xf numFmtId="0" fontId="11" fillId="2" borderId="44" xfId="0" applyFont="1" applyFill="1" applyBorder="1" applyAlignment="1">
      <alignment horizontal="center" vertical="center" wrapText="1"/>
    </xf>
    <xf numFmtId="0" fontId="11" fillId="2" borderId="74" xfId="0" applyFont="1" applyFill="1" applyBorder="1" applyAlignment="1">
      <alignment horizontal="center" vertical="center" wrapText="1"/>
    </xf>
    <xf numFmtId="0" fontId="7" fillId="0" borderId="52" xfId="0" applyFont="1" applyBorder="1" applyAlignment="1">
      <alignment horizontal="left" vertical="center" wrapText="1"/>
    </xf>
    <xf numFmtId="0" fontId="7" fillId="0" borderId="53" xfId="0" applyFont="1" applyBorder="1" applyAlignment="1">
      <alignment horizontal="left" vertical="center" wrapText="1"/>
    </xf>
    <xf numFmtId="0" fontId="7" fillId="0" borderId="54" xfId="0" applyFont="1" applyBorder="1" applyAlignment="1">
      <alignment horizontal="left" vertical="center" wrapText="1"/>
    </xf>
    <xf numFmtId="0" fontId="56" fillId="0" borderId="64" xfId="0" applyFont="1" applyBorder="1" applyAlignment="1">
      <alignment horizontal="center" vertical="center" wrapText="1"/>
    </xf>
    <xf numFmtId="0" fontId="75" fillId="0" borderId="340" xfId="0" applyFont="1" applyBorder="1" applyAlignment="1">
      <alignment horizontal="center" textRotation="90" wrapText="1"/>
    </xf>
    <xf numFmtId="0" fontId="75" fillId="0" borderId="197" xfId="0" applyFont="1" applyBorder="1" applyAlignment="1">
      <alignment horizontal="center" textRotation="90" wrapText="1"/>
    </xf>
    <xf numFmtId="0" fontId="75" fillId="0" borderId="35" xfId="0" applyFont="1" applyBorder="1" applyAlignment="1">
      <alignment horizontal="center" textRotation="90" wrapText="1"/>
    </xf>
    <xf numFmtId="0" fontId="54" fillId="4" borderId="64" xfId="0" applyFont="1" applyFill="1" applyBorder="1" applyAlignment="1">
      <alignment horizontal="center" vertical="center" wrapText="1" shrinkToFit="1"/>
    </xf>
    <xf numFmtId="0" fontId="54" fillId="4" borderId="122" xfId="0" applyFont="1" applyFill="1" applyBorder="1" applyAlignment="1">
      <alignment horizontal="center" vertical="center" wrapText="1" shrinkToFit="1"/>
    </xf>
    <xf numFmtId="0" fontId="11" fillId="0" borderId="9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1" xfId="0" applyFont="1" applyBorder="1" applyAlignment="1">
      <alignment horizontal="center" vertical="center" wrapText="1"/>
    </xf>
    <xf numFmtId="0" fontId="23" fillId="0" borderId="44" xfId="0" applyFont="1" applyBorder="1" applyAlignment="1">
      <alignment horizontal="right" vertical="center" wrapText="1"/>
    </xf>
    <xf numFmtId="0" fontId="23" fillId="0" borderId="74" xfId="0" applyFont="1" applyBorder="1" applyAlignment="1">
      <alignment horizontal="right" vertical="center" wrapText="1"/>
    </xf>
    <xf numFmtId="0" fontId="125" fillId="0" borderId="41" xfId="0" applyFont="1" applyBorder="1" applyAlignment="1">
      <alignment horizontal="center" vertical="center" wrapText="1"/>
    </xf>
    <xf numFmtId="0" fontId="125" fillId="0" borderId="4" xfId="0" applyFont="1" applyBorder="1" applyAlignment="1">
      <alignment horizontal="center" vertical="center" wrapText="1"/>
    </xf>
    <xf numFmtId="0" fontId="9" fillId="2" borderId="17" xfId="0" applyFont="1" applyFill="1" applyBorder="1" applyAlignment="1">
      <alignment horizontal="left" wrapText="1"/>
    </xf>
    <xf numFmtId="0" fontId="9" fillId="2" borderId="0" xfId="0" applyFont="1" applyFill="1" applyAlignment="1">
      <alignment horizontal="left" wrapText="1"/>
    </xf>
    <xf numFmtId="0" fontId="24" fillId="2" borderId="6" xfId="0" applyFont="1" applyFill="1" applyBorder="1" applyAlignment="1">
      <alignment horizontal="left" wrapText="1"/>
    </xf>
    <xf numFmtId="0" fontId="24" fillId="2" borderId="4" xfId="0" applyFont="1" applyFill="1" applyBorder="1" applyAlignment="1">
      <alignment horizontal="left" wrapText="1"/>
    </xf>
    <xf numFmtId="0" fontId="11" fillId="0" borderId="0" xfId="0" applyFont="1" applyAlignment="1">
      <alignment horizontal="center" wrapText="1"/>
    </xf>
    <xf numFmtId="0" fontId="11" fillId="0" borderId="8" xfId="0" applyFont="1" applyBorder="1" applyAlignment="1">
      <alignment horizontal="center" wrapText="1"/>
    </xf>
    <xf numFmtId="0" fontId="6" fillId="0" borderId="0" xfId="0" applyFont="1" applyAlignment="1">
      <alignment horizontal="left" vertical="center" wrapText="1"/>
    </xf>
    <xf numFmtId="0" fontId="143" fillId="6" borderId="94" xfId="0" applyFont="1" applyFill="1" applyBorder="1" applyAlignment="1">
      <alignment horizontal="left" vertical="top" wrapText="1"/>
    </xf>
    <xf numFmtId="0" fontId="143" fillId="6" borderId="361" xfId="0" applyFont="1" applyFill="1" applyBorder="1" applyAlignment="1">
      <alignment horizontal="left" vertical="top" wrapText="1"/>
    </xf>
    <xf numFmtId="0" fontId="24" fillId="2" borderId="6" xfId="0" applyFont="1" applyFill="1" applyBorder="1" applyAlignment="1">
      <alignment horizontal="center" vertical="center" wrapText="1"/>
    </xf>
    <xf numFmtId="0" fontId="48" fillId="0" borderId="4" xfId="0" applyFont="1" applyBorder="1" applyAlignment="1">
      <alignment horizontal="center" vertical="center"/>
    </xf>
    <xf numFmtId="0" fontId="22" fillId="0" borderId="0" xfId="0" applyFont="1" applyAlignment="1">
      <alignment horizontal="center" wrapText="1"/>
    </xf>
    <xf numFmtId="0" fontId="22" fillId="0" borderId="271" xfId="0" applyFont="1" applyBorder="1" applyAlignment="1">
      <alignment horizontal="center" wrapText="1"/>
    </xf>
    <xf numFmtId="0" fontId="22" fillId="0" borderId="272" xfId="0" applyFont="1" applyBorder="1" applyAlignment="1">
      <alignment horizontal="center" wrapText="1"/>
    </xf>
    <xf numFmtId="0" fontId="144" fillId="0" borderId="1" xfId="0" applyFont="1" applyBorder="1" applyAlignment="1">
      <alignment horizontal="center" vertical="center" wrapText="1"/>
    </xf>
    <xf numFmtId="0" fontId="144" fillId="0" borderId="0" xfId="0" applyFont="1" applyAlignment="1">
      <alignment horizontal="center" vertical="center" wrapText="1"/>
    </xf>
    <xf numFmtId="0" fontId="24" fillId="2" borderId="6" xfId="0" applyFont="1" applyFill="1" applyBorder="1" applyAlignment="1">
      <alignment vertical="center" wrapText="1"/>
    </xf>
    <xf numFmtId="0" fontId="48" fillId="0" borderId="4" xfId="0" applyFont="1" applyBorder="1" applyAlignment="1">
      <alignment vertical="center"/>
    </xf>
    <xf numFmtId="0" fontId="139" fillId="16" borderId="180" xfId="0" applyFont="1" applyFill="1" applyBorder="1" applyAlignment="1">
      <alignment horizontal="left" wrapText="1"/>
    </xf>
    <xf numFmtId="0" fontId="139" fillId="16" borderId="181" xfId="0" applyFont="1" applyFill="1" applyBorder="1" applyAlignment="1">
      <alignment horizontal="left" wrapText="1"/>
    </xf>
    <xf numFmtId="0" fontId="15" fillId="0" borderId="178" xfId="0" applyFont="1" applyBorder="1" applyAlignment="1">
      <alignment horizontal="center" vertical="center" wrapText="1"/>
    </xf>
    <xf numFmtId="0" fontId="15" fillId="0" borderId="179" xfId="0" applyFont="1" applyBorder="1" applyAlignment="1">
      <alignment horizontal="center" vertical="center" wrapText="1"/>
    </xf>
    <xf numFmtId="0" fontId="11" fillId="0" borderId="125" xfId="0" applyFont="1" applyBorder="1" applyAlignment="1">
      <alignment horizontal="left" vertical="center" wrapText="1"/>
    </xf>
    <xf numFmtId="0" fontId="11" fillId="0" borderId="43" xfId="0" applyFont="1" applyBorder="1" applyAlignment="1">
      <alignment horizontal="left" vertical="center" wrapText="1"/>
    </xf>
    <xf numFmtId="0" fontId="86" fillId="7" borderId="95" xfId="0" applyFont="1" applyFill="1" applyBorder="1" applyAlignment="1">
      <alignment horizontal="left" vertical="center" wrapText="1"/>
    </xf>
    <xf numFmtId="0" fontId="86" fillId="7" borderId="132" xfId="0" applyFont="1" applyFill="1" applyBorder="1" applyAlignment="1">
      <alignment horizontal="left" vertical="center" wrapText="1"/>
    </xf>
    <xf numFmtId="0" fontId="15" fillId="0" borderId="351" xfId="0" applyFont="1" applyBorder="1" applyAlignment="1">
      <alignment horizontal="center" vertical="center" wrapText="1"/>
    </xf>
    <xf numFmtId="0" fontId="15" fillId="0" borderId="95" xfId="0" applyFont="1" applyBorder="1" applyAlignment="1">
      <alignment horizontal="center" vertical="center" wrapText="1"/>
    </xf>
    <xf numFmtId="0" fontId="31" fillId="2" borderId="6" xfId="0" applyFont="1" applyFill="1" applyBorder="1" applyAlignment="1">
      <alignment horizontal="center" vertical="top" wrapText="1"/>
    </xf>
    <xf numFmtId="0" fontId="31" fillId="2" borderId="4" xfId="0" applyFont="1" applyFill="1" applyBorder="1" applyAlignment="1">
      <alignment horizontal="center" vertical="top" wrapText="1"/>
    </xf>
    <xf numFmtId="0" fontId="218" fillId="0" borderId="49" xfId="0" applyFont="1" applyBorder="1" applyAlignment="1">
      <alignment horizontal="center"/>
    </xf>
    <xf numFmtId="0" fontId="19" fillId="2" borderId="6"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6" xfId="0" applyFont="1" applyFill="1" applyBorder="1" applyAlignment="1">
      <alignment vertical="center" wrapText="1"/>
    </xf>
    <xf numFmtId="0" fontId="32" fillId="0" borderId="4" xfId="0" applyFont="1" applyBorder="1" applyAlignment="1">
      <alignment vertical="center"/>
    </xf>
    <xf numFmtId="0" fontId="19" fillId="0" borderId="272" xfId="0" applyFont="1" applyBorder="1" applyAlignment="1">
      <alignment horizontal="center" vertical="center" wrapText="1"/>
    </xf>
    <xf numFmtId="0" fontId="19" fillId="0" borderId="2" xfId="0" applyFont="1" applyBorder="1" applyAlignment="1">
      <alignment horizontal="center" vertical="center" wrapText="1"/>
    </xf>
    <xf numFmtId="0" fontId="19" fillId="2" borderId="6" xfId="0" applyFont="1" applyFill="1" applyBorder="1" applyAlignment="1">
      <alignment horizontal="center" wrapText="1"/>
    </xf>
    <xf numFmtId="0" fontId="19" fillId="2" borderId="4" xfId="0" applyFont="1" applyFill="1" applyBorder="1" applyAlignment="1">
      <alignment horizontal="center" wrapText="1"/>
    </xf>
    <xf numFmtId="0" fontId="22" fillId="2" borderId="41" xfId="0" applyFont="1" applyFill="1" applyBorder="1" applyAlignment="1">
      <alignment vertical="center" wrapText="1"/>
    </xf>
    <xf numFmtId="0" fontId="4" fillId="0" borderId="4" xfId="0" applyFont="1" applyBorder="1" applyAlignment="1">
      <alignment vertical="center"/>
    </xf>
    <xf numFmtId="0" fontId="11" fillId="0" borderId="6" xfId="0" applyFont="1" applyBorder="1" applyAlignment="1">
      <alignment horizontal="center" vertical="center" wrapText="1"/>
    </xf>
    <xf numFmtId="0" fontId="19" fillId="2" borderId="6" xfId="0" applyFont="1" applyFill="1" applyBorder="1" applyAlignment="1">
      <alignment horizontal="center" vertical="top" wrapText="1"/>
    </xf>
    <xf numFmtId="0" fontId="19" fillId="2" borderId="4" xfId="0" applyFont="1" applyFill="1" applyBorder="1" applyAlignment="1">
      <alignment horizontal="center" vertical="top" wrapText="1"/>
    </xf>
    <xf numFmtId="0" fontId="11" fillId="0" borderId="0" xfId="0" applyFont="1" applyAlignment="1">
      <alignment horizontal="left" wrapText="1"/>
    </xf>
    <xf numFmtId="0" fontId="13" fillId="0" borderId="0" xfId="0" applyFont="1" applyAlignment="1">
      <alignment horizontal="left" vertical="center" wrapText="1"/>
    </xf>
    <xf numFmtId="0" fontId="7" fillId="0" borderId="0" xfId="0" applyFont="1" applyAlignment="1">
      <alignment horizontal="left" vertical="top" wrapText="1"/>
    </xf>
    <xf numFmtId="0" fontId="15" fillId="0" borderId="178" xfId="0" applyFont="1" applyBorder="1" applyAlignment="1">
      <alignment horizontal="center" wrapText="1"/>
    </xf>
    <xf numFmtId="0" fontId="15" fillId="0" borderId="179" xfId="0" applyFont="1" applyBorder="1" applyAlignment="1">
      <alignment horizontal="center" wrapText="1"/>
    </xf>
    <xf numFmtId="0" fontId="64" fillId="2" borderId="196" xfId="0" applyFont="1" applyFill="1" applyBorder="1" applyAlignment="1">
      <alignment horizontal="center" vertical="center" wrapText="1"/>
    </xf>
    <xf numFmtId="0" fontId="64" fillId="2" borderId="197" xfId="0" applyFont="1" applyFill="1" applyBorder="1" applyAlignment="1">
      <alignment horizontal="center" vertical="center" wrapText="1"/>
    </xf>
    <xf numFmtId="0" fontId="15" fillId="0" borderId="84" xfId="0" applyFont="1" applyBorder="1" applyAlignment="1">
      <alignment horizontal="left" vertical="top" wrapText="1"/>
    </xf>
    <xf numFmtId="0" fontId="15" fillId="0" borderId="85" xfId="0" applyFont="1" applyBorder="1" applyAlignment="1">
      <alignment horizontal="left" vertical="top" wrapText="1"/>
    </xf>
    <xf numFmtId="0" fontId="15" fillId="0" borderId="86" xfId="0" applyFont="1" applyBorder="1" applyAlignment="1">
      <alignment horizontal="left" vertical="top" wrapText="1"/>
    </xf>
    <xf numFmtId="0" fontId="88" fillId="2" borderId="53" xfId="0" applyFont="1" applyFill="1" applyBorder="1" applyAlignment="1">
      <alignment horizontal="left" vertical="center" wrapText="1" shrinkToFit="1"/>
    </xf>
    <xf numFmtId="0" fontId="88" fillId="2" borderId="53" xfId="0" applyFont="1" applyFill="1" applyBorder="1" applyAlignment="1">
      <alignment horizontal="left" vertical="center" shrinkToFit="1"/>
    </xf>
    <xf numFmtId="0" fontId="49" fillId="0" borderId="44" xfId="0" applyFont="1" applyBorder="1" applyAlignment="1">
      <alignment horizontal="right" wrapText="1"/>
    </xf>
    <xf numFmtId="0" fontId="49" fillId="0" borderId="74" xfId="0" applyFont="1" applyBorder="1" applyAlignment="1">
      <alignment horizontal="right" wrapText="1"/>
    </xf>
    <xf numFmtId="0" fontId="31" fillId="2" borderId="44" xfId="0" applyFont="1" applyFill="1" applyBorder="1" applyAlignment="1">
      <alignment horizontal="right" vertical="center" wrapText="1"/>
    </xf>
    <xf numFmtId="0" fontId="31" fillId="2" borderId="74" xfId="0" applyFont="1" applyFill="1" applyBorder="1" applyAlignment="1">
      <alignment horizontal="right" vertical="center" wrapText="1"/>
    </xf>
    <xf numFmtId="0" fontId="117" fillId="0" borderId="0" xfId="0" applyFont="1" applyAlignment="1">
      <alignment horizontal="center" vertical="center" wrapText="1"/>
    </xf>
    <xf numFmtId="2" fontId="54" fillId="7" borderId="7" xfId="0" applyNumberFormat="1" applyFont="1" applyFill="1" applyBorder="1" applyAlignment="1" applyProtection="1">
      <alignment horizontal="left" vertical="top"/>
      <protection locked="0"/>
    </xf>
    <xf numFmtId="2" fontId="54" fillId="7" borderId="17" xfId="0" applyNumberFormat="1" applyFont="1" applyFill="1" applyBorder="1" applyAlignment="1" applyProtection="1">
      <alignment horizontal="left" vertical="top"/>
      <protection locked="0"/>
    </xf>
    <xf numFmtId="2" fontId="54" fillId="7" borderId="5" xfId="0" applyNumberFormat="1" applyFont="1" applyFill="1" applyBorder="1" applyAlignment="1" applyProtection="1">
      <alignment horizontal="left" vertical="top"/>
      <protection locked="0"/>
    </xf>
    <xf numFmtId="2" fontId="54" fillId="7" borderId="12" xfId="0" applyNumberFormat="1" applyFont="1" applyFill="1" applyBorder="1" applyAlignment="1" applyProtection="1">
      <alignment horizontal="left" vertical="top"/>
      <protection locked="0"/>
    </xf>
    <xf numFmtId="2" fontId="54" fillId="7" borderId="8" xfId="0" applyNumberFormat="1" applyFont="1" applyFill="1" applyBorder="1" applyAlignment="1" applyProtection="1">
      <alignment horizontal="left" vertical="top"/>
      <protection locked="0"/>
    </xf>
    <xf numFmtId="2" fontId="54" fillId="7" borderId="3" xfId="0" applyNumberFormat="1" applyFont="1" applyFill="1" applyBorder="1" applyAlignment="1" applyProtection="1">
      <alignment horizontal="left" vertical="top"/>
      <protection locked="0"/>
    </xf>
    <xf numFmtId="0" fontId="15" fillId="0" borderId="0" xfId="0" applyFont="1" applyAlignment="1">
      <alignment horizontal="center" vertical="center" wrapText="1"/>
    </xf>
    <xf numFmtId="0" fontId="15" fillId="0" borderId="7" xfId="0" applyFont="1" applyBorder="1" applyAlignment="1">
      <alignment vertical="center" wrapText="1"/>
    </xf>
    <xf numFmtId="0" fontId="15" fillId="0" borderId="5" xfId="0" applyFont="1" applyBorder="1" applyAlignment="1">
      <alignment vertical="center" wrapText="1"/>
    </xf>
    <xf numFmtId="0" fontId="15" fillId="0" borderId="12" xfId="0" applyFont="1" applyBorder="1" applyAlignment="1">
      <alignment vertical="center" wrapText="1"/>
    </xf>
    <xf numFmtId="0" fontId="15" fillId="0" borderId="3" xfId="0" applyFont="1" applyBorder="1" applyAlignment="1">
      <alignment vertical="center" wrapText="1"/>
    </xf>
    <xf numFmtId="0" fontId="15" fillId="0" borderId="14"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0" xfId="0" applyFont="1" applyBorder="1" applyAlignment="1">
      <alignment horizontal="center" vertical="center" wrapText="1"/>
    </xf>
    <xf numFmtId="2" fontId="54" fillId="7" borderId="1" xfId="0" applyNumberFormat="1" applyFont="1" applyFill="1" applyBorder="1" applyAlignment="1" applyProtection="1">
      <alignment horizontal="left" vertical="top"/>
      <protection locked="0"/>
    </xf>
    <xf numFmtId="2" fontId="54" fillId="7" borderId="0" xfId="0" applyNumberFormat="1" applyFont="1" applyFill="1" applyAlignment="1" applyProtection="1">
      <alignment horizontal="left" vertical="top"/>
      <protection locked="0"/>
    </xf>
    <xf numFmtId="0" fontId="22" fillId="2" borderId="83" xfId="0" applyFont="1" applyFill="1" applyBorder="1" applyAlignment="1">
      <alignment vertical="center" wrapText="1"/>
    </xf>
    <xf numFmtId="0" fontId="4" fillId="0" borderId="3" xfId="0" applyFont="1" applyBorder="1" applyAlignment="1">
      <alignment vertical="center"/>
    </xf>
    <xf numFmtId="0" fontId="88" fillId="2" borderId="95" xfId="0" applyFont="1" applyFill="1" applyBorder="1" applyAlignment="1">
      <alignment horizontal="left" vertical="center" wrapText="1" shrinkToFit="1"/>
    </xf>
    <xf numFmtId="0" fontId="220" fillId="0" borderId="125" xfId="0" applyFont="1" applyBorder="1" applyAlignment="1">
      <alignment horizontal="left" vertical="center" wrapText="1"/>
    </xf>
    <xf numFmtId="0" fontId="11" fillId="0" borderId="7" xfId="0" applyFont="1" applyBorder="1" applyAlignment="1">
      <alignment horizontal="right" vertical="top" wrapText="1"/>
    </xf>
    <xf numFmtId="0" fontId="11" fillId="0" borderId="17" xfId="0" applyFont="1" applyBorder="1" applyAlignment="1">
      <alignment horizontal="right" vertical="top" wrapText="1"/>
    </xf>
    <xf numFmtId="0" fontId="11" fillId="0" borderId="12" xfId="0" applyFont="1" applyBorder="1" applyAlignment="1">
      <alignment horizontal="right" vertical="top" wrapText="1"/>
    </xf>
    <xf numFmtId="0" fontId="11" fillId="0" borderId="8" xfId="0" applyFont="1" applyBorder="1" applyAlignment="1">
      <alignment horizontal="right" vertical="top" wrapText="1"/>
    </xf>
    <xf numFmtId="0" fontId="19" fillId="11" borderId="14" xfId="0" applyFont="1" applyFill="1" applyBorder="1" applyAlignment="1">
      <alignment horizontal="left" vertical="center" wrapText="1"/>
    </xf>
    <xf numFmtId="0" fontId="19" fillId="11" borderId="10" xfId="0" applyFont="1" applyFill="1" applyBorder="1" applyAlignment="1">
      <alignment horizontal="left" vertical="center" wrapText="1"/>
    </xf>
    <xf numFmtId="0" fontId="19" fillId="20" borderId="46" xfId="0" applyFont="1" applyFill="1" applyBorder="1" applyAlignment="1">
      <alignment horizontal="center" vertical="center"/>
    </xf>
    <xf numFmtId="0" fontId="19" fillId="20" borderId="122" xfId="0" applyFont="1" applyFill="1" applyBorder="1" applyAlignment="1">
      <alignment horizontal="center" vertical="center"/>
    </xf>
    <xf numFmtId="0" fontId="19" fillId="5" borderId="41" xfId="0" applyFont="1" applyFill="1" applyBorder="1" applyAlignment="1">
      <alignment horizontal="left" vertical="top" wrapText="1"/>
    </xf>
    <xf numFmtId="0" fontId="19" fillId="5" borderId="22" xfId="0" applyFont="1" applyFill="1" applyBorder="1" applyAlignment="1">
      <alignment horizontal="left" vertical="top" wrapText="1"/>
    </xf>
    <xf numFmtId="0" fontId="116" fillId="0" borderId="7" xfId="0" applyFont="1" applyBorder="1" applyAlignment="1">
      <alignment horizontal="left" vertical="center" wrapText="1"/>
    </xf>
    <xf numFmtId="0" fontId="116" fillId="0" borderId="5" xfId="0" applyFont="1" applyBorder="1" applyAlignment="1">
      <alignment horizontal="left" vertical="center" wrapText="1"/>
    </xf>
    <xf numFmtId="0" fontId="118" fillId="5" borderId="0" xfId="0" applyFont="1" applyFill="1" applyAlignment="1">
      <alignment horizontal="right" vertical="center" wrapText="1"/>
    </xf>
    <xf numFmtId="0" fontId="178" fillId="0" borderId="15" xfId="0" applyFont="1" applyBorder="1" applyAlignment="1">
      <alignment horizontal="center" vertical="top" wrapText="1"/>
    </xf>
    <xf numFmtId="0" fontId="178" fillId="0" borderId="21" xfId="0" applyFont="1" applyBorder="1" applyAlignment="1">
      <alignment horizontal="center" vertical="top" wrapText="1"/>
    </xf>
    <xf numFmtId="0" fontId="11" fillId="5" borderId="6" xfId="0" applyFont="1" applyFill="1" applyBorder="1" applyAlignment="1">
      <alignment horizontal="center" wrapText="1"/>
    </xf>
    <xf numFmtId="0" fontId="11" fillId="5" borderId="41" xfId="0" applyFont="1" applyFill="1" applyBorder="1" applyAlignment="1">
      <alignment horizontal="center" wrapText="1"/>
    </xf>
    <xf numFmtId="0" fontId="76" fillId="5" borderId="0" xfId="0" applyFont="1" applyFill="1" applyAlignment="1">
      <alignment horizontal="left" vertical="center" wrapText="1"/>
    </xf>
    <xf numFmtId="0" fontId="314" fillId="5" borderId="0" xfId="0" applyFont="1" applyFill="1" applyAlignment="1">
      <alignment horizontal="left" vertical="center" wrapText="1"/>
    </xf>
    <xf numFmtId="0" fontId="73" fillId="5" borderId="0" xfId="0" applyFont="1" applyFill="1" applyAlignment="1">
      <alignment horizontal="left" vertical="top" wrapText="1"/>
    </xf>
    <xf numFmtId="0" fontId="178" fillId="0" borderId="12" xfId="0" applyFont="1" applyBorder="1" applyAlignment="1">
      <alignment horizontal="center" vertical="top" wrapText="1"/>
    </xf>
    <xf numFmtId="0" fontId="178" fillId="0" borderId="3" xfId="0" applyFont="1" applyBorder="1" applyAlignment="1">
      <alignment horizontal="center" vertical="top" wrapText="1"/>
    </xf>
    <xf numFmtId="0" fontId="11" fillId="20" borderId="46" xfId="0" applyFont="1" applyFill="1" applyBorder="1" applyAlignment="1">
      <alignment horizontal="center" vertical="center"/>
    </xf>
    <xf numFmtId="0" fontId="11" fillId="20" borderId="122" xfId="0" applyFont="1" applyFill="1" applyBorder="1" applyAlignment="1">
      <alignment horizontal="center" vertical="center"/>
    </xf>
    <xf numFmtId="0" fontId="146" fillId="0" borderId="52" xfId="0" applyFont="1" applyBorder="1" applyAlignment="1">
      <alignment horizontal="center" vertical="center" wrapText="1"/>
    </xf>
    <xf numFmtId="0" fontId="146" fillId="0" borderId="53" xfId="0" applyFont="1" applyBorder="1" applyAlignment="1">
      <alignment horizontal="center" vertical="center" wrapText="1"/>
    </xf>
    <xf numFmtId="0" fontId="146" fillId="0" borderId="50" xfId="0" applyFont="1" applyBorder="1" applyAlignment="1">
      <alignment horizontal="center" vertical="center" wrapText="1"/>
    </xf>
    <xf numFmtId="0" fontId="146" fillId="0" borderId="48" xfId="0" applyFont="1" applyBorder="1" applyAlignment="1">
      <alignment horizontal="center" vertical="center" wrapText="1"/>
    </xf>
    <xf numFmtId="2" fontId="14" fillId="17" borderId="0" xfId="0" applyNumberFormat="1" applyFont="1" applyFill="1" applyAlignment="1">
      <alignment horizontal="center" vertical="center" wrapText="1"/>
    </xf>
    <xf numFmtId="0" fontId="14" fillId="2" borderId="0" xfId="0" applyFont="1" applyFill="1" applyAlignment="1">
      <alignment horizontal="left" vertical="center" wrapText="1"/>
    </xf>
    <xf numFmtId="2" fontId="14" fillId="17" borderId="8" xfId="0" applyNumberFormat="1" applyFont="1" applyFill="1" applyBorder="1" applyAlignment="1">
      <alignment horizontal="center" vertical="center" wrapText="1"/>
    </xf>
    <xf numFmtId="0" fontId="14" fillId="2" borderId="0" xfId="0" applyFont="1" applyFill="1" applyAlignment="1">
      <alignment horizontal="center" vertical="top" wrapText="1"/>
    </xf>
    <xf numFmtId="0" fontId="14" fillId="2" borderId="2" xfId="0" applyFont="1" applyFill="1" applyBorder="1" applyAlignment="1">
      <alignment horizontal="center" vertical="top" wrapText="1"/>
    </xf>
    <xf numFmtId="2" fontId="88" fillId="7" borderId="14" xfId="0" applyNumberFormat="1" applyFont="1" applyFill="1" applyBorder="1" applyAlignment="1" applyProtection="1">
      <alignment horizontal="center" vertical="center"/>
      <protection locked="0"/>
    </xf>
    <xf numFmtId="2" fontId="88" fillId="7" borderId="10" xfId="0" applyNumberFormat="1" applyFont="1" applyFill="1" applyBorder="1" applyAlignment="1" applyProtection="1">
      <alignment horizontal="center" vertical="center"/>
      <protection locked="0"/>
    </xf>
    <xf numFmtId="49" fontId="15" fillId="2" borderId="0" xfId="0" applyNumberFormat="1" applyFont="1" applyFill="1" applyAlignment="1">
      <alignment horizontal="center" shrinkToFit="1"/>
    </xf>
    <xf numFmtId="0" fontId="23" fillId="33" borderId="1" xfId="0" applyFont="1" applyFill="1" applyBorder="1" applyAlignment="1">
      <alignment horizontal="left" vertical="center" wrapText="1"/>
    </xf>
    <xf numFmtId="0" fontId="23" fillId="33" borderId="0" xfId="0" applyFont="1" applyFill="1" applyAlignment="1">
      <alignment horizontal="left" vertical="center" wrapText="1"/>
    </xf>
    <xf numFmtId="0" fontId="269" fillId="33" borderId="52" xfId="0" applyFont="1" applyFill="1" applyBorder="1" applyAlignment="1">
      <alignment horizontal="left" wrapText="1"/>
    </xf>
    <xf numFmtId="0" fontId="269" fillId="33" borderId="53" xfId="0" applyFont="1" applyFill="1" applyBorder="1" applyAlignment="1">
      <alignment horizontal="left" wrapText="1"/>
    </xf>
    <xf numFmtId="0" fontId="269" fillId="33" borderId="54" xfId="0" applyFont="1" applyFill="1" applyBorder="1" applyAlignment="1">
      <alignment horizontal="left" wrapText="1"/>
    </xf>
    <xf numFmtId="0" fontId="269" fillId="33" borderId="49" xfId="0" applyFont="1" applyFill="1" applyBorder="1" applyAlignment="1">
      <alignment horizontal="left" wrapText="1"/>
    </xf>
    <xf numFmtId="0" fontId="269" fillId="33" borderId="0" xfId="0" applyFont="1" applyFill="1" applyAlignment="1">
      <alignment horizontal="left" wrapText="1"/>
    </xf>
    <xf numFmtId="0" fontId="269" fillId="33" borderId="55" xfId="0" applyFont="1" applyFill="1" applyBorder="1" applyAlignment="1">
      <alignment horizontal="left" wrapText="1"/>
    </xf>
    <xf numFmtId="0" fontId="19" fillId="33" borderId="0" xfId="0" applyFont="1" applyFill="1" applyAlignment="1">
      <alignment horizontal="center" wrapText="1"/>
    </xf>
    <xf numFmtId="0" fontId="169" fillId="2" borderId="0" xfId="0" applyFont="1" applyFill="1" applyAlignment="1">
      <alignment horizontal="left" vertical="center" wrapText="1"/>
    </xf>
    <xf numFmtId="3" fontId="56" fillId="7" borderId="14" xfId="0" applyNumberFormat="1" applyFont="1" applyFill="1" applyBorder="1" applyAlignment="1" applyProtection="1">
      <alignment horizontal="center" vertical="center"/>
      <protection locked="0"/>
    </xf>
    <xf numFmtId="3" fontId="56" fillId="7" borderId="13" xfId="0" applyNumberFormat="1" applyFont="1" applyFill="1" applyBorder="1" applyAlignment="1" applyProtection="1">
      <alignment horizontal="center" vertical="center"/>
      <protection locked="0"/>
    </xf>
    <xf numFmtId="0" fontId="269" fillId="33" borderId="48" xfId="0" applyFont="1" applyFill="1" applyBorder="1" applyAlignment="1">
      <alignment horizontal="left" wrapText="1"/>
    </xf>
    <xf numFmtId="0" fontId="269" fillId="33" borderId="56" xfId="0" applyFont="1" applyFill="1" applyBorder="1" applyAlignment="1">
      <alignment horizontal="left" wrapText="1"/>
    </xf>
    <xf numFmtId="0" fontId="60" fillId="2" borderId="0" xfId="0" applyFont="1" applyFill="1" applyAlignment="1">
      <alignment horizontal="left" vertical="center" wrapText="1"/>
    </xf>
    <xf numFmtId="0" fontId="19" fillId="2" borderId="0" xfId="0" applyFont="1" applyFill="1" applyAlignment="1">
      <alignment horizontal="left" vertical="center" wrapText="1"/>
    </xf>
    <xf numFmtId="0" fontId="116" fillId="2" borderId="0" xfId="0" applyFont="1" applyFill="1" applyAlignment="1">
      <alignment horizontal="left" vertical="center" wrapText="1"/>
    </xf>
    <xf numFmtId="0" fontId="11" fillId="0" borderId="6" xfId="0" applyFont="1" applyBorder="1" applyAlignment="1">
      <alignment horizontal="left" vertical="top" wrapText="1"/>
    </xf>
    <xf numFmtId="0" fontId="11" fillId="0" borderId="41" xfId="0" applyFont="1" applyBorder="1" applyAlignment="1">
      <alignment horizontal="left" vertical="top" wrapText="1"/>
    </xf>
    <xf numFmtId="0" fontId="11" fillId="0" borderId="4" xfId="0" applyFont="1" applyBorder="1" applyAlignment="1">
      <alignment horizontal="left" vertical="top" wrapText="1"/>
    </xf>
    <xf numFmtId="3" fontId="54" fillId="7" borderId="7" xfId="0" applyNumberFormat="1" applyFont="1" applyFill="1" applyBorder="1" applyAlignment="1" applyProtection="1">
      <alignment horizontal="left" vertical="top" shrinkToFit="1"/>
      <protection locked="0"/>
    </xf>
    <xf numFmtId="3" fontId="54" fillId="7" borderId="17" xfId="0" applyNumberFormat="1" applyFont="1" applyFill="1" applyBorder="1" applyAlignment="1" applyProtection="1">
      <alignment horizontal="left" vertical="top" shrinkToFit="1"/>
      <protection locked="0"/>
    </xf>
    <xf numFmtId="3" fontId="54" fillId="7" borderId="5" xfId="0" applyNumberFormat="1" applyFont="1" applyFill="1" applyBorder="1" applyAlignment="1" applyProtection="1">
      <alignment horizontal="left" vertical="top" shrinkToFit="1"/>
      <protection locked="0"/>
    </xf>
    <xf numFmtId="3" fontId="54" fillId="7" borderId="1" xfId="0" applyNumberFormat="1" applyFont="1" applyFill="1" applyBorder="1" applyAlignment="1" applyProtection="1">
      <alignment horizontal="left" vertical="top" shrinkToFit="1"/>
      <protection locked="0"/>
    </xf>
    <xf numFmtId="3" fontId="54" fillId="7" borderId="0" xfId="0" applyNumberFormat="1" applyFont="1" applyFill="1" applyAlignment="1" applyProtection="1">
      <alignment horizontal="left" vertical="top" shrinkToFit="1"/>
      <protection locked="0"/>
    </xf>
    <xf numFmtId="3" fontId="54" fillId="7" borderId="2" xfId="0" applyNumberFormat="1" applyFont="1" applyFill="1" applyBorder="1" applyAlignment="1" applyProtection="1">
      <alignment horizontal="left" vertical="top" shrinkToFit="1"/>
      <protection locked="0"/>
    </xf>
    <xf numFmtId="3" fontId="54" fillId="7" borderId="12" xfId="0" applyNumberFormat="1" applyFont="1" applyFill="1" applyBorder="1" applyAlignment="1" applyProtection="1">
      <alignment horizontal="left" vertical="top" shrinkToFit="1"/>
      <protection locked="0"/>
    </xf>
    <xf numFmtId="3" fontId="54" fillId="7" borderId="8" xfId="0" applyNumberFormat="1" applyFont="1" applyFill="1" applyBorder="1" applyAlignment="1" applyProtection="1">
      <alignment horizontal="left" vertical="top" shrinkToFit="1"/>
      <protection locked="0"/>
    </xf>
    <xf numFmtId="3" fontId="54" fillId="7" borderId="3" xfId="0" applyNumberFormat="1" applyFont="1" applyFill="1" applyBorder="1" applyAlignment="1" applyProtection="1">
      <alignment horizontal="left" vertical="top" shrinkToFit="1"/>
      <protection locked="0"/>
    </xf>
    <xf numFmtId="3" fontId="104" fillId="2" borderId="52" xfId="0" applyNumberFormat="1" applyFont="1" applyFill="1" applyBorder="1" applyAlignment="1">
      <alignment horizontal="left" vertical="center" wrapText="1"/>
    </xf>
    <xf numFmtId="3" fontId="104" fillId="2" borderId="54" xfId="0" applyNumberFormat="1" applyFont="1" applyFill="1" applyBorder="1" applyAlignment="1">
      <alignment horizontal="left" vertical="center" wrapText="1"/>
    </xf>
    <xf numFmtId="3" fontId="104" fillId="2" borderId="49" xfId="0" applyNumberFormat="1" applyFont="1" applyFill="1" applyBorder="1" applyAlignment="1">
      <alignment horizontal="left" vertical="center" wrapText="1"/>
    </xf>
    <xf numFmtId="3" fontId="104" fillId="2" borderId="55" xfId="0" applyNumberFormat="1" applyFont="1" applyFill="1" applyBorder="1" applyAlignment="1">
      <alignment horizontal="left" vertical="center" wrapText="1"/>
    </xf>
    <xf numFmtId="0" fontId="23" fillId="2" borderId="0" xfId="0" applyFont="1" applyFill="1" applyAlignment="1">
      <alignment horizontal="left" vertical="top" wrapText="1"/>
    </xf>
    <xf numFmtId="0" fontId="11" fillId="2" borderId="1" xfId="0" applyFont="1" applyFill="1" applyBorder="1" applyAlignment="1">
      <alignment horizontal="left" vertical="center"/>
    </xf>
    <xf numFmtId="0" fontId="11" fillId="2" borderId="0" xfId="0" applyFont="1" applyFill="1" applyAlignment="1">
      <alignment horizontal="left" vertical="center"/>
    </xf>
    <xf numFmtId="0" fontId="179" fillId="5" borderId="0" xfId="0" applyFont="1" applyFill="1" applyAlignment="1">
      <alignment horizontal="center" vertical="center" wrapText="1"/>
    </xf>
    <xf numFmtId="0" fontId="205" fillId="0" borderId="14" xfId="0" applyFont="1" applyBorder="1" applyAlignment="1">
      <alignment horizontal="center" vertical="center" wrapText="1"/>
    </xf>
    <xf numFmtId="0" fontId="205" fillId="0" borderId="13" xfId="0" applyFont="1" applyBorder="1" applyAlignment="1">
      <alignment horizontal="center" vertical="center" wrapText="1"/>
    </xf>
    <xf numFmtId="0" fontId="125" fillId="0" borderId="19" xfId="0" applyFont="1" applyBorder="1" applyAlignment="1" applyProtection="1">
      <alignment horizontal="left" vertical="center" wrapText="1"/>
      <protection locked="0"/>
    </xf>
    <xf numFmtId="0" fontId="125" fillId="0" borderId="13" xfId="0" applyFont="1" applyBorder="1" applyAlignment="1" applyProtection="1">
      <alignment horizontal="left" vertical="center" wrapText="1"/>
      <protection locked="0"/>
    </xf>
    <xf numFmtId="0" fontId="125" fillId="0" borderId="66" xfId="0" applyFont="1" applyBorder="1" applyAlignment="1" applyProtection="1">
      <alignment horizontal="left" vertical="center" wrapText="1"/>
      <protection locked="0"/>
    </xf>
    <xf numFmtId="0" fontId="58" fillId="0" borderId="14" xfId="0" applyFont="1" applyBorder="1" applyAlignment="1">
      <alignment horizontal="center" vertical="center" wrapText="1"/>
    </xf>
    <xf numFmtId="0" fontId="58" fillId="0" borderId="10" xfId="0" applyFont="1" applyBorder="1" applyAlignment="1">
      <alignment horizontal="center" vertical="center" wrapText="1"/>
    </xf>
    <xf numFmtId="0" fontId="11" fillId="0" borderId="2" xfId="0" applyFont="1" applyBorder="1" applyAlignment="1">
      <alignment horizontal="left" vertical="top" wrapText="1"/>
    </xf>
    <xf numFmtId="0" fontId="11" fillId="0" borderId="0" xfId="0" applyFont="1" applyAlignment="1">
      <alignment horizontal="left" vertical="top" wrapText="1"/>
    </xf>
    <xf numFmtId="0" fontId="60" fillId="0" borderId="13" xfId="0" applyFont="1" applyBorder="1" applyAlignment="1">
      <alignment horizontal="left" vertical="center" wrapText="1"/>
    </xf>
    <xf numFmtId="0" fontId="60" fillId="0" borderId="10" xfId="0" applyFont="1" applyBorder="1" applyAlignment="1">
      <alignment horizontal="left" vertical="center" wrapText="1"/>
    </xf>
    <xf numFmtId="0" fontId="138" fillId="0" borderId="2" xfId="0" applyFont="1" applyBorder="1" applyAlignment="1">
      <alignment horizontal="left" vertical="center" wrapText="1"/>
    </xf>
    <xf numFmtId="0" fontId="15" fillId="0" borderId="6" xfId="0" applyFont="1" applyBorder="1" applyAlignment="1">
      <alignment horizontal="left" vertical="top" wrapText="1"/>
    </xf>
    <xf numFmtId="0" fontId="15" fillId="0" borderId="41" xfId="0" applyFont="1" applyBorder="1" applyAlignment="1">
      <alignment horizontal="left" vertical="top" wrapText="1"/>
    </xf>
    <xf numFmtId="0" fontId="15" fillId="0" borderId="4" xfId="0" applyFont="1" applyBorder="1" applyAlignment="1">
      <alignment horizontal="left" vertical="top" wrapText="1"/>
    </xf>
    <xf numFmtId="3" fontId="54" fillId="7" borderId="7" xfId="0" applyNumberFormat="1" applyFont="1" applyFill="1" applyBorder="1" applyAlignment="1" applyProtection="1">
      <alignment horizontal="left" vertical="top" wrapText="1" shrinkToFit="1"/>
      <protection locked="0"/>
    </xf>
    <xf numFmtId="0" fontId="60" fillId="2" borderId="6" xfId="0" applyFont="1" applyFill="1" applyBorder="1" applyAlignment="1">
      <alignment horizontal="center" vertical="center" wrapText="1"/>
    </xf>
    <xf numFmtId="0" fontId="60" fillId="2" borderId="41" xfId="0" applyFont="1" applyFill="1" applyBorder="1" applyAlignment="1">
      <alignment horizontal="center" vertical="center" wrapText="1"/>
    </xf>
    <xf numFmtId="0" fontId="28" fillId="0" borderId="0" xfId="0" applyFont="1" applyAlignment="1">
      <alignment horizontal="left" vertical="center" wrapText="1"/>
    </xf>
    <xf numFmtId="0" fontId="9" fillId="12" borderId="6" xfId="0" applyFont="1" applyFill="1" applyBorder="1" applyAlignment="1">
      <alignment horizontal="center" vertical="center"/>
    </xf>
    <xf numFmtId="0" fontId="9" fillId="12" borderId="4" xfId="0" applyFont="1" applyFill="1" applyBorder="1" applyAlignment="1">
      <alignment horizontal="center" vertical="center"/>
    </xf>
    <xf numFmtId="0" fontId="9" fillId="2" borderId="6" xfId="0" applyFont="1" applyFill="1" applyBorder="1" applyAlignment="1">
      <alignment horizontal="right" vertical="center" wrapText="1" shrinkToFit="1"/>
    </xf>
    <xf numFmtId="0" fontId="9" fillId="2" borderId="41" xfId="0" applyFont="1" applyFill="1" applyBorder="1" applyAlignment="1">
      <alignment horizontal="right" vertical="center" wrapText="1" shrinkToFit="1"/>
    </xf>
    <xf numFmtId="0" fontId="116" fillId="0" borderId="1" xfId="0" applyFont="1" applyBorder="1" applyAlignment="1">
      <alignment horizontal="left" vertical="top" wrapText="1"/>
    </xf>
    <xf numFmtId="0" fontId="238" fillId="2" borderId="17" xfId="0" applyFont="1" applyFill="1" applyBorder="1" applyAlignment="1">
      <alignment horizontal="center" shrinkToFit="1"/>
    </xf>
    <xf numFmtId="0" fontId="238" fillId="2" borderId="5" xfId="0" applyFont="1" applyFill="1" applyBorder="1" applyAlignment="1">
      <alignment horizontal="center" shrinkToFit="1"/>
    </xf>
    <xf numFmtId="0" fontId="9" fillId="12" borderId="6"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15" fillId="0" borderId="6" xfId="0" applyFont="1" applyBorder="1" applyAlignment="1">
      <alignment horizontal="center" vertical="center"/>
    </xf>
    <xf numFmtId="0" fontId="15" fillId="0" borderId="4" xfId="0" applyFont="1" applyBorder="1" applyAlignment="1">
      <alignment horizontal="center" vertical="center"/>
    </xf>
    <xf numFmtId="0" fontId="206" fillId="0" borderId="0" xfId="0" applyFont="1" applyAlignment="1">
      <alignment horizontal="left" vertical="top" wrapText="1"/>
    </xf>
    <xf numFmtId="0" fontId="7" fillId="0" borderId="37" xfId="0" applyFont="1" applyBorder="1" applyAlignment="1">
      <alignment horizontal="left" vertical="top" wrapText="1"/>
    </xf>
    <xf numFmtId="0" fontId="74" fillId="7" borderId="100" xfId="0" applyFont="1" applyFill="1" applyBorder="1" applyAlignment="1" applyProtection="1">
      <alignment horizontal="left" vertical="top" wrapText="1"/>
      <protection locked="0"/>
    </xf>
    <xf numFmtId="0" fontId="74" fillId="7" borderId="101" xfId="0" applyFont="1" applyFill="1" applyBorder="1" applyAlignment="1" applyProtection="1">
      <alignment horizontal="left" vertical="top" wrapText="1"/>
      <protection locked="0"/>
    </xf>
    <xf numFmtId="0" fontId="74" fillId="7" borderId="102" xfId="0" applyFont="1" applyFill="1" applyBorder="1" applyAlignment="1" applyProtection="1">
      <alignment horizontal="left" vertical="top" wrapText="1"/>
      <protection locked="0"/>
    </xf>
    <xf numFmtId="0" fontId="74" fillId="7" borderId="103" xfId="0" applyFont="1" applyFill="1" applyBorder="1" applyAlignment="1" applyProtection="1">
      <alignment horizontal="left" vertical="top" wrapText="1"/>
      <protection locked="0"/>
    </xf>
    <xf numFmtId="0" fontId="74" fillId="7" borderId="0" xfId="0" applyFont="1" applyFill="1" applyAlignment="1" applyProtection="1">
      <alignment horizontal="left" vertical="top" wrapText="1"/>
      <protection locked="0"/>
    </xf>
    <xf numFmtId="0" fontId="74" fillId="7" borderId="104" xfId="0" applyFont="1" applyFill="1" applyBorder="1" applyAlignment="1" applyProtection="1">
      <alignment horizontal="left" vertical="top" wrapText="1"/>
      <protection locked="0"/>
    </xf>
    <xf numFmtId="0" fontId="74" fillId="7" borderId="105" xfId="0" applyFont="1" applyFill="1" applyBorder="1" applyAlignment="1" applyProtection="1">
      <alignment horizontal="left" vertical="top" wrapText="1"/>
      <protection locked="0"/>
    </xf>
    <xf numFmtId="0" fontId="74" fillId="7" borderId="37" xfId="0" applyFont="1" applyFill="1" applyBorder="1" applyAlignment="1" applyProtection="1">
      <alignment horizontal="left" vertical="top" wrapText="1"/>
      <protection locked="0"/>
    </xf>
    <xf numFmtId="0" fontId="74" fillId="7" borderId="106" xfId="0" applyFont="1" applyFill="1" applyBorder="1" applyAlignment="1" applyProtection="1">
      <alignment horizontal="left" vertical="top" wrapText="1"/>
      <protection locked="0"/>
    </xf>
    <xf numFmtId="4" fontId="56" fillId="7" borderId="6" xfId="0" applyNumberFormat="1" applyFont="1" applyFill="1" applyBorder="1" applyAlignment="1" applyProtection="1">
      <alignment horizontal="center" vertical="center" shrinkToFit="1"/>
      <protection locked="0"/>
    </xf>
    <xf numFmtId="4" fontId="56" fillId="7" borderId="4" xfId="0" applyNumberFormat="1" applyFont="1" applyFill="1" applyBorder="1" applyAlignment="1" applyProtection="1">
      <alignment horizontal="center" vertical="center" shrinkToFit="1"/>
      <protection locked="0"/>
    </xf>
    <xf numFmtId="0" fontId="238" fillId="2" borderId="13" xfId="0" applyFont="1" applyFill="1" applyBorder="1" applyAlignment="1">
      <alignment horizontal="center" vertical="center" shrinkToFit="1"/>
    </xf>
    <xf numFmtId="0" fontId="238" fillId="2" borderId="10" xfId="0" applyFont="1" applyFill="1" applyBorder="1" applyAlignment="1">
      <alignment horizontal="center" vertical="center" shrinkToFit="1"/>
    </xf>
    <xf numFmtId="4" fontId="13" fillId="12" borderId="0" xfId="0" applyNumberFormat="1" applyFont="1" applyFill="1" applyAlignment="1">
      <alignment horizontal="center" vertical="center"/>
    </xf>
    <xf numFmtId="4" fontId="13" fillId="12" borderId="8" xfId="0" applyNumberFormat="1" applyFont="1" applyFill="1" applyBorder="1" applyAlignment="1">
      <alignment horizontal="center" vertical="center"/>
    </xf>
    <xf numFmtId="0" fontId="25" fillId="0" borderId="41" xfId="0" applyFont="1" applyBorder="1" applyAlignment="1">
      <alignment horizontal="center" wrapText="1"/>
    </xf>
    <xf numFmtId="0" fontId="25" fillId="0" borderId="22" xfId="0" applyFont="1" applyBorder="1" applyAlignment="1">
      <alignment horizontal="center" wrapText="1"/>
    </xf>
    <xf numFmtId="0" fontId="25" fillId="0" borderId="6" xfId="0" applyFont="1" applyBorder="1" applyAlignment="1">
      <alignment horizontal="left" vertical="center" wrapText="1"/>
    </xf>
    <xf numFmtId="0" fontId="25" fillId="0" borderId="4" xfId="0" applyFont="1" applyBorder="1" applyAlignment="1">
      <alignment horizontal="left" vertical="center" wrapText="1"/>
    </xf>
    <xf numFmtId="0" fontId="116" fillId="0" borderId="41" xfId="0" applyFont="1" applyBorder="1" applyAlignment="1">
      <alignment horizontal="left" vertical="top" wrapText="1"/>
    </xf>
    <xf numFmtId="0" fontId="105" fillId="7" borderId="14" xfId="0" applyFont="1" applyFill="1" applyBorder="1" applyAlignment="1" applyProtection="1">
      <alignment horizontal="left" shrinkToFit="1"/>
      <protection locked="0"/>
    </xf>
    <xf numFmtId="0" fontId="105" fillId="7" borderId="10" xfId="0" applyFont="1" applyFill="1" applyBorder="1" applyAlignment="1" applyProtection="1">
      <alignment horizontal="left" shrinkToFit="1"/>
      <protection locked="0"/>
    </xf>
    <xf numFmtId="0" fontId="25" fillId="0" borderId="46" xfId="0" applyFont="1" applyBorder="1" applyAlignment="1">
      <alignment horizontal="right" vertical="center"/>
    </xf>
    <xf numFmtId="0" fontId="25" fillId="0" borderId="122" xfId="0" applyFont="1" applyBorder="1" applyAlignment="1">
      <alignment horizontal="right" vertical="center"/>
    </xf>
    <xf numFmtId="0" fontId="116" fillId="0" borderId="2" xfId="0" applyFont="1" applyBorder="1" applyAlignment="1">
      <alignment horizontal="left" vertical="top" wrapText="1"/>
    </xf>
    <xf numFmtId="0" fontId="15" fillId="0" borderId="37" xfId="0" applyFont="1" applyBorder="1" applyAlignment="1">
      <alignment horizontal="left" wrapText="1"/>
    </xf>
    <xf numFmtId="0" fontId="25" fillId="0" borderId="0" xfId="0" applyFont="1" applyAlignment="1">
      <alignment horizontal="left" vertical="center" wrapText="1"/>
    </xf>
    <xf numFmtId="0" fontId="25" fillId="0" borderId="2" xfId="0" applyFont="1" applyBorder="1" applyAlignment="1">
      <alignment horizontal="left" vertical="center" wrapText="1"/>
    </xf>
    <xf numFmtId="0" fontId="43" fillId="5" borderId="46" xfId="0" applyFont="1" applyFill="1" applyBorder="1" applyAlignment="1">
      <alignment horizontal="right" wrapText="1"/>
    </xf>
    <xf numFmtId="0" fontId="43" fillId="5" borderId="64" xfId="0" applyFont="1" applyFill="1" applyBorder="1" applyAlignment="1">
      <alignment horizontal="right" wrapText="1"/>
    </xf>
    <xf numFmtId="0" fontId="43" fillId="5" borderId="122" xfId="0" applyFont="1" applyFill="1" applyBorder="1" applyAlignment="1">
      <alignment horizontal="right" wrapText="1"/>
    </xf>
    <xf numFmtId="0" fontId="11" fillId="0" borderId="1" xfId="0" applyFont="1" applyBorder="1" applyAlignment="1">
      <alignment horizontal="left" vertical="top" wrapText="1"/>
    </xf>
    <xf numFmtId="0" fontId="43" fillId="5" borderId="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12" borderId="19" xfId="0" applyFont="1" applyFill="1" applyBorder="1" applyAlignment="1">
      <alignment horizontal="center" vertical="center" wrapText="1"/>
    </xf>
    <xf numFmtId="0" fontId="43" fillId="12" borderId="66" xfId="0" applyFont="1" applyFill="1" applyBorder="1" applyAlignment="1">
      <alignment horizontal="center" vertical="center" wrapText="1"/>
    </xf>
    <xf numFmtId="0" fontId="64" fillId="0" borderId="1" xfId="0" applyFont="1" applyBorder="1" applyAlignment="1">
      <alignment horizontal="left" vertical="top" wrapText="1"/>
    </xf>
    <xf numFmtId="0" fontId="43" fillId="0" borderId="4" xfId="0" applyFont="1" applyBorder="1" applyAlignment="1">
      <alignment horizontal="center" vertical="center" wrapText="1"/>
    </xf>
    <xf numFmtId="0" fontId="43" fillId="0" borderId="6" xfId="0" applyFont="1" applyBorder="1" applyAlignment="1">
      <alignment horizontal="center" vertical="center" wrapText="1"/>
    </xf>
    <xf numFmtId="0" fontId="23" fillId="0" borderId="1" xfId="0" applyFont="1" applyBorder="1" applyAlignment="1">
      <alignment horizontal="center" wrapText="1"/>
    </xf>
    <xf numFmtId="169" fontId="321" fillId="0" borderId="7" xfId="0" applyNumberFormat="1" applyFont="1" applyBorder="1" applyAlignment="1">
      <alignment horizontal="left" wrapText="1"/>
    </xf>
    <xf numFmtId="169" fontId="321" fillId="0" borderId="5" xfId="0" applyNumberFormat="1" applyFont="1" applyBorder="1" applyAlignment="1">
      <alignment horizontal="left" wrapText="1"/>
    </xf>
    <xf numFmtId="169" fontId="321" fillId="0" borderId="1" xfId="0" applyNumberFormat="1" applyFont="1" applyBorder="1" applyAlignment="1">
      <alignment horizontal="left" wrapText="1"/>
    </xf>
    <xf numFmtId="169" fontId="321" fillId="0" borderId="2" xfId="0" applyNumberFormat="1" applyFont="1" applyBorder="1" applyAlignment="1">
      <alignment horizontal="left" wrapText="1"/>
    </xf>
    <xf numFmtId="169" fontId="74" fillId="0" borderId="1" xfId="0" applyNumberFormat="1" applyFont="1" applyBorder="1" applyAlignment="1">
      <alignment horizontal="center" vertical="center" wrapText="1"/>
    </xf>
    <xf numFmtId="169" fontId="74" fillId="0" borderId="0" xfId="0" applyNumberFormat="1" applyFont="1" applyAlignment="1">
      <alignment horizontal="center" vertical="center" wrapText="1"/>
    </xf>
    <xf numFmtId="0" fontId="13" fillId="2" borderId="0" xfId="0" applyFont="1" applyFill="1" applyAlignment="1">
      <alignment horizontal="left" vertical="top" wrapText="1"/>
    </xf>
    <xf numFmtId="49" fontId="15" fillId="2" borderId="0" xfId="0" applyNumberFormat="1" applyFont="1" applyFill="1" applyAlignment="1">
      <alignment horizontal="left" vertical="top" wrapText="1"/>
    </xf>
    <xf numFmtId="0" fontId="11" fillId="2" borderId="6" xfId="0" applyFont="1" applyFill="1" applyBorder="1" applyAlignment="1">
      <alignment horizontal="left" vertical="center" wrapText="1"/>
    </xf>
    <xf numFmtId="0" fontId="11" fillId="2" borderId="4" xfId="0" applyFont="1" applyFill="1" applyBorder="1" applyAlignment="1">
      <alignment horizontal="left" vertical="center" wrapText="1"/>
    </xf>
    <xf numFmtId="49" fontId="19" fillId="2" borderId="6" xfId="0" applyNumberFormat="1" applyFont="1" applyFill="1" applyBorder="1" applyAlignment="1">
      <alignment horizontal="left" vertical="center" wrapText="1"/>
    </xf>
    <xf numFmtId="49" fontId="19" fillId="2" borderId="4" xfId="0" applyNumberFormat="1" applyFont="1" applyFill="1" applyBorder="1" applyAlignment="1">
      <alignment horizontal="left" vertical="center" wrapText="1"/>
    </xf>
    <xf numFmtId="0" fontId="207" fillId="5" borderId="0" xfId="0" applyFont="1" applyFill="1" applyAlignment="1">
      <alignment horizontal="left" wrapText="1"/>
    </xf>
    <xf numFmtId="0" fontId="207" fillId="5" borderId="28" xfId="0" applyFont="1" applyFill="1" applyBorder="1" applyAlignment="1">
      <alignment horizontal="left" wrapText="1"/>
    </xf>
    <xf numFmtId="0" fontId="7" fillId="2" borderId="49" xfId="0" applyFont="1" applyFill="1" applyBorder="1" applyAlignment="1">
      <alignment horizontal="left" vertical="center" wrapText="1"/>
    </xf>
    <xf numFmtId="0" fontId="7" fillId="2" borderId="50" xfId="0" applyFont="1" applyFill="1" applyBorder="1" applyAlignment="1">
      <alignment horizontal="left" vertical="center" wrapText="1"/>
    </xf>
    <xf numFmtId="0" fontId="7" fillId="2" borderId="48" xfId="0" applyFont="1" applyFill="1" applyBorder="1" applyAlignment="1">
      <alignment horizontal="left" vertical="center" wrapText="1"/>
    </xf>
    <xf numFmtId="0" fontId="11" fillId="2" borderId="48" xfId="0" applyFont="1" applyFill="1" applyBorder="1" applyAlignment="1">
      <alignment horizontal="left" vertical="center" wrapText="1"/>
    </xf>
    <xf numFmtId="0" fontId="11" fillId="2" borderId="206" xfId="0" applyFont="1" applyFill="1" applyBorder="1" applyAlignment="1">
      <alignment horizontal="left" vertical="center" wrapText="1"/>
    </xf>
    <xf numFmtId="0" fontId="11" fillId="2" borderId="0" xfId="0" applyFont="1" applyFill="1" applyAlignment="1">
      <alignment horizontal="left" vertical="center" wrapText="1"/>
    </xf>
    <xf numFmtId="0" fontId="11" fillId="2" borderId="28" xfId="0" applyFont="1" applyFill="1" applyBorder="1" applyAlignment="1">
      <alignment horizontal="left" vertical="center" wrapText="1"/>
    </xf>
    <xf numFmtId="0" fontId="15" fillId="12" borderId="6" xfId="0" applyFont="1" applyFill="1" applyBorder="1" applyAlignment="1">
      <alignment horizontal="center" vertical="center"/>
    </xf>
    <xf numFmtId="0" fontId="15" fillId="12" borderId="4" xfId="0" applyFont="1" applyFill="1" applyBorder="1" applyAlignment="1">
      <alignment horizontal="center" vertical="center"/>
    </xf>
    <xf numFmtId="0" fontId="15" fillId="0" borderId="7" xfId="0" applyFont="1" applyBorder="1" applyAlignment="1">
      <alignment horizontal="left" vertical="top" wrapText="1"/>
    </xf>
    <xf numFmtId="0" fontId="15" fillId="0" borderId="1" xfId="0" applyFont="1" applyBorder="1" applyAlignment="1">
      <alignment horizontal="left" vertical="top" wrapText="1"/>
    </xf>
    <xf numFmtId="0" fontId="15" fillId="0" borderId="12" xfId="0" applyFont="1" applyBorder="1" applyAlignment="1">
      <alignment horizontal="left" vertical="top" wrapText="1"/>
    </xf>
    <xf numFmtId="4" fontId="54" fillId="7" borderId="17" xfId="0" applyNumberFormat="1" applyFont="1" applyFill="1" applyBorder="1" applyAlignment="1" applyProtection="1">
      <alignment horizontal="left" vertical="top"/>
      <protection locked="0"/>
    </xf>
    <xf numFmtId="4" fontId="54" fillId="7" borderId="5" xfId="0" applyNumberFormat="1" applyFont="1" applyFill="1" applyBorder="1" applyAlignment="1" applyProtection="1">
      <alignment horizontal="left" vertical="top"/>
      <protection locked="0"/>
    </xf>
    <xf numFmtId="4" fontId="54" fillId="7" borderId="0" xfId="0" applyNumberFormat="1" applyFont="1" applyFill="1" applyAlignment="1" applyProtection="1">
      <alignment horizontal="left" vertical="top"/>
      <protection locked="0"/>
    </xf>
    <xf numFmtId="4" fontId="54" fillId="7" borderId="2" xfId="0" applyNumberFormat="1" applyFont="1" applyFill="1" applyBorder="1" applyAlignment="1" applyProtection="1">
      <alignment horizontal="left" vertical="top"/>
      <protection locked="0"/>
    </xf>
    <xf numFmtId="4" fontId="54" fillId="7" borderId="8" xfId="0" applyNumberFormat="1" applyFont="1" applyFill="1" applyBorder="1" applyAlignment="1" applyProtection="1">
      <alignment horizontal="left" vertical="top"/>
      <protection locked="0"/>
    </xf>
    <xf numFmtId="4" fontId="54" fillId="7" borderId="3" xfId="0" applyNumberFormat="1" applyFont="1" applyFill="1" applyBorder="1" applyAlignment="1" applyProtection="1">
      <alignment horizontal="left" vertical="top"/>
      <protection locked="0"/>
    </xf>
    <xf numFmtId="0" fontId="31" fillId="4" borderId="52" xfId="0" applyFont="1" applyFill="1" applyBorder="1" applyAlignment="1">
      <alignment horizontal="center" vertical="top" wrapText="1"/>
    </xf>
    <xf numFmtId="0" fontId="31" fillId="4" borderId="205" xfId="0" applyFont="1" applyFill="1" applyBorder="1" applyAlignment="1">
      <alignment horizontal="center" vertical="top" wrapText="1"/>
    </xf>
    <xf numFmtId="0" fontId="284" fillId="2" borderId="0" xfId="0" applyFont="1" applyFill="1" applyAlignment="1">
      <alignment horizontal="left" vertical="top" wrapText="1"/>
    </xf>
    <xf numFmtId="0" fontId="284" fillId="2" borderId="28" xfId="0" applyFont="1" applyFill="1" applyBorder="1" applyAlignment="1">
      <alignment horizontal="left" vertical="top" wrapText="1"/>
    </xf>
    <xf numFmtId="49" fontId="219" fillId="2" borderId="0" xfId="0" applyNumberFormat="1" applyFont="1" applyFill="1" applyAlignment="1">
      <alignment horizontal="center"/>
    </xf>
    <xf numFmtId="0" fontId="66" fillId="0" borderId="0" xfId="0" applyFont="1" applyAlignment="1">
      <alignment horizontal="left" vertical="top" wrapText="1"/>
    </xf>
    <xf numFmtId="0" fontId="66" fillId="0" borderId="8" xfId="0" applyFont="1" applyBorder="1" applyAlignment="1">
      <alignment horizontal="left" vertical="top" wrapText="1"/>
    </xf>
    <xf numFmtId="0" fontId="60" fillId="2" borderId="0" xfId="0" applyFont="1" applyFill="1" applyAlignment="1">
      <alignment horizontal="left" vertical="top" wrapText="1"/>
    </xf>
    <xf numFmtId="0" fontId="15" fillId="12" borderId="41" xfId="0" applyFont="1" applyFill="1" applyBorder="1" applyAlignment="1">
      <alignment horizontal="center" vertical="center"/>
    </xf>
    <xf numFmtId="4" fontId="15" fillId="12" borderId="2" xfId="0" applyNumberFormat="1" applyFont="1" applyFill="1" applyBorder="1" applyAlignment="1">
      <alignment horizontal="center" shrinkToFit="1"/>
    </xf>
    <xf numFmtId="4" fontId="15" fillId="12" borderId="3" xfId="0" applyNumberFormat="1" applyFont="1" applyFill="1" applyBorder="1" applyAlignment="1">
      <alignment horizontal="center" shrinkToFit="1"/>
    </xf>
    <xf numFmtId="0" fontId="23" fillId="12" borderId="6" xfId="0" applyFont="1" applyFill="1" applyBorder="1" applyAlignment="1">
      <alignment horizontal="center" vertical="center" wrapText="1" shrinkToFit="1"/>
    </xf>
    <xf numFmtId="0" fontId="23" fillId="12" borderId="4" xfId="0" applyFont="1" applyFill="1" applyBorder="1" applyAlignment="1">
      <alignment horizontal="center" vertical="center" wrapText="1" shrinkToFit="1"/>
    </xf>
    <xf numFmtId="0" fontId="13" fillId="2" borderId="52" xfId="0" applyFont="1" applyFill="1" applyBorder="1" applyAlignment="1">
      <alignment horizontal="left" vertical="top" wrapText="1"/>
    </xf>
    <xf numFmtId="0" fontId="13" fillId="2" borderId="53" xfId="0" applyFont="1" applyFill="1" applyBorder="1" applyAlignment="1">
      <alignment horizontal="left" vertical="top" wrapText="1"/>
    </xf>
    <xf numFmtId="0" fontId="13" fillId="2" borderId="54" xfId="0" applyFont="1" applyFill="1" applyBorder="1" applyAlignment="1">
      <alignment horizontal="left" vertical="top" wrapText="1"/>
    </xf>
    <xf numFmtId="4" fontId="75" fillId="0" borderId="6" xfId="0" applyNumberFormat="1" applyFont="1" applyBorder="1" applyAlignment="1">
      <alignment horizontal="left" wrapText="1"/>
    </xf>
    <xf numFmtId="4" fontId="75" fillId="0" borderId="41" xfId="0" applyNumberFormat="1" applyFont="1" applyBorder="1" applyAlignment="1">
      <alignment horizontal="left" wrapText="1"/>
    </xf>
    <xf numFmtId="4" fontId="75" fillId="0" borderId="4" xfId="0" applyNumberFormat="1" applyFont="1" applyBorder="1" applyAlignment="1">
      <alignment horizontal="left"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49" fontId="219" fillId="2" borderId="2" xfId="0" applyNumberFormat="1" applyFont="1" applyFill="1" applyBorder="1" applyAlignment="1">
      <alignment horizontal="center"/>
    </xf>
    <xf numFmtId="0" fontId="15" fillId="2" borderId="0" xfId="0" applyFont="1" applyFill="1" applyAlignment="1">
      <alignment horizontal="left" vertical="center" wrapText="1"/>
    </xf>
    <xf numFmtId="0" fontId="23" fillId="2" borderId="6"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0" fillId="2" borderId="15" xfId="0" applyFont="1" applyFill="1" applyBorder="1" applyAlignment="1">
      <alignment horizontal="center" vertical="center" wrapText="1"/>
    </xf>
    <xf numFmtId="0" fontId="104" fillId="0" borderId="335" xfId="0" applyFont="1" applyBorder="1" applyAlignment="1">
      <alignment horizontal="center" vertical="center"/>
    </xf>
    <xf numFmtId="0" fontId="104" fillId="0" borderId="128" xfId="0" applyFont="1" applyBorder="1" applyAlignment="1">
      <alignment horizontal="center" vertical="center"/>
    </xf>
    <xf numFmtId="0" fontId="23" fillId="0" borderId="333" xfId="0" applyFont="1" applyBorder="1" applyAlignment="1">
      <alignment horizontal="center" wrapText="1"/>
    </xf>
    <xf numFmtId="0" fontId="23" fillId="0" borderId="202" xfId="0" applyFont="1" applyBorder="1" applyAlignment="1">
      <alignment horizontal="center" wrapText="1"/>
    </xf>
    <xf numFmtId="0" fontId="23" fillId="0" borderId="0" xfId="0" applyFont="1" applyAlignment="1">
      <alignment horizontal="center" wrapText="1"/>
    </xf>
    <xf numFmtId="0" fontId="11" fillId="2" borderId="1" xfId="0" applyFont="1" applyFill="1" applyBorder="1" applyAlignment="1">
      <alignment horizontal="left" vertical="top" wrapText="1"/>
    </xf>
    <xf numFmtId="0" fontId="11" fillId="2" borderId="0" xfId="0" applyFont="1" applyFill="1" applyAlignment="1">
      <alignment horizontal="left" vertical="top" wrapText="1"/>
    </xf>
    <xf numFmtId="0" fontId="19" fillId="2" borderId="1" xfId="0" applyFont="1" applyFill="1" applyBorder="1" applyAlignment="1">
      <alignment horizontal="left" vertical="top"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205" xfId="0" applyFont="1" applyFill="1" applyBorder="1" applyAlignment="1">
      <alignment horizontal="center" vertical="center" wrapText="1"/>
    </xf>
    <xf numFmtId="0" fontId="11" fillId="2" borderId="50"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206" xfId="0" applyFont="1" applyFill="1" applyBorder="1" applyAlignment="1">
      <alignment horizontal="center" vertical="center" wrapText="1"/>
    </xf>
    <xf numFmtId="0" fontId="11" fillId="24" borderId="326" xfId="0" applyFont="1" applyFill="1" applyBorder="1" applyAlignment="1">
      <alignment horizontal="center" vertical="center" wrapText="1"/>
    </xf>
    <xf numFmtId="0" fontId="11" fillId="24" borderId="349" xfId="0" applyFont="1" applyFill="1" applyBorder="1" applyAlignment="1">
      <alignment horizontal="center" vertical="center" wrapText="1"/>
    </xf>
    <xf numFmtId="0" fontId="11" fillId="24" borderId="325" xfId="0" applyFont="1" applyFill="1" applyBorder="1" applyAlignment="1">
      <alignment horizontal="center" vertical="center" wrapText="1"/>
    </xf>
    <xf numFmtId="0" fontId="11" fillId="19" borderId="326" xfId="0" applyFont="1" applyFill="1" applyBorder="1" applyAlignment="1">
      <alignment horizontal="center" vertical="center" wrapText="1"/>
    </xf>
    <xf numFmtId="0" fontId="11" fillId="19" borderId="325" xfId="0" applyFont="1" applyFill="1" applyBorder="1" applyAlignment="1">
      <alignment horizontal="center" vertical="center" wrapText="1"/>
    </xf>
    <xf numFmtId="0" fontId="7" fillId="0" borderId="345" xfId="0" applyFont="1" applyBorder="1" applyAlignment="1">
      <alignment horizontal="left" vertical="top" wrapText="1"/>
    </xf>
    <xf numFmtId="0" fontId="7" fillId="0" borderId="169" xfId="0" applyFont="1" applyBorder="1" applyAlignment="1">
      <alignment horizontal="left" vertical="top" wrapText="1"/>
    </xf>
    <xf numFmtId="0" fontId="7" fillId="0" borderId="345" xfId="0" applyFont="1" applyBorder="1" applyAlignment="1">
      <alignment horizontal="center" vertical="center" wrapText="1"/>
    </xf>
    <xf numFmtId="0" fontId="7" fillId="0" borderId="169"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1" xfId="0" applyFont="1" applyBorder="1" applyAlignment="1">
      <alignment horizontal="center" vertical="center" wrapText="1"/>
    </xf>
    <xf numFmtId="0" fontId="11" fillId="19" borderId="329" xfId="0" applyFont="1" applyFill="1" applyBorder="1" applyAlignment="1">
      <alignment horizontal="center" vertical="center" wrapText="1"/>
    </xf>
    <xf numFmtId="0" fontId="23" fillId="17" borderId="125" xfId="0" applyFont="1" applyFill="1" applyBorder="1" applyAlignment="1">
      <alignment horizontal="center" vertical="center" wrapText="1"/>
    </xf>
    <xf numFmtId="0" fontId="23" fillId="17" borderId="47" xfId="0" applyFont="1" applyFill="1" applyBorder="1" applyAlignment="1">
      <alignment horizontal="center" vertical="center" wrapText="1"/>
    </xf>
    <xf numFmtId="2" fontId="207" fillId="2" borderId="8" xfId="0" applyNumberFormat="1" applyFont="1" applyFill="1" applyBorder="1" applyAlignment="1">
      <alignment horizontal="left" wrapText="1"/>
    </xf>
    <xf numFmtId="0" fontId="11" fillId="0" borderId="40" xfId="0" applyFont="1" applyBorder="1" applyAlignment="1">
      <alignment horizontal="left" vertical="top" wrapText="1"/>
    </xf>
    <xf numFmtId="0" fontId="60" fillId="0" borderId="0" xfId="0" applyFont="1" applyAlignment="1">
      <alignment horizontal="left" vertical="center" wrapText="1"/>
    </xf>
    <xf numFmtId="0" fontId="11" fillId="0" borderId="18" xfId="0" applyFont="1" applyBorder="1" applyAlignment="1">
      <alignment horizontal="center" vertical="center" wrapText="1"/>
    </xf>
    <xf numFmtId="0" fontId="11" fillId="0" borderId="179" xfId="0" applyFont="1" applyBorder="1" applyAlignment="1">
      <alignment horizontal="center" vertical="center" wrapText="1"/>
    </xf>
    <xf numFmtId="0" fontId="75" fillId="0" borderId="125" xfId="0" applyFont="1" applyBorder="1" applyAlignment="1">
      <alignment horizontal="center" vertical="center" wrapText="1"/>
    </xf>
    <xf numFmtId="0" fontId="75" fillId="0" borderId="47" xfId="0" applyFont="1" applyBorder="1" applyAlignment="1">
      <alignment horizontal="center" vertical="center" wrapText="1"/>
    </xf>
    <xf numFmtId="0" fontId="215" fillId="0" borderId="0" xfId="0" applyFont="1" applyAlignment="1">
      <alignment horizontal="left" wrapText="1"/>
    </xf>
    <xf numFmtId="0" fontId="25" fillId="2" borderId="23" xfId="0" applyFont="1" applyFill="1" applyBorder="1" applyAlignment="1">
      <alignment horizontal="right" vertical="center" wrapText="1"/>
    </xf>
    <xf numFmtId="0" fontId="62" fillId="0" borderId="1" xfId="0" applyFont="1" applyBorder="1" applyAlignment="1">
      <alignment horizontal="center"/>
    </xf>
    <xf numFmtId="0" fontId="62" fillId="0" borderId="0" xfId="0" applyFont="1" applyAlignment="1">
      <alignment horizontal="center"/>
    </xf>
    <xf numFmtId="0" fontId="11" fillId="0" borderId="55" xfId="0" applyFont="1" applyBorder="1" applyAlignment="1">
      <alignment horizontal="left" vertical="center" wrapText="1"/>
    </xf>
    <xf numFmtId="0" fontId="69" fillId="0" borderId="0" xfId="0" applyFont="1" applyAlignment="1">
      <alignment horizontal="center" vertical="top" wrapText="1"/>
    </xf>
    <xf numFmtId="0" fontId="11" fillId="0" borderId="54" xfId="0" applyFont="1" applyBorder="1" applyAlignment="1">
      <alignment horizontal="center" wrapText="1"/>
    </xf>
    <xf numFmtId="0" fontId="11" fillId="17" borderId="48" xfId="0" applyFont="1" applyFill="1" applyBorder="1" applyAlignment="1">
      <alignment horizontal="left" vertical="center" wrapText="1"/>
    </xf>
    <xf numFmtId="0" fontId="11" fillId="17" borderId="209" xfId="0" applyFont="1" applyFill="1" applyBorder="1" applyAlignment="1">
      <alignment horizontal="left" vertical="center" wrapText="1"/>
    </xf>
    <xf numFmtId="0" fontId="9" fillId="12" borderId="14" xfId="0" applyFont="1" applyFill="1" applyBorder="1" applyAlignment="1">
      <alignment horizontal="center" vertical="center"/>
    </xf>
    <xf numFmtId="0" fontId="9" fillId="12" borderId="13" xfId="0" applyFont="1" applyFill="1" applyBorder="1" applyAlignment="1">
      <alignment horizontal="center" vertical="center"/>
    </xf>
    <xf numFmtId="0" fontId="9" fillId="12" borderId="10" xfId="0" applyFont="1" applyFill="1" applyBorder="1" applyAlignment="1">
      <alignment horizontal="center" vertical="center"/>
    </xf>
    <xf numFmtId="0" fontId="15" fillId="2" borderId="13" xfId="0" applyFont="1" applyFill="1" applyBorder="1" applyAlignment="1">
      <alignment horizontal="center"/>
    </xf>
    <xf numFmtId="0" fontId="116" fillId="0" borderId="13" xfId="0" applyFont="1" applyBorder="1" applyAlignment="1">
      <alignment horizontal="left" wrapText="1"/>
    </xf>
    <xf numFmtId="0" fontId="9" fillId="2" borderId="1" xfId="0" applyFont="1" applyFill="1" applyBorder="1" applyAlignment="1">
      <alignment horizontal="center" vertical="top"/>
    </xf>
    <xf numFmtId="0" fontId="9" fillId="2" borderId="34" xfId="0" applyFont="1" applyFill="1" applyBorder="1" applyAlignment="1">
      <alignment horizontal="center" vertical="top"/>
    </xf>
    <xf numFmtId="0" fontId="9" fillId="2" borderId="369" xfId="0" applyFont="1" applyFill="1" applyBorder="1" applyAlignment="1">
      <alignment horizontal="center" vertical="center" wrapText="1"/>
    </xf>
    <xf numFmtId="0" fontId="9" fillId="2" borderId="119" xfId="0" applyFont="1" applyFill="1" applyBorder="1" applyAlignment="1">
      <alignment horizontal="center" vertical="center" wrapText="1"/>
    </xf>
    <xf numFmtId="0" fontId="58" fillId="0" borderId="40" xfId="0" applyFont="1" applyBorder="1" applyAlignment="1">
      <alignment horizontal="center" vertical="center" wrapText="1"/>
    </xf>
    <xf numFmtId="0" fontId="58" fillId="0" borderId="214" xfId="0" applyFont="1" applyBorder="1" applyAlignment="1">
      <alignment horizontal="center" vertical="center" wrapText="1"/>
    </xf>
    <xf numFmtId="0" fontId="272" fillId="0" borderId="0" xfId="0" applyFont="1" applyAlignment="1">
      <alignment horizontal="left" vertical="center" wrapText="1"/>
    </xf>
    <xf numFmtId="0" fontId="272" fillId="0" borderId="48" xfId="0" applyFont="1" applyBorder="1" applyAlignment="1">
      <alignment horizontal="left" vertical="center" wrapText="1"/>
    </xf>
    <xf numFmtId="0" fontId="15" fillId="0" borderId="11" xfId="0" applyFont="1" applyBorder="1" applyAlignment="1">
      <alignment horizontal="right" wrapText="1"/>
    </xf>
    <xf numFmtId="0" fontId="58" fillId="2" borderId="7"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328" fillId="2" borderId="1" xfId="0" applyFont="1" applyFill="1" applyBorder="1" applyAlignment="1">
      <alignment horizontal="left" vertical="center" wrapText="1"/>
    </xf>
    <xf numFmtId="0" fontId="328" fillId="2" borderId="0" xfId="0" applyFont="1" applyFill="1" applyAlignment="1">
      <alignment horizontal="left" vertical="center" wrapText="1"/>
    </xf>
    <xf numFmtId="0" fontId="23" fillId="0" borderId="333" xfId="0" applyFont="1" applyBorder="1" applyAlignment="1">
      <alignment horizontal="left" wrapText="1"/>
    </xf>
    <xf numFmtId="0" fontId="23" fillId="0" borderId="202" xfId="0" applyFont="1" applyBorder="1" applyAlignment="1">
      <alignment horizontal="left" wrapText="1"/>
    </xf>
    <xf numFmtId="0" fontId="23" fillId="0" borderId="1" xfId="0" applyFont="1" applyBorder="1" applyAlignment="1">
      <alignment horizontal="left" wrapText="1"/>
    </xf>
    <xf numFmtId="0" fontId="23" fillId="0" borderId="0" xfId="0" applyFont="1" applyAlignment="1">
      <alignment horizontal="left" wrapText="1"/>
    </xf>
    <xf numFmtId="0" fontId="133" fillId="0" borderId="0" xfId="0" applyFont="1" applyAlignment="1">
      <alignment horizontal="left" vertical="center"/>
    </xf>
    <xf numFmtId="0" fontId="116" fillId="0" borderId="0" xfId="0" applyFont="1" applyAlignment="1">
      <alignment horizontal="left" vertical="top" wrapText="1"/>
    </xf>
    <xf numFmtId="0" fontId="11" fillId="0" borderId="14" xfId="0" applyFont="1" applyBorder="1" applyAlignment="1">
      <alignment horizontal="right" vertical="center" wrapText="1"/>
    </xf>
    <xf numFmtId="0" fontId="11" fillId="0" borderId="10" xfId="0" applyFont="1" applyBorder="1" applyAlignment="1">
      <alignment horizontal="right" vertical="center" wrapText="1"/>
    </xf>
    <xf numFmtId="0" fontId="23" fillId="15" borderId="98" xfId="0" applyFont="1" applyFill="1" applyBorder="1" applyAlignment="1">
      <alignment horizontal="left" vertical="center" wrapText="1"/>
    </xf>
    <xf numFmtId="0" fontId="23" fillId="15" borderId="76" xfId="0" applyFont="1" applyFill="1" applyBorder="1" applyAlignment="1">
      <alignment horizontal="left" vertical="center" wrapText="1"/>
    </xf>
    <xf numFmtId="0" fontId="6" fillId="2" borderId="0" xfId="0" applyFont="1" applyFill="1" applyAlignment="1">
      <alignment horizontal="left" vertical="center" wrapText="1"/>
    </xf>
    <xf numFmtId="0" fontId="60" fillId="0" borderId="7" xfId="0" applyFont="1" applyBorder="1" applyAlignment="1">
      <alignment horizontal="center" vertical="center" wrapText="1"/>
    </xf>
    <xf numFmtId="0" fontId="60" fillId="0" borderId="17" xfId="0" applyFont="1" applyBorder="1" applyAlignment="1">
      <alignment horizontal="center" vertical="center" wrapText="1"/>
    </xf>
    <xf numFmtId="0" fontId="60" fillId="0" borderId="5" xfId="0" applyFont="1" applyBorder="1" applyAlignment="1">
      <alignment horizontal="center" vertical="center" wrapText="1"/>
    </xf>
    <xf numFmtId="0" fontId="20" fillId="2" borderId="14"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0" xfId="0" applyFont="1" applyFill="1" applyBorder="1" applyAlignment="1">
      <alignment horizontal="center" vertical="center"/>
    </xf>
    <xf numFmtId="168" fontId="15" fillId="0" borderId="14" xfId="0" applyNumberFormat="1" applyFont="1" applyBorder="1" applyAlignment="1">
      <alignment horizontal="center" vertical="center"/>
    </xf>
    <xf numFmtId="168" fontId="15" fillId="0" borderId="10" xfId="0" applyNumberFormat="1" applyFont="1" applyBorder="1" applyAlignment="1">
      <alignment horizontal="center" vertical="center"/>
    </xf>
    <xf numFmtId="0" fontId="13" fillId="2" borderId="12" xfId="0" applyFont="1" applyFill="1" applyBorder="1" applyAlignment="1">
      <alignment horizontal="center" vertical="center" shrinkToFit="1"/>
    </xf>
    <xf numFmtId="0" fontId="13" fillId="2" borderId="3" xfId="0" applyFont="1" applyFill="1" applyBorder="1" applyAlignment="1">
      <alignment horizontal="center" vertical="center" shrinkToFit="1"/>
    </xf>
    <xf numFmtId="0" fontId="13" fillId="2" borderId="12" xfId="0" applyFont="1" applyFill="1" applyBorder="1" applyAlignment="1">
      <alignment horizontal="center" vertical="top" shrinkToFit="1"/>
    </xf>
    <xf numFmtId="0" fontId="13" fillId="2" borderId="3" xfId="0" applyFont="1" applyFill="1" applyBorder="1" applyAlignment="1">
      <alignment horizontal="center" vertical="top" shrinkToFit="1"/>
    </xf>
    <xf numFmtId="0" fontId="49" fillId="0" borderId="6" xfId="0" applyFont="1" applyBorder="1" applyAlignment="1">
      <alignment horizontal="right" wrapText="1"/>
    </xf>
    <xf numFmtId="0" fontId="49" fillId="0" borderId="4" xfId="0" applyFont="1" applyBorder="1" applyAlignment="1">
      <alignment horizontal="right" wrapText="1"/>
    </xf>
    <xf numFmtId="0" fontId="325" fillId="0" borderId="0" xfId="0" applyFont="1" applyAlignment="1">
      <alignment horizontal="left" vertical="center" wrapText="1"/>
    </xf>
    <xf numFmtId="0" fontId="176" fillId="0" borderId="0" xfId="0" applyFont="1" applyAlignment="1">
      <alignment horizontal="center" vertical="top" wrapText="1"/>
    </xf>
    <xf numFmtId="0" fontId="11" fillId="19" borderId="266" xfId="0" applyFont="1" applyFill="1" applyBorder="1" applyAlignment="1">
      <alignment horizontal="left" vertical="center" wrapText="1"/>
    </xf>
    <xf numFmtId="0" fontId="11" fillId="19" borderId="267" xfId="0" applyFont="1" applyFill="1" applyBorder="1" applyAlignment="1">
      <alignment horizontal="left" vertical="center" wrapText="1"/>
    </xf>
    <xf numFmtId="0" fontId="11" fillId="19" borderId="268" xfId="0" applyFont="1" applyFill="1" applyBorder="1" applyAlignment="1">
      <alignment horizontal="left" vertical="center" wrapText="1"/>
    </xf>
    <xf numFmtId="14" fontId="11" fillId="2" borderId="0" xfId="0" applyNumberFormat="1" applyFont="1" applyFill="1" applyAlignment="1">
      <alignment horizontal="center" shrinkToFit="1"/>
    </xf>
    <xf numFmtId="0" fontId="19" fillId="2" borderId="96" xfId="0" applyFont="1" applyFill="1" applyBorder="1" applyAlignment="1">
      <alignment horizontal="left" wrapText="1"/>
    </xf>
    <xf numFmtId="0" fontId="19" fillId="2" borderId="97" xfId="0" applyFont="1" applyFill="1" applyBorder="1" applyAlignment="1">
      <alignment horizontal="left" wrapText="1"/>
    </xf>
    <xf numFmtId="3" fontId="241" fillId="0" borderId="0" xfId="0" applyNumberFormat="1" applyFont="1" applyAlignment="1">
      <alignment horizontal="right"/>
    </xf>
    <xf numFmtId="3" fontId="241" fillId="0" borderId="2" xfId="0" applyNumberFormat="1" applyFont="1" applyBorder="1" applyAlignment="1">
      <alignment horizontal="right"/>
    </xf>
    <xf numFmtId="9" fontId="64" fillId="0" borderId="28" xfId="0" applyNumberFormat="1" applyFont="1" applyBorder="1" applyAlignment="1">
      <alignment horizontal="left" vertical="top" wrapText="1"/>
    </xf>
    <xf numFmtId="0" fontId="11" fillId="2" borderId="27" xfId="0" applyFont="1" applyFill="1" applyBorder="1" applyAlignment="1">
      <alignment horizontal="left" vertical="top" wrapText="1"/>
    </xf>
    <xf numFmtId="0" fontId="11" fillId="2" borderId="29" xfId="0" applyFont="1" applyFill="1" applyBorder="1" applyAlignment="1">
      <alignment horizontal="left" vertical="top" wrapText="1"/>
    </xf>
    <xf numFmtId="0" fontId="11" fillId="2" borderId="30" xfId="0" applyFont="1" applyFill="1" applyBorder="1" applyAlignment="1">
      <alignment horizontal="left" vertical="top" wrapText="1"/>
    </xf>
    <xf numFmtId="0" fontId="58" fillId="0" borderId="372" xfId="0" applyFont="1" applyBorder="1" applyAlignment="1">
      <alignment horizontal="center" vertical="center" wrapText="1"/>
    </xf>
    <xf numFmtId="0" fontId="58" fillId="0" borderId="318" xfId="0" applyFont="1" applyBorder="1" applyAlignment="1">
      <alignment horizontal="center" vertical="center" wrapText="1"/>
    </xf>
    <xf numFmtId="0" fontId="82" fillId="0" borderId="0" xfId="0" applyFont="1" applyAlignment="1">
      <alignment horizontal="center" wrapText="1"/>
    </xf>
    <xf numFmtId="0" fontId="9" fillId="0" borderId="79" xfId="0" applyFont="1" applyBorder="1" applyAlignment="1">
      <alignment horizontal="center" shrinkToFit="1"/>
    </xf>
    <xf numFmtId="0" fontId="9" fillId="0" borderId="74" xfId="0" applyFont="1" applyBorder="1" applyAlignment="1">
      <alignment horizontal="center" shrinkToFit="1"/>
    </xf>
    <xf numFmtId="0" fontId="9" fillId="2" borderId="74" xfId="0" applyFont="1" applyFill="1" applyBorder="1" applyAlignment="1">
      <alignment horizontal="center"/>
    </xf>
    <xf numFmtId="0" fontId="9" fillId="2" borderId="80" xfId="0" applyFont="1" applyFill="1" applyBorder="1" applyAlignment="1">
      <alignment horizontal="center"/>
    </xf>
    <xf numFmtId="0" fontId="19" fillId="0" borderId="0" xfId="0" applyFont="1" applyAlignment="1">
      <alignment horizontal="left" vertical="center" wrapText="1"/>
    </xf>
    <xf numFmtId="0" fontId="19" fillId="0" borderId="28" xfId="0" applyFont="1" applyBorder="1" applyAlignment="1">
      <alignment horizontal="left" vertical="center" wrapText="1"/>
    </xf>
    <xf numFmtId="0" fontId="24" fillId="2" borderId="87" xfId="0" applyFont="1" applyFill="1" applyBorder="1" applyAlignment="1">
      <alignment horizontal="left" vertical="center" wrapText="1"/>
    </xf>
    <xf numFmtId="0" fontId="24" fillId="2" borderId="81" xfId="0" applyFont="1" applyFill="1" applyBorder="1" applyAlignment="1">
      <alignment horizontal="left" vertical="center" wrapText="1"/>
    </xf>
    <xf numFmtId="0" fontId="24" fillId="2" borderId="88" xfId="0" applyFont="1" applyFill="1" applyBorder="1" applyAlignment="1">
      <alignment horizontal="left" vertical="center" wrapText="1"/>
    </xf>
    <xf numFmtId="0" fontId="44" fillId="2" borderId="87" xfId="0" applyFont="1" applyFill="1" applyBorder="1" applyAlignment="1">
      <alignment horizontal="center" vertical="center" wrapText="1"/>
    </xf>
    <xf numFmtId="0" fontId="44" fillId="2" borderId="81" xfId="0" applyFont="1" applyFill="1" applyBorder="1" applyAlignment="1">
      <alignment horizontal="center" vertical="center" wrapText="1"/>
    </xf>
    <xf numFmtId="0" fontId="44" fillId="2" borderId="88" xfId="0" applyFont="1" applyFill="1" applyBorder="1" applyAlignment="1">
      <alignment horizontal="center" vertical="center" wrapText="1"/>
    </xf>
    <xf numFmtId="0" fontId="15" fillId="2" borderId="57" xfId="0" applyFont="1" applyFill="1" applyBorder="1" applyAlignment="1">
      <alignment horizontal="center"/>
    </xf>
    <xf numFmtId="3" fontId="9" fillId="2" borderId="0" xfId="0" applyNumberFormat="1" applyFont="1" applyFill="1" applyAlignment="1">
      <alignment horizontal="center"/>
    </xf>
    <xf numFmtId="0" fontId="15" fillId="2" borderId="0" xfId="0" applyFont="1" applyFill="1" applyAlignment="1">
      <alignment horizontal="center"/>
    </xf>
    <xf numFmtId="0" fontId="60" fillId="2" borderId="0" xfId="0" applyFont="1" applyFill="1" applyAlignment="1">
      <alignment horizontal="center" vertical="center" shrinkToFit="1"/>
    </xf>
    <xf numFmtId="0" fontId="60" fillId="2" borderId="59" xfId="0" applyFont="1" applyFill="1" applyBorder="1" applyAlignment="1">
      <alignment horizontal="center" vertical="center" shrinkToFit="1"/>
    </xf>
    <xf numFmtId="165" fontId="69" fillId="0" borderId="0" xfId="0" applyNumberFormat="1" applyFont="1" applyAlignment="1">
      <alignment horizontal="right"/>
    </xf>
    <xf numFmtId="169" fontId="54" fillId="0" borderId="108" xfId="0" applyNumberFormat="1" applyFont="1" applyBorder="1" applyAlignment="1">
      <alignment horizontal="center" vertical="center" wrapText="1"/>
    </xf>
    <xf numFmtId="169" fontId="54" fillId="0" borderId="107" xfId="0" applyNumberFormat="1" applyFont="1" applyBorder="1" applyAlignment="1">
      <alignment horizontal="center" vertical="center" wrapText="1"/>
    </xf>
    <xf numFmtId="0" fontId="60" fillId="2" borderId="81" xfId="0" applyFont="1" applyFill="1" applyBorder="1" applyAlignment="1">
      <alignment horizontal="center" vertical="center" shrinkToFit="1"/>
    </xf>
    <xf numFmtId="0" fontId="60" fillId="2" borderId="82" xfId="0" applyFont="1" applyFill="1" applyBorder="1" applyAlignment="1">
      <alignment horizontal="center" vertical="center" shrinkToFit="1"/>
    </xf>
    <xf numFmtId="166" fontId="9" fillId="0" borderId="0" xfId="0" applyNumberFormat="1" applyFont="1" applyAlignment="1">
      <alignment horizontal="center" vertical="center" wrapText="1"/>
    </xf>
    <xf numFmtId="0" fontId="15" fillId="2" borderId="61" xfId="0" applyFont="1" applyFill="1" applyBorder="1" applyAlignment="1">
      <alignment horizontal="left" vertical="center" wrapText="1"/>
    </xf>
    <xf numFmtId="0" fontId="15" fillId="2" borderId="57" xfId="0" applyFont="1" applyFill="1" applyBorder="1" applyAlignment="1">
      <alignment horizontal="left" vertical="center" wrapText="1"/>
    </xf>
    <xf numFmtId="0" fontId="109" fillId="31" borderId="0" xfId="0" applyFont="1" applyFill="1" applyAlignment="1">
      <alignment horizontal="left" vertical="center" wrapText="1"/>
    </xf>
    <xf numFmtId="0" fontId="15" fillId="2" borderId="58" xfId="0" applyFont="1" applyFill="1" applyBorder="1" applyAlignment="1">
      <alignment horizontal="left" vertical="center" wrapText="1"/>
    </xf>
    <xf numFmtId="0" fontId="15" fillId="2" borderId="60" xfId="0" applyFont="1" applyFill="1" applyBorder="1" applyAlignment="1">
      <alignment horizontal="left" vertical="center" wrapText="1"/>
    </xf>
    <xf numFmtId="0" fontId="15" fillId="2" borderId="59" xfId="0" applyFont="1" applyFill="1" applyBorder="1" applyAlignment="1">
      <alignment horizontal="left" vertical="center" wrapText="1"/>
    </xf>
    <xf numFmtId="166" fontId="141" fillId="0" borderId="0" xfId="0" applyNumberFormat="1" applyFont="1" applyAlignment="1">
      <alignment horizontal="center" vertical="center" wrapText="1"/>
    </xf>
    <xf numFmtId="0" fontId="82" fillId="0" borderId="0" xfId="0" applyFont="1" applyAlignment="1">
      <alignment horizontal="left" wrapText="1"/>
    </xf>
    <xf numFmtId="0" fontId="15" fillId="0" borderId="61" xfId="0" applyFont="1" applyBorder="1" applyAlignment="1">
      <alignment horizontal="center" vertical="center"/>
    </xf>
    <xf numFmtId="0" fontId="15" fillId="0" borderId="57" xfId="0" applyFont="1" applyBorder="1" applyAlignment="1">
      <alignment horizontal="center" vertical="center"/>
    </xf>
    <xf numFmtId="0" fontId="15" fillId="0" borderId="58" xfId="0" applyFont="1" applyBorder="1" applyAlignment="1">
      <alignment horizontal="center" vertical="center"/>
    </xf>
    <xf numFmtId="0" fontId="287" fillId="2" borderId="49" xfId="0" applyFont="1" applyFill="1" applyBorder="1" applyAlignment="1">
      <alignment horizontal="left" vertical="center" wrapText="1"/>
    </xf>
    <xf numFmtId="0" fontId="287" fillId="2" borderId="55" xfId="0" applyFont="1" applyFill="1" applyBorder="1" applyAlignment="1">
      <alignment horizontal="left" vertical="center" wrapText="1"/>
    </xf>
    <xf numFmtId="9" fontId="289" fillId="0" borderId="117" xfId="1" applyFont="1" applyBorder="1" applyAlignment="1">
      <alignment horizontal="center" vertical="center"/>
    </xf>
    <xf numFmtId="9" fontId="289" fillId="0" borderId="115" xfId="1" applyFont="1" applyBorder="1" applyAlignment="1">
      <alignment horizontal="center" vertical="center"/>
    </xf>
    <xf numFmtId="9" fontId="289" fillId="0" borderId="116" xfId="1" applyFont="1" applyBorder="1" applyAlignment="1">
      <alignment horizontal="center" vertical="center"/>
    </xf>
    <xf numFmtId="9" fontId="60" fillId="0" borderId="117" xfId="1" applyFont="1" applyBorder="1" applyAlignment="1">
      <alignment horizontal="center" vertical="center"/>
    </xf>
    <xf numFmtId="9" fontId="60" fillId="0" borderId="115" xfId="1" applyFont="1" applyBorder="1" applyAlignment="1">
      <alignment horizontal="center" vertical="center"/>
    </xf>
    <xf numFmtId="9" fontId="60" fillId="0" borderId="116" xfId="1" applyFont="1" applyBorder="1" applyAlignment="1">
      <alignment horizontal="center" vertical="center"/>
    </xf>
    <xf numFmtId="0" fontId="285" fillId="2" borderId="0" xfId="0" applyFont="1" applyFill="1" applyAlignment="1">
      <alignment horizontal="left" wrapText="1"/>
    </xf>
    <xf numFmtId="0" fontId="15" fillId="0" borderId="1" xfId="0" applyFont="1" applyBorder="1" applyAlignment="1">
      <alignment horizontal="right" wrapText="1"/>
    </xf>
    <xf numFmtId="0" fontId="15" fillId="0" borderId="0" xfId="0" applyFont="1" applyAlignment="1">
      <alignment horizontal="right" wrapText="1"/>
    </xf>
    <xf numFmtId="0" fontId="15" fillId="0" borderId="59" xfId="0" applyFont="1" applyBorder="1" applyAlignment="1">
      <alignment horizontal="right" wrapText="1"/>
    </xf>
    <xf numFmtId="0" fontId="286" fillId="2" borderId="52" xfId="0" applyFont="1" applyFill="1" applyBorder="1" applyAlignment="1">
      <alignment horizontal="left" wrapText="1"/>
    </xf>
    <xf numFmtId="0" fontId="286" fillId="2" borderId="54" xfId="0" applyFont="1" applyFill="1" applyBorder="1" applyAlignment="1">
      <alignment horizontal="left" wrapText="1"/>
    </xf>
    <xf numFmtId="0" fontId="286" fillId="2" borderId="49" xfId="0" applyFont="1" applyFill="1" applyBorder="1" applyAlignment="1">
      <alignment horizontal="left" wrapText="1"/>
    </xf>
    <xf numFmtId="0" fontId="286" fillId="2" borderId="55" xfId="0" applyFont="1" applyFill="1" applyBorder="1" applyAlignment="1">
      <alignment horizontal="left" wrapText="1"/>
    </xf>
    <xf numFmtId="170" fontId="9" fillId="0" borderId="111" xfId="0" applyNumberFormat="1" applyFont="1" applyBorder="1" applyAlignment="1">
      <alignment horizontal="center" vertical="center" shrinkToFit="1"/>
    </xf>
    <xf numFmtId="170" fontId="9" fillId="0" borderId="110" xfId="0" applyNumberFormat="1" applyFont="1" applyBorder="1" applyAlignment="1">
      <alignment horizontal="center" vertical="center" shrinkToFit="1"/>
    </xf>
    <xf numFmtId="0" fontId="290" fillId="2" borderId="52" xfId="0" applyFont="1" applyFill="1" applyBorder="1" applyAlignment="1">
      <alignment horizontal="right" vertical="center" wrapText="1"/>
    </xf>
    <xf numFmtId="0" fontId="290" fillId="2" borderId="53" xfId="0" applyFont="1" applyFill="1" applyBorder="1" applyAlignment="1">
      <alignment horizontal="right" vertical="center" wrapText="1"/>
    </xf>
    <xf numFmtId="0" fontId="290" fillId="2" borderId="50" xfId="0" applyFont="1" applyFill="1" applyBorder="1" applyAlignment="1">
      <alignment horizontal="right" vertical="center" wrapText="1"/>
    </xf>
    <xf numFmtId="0" fontId="290" fillId="2" borderId="48" xfId="0" applyFont="1" applyFill="1" applyBorder="1" applyAlignment="1">
      <alignment horizontal="right" vertical="center" wrapText="1"/>
    </xf>
    <xf numFmtId="169" fontId="291" fillId="0" borderId="108" xfId="0" applyNumberFormat="1" applyFont="1" applyBorder="1" applyAlignment="1">
      <alignment horizontal="center" vertical="center" wrapText="1"/>
    </xf>
    <xf numFmtId="169" fontId="291" fillId="0" borderId="107" xfId="0" applyNumberFormat="1" applyFont="1" applyBorder="1" applyAlignment="1">
      <alignment horizontal="center" vertical="center" wrapText="1"/>
    </xf>
    <xf numFmtId="0" fontId="59" fillId="2" borderId="52" xfId="0" applyFont="1" applyFill="1" applyBorder="1" applyAlignment="1">
      <alignment horizontal="right" vertical="center" wrapText="1"/>
    </xf>
    <xf numFmtId="0" fontId="59" fillId="2" borderId="53" xfId="0" applyFont="1" applyFill="1" applyBorder="1" applyAlignment="1">
      <alignment horizontal="right" vertical="center" wrapText="1"/>
    </xf>
    <xf numFmtId="0" fontId="59" fillId="2" borderId="50" xfId="0" applyFont="1" applyFill="1" applyBorder="1" applyAlignment="1">
      <alignment horizontal="right" vertical="center" wrapText="1"/>
    </xf>
    <xf numFmtId="0" fontId="59" fillId="2" borderId="48" xfId="0" applyFont="1" applyFill="1" applyBorder="1" applyAlignment="1">
      <alignment horizontal="right" vertical="center" wrapText="1"/>
    </xf>
    <xf numFmtId="0" fontId="287" fillId="2" borderId="49" xfId="0" applyFont="1" applyFill="1" applyBorder="1" applyAlignment="1">
      <alignment horizontal="left" vertical="top" wrapText="1"/>
    </xf>
    <xf numFmtId="0" fontId="287" fillId="2" borderId="55" xfId="0" applyFont="1" applyFill="1" applyBorder="1" applyAlignment="1">
      <alignment horizontal="left" vertical="top" wrapText="1"/>
    </xf>
    <xf numFmtId="0" fontId="287" fillId="2" borderId="50" xfId="0" applyFont="1" applyFill="1" applyBorder="1" applyAlignment="1">
      <alignment horizontal="left" vertical="top" wrapText="1"/>
    </xf>
    <xf numFmtId="0" fontId="287" fillId="2" borderId="56" xfId="0" applyFont="1" applyFill="1" applyBorder="1" applyAlignment="1">
      <alignment horizontal="left" vertical="top" wrapText="1"/>
    </xf>
    <xf numFmtId="0" fontId="23" fillId="0" borderId="60" xfId="0" applyFont="1" applyBorder="1" applyAlignment="1">
      <alignment horizontal="center" vertical="center"/>
    </xf>
    <xf numFmtId="0" fontId="23" fillId="0" borderId="0" xfId="0" applyFont="1" applyAlignment="1">
      <alignment horizontal="center" vertical="center"/>
    </xf>
    <xf numFmtId="0" fontId="23" fillId="0" borderId="59" xfId="0" applyFont="1" applyBorder="1" applyAlignment="1">
      <alignment horizontal="center" vertical="center"/>
    </xf>
    <xf numFmtId="0" fontId="24" fillId="0" borderId="1" xfId="0" applyFont="1" applyBorder="1" applyAlignment="1">
      <alignment horizontal="center" shrinkToFit="1"/>
    </xf>
    <xf numFmtId="0" fontId="24" fillId="0" borderId="0" xfId="0" applyFont="1" applyAlignment="1">
      <alignment horizontal="center" shrinkToFit="1"/>
    </xf>
    <xf numFmtId="0" fontId="79" fillId="0" borderId="0" xfId="0" applyFont="1" applyAlignment="1">
      <alignment horizontal="left" vertical="top" wrapText="1"/>
    </xf>
    <xf numFmtId="0" fontId="126" fillId="0" borderId="1" xfId="0" applyFont="1" applyBorder="1" applyAlignment="1">
      <alignment horizontal="left" vertical="center" wrapText="1"/>
    </xf>
    <xf numFmtId="0" fontId="126" fillId="0" borderId="0" xfId="0" applyFont="1" applyAlignment="1">
      <alignment horizontal="left" vertical="center" wrapText="1"/>
    </xf>
    <xf numFmtId="0" fontId="116" fillId="0" borderId="1" xfId="0" applyFont="1" applyBorder="1" applyAlignment="1">
      <alignment horizontal="left" vertical="center" wrapText="1" shrinkToFit="1"/>
    </xf>
    <xf numFmtId="0" fontId="116" fillId="0" borderId="0" xfId="0" applyFont="1" applyAlignment="1">
      <alignment horizontal="left" vertical="center" wrapText="1" shrinkToFit="1"/>
    </xf>
    <xf numFmtId="0" fontId="132" fillId="0" borderId="0" xfId="0" applyFont="1" applyAlignment="1">
      <alignment horizontal="center" vertical="center"/>
    </xf>
    <xf numFmtId="0" fontId="58" fillId="0" borderId="0" xfId="0" applyFont="1" applyAlignment="1">
      <alignment horizontal="left" vertical="top" wrapText="1"/>
    </xf>
    <xf numFmtId="167" fontId="59" fillId="11" borderId="12" xfId="0" applyNumberFormat="1" applyFont="1" applyFill="1" applyBorder="1" applyAlignment="1">
      <alignment horizontal="center" shrinkToFit="1"/>
    </xf>
    <xf numFmtId="167" fontId="59" fillId="11" borderId="8" xfId="0" applyNumberFormat="1" applyFont="1" applyFill="1" applyBorder="1" applyAlignment="1">
      <alignment horizontal="center" shrinkToFit="1"/>
    </xf>
    <xf numFmtId="167" fontId="59" fillId="11" borderId="3" xfId="0" applyNumberFormat="1" applyFont="1" applyFill="1" applyBorder="1" applyAlignment="1">
      <alignment horizontal="center" shrinkToFit="1"/>
    </xf>
    <xf numFmtId="3" fontId="24" fillId="9" borderId="17" xfId="0" applyNumberFormat="1" applyFont="1" applyFill="1" applyBorder="1" applyAlignment="1">
      <alignment horizontal="left" vertical="center" wrapText="1"/>
    </xf>
    <xf numFmtId="0" fontId="48" fillId="9" borderId="17" xfId="0" applyFont="1" applyFill="1" applyBorder="1" applyAlignment="1">
      <alignment horizontal="left" vertical="center" wrapText="1"/>
    </xf>
    <xf numFmtId="0" fontId="48" fillId="9" borderId="0" xfId="0" applyFont="1" applyFill="1" applyAlignment="1">
      <alignment horizontal="left" vertical="center" wrapText="1"/>
    </xf>
    <xf numFmtId="0" fontId="48" fillId="9" borderId="8" xfId="0" applyFont="1" applyFill="1" applyBorder="1" applyAlignment="1">
      <alignment horizontal="left" vertical="center" wrapText="1"/>
    </xf>
    <xf numFmtId="0" fontId="15" fillId="2" borderId="14" xfId="0" applyFont="1" applyFill="1" applyBorder="1" applyAlignment="1">
      <alignment horizontal="center"/>
    </xf>
    <xf numFmtId="0" fontId="15" fillId="2" borderId="10" xfId="0" applyFont="1" applyFill="1" applyBorder="1" applyAlignment="1">
      <alignment horizontal="center"/>
    </xf>
    <xf numFmtId="0" fontId="15" fillId="2" borderId="0" xfId="0" applyFont="1" applyFill="1" applyAlignment="1">
      <alignment horizontal="center" vertical="top" wrapText="1"/>
    </xf>
    <xf numFmtId="0" fontId="15" fillId="2" borderId="0" xfId="0" applyFont="1" applyFill="1" applyAlignment="1">
      <alignment horizontal="left" vertical="top" wrapText="1"/>
    </xf>
    <xf numFmtId="0" fontId="9" fillId="0" borderId="75" xfId="0" applyFont="1" applyBorder="1" applyAlignment="1">
      <alignment horizontal="center" shrinkToFit="1"/>
    </xf>
    <xf numFmtId="0" fontId="9" fillId="2" borderId="44" xfId="0" applyFont="1" applyFill="1" applyBorder="1" applyAlignment="1">
      <alignment horizontal="center"/>
    </xf>
    <xf numFmtId="0" fontId="11" fillId="0" borderId="0" xfId="0" applyFont="1" applyAlignment="1">
      <alignment horizontal="center" vertical="top"/>
    </xf>
    <xf numFmtId="0" fontId="251" fillId="0" borderId="0" xfId="0" applyFont="1" applyAlignment="1">
      <alignment horizontal="left" vertical="center" wrapText="1"/>
    </xf>
    <xf numFmtId="0" fontId="252" fillId="0" borderId="0" xfId="0" applyFont="1" applyAlignment="1">
      <alignment horizontal="left" vertical="center" wrapText="1"/>
    </xf>
    <xf numFmtId="0" fontId="14" fillId="30" borderId="248" xfId="0" applyFont="1" applyFill="1" applyBorder="1" applyAlignment="1">
      <alignment horizontal="center" vertical="center"/>
    </xf>
    <xf numFmtId="0" fontId="14" fillId="30" borderId="249" xfId="0" applyFont="1" applyFill="1" applyBorder="1" applyAlignment="1">
      <alignment horizontal="center" vertical="center"/>
    </xf>
    <xf numFmtId="0" fontId="14" fillId="30" borderId="250" xfId="0" applyFont="1" applyFill="1" applyBorder="1" applyAlignment="1">
      <alignment horizontal="center" vertical="center"/>
    </xf>
    <xf numFmtId="49" fontId="14" fillId="17" borderId="0" xfId="0" applyNumberFormat="1" applyFont="1" applyFill="1" applyAlignment="1">
      <alignment horizontal="center" vertical="center"/>
    </xf>
    <xf numFmtId="49" fontId="14" fillId="17" borderId="228" xfId="0" applyNumberFormat="1" applyFont="1" applyFill="1" applyBorder="1" applyAlignment="1">
      <alignment horizontal="center" vertical="center"/>
    </xf>
    <xf numFmtId="0" fontId="11" fillId="17" borderId="227" xfId="0" applyFont="1" applyFill="1" applyBorder="1" applyAlignment="1">
      <alignment horizontal="center" vertical="center"/>
    </xf>
    <xf numFmtId="0" fontId="11" fillId="17" borderId="0" xfId="0" applyFont="1" applyFill="1" applyAlignment="1">
      <alignment horizontal="center" vertical="center"/>
    </xf>
    <xf numFmtId="0" fontId="11" fillId="17" borderId="228" xfId="0" applyFont="1" applyFill="1" applyBorder="1" applyAlignment="1">
      <alignment horizontal="center" vertical="center"/>
    </xf>
    <xf numFmtId="0" fontId="54" fillId="0" borderId="0" xfId="0" applyFont="1" applyAlignment="1">
      <alignment horizontal="left" vertical="center" wrapText="1"/>
    </xf>
    <xf numFmtId="0" fontId="23" fillId="2" borderId="0" xfId="0" applyFont="1" applyFill="1" applyAlignment="1">
      <alignment horizontal="left" wrapText="1"/>
    </xf>
    <xf numFmtId="0" fontId="11" fillId="0" borderId="49" xfId="0" applyFont="1" applyBorder="1" applyAlignment="1">
      <alignment horizontal="left" wrapText="1"/>
    </xf>
    <xf numFmtId="0" fontId="12" fillId="2" borderId="0" xfId="0" applyFont="1" applyFill="1" applyAlignment="1">
      <alignment horizontal="right"/>
    </xf>
    <xf numFmtId="3" fontId="12" fillId="2" borderId="8" xfId="0" applyNumberFormat="1" applyFont="1" applyFill="1" applyBorder="1" applyAlignment="1">
      <alignment horizontal="center"/>
    </xf>
    <xf numFmtId="3" fontId="12" fillId="2" borderId="11" xfId="0" applyNumberFormat="1" applyFont="1" applyFill="1" applyBorder="1" applyAlignment="1">
      <alignment horizontal="center"/>
    </xf>
    <xf numFmtId="3" fontId="13" fillId="2" borderId="17" xfId="0" applyNumberFormat="1" applyFont="1" applyFill="1" applyBorder="1" applyAlignment="1">
      <alignment horizontal="center"/>
    </xf>
    <xf numFmtId="0" fontId="3" fillId="0" borderId="17" xfId="0" applyFont="1" applyBorder="1" applyAlignment="1">
      <alignment horizontal="center"/>
    </xf>
    <xf numFmtId="0" fontId="58" fillId="0" borderId="0" xfId="0" applyFont="1" applyAlignment="1">
      <alignment horizontal="left" vertical="center"/>
    </xf>
    <xf numFmtId="0" fontId="9" fillId="2" borderId="0" xfId="0" applyFont="1" applyFill="1" applyAlignment="1">
      <alignment horizontal="center" vertical="center" wrapText="1"/>
    </xf>
    <xf numFmtId="0" fontId="9" fillId="2" borderId="55" xfId="0" applyFont="1" applyFill="1" applyBorder="1" applyAlignment="1">
      <alignment horizontal="center" vertical="center" wrapText="1"/>
    </xf>
    <xf numFmtId="0" fontId="15" fillId="2" borderId="84" xfId="0" applyFont="1" applyFill="1" applyBorder="1" applyAlignment="1">
      <alignment horizontal="left" vertical="center" wrapText="1"/>
    </xf>
    <xf numFmtId="0" fontId="15" fillId="2" borderId="85" xfId="0" applyFont="1" applyFill="1" applyBorder="1" applyAlignment="1">
      <alignment horizontal="left" vertical="center" wrapText="1"/>
    </xf>
    <xf numFmtId="0" fontId="15" fillId="2" borderId="86" xfId="0" applyFont="1" applyFill="1" applyBorder="1" applyAlignment="1">
      <alignment horizontal="left" vertical="center" wrapText="1"/>
    </xf>
    <xf numFmtId="3" fontId="13" fillId="2" borderId="0" xfId="0" applyNumberFormat="1" applyFont="1" applyFill="1" applyAlignment="1">
      <alignment horizontal="center"/>
    </xf>
    <xf numFmtId="0" fontId="60" fillId="0" borderId="221" xfId="0" applyFont="1" applyBorder="1" applyAlignment="1">
      <alignment horizontal="left" vertical="center" wrapText="1"/>
    </xf>
    <xf numFmtId="0" fontId="60" fillId="0" borderId="222" xfId="0" applyFont="1" applyBorder="1" applyAlignment="1">
      <alignment horizontal="left" vertical="center" wrapText="1"/>
    </xf>
    <xf numFmtId="0" fontId="60" fillId="0" borderId="223" xfId="0" applyFont="1" applyBorder="1" applyAlignment="1">
      <alignment horizontal="left" vertical="center" wrapText="1"/>
    </xf>
    <xf numFmtId="0" fontId="60" fillId="0" borderId="224" xfId="0" applyFont="1" applyBorder="1" applyAlignment="1">
      <alignment horizontal="left" vertical="center" wrapText="1"/>
    </xf>
    <xf numFmtId="0" fontId="60" fillId="0" borderId="172" xfId="0" applyFont="1" applyBorder="1" applyAlignment="1">
      <alignment horizontal="left" vertical="center" wrapText="1"/>
    </xf>
    <xf numFmtId="0" fontId="60" fillId="0" borderId="225" xfId="0" applyFont="1" applyBorder="1" applyAlignment="1">
      <alignment horizontal="left" vertical="center" wrapText="1"/>
    </xf>
    <xf numFmtId="0" fontId="60" fillId="0" borderId="49" xfId="0" applyFont="1" applyBorder="1" applyAlignment="1">
      <alignment horizontal="center" vertical="center"/>
    </xf>
    <xf numFmtId="0" fontId="60" fillId="0" borderId="0" xfId="0" applyFont="1" applyAlignment="1">
      <alignment horizontal="center" vertical="center"/>
    </xf>
    <xf numFmtId="0" fontId="60" fillId="0" borderId="55" xfId="0" applyFont="1" applyBorder="1" applyAlignment="1">
      <alignment horizontal="center" vertical="center"/>
    </xf>
    <xf numFmtId="0" fontId="60" fillId="0" borderId="50" xfId="0" applyFont="1" applyBorder="1" applyAlignment="1">
      <alignment horizontal="center" vertical="center"/>
    </xf>
    <xf numFmtId="0" fontId="60" fillId="0" borderId="48" xfId="0" applyFont="1" applyBorder="1" applyAlignment="1">
      <alignment horizontal="center" vertical="center"/>
    </xf>
    <xf numFmtId="0" fontId="60" fillId="0" borderId="56" xfId="0" applyFont="1" applyBorder="1" applyAlignment="1">
      <alignment horizontal="center" vertical="center"/>
    </xf>
    <xf numFmtId="3" fontId="13" fillId="2" borderId="8" xfId="0" applyNumberFormat="1" applyFont="1" applyFill="1" applyBorder="1" applyAlignment="1">
      <alignment horizontal="center" shrinkToFit="1"/>
    </xf>
    <xf numFmtId="3" fontId="13" fillId="2" borderId="118" xfId="0" applyNumberFormat="1" applyFont="1" applyFill="1" applyBorder="1" applyAlignment="1">
      <alignment horizontal="center" shrinkToFit="1"/>
    </xf>
    <xf numFmtId="0" fontId="23" fillId="0" borderId="1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 xfId="0" applyFont="1" applyBorder="1" applyAlignment="1">
      <alignment horizontal="center" vertical="center" wrapText="1"/>
    </xf>
    <xf numFmtId="3" fontId="13" fillId="0" borderId="8" xfId="0" applyNumberFormat="1" applyFont="1" applyBorder="1" applyAlignment="1">
      <alignment horizontal="center"/>
    </xf>
    <xf numFmtId="0" fontId="62" fillId="16" borderId="0" xfId="0" applyFont="1" applyFill="1" applyAlignment="1">
      <alignment horizontal="center" shrinkToFit="1"/>
    </xf>
    <xf numFmtId="0" fontId="62" fillId="17" borderId="0" xfId="0" applyFont="1" applyFill="1" applyAlignment="1">
      <alignment horizontal="center" shrinkToFit="1"/>
    </xf>
    <xf numFmtId="0" fontId="62" fillId="32" borderId="0" xfId="0" applyFont="1" applyFill="1" applyAlignment="1">
      <alignment horizontal="center" shrinkToFit="1"/>
    </xf>
    <xf numFmtId="0" fontId="62" fillId="27" borderId="0" xfId="0" applyFont="1" applyFill="1" applyAlignment="1">
      <alignment horizontal="center" shrinkToFit="1"/>
    </xf>
    <xf numFmtId="3" fontId="23" fillId="2" borderId="49" xfId="0" applyNumberFormat="1" applyFont="1" applyFill="1" applyBorder="1" applyAlignment="1">
      <alignment horizontal="left" vertical="top" wrapText="1"/>
    </xf>
    <xf numFmtId="3" fontId="23" fillId="2" borderId="0" xfId="0" applyNumberFormat="1" applyFont="1" applyFill="1" applyAlignment="1">
      <alignment horizontal="left" vertical="top" wrapText="1"/>
    </xf>
    <xf numFmtId="0" fontId="11" fillId="0" borderId="1" xfId="0" applyFont="1" applyBorder="1" applyAlignment="1">
      <alignment horizontal="left" wrapText="1"/>
    </xf>
    <xf numFmtId="0" fontId="6" fillId="2" borderId="0" xfId="0" applyFont="1" applyFill="1" applyAlignment="1">
      <alignment horizontal="center" vertical="top" wrapText="1"/>
    </xf>
    <xf numFmtId="0" fontId="15" fillId="2" borderId="2" xfId="0" applyFont="1" applyFill="1" applyBorder="1" applyAlignment="1">
      <alignment horizontal="left" vertical="top" wrapText="1"/>
    </xf>
    <xf numFmtId="0" fontId="104" fillId="0" borderId="0" xfId="0" applyFont="1" applyAlignment="1">
      <alignment horizontal="left" vertical="center" wrapText="1"/>
    </xf>
    <xf numFmtId="0" fontId="6" fillId="2" borderId="0" xfId="0" applyFont="1" applyFill="1" applyAlignment="1">
      <alignment wrapText="1"/>
    </xf>
    <xf numFmtId="0" fontId="0" fillId="0" borderId="0" xfId="0" applyAlignment="1">
      <alignment wrapText="1"/>
    </xf>
    <xf numFmtId="0" fontId="0" fillId="0" borderId="2" xfId="0" applyBorder="1" applyAlignment="1">
      <alignment wrapText="1"/>
    </xf>
    <xf numFmtId="0" fontId="17" fillId="5" borderId="0" xfId="0" applyFont="1" applyFill="1" applyAlignment="1">
      <alignment horizontal="right"/>
    </xf>
    <xf numFmtId="0" fontId="7" fillId="5" borderId="0" xfId="0" applyFont="1" applyFill="1" applyAlignment="1">
      <alignment horizontal="center" vertical="center"/>
    </xf>
    <xf numFmtId="0" fontId="7" fillId="2" borderId="0" xfId="0" applyFont="1" applyFill="1" applyAlignment="1">
      <alignment horizontal="center" vertical="center"/>
    </xf>
    <xf numFmtId="0" fontId="17" fillId="2" borderId="0" xfId="0" applyFont="1" applyFill="1" applyAlignment="1">
      <alignment horizontal="right"/>
    </xf>
    <xf numFmtId="0" fontId="13" fillId="2" borderId="0" xfId="0" applyFont="1" applyFill="1" applyAlignment="1">
      <alignment horizontal="right" vertical="center"/>
    </xf>
    <xf numFmtId="0" fontId="7" fillId="0" borderId="1" xfId="0" applyFont="1" applyBorder="1" applyAlignment="1">
      <alignment horizontal="left" wrapText="1"/>
    </xf>
    <xf numFmtId="0" fontId="7" fillId="0" borderId="0" xfId="0" applyFont="1" applyAlignment="1">
      <alignment horizontal="left" wrapText="1"/>
    </xf>
    <xf numFmtId="0" fontId="67" fillId="2" borderId="1" xfId="0" applyFont="1" applyFill="1" applyBorder="1" applyAlignment="1">
      <alignment horizontal="right" vertical="top"/>
    </xf>
    <xf numFmtId="0" fontId="67" fillId="2" borderId="0" xfId="0" applyFont="1" applyFill="1" applyAlignment="1">
      <alignment horizontal="right" vertical="top"/>
    </xf>
    <xf numFmtId="0" fontId="22" fillId="5" borderId="0" xfId="0" applyFont="1" applyFill="1" applyAlignment="1">
      <alignment horizontal="center" wrapText="1"/>
    </xf>
    <xf numFmtId="2" fontId="62" fillId="0" borderId="14" xfId="0" applyNumberFormat="1" applyFont="1" applyBorder="1" applyAlignment="1">
      <alignment horizontal="center"/>
    </xf>
    <xf numFmtId="2" fontId="62" fillId="0" borderId="13" xfId="0" applyNumberFormat="1" applyFont="1" applyBorder="1" applyAlignment="1">
      <alignment horizontal="center"/>
    </xf>
    <xf numFmtId="2" fontId="62" fillId="0" borderId="10" xfId="0" applyNumberFormat="1" applyFont="1" applyBorder="1" applyAlignment="1">
      <alignment horizontal="center"/>
    </xf>
    <xf numFmtId="0" fontId="69" fillId="0" borderId="1" xfId="0" applyFont="1" applyBorder="1" applyAlignment="1">
      <alignment horizontal="center" wrapText="1"/>
    </xf>
    <xf numFmtId="0" fontId="69" fillId="0" borderId="15" xfId="0" applyFont="1" applyBorder="1" applyAlignment="1">
      <alignment horizontal="center" wrapText="1"/>
    </xf>
    <xf numFmtId="0" fontId="151" fillId="0" borderId="48" xfId="0" applyFont="1" applyBorder="1" applyAlignment="1">
      <alignment horizontal="left" vertical="center" wrapText="1"/>
    </xf>
    <xf numFmtId="0" fontId="153" fillId="0" borderId="84" xfId="0" applyFont="1" applyBorder="1" applyAlignment="1">
      <alignment horizontal="left" vertical="center" wrapText="1"/>
    </xf>
    <xf numFmtId="0" fontId="153" fillId="0" borderId="85" xfId="0" applyFont="1" applyBorder="1" applyAlignment="1">
      <alignment horizontal="left" vertical="center" wrapText="1"/>
    </xf>
    <xf numFmtId="0" fontId="153" fillId="0" borderId="86" xfId="0" applyFont="1" applyBorder="1" applyAlignment="1">
      <alignment horizontal="left" vertical="center" wrapText="1"/>
    </xf>
    <xf numFmtId="2" fontId="62" fillId="0" borderId="12" xfId="0" applyNumberFormat="1" applyFont="1" applyBorder="1" applyAlignment="1">
      <alignment horizontal="center"/>
    </xf>
    <xf numFmtId="2" fontId="62" fillId="0" borderId="8" xfId="0" applyNumberFormat="1" applyFont="1" applyBorder="1" applyAlignment="1">
      <alignment horizontal="center"/>
    </xf>
    <xf numFmtId="2" fontId="62" fillId="0" borderId="3" xfId="0" applyNumberFormat="1" applyFont="1" applyBorder="1" applyAlignment="1">
      <alignment horizontal="center"/>
    </xf>
    <xf numFmtId="0" fontId="151" fillId="5" borderId="48" xfId="0" applyFont="1" applyFill="1" applyBorder="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center" vertical="center" wrapText="1"/>
    </xf>
    <xf numFmtId="0" fontId="141" fillId="0" borderId="2" xfId="0" applyFont="1" applyBorder="1" applyAlignment="1">
      <alignment horizontal="center" vertical="center" wrapText="1"/>
    </xf>
    <xf numFmtId="0" fontId="141" fillId="0" borderId="21" xfId="0" applyFont="1" applyBorder="1" applyAlignment="1">
      <alignment horizontal="center" vertical="center" wrapText="1"/>
    </xf>
    <xf numFmtId="0" fontId="141" fillId="0" borderId="1" xfId="0" applyFont="1" applyBorder="1" applyAlignment="1">
      <alignment horizontal="center" wrapText="1"/>
    </xf>
    <xf numFmtId="0" fontId="141" fillId="0" borderId="0" xfId="0" applyFont="1" applyAlignment="1">
      <alignment horizontal="center"/>
    </xf>
    <xf numFmtId="0" fontId="141" fillId="0" borderId="2" xfId="0" applyFont="1" applyBorder="1" applyAlignment="1">
      <alignment horizontal="center"/>
    </xf>
    <xf numFmtId="0" fontId="141" fillId="0" borderId="15" xfId="0" applyFont="1" applyBorder="1" applyAlignment="1">
      <alignment horizontal="center"/>
    </xf>
    <xf numFmtId="0" fontId="141" fillId="0" borderId="33" xfId="0" applyFont="1" applyBorder="1" applyAlignment="1">
      <alignment horizontal="center"/>
    </xf>
    <xf numFmtId="0" fontId="141" fillId="0" borderId="21" xfId="0" applyFont="1" applyBorder="1" applyAlignment="1">
      <alignment horizontal="center"/>
    </xf>
    <xf numFmtId="2" fontId="62" fillId="0" borderId="42" xfId="0" applyNumberFormat="1" applyFont="1" applyBorder="1" applyAlignment="1">
      <alignment horizontal="center"/>
    </xf>
    <xf numFmtId="2" fontId="62" fillId="0" borderId="178" xfId="0" applyNumberFormat="1" applyFont="1" applyBorder="1" applyAlignment="1">
      <alignment horizontal="center"/>
    </xf>
    <xf numFmtId="2" fontId="62" fillId="0" borderId="9" xfId="0" applyNumberFormat="1" applyFont="1" applyBorder="1" applyAlignment="1">
      <alignment horizontal="center"/>
    </xf>
    <xf numFmtId="0" fontId="140" fillId="0" borderId="0" xfId="0" applyFont="1" applyAlignment="1">
      <alignment horizontal="center"/>
    </xf>
    <xf numFmtId="0" fontId="141" fillId="0" borderId="41" xfId="0" applyFont="1" applyBorder="1" applyAlignment="1">
      <alignment horizontal="center" wrapText="1"/>
    </xf>
    <xf numFmtId="0" fontId="141" fillId="0" borderId="22" xfId="0" applyFont="1" applyBorder="1" applyAlignment="1">
      <alignment horizontal="center" wrapText="1"/>
    </xf>
    <xf numFmtId="0" fontId="141" fillId="0" borderId="15" xfId="0" applyFont="1" applyBorder="1" applyAlignment="1">
      <alignment horizontal="center" wrapText="1"/>
    </xf>
    <xf numFmtId="0" fontId="141" fillId="0" borderId="0" xfId="0" applyFont="1" applyAlignment="1">
      <alignment horizontal="center" wrapText="1"/>
    </xf>
    <xf numFmtId="0" fontId="79" fillId="0" borderId="0" xfId="0" applyFont="1" applyAlignment="1">
      <alignment horizontal="center"/>
    </xf>
    <xf numFmtId="0" fontId="148" fillId="2" borderId="49" xfId="0" applyFont="1" applyFill="1" applyBorder="1" applyAlignment="1">
      <alignment horizontal="center" vertical="center" wrapText="1"/>
    </xf>
    <xf numFmtId="0" fontId="148" fillId="2" borderId="0" xfId="0" applyFont="1" applyFill="1" applyAlignment="1">
      <alignment horizontal="center" vertical="center" wrapText="1"/>
    </xf>
    <xf numFmtId="0" fontId="148" fillId="2" borderId="55" xfId="0" applyFont="1" applyFill="1" applyBorder="1" applyAlignment="1">
      <alignment horizontal="center" vertical="center" wrapText="1"/>
    </xf>
    <xf numFmtId="0" fontId="28" fillId="2" borderId="85" xfId="0" applyFont="1" applyFill="1" applyBorder="1" applyAlignment="1">
      <alignment horizontal="left" vertical="center" wrapText="1"/>
    </xf>
    <xf numFmtId="0" fontId="28" fillId="2" borderId="86" xfId="0" applyFont="1" applyFill="1" applyBorder="1" applyAlignment="1">
      <alignment horizontal="left" vertical="center" wrapText="1"/>
    </xf>
    <xf numFmtId="0" fontId="56" fillId="0" borderId="49" xfId="0" applyFont="1" applyBorder="1" applyAlignment="1">
      <alignment horizontal="center" vertical="top" wrapText="1"/>
    </xf>
    <xf numFmtId="0" fontId="56" fillId="0" borderId="0" xfId="0" applyFont="1" applyAlignment="1">
      <alignment horizontal="center" vertical="top" wrapText="1"/>
    </xf>
    <xf numFmtId="0" fontId="7" fillId="5" borderId="0" xfId="0" applyFont="1" applyFill="1" applyAlignment="1">
      <alignment horizontal="left" vertical="center" wrapText="1"/>
    </xf>
    <xf numFmtId="0" fontId="80" fillId="0" borderId="0" xfId="0" applyFont="1" applyAlignment="1">
      <alignment horizontal="left" vertical="center" wrapText="1"/>
    </xf>
    <xf numFmtId="0" fontId="69" fillId="0" borderId="41" xfId="0" applyFont="1" applyBorder="1" applyAlignment="1">
      <alignment horizontal="center" wrapText="1"/>
    </xf>
    <xf numFmtId="0" fontId="69" fillId="0" borderId="22" xfId="0" applyFont="1" applyBorder="1" applyAlignment="1">
      <alignment horizontal="center" wrapText="1"/>
    </xf>
    <xf numFmtId="0" fontId="79" fillId="0" borderId="0" xfId="0" applyFont="1" applyAlignment="1">
      <alignment horizontal="center" wrapText="1"/>
    </xf>
    <xf numFmtId="0" fontId="79" fillId="0" borderId="33" xfId="0" applyFont="1" applyBorder="1" applyAlignment="1">
      <alignment horizontal="center" wrapText="1"/>
    </xf>
    <xf numFmtId="2" fontId="33" fillId="33" borderId="15" xfId="0" applyNumberFormat="1" applyFont="1" applyFill="1" applyBorder="1" applyAlignment="1">
      <alignment horizontal="center"/>
    </xf>
    <xf numFmtId="2" fontId="33" fillId="33" borderId="33" xfId="0" applyNumberFormat="1" applyFont="1" applyFill="1" applyBorder="1" applyAlignment="1">
      <alignment horizontal="center"/>
    </xf>
    <xf numFmtId="2" fontId="33" fillId="33" borderId="21" xfId="0" applyNumberFormat="1" applyFont="1" applyFill="1" applyBorder="1" applyAlignment="1">
      <alignment horizontal="center"/>
    </xf>
    <xf numFmtId="0" fontId="355" fillId="2" borderId="0" xfId="0" applyFont="1" applyFill="1" applyAlignment="1">
      <alignment horizontal="left" vertical="center" wrapText="1"/>
    </xf>
    <xf numFmtId="0" fontId="10" fillId="0" borderId="2" xfId="0" applyFont="1" applyBorder="1" applyAlignment="1">
      <alignment horizontal="center" vertical="center" wrapText="1"/>
    </xf>
    <xf numFmtId="0" fontId="10" fillId="0" borderId="21" xfId="0" applyFont="1" applyBorder="1" applyAlignment="1">
      <alignment horizontal="center" vertical="center" wrapText="1"/>
    </xf>
    <xf numFmtId="0" fontId="9" fillId="0" borderId="41" xfId="0" applyFont="1" applyBorder="1" applyAlignment="1">
      <alignment horizontal="center" wrapText="1"/>
    </xf>
    <xf numFmtId="0" fontId="9" fillId="0" borderId="22" xfId="0" applyFont="1" applyBorder="1" applyAlignment="1">
      <alignment horizontal="center" wrapText="1"/>
    </xf>
    <xf numFmtId="0" fontId="9" fillId="0" borderId="1" xfId="0" applyFont="1" applyBorder="1" applyAlignment="1">
      <alignment horizontal="center" wrapText="1"/>
    </xf>
    <xf numFmtId="0" fontId="9" fillId="0" borderId="15" xfId="0" applyFont="1" applyBorder="1" applyAlignment="1">
      <alignment horizontal="center" wrapText="1"/>
    </xf>
    <xf numFmtId="0" fontId="9" fillId="6" borderId="1" xfId="0" applyFont="1" applyFill="1" applyBorder="1" applyAlignment="1">
      <alignment horizontal="center" wrapText="1"/>
    </xf>
    <xf numFmtId="0" fontId="9" fillId="6" borderId="15" xfId="0" applyFont="1" applyFill="1" applyBorder="1" applyAlignment="1">
      <alignment horizontal="center" wrapText="1"/>
    </xf>
    <xf numFmtId="0" fontId="9" fillId="0" borderId="0" xfId="0" applyFont="1" applyAlignment="1">
      <alignment horizontal="center" wrapText="1"/>
    </xf>
    <xf numFmtId="0" fontId="9" fillId="0" borderId="0" xfId="0" applyFont="1" applyAlignment="1">
      <alignment horizontal="center"/>
    </xf>
    <xf numFmtId="0" fontId="9" fillId="0" borderId="2" xfId="0" applyFont="1" applyBorder="1" applyAlignment="1">
      <alignment horizontal="center"/>
    </xf>
    <xf numFmtId="0" fontId="9" fillId="0" borderId="15" xfId="0" applyFont="1" applyBorder="1" applyAlignment="1">
      <alignment horizontal="center"/>
    </xf>
    <xf numFmtId="0" fontId="9" fillId="0" borderId="33" xfId="0" applyFont="1" applyBorder="1" applyAlignment="1">
      <alignment horizontal="center"/>
    </xf>
    <xf numFmtId="0" fontId="9" fillId="0" borderId="21" xfId="0" applyFont="1" applyBorder="1" applyAlignment="1">
      <alignment horizontal="center"/>
    </xf>
    <xf numFmtId="2" fontId="7" fillId="0" borderId="12" xfId="0" applyNumberFormat="1" applyFont="1" applyBorder="1" applyAlignment="1">
      <alignment horizontal="center"/>
    </xf>
    <xf numFmtId="2" fontId="7" fillId="0" borderId="8" xfId="0" applyNumberFormat="1" applyFont="1" applyBorder="1" applyAlignment="1">
      <alignment horizontal="center"/>
    </xf>
    <xf numFmtId="2" fontId="7" fillId="0" borderId="3" xfId="0" applyNumberFormat="1" applyFont="1" applyBorder="1" applyAlignment="1">
      <alignment horizontal="center"/>
    </xf>
    <xf numFmtId="0" fontId="13" fillId="0" borderId="0" xfId="0" applyFont="1" applyAlignment="1">
      <alignment horizontal="center"/>
    </xf>
    <xf numFmtId="2" fontId="7" fillId="0" borderId="14" xfId="0" applyNumberFormat="1" applyFont="1" applyBorder="1" applyAlignment="1">
      <alignment horizontal="center"/>
    </xf>
    <xf numFmtId="2" fontId="7" fillId="0" borderId="13" xfId="0" applyNumberFormat="1" applyFont="1" applyBorder="1" applyAlignment="1">
      <alignment horizontal="center"/>
    </xf>
    <xf numFmtId="2" fontId="7" fillId="0" borderId="10" xfId="0" applyNumberFormat="1" applyFont="1" applyBorder="1" applyAlignment="1">
      <alignment horizontal="center"/>
    </xf>
    <xf numFmtId="49" fontId="7" fillId="2" borderId="0" xfId="0" applyNumberFormat="1" applyFont="1" applyFill="1" applyAlignment="1">
      <alignment horizontal="left" vertical="center" wrapText="1"/>
    </xf>
    <xf numFmtId="0" fontId="56" fillId="5" borderId="0" xfId="0" applyFont="1" applyFill="1" applyAlignment="1">
      <alignment horizontal="left" vertical="center" wrapText="1"/>
    </xf>
    <xf numFmtId="2" fontId="33" fillId="33" borderId="14" xfId="0" applyNumberFormat="1" applyFont="1" applyFill="1" applyBorder="1" applyAlignment="1">
      <alignment horizontal="center"/>
    </xf>
    <xf numFmtId="2" fontId="33" fillId="33" borderId="13" xfId="0" applyNumberFormat="1" applyFont="1" applyFill="1" applyBorder="1" applyAlignment="1">
      <alignment horizontal="center"/>
    </xf>
    <xf numFmtId="2" fontId="33" fillId="33" borderId="10" xfId="0" applyNumberFormat="1" applyFont="1" applyFill="1" applyBorder="1" applyAlignment="1">
      <alignment horizontal="center"/>
    </xf>
    <xf numFmtId="2" fontId="33" fillId="33" borderId="12" xfId="0" applyNumberFormat="1" applyFont="1" applyFill="1" applyBorder="1" applyAlignment="1">
      <alignment horizontal="center"/>
    </xf>
    <xf numFmtId="2" fontId="33" fillId="33" borderId="8" xfId="0" applyNumberFormat="1" applyFont="1" applyFill="1" applyBorder="1" applyAlignment="1">
      <alignment horizontal="center"/>
    </xf>
    <xf numFmtId="2" fontId="33" fillId="33" borderId="3" xfId="0" applyNumberFormat="1" applyFont="1" applyFill="1" applyBorder="1" applyAlignment="1">
      <alignment horizontal="center"/>
    </xf>
    <xf numFmtId="0" fontId="9" fillId="6" borderId="0" xfId="0" applyFont="1" applyFill="1" applyAlignment="1">
      <alignment horizontal="center"/>
    </xf>
    <xf numFmtId="2" fontId="7" fillId="33" borderId="46" xfId="0" applyNumberFormat="1" applyFont="1" applyFill="1" applyBorder="1" applyAlignment="1">
      <alignment horizontal="center"/>
    </xf>
    <xf numFmtId="2" fontId="7" fillId="33" borderId="64" xfId="0" applyNumberFormat="1" applyFont="1" applyFill="1" applyBorder="1" applyAlignment="1">
      <alignment horizontal="center"/>
    </xf>
    <xf numFmtId="2" fontId="7" fillId="33" borderId="122" xfId="0" applyNumberFormat="1" applyFont="1" applyFill="1" applyBorder="1" applyAlignment="1">
      <alignment horizontal="center"/>
    </xf>
    <xf numFmtId="2" fontId="7" fillId="33" borderId="14" xfId="0" applyNumberFormat="1" applyFont="1" applyFill="1" applyBorder="1" applyAlignment="1">
      <alignment horizontal="center"/>
    </xf>
    <xf numFmtId="2" fontId="7" fillId="33" borderId="13" xfId="0" applyNumberFormat="1" applyFont="1" applyFill="1" applyBorder="1" applyAlignment="1">
      <alignment horizontal="center"/>
    </xf>
    <xf numFmtId="2" fontId="7" fillId="33" borderId="10" xfId="0" applyNumberFormat="1" applyFont="1" applyFill="1" applyBorder="1" applyAlignment="1">
      <alignment horizontal="center"/>
    </xf>
    <xf numFmtId="0" fontId="14" fillId="5" borderId="0" xfId="0" applyFont="1" applyFill="1" applyAlignment="1">
      <alignment horizontal="left" vertical="center" wrapText="1"/>
    </xf>
    <xf numFmtId="0" fontId="105" fillId="0" borderId="49" xfId="0" applyFont="1" applyBorder="1" applyAlignment="1">
      <alignment horizontal="center" vertical="top" wrapText="1"/>
    </xf>
    <xf numFmtId="0" fontId="105" fillId="0" borderId="0" xfId="0" applyFont="1" applyAlignment="1">
      <alignment horizontal="center" vertical="top" wrapText="1"/>
    </xf>
    <xf numFmtId="0" fontId="87" fillId="0" borderId="0" xfId="0" applyFont="1" applyAlignment="1">
      <alignment horizontal="center" vertical="center" wrapText="1"/>
    </xf>
    <xf numFmtId="0" fontId="356" fillId="2" borderId="0" xfId="0" applyFont="1" applyFill="1" applyAlignment="1">
      <alignment horizontal="center" vertical="center" wrapText="1"/>
    </xf>
    <xf numFmtId="0" fontId="23" fillId="33" borderId="55" xfId="0" applyFont="1" applyFill="1" applyBorder="1" applyAlignment="1">
      <alignment horizontal="left" vertical="center" wrapText="1"/>
    </xf>
    <xf numFmtId="0" fontId="54" fillId="0" borderId="17" xfId="0" applyFont="1" applyBorder="1" applyAlignment="1">
      <alignment horizontal="left" vertical="center" wrapText="1"/>
    </xf>
    <xf numFmtId="0" fontId="54" fillId="0" borderId="5" xfId="0" applyFont="1" applyBorder="1" applyAlignment="1">
      <alignment horizontal="left" vertical="center" wrapText="1"/>
    </xf>
    <xf numFmtId="0" fontId="54" fillId="0" borderId="2" xfId="0" applyFont="1" applyBorder="1" applyAlignment="1">
      <alignment horizontal="left" vertical="center" wrapText="1"/>
    </xf>
    <xf numFmtId="0" fontId="54" fillId="0" borderId="33" xfId="0" applyFont="1" applyBorder="1" applyAlignment="1">
      <alignment horizontal="left" vertical="center" wrapText="1"/>
    </xf>
    <xf numFmtId="0" fontId="54" fillId="0" borderId="21" xfId="0" applyFont="1" applyBorder="1" applyAlignment="1">
      <alignment horizontal="left" vertical="center" wrapText="1"/>
    </xf>
    <xf numFmtId="0" fontId="22" fillId="5" borderId="1" xfId="0" applyFont="1" applyFill="1" applyBorder="1" applyAlignment="1">
      <alignment horizontal="center"/>
    </xf>
    <xf numFmtId="0" fontId="22" fillId="5" borderId="0" xfId="0" applyFont="1" applyFill="1" applyAlignment="1">
      <alignment horizontal="center"/>
    </xf>
    <xf numFmtId="0" fontId="7" fillId="2" borderId="0" xfId="0" applyFont="1" applyFill="1" applyAlignment="1">
      <alignment horizontal="left" wrapText="1"/>
    </xf>
    <xf numFmtId="0" fontId="7" fillId="5" borderId="0" xfId="0" applyFont="1" applyFill="1" applyAlignment="1">
      <alignment horizontal="center" vertical="center" wrapText="1"/>
    </xf>
    <xf numFmtId="3" fontId="266" fillId="6" borderId="14" xfId="0" applyNumberFormat="1" applyFont="1" applyFill="1" applyBorder="1" applyAlignment="1">
      <alignment horizontal="left" vertical="center" wrapText="1"/>
    </xf>
    <xf numFmtId="3" fontId="266" fillId="6" borderId="13" xfId="0" applyNumberFormat="1" applyFont="1" applyFill="1" applyBorder="1" applyAlignment="1">
      <alignment horizontal="left" vertical="center" wrapText="1"/>
    </xf>
    <xf numFmtId="3" fontId="266" fillId="19" borderId="14" xfId="0" applyNumberFormat="1" applyFont="1" applyFill="1" applyBorder="1" applyAlignment="1">
      <alignment horizontal="left" vertical="center" wrapText="1"/>
    </xf>
    <xf numFmtId="3" fontId="266" fillId="19" borderId="13" xfId="0" applyNumberFormat="1" applyFont="1" applyFill="1" applyBorder="1" applyAlignment="1">
      <alignment horizontal="left" vertical="center" wrapText="1"/>
    </xf>
    <xf numFmtId="17" fontId="22" fillId="19" borderId="19" xfId="0" applyNumberFormat="1" applyFont="1" applyFill="1" applyBorder="1" applyAlignment="1">
      <alignment horizontal="center" shrinkToFit="1"/>
    </xf>
    <xf numFmtId="17" fontId="22" fillId="19" borderId="13" xfId="0" applyNumberFormat="1" applyFont="1" applyFill="1" applyBorder="1" applyAlignment="1">
      <alignment horizontal="center" shrinkToFit="1"/>
    </xf>
    <xf numFmtId="17" fontId="22" fillId="6" borderId="14" xfId="0" applyNumberFormat="1" applyFont="1" applyFill="1" applyBorder="1" applyAlignment="1">
      <alignment horizontal="center" shrinkToFit="1"/>
    </xf>
    <xf numFmtId="17" fontId="22" fillId="6" borderId="13" xfId="0" applyNumberFormat="1" applyFont="1" applyFill="1" applyBorder="1" applyAlignment="1">
      <alignment horizontal="center" shrinkToFit="1"/>
    </xf>
    <xf numFmtId="3" fontId="19" fillId="19" borderId="14" xfId="0" applyNumberFormat="1" applyFont="1" applyFill="1" applyBorder="1" applyAlignment="1">
      <alignment horizontal="left" vertical="center" wrapText="1"/>
    </xf>
    <xf numFmtId="3" fontId="19" fillId="19" borderId="13" xfId="0" applyNumberFormat="1" applyFont="1" applyFill="1" applyBorder="1" applyAlignment="1">
      <alignment horizontal="left" vertical="center" wrapText="1"/>
    </xf>
    <xf numFmtId="3" fontId="19" fillId="6" borderId="14" xfId="0" applyNumberFormat="1" applyFont="1" applyFill="1" applyBorder="1" applyAlignment="1">
      <alignment horizontal="left" vertical="center" wrapText="1"/>
    </xf>
    <xf numFmtId="3" fontId="19" fillId="6" borderId="13" xfId="0" applyNumberFormat="1" applyFont="1" applyFill="1" applyBorder="1" applyAlignment="1">
      <alignment horizontal="left" vertical="center" wrapText="1"/>
    </xf>
    <xf numFmtId="3" fontId="264" fillId="19" borderId="14" xfId="0" applyNumberFormat="1" applyFont="1" applyFill="1" applyBorder="1" applyAlignment="1">
      <alignment horizontal="left" vertical="center" wrapText="1"/>
    </xf>
    <xf numFmtId="3" fontId="264" fillId="19" borderId="13" xfId="0" applyNumberFormat="1" applyFont="1" applyFill="1" applyBorder="1" applyAlignment="1">
      <alignment horizontal="left" vertical="center" wrapText="1"/>
    </xf>
    <xf numFmtId="3" fontId="264" fillId="6" borderId="14" xfId="0" applyNumberFormat="1" applyFont="1" applyFill="1" applyBorder="1" applyAlignment="1">
      <alignment horizontal="left" vertical="center" wrapText="1"/>
    </xf>
    <xf numFmtId="3" fontId="264" fillId="6" borderId="13" xfId="0" applyNumberFormat="1" applyFont="1" applyFill="1" applyBorder="1" applyAlignment="1">
      <alignment horizontal="left" vertical="center" wrapText="1"/>
    </xf>
    <xf numFmtId="3" fontId="212" fillId="19" borderId="14" xfId="0" applyNumberFormat="1" applyFont="1" applyFill="1" applyBorder="1" applyAlignment="1">
      <alignment horizontal="left" vertical="center" wrapText="1"/>
    </xf>
    <xf numFmtId="3" fontId="212" fillId="19" borderId="13" xfId="0" applyNumberFormat="1" applyFont="1" applyFill="1" applyBorder="1" applyAlignment="1">
      <alignment horizontal="left" vertical="center" wrapText="1"/>
    </xf>
    <xf numFmtId="3" fontId="212" fillId="6" borderId="14" xfId="0" applyNumberFormat="1" applyFont="1" applyFill="1" applyBorder="1" applyAlignment="1">
      <alignment horizontal="left" vertical="center" wrapText="1"/>
    </xf>
    <xf numFmtId="3" fontId="212" fillId="6" borderId="13" xfId="0" applyNumberFormat="1" applyFont="1" applyFill="1" applyBorder="1" applyAlignment="1">
      <alignment horizontal="left" vertical="center" wrapText="1"/>
    </xf>
    <xf numFmtId="17" fontId="15" fillId="19" borderId="14" xfId="0" applyNumberFormat="1" applyFont="1" applyFill="1" applyBorder="1" applyAlignment="1">
      <alignment horizontal="center"/>
    </xf>
    <xf numFmtId="17" fontId="15" fillId="19" borderId="13" xfId="0" applyNumberFormat="1" applyFont="1" applyFill="1" applyBorder="1" applyAlignment="1">
      <alignment horizontal="center"/>
    </xf>
    <xf numFmtId="3" fontId="7" fillId="19" borderId="286" xfId="0" applyNumberFormat="1" applyFont="1" applyFill="1" applyBorder="1" applyAlignment="1">
      <alignment horizontal="center" shrinkToFit="1"/>
    </xf>
    <xf numFmtId="3" fontId="7" fillId="19" borderId="17" xfId="0" applyNumberFormat="1" applyFont="1" applyFill="1" applyBorder="1" applyAlignment="1">
      <alignment horizontal="center" shrinkToFit="1"/>
    </xf>
    <xf numFmtId="3" fontId="7" fillId="19" borderId="278" xfId="0" applyNumberFormat="1" applyFont="1" applyFill="1" applyBorder="1" applyAlignment="1">
      <alignment horizontal="center" shrinkToFit="1"/>
    </xf>
    <xf numFmtId="0" fontId="264" fillId="6" borderId="14" xfId="0" applyFont="1" applyFill="1" applyBorder="1" applyAlignment="1">
      <alignment horizontal="left" vertical="center" wrapText="1"/>
    </xf>
    <xf numFmtId="0" fontId="264" fillId="6" borderId="13" xfId="0" applyFont="1" applyFill="1" applyBorder="1" applyAlignment="1">
      <alignment horizontal="left" vertical="center" wrapText="1"/>
    </xf>
    <xf numFmtId="0" fontId="212" fillId="6" borderId="14" xfId="0" applyFont="1" applyFill="1" applyBorder="1" applyAlignment="1">
      <alignment horizontal="left" vertical="center" wrapText="1"/>
    </xf>
    <xf numFmtId="0" fontId="212" fillId="6" borderId="13" xfId="0" applyFont="1" applyFill="1" applyBorder="1" applyAlignment="1">
      <alignment horizontal="left" vertical="center" wrapText="1"/>
    </xf>
    <xf numFmtId="17" fontId="15" fillId="6" borderId="14" xfId="0" applyNumberFormat="1" applyFont="1" applyFill="1" applyBorder="1" applyAlignment="1">
      <alignment horizontal="center"/>
    </xf>
    <xf numFmtId="17" fontId="15" fillId="6" borderId="13" xfId="0" applyNumberFormat="1" applyFont="1" applyFill="1" applyBorder="1" applyAlignment="1">
      <alignment horizontal="center"/>
    </xf>
    <xf numFmtId="3" fontId="7" fillId="6" borderId="286" xfId="0" applyNumberFormat="1" applyFont="1" applyFill="1" applyBorder="1" applyAlignment="1">
      <alignment horizontal="center" shrinkToFit="1"/>
    </xf>
    <xf numFmtId="3" fontId="7" fillId="6" borderId="17" xfId="0" applyNumberFormat="1" applyFont="1" applyFill="1" applyBorder="1" applyAlignment="1">
      <alignment horizontal="center" shrinkToFit="1"/>
    </xf>
    <xf numFmtId="3" fontId="7" fillId="6" borderId="278" xfId="0" applyNumberFormat="1" applyFont="1" applyFill="1" applyBorder="1" applyAlignment="1">
      <alignment horizontal="center" shrinkToFit="1"/>
    </xf>
    <xf numFmtId="0" fontId="266" fillId="6" borderId="14" xfId="0" applyFont="1" applyFill="1" applyBorder="1" applyAlignment="1">
      <alignment horizontal="left" vertical="center" wrapText="1"/>
    </xf>
    <xf numFmtId="0" fontId="266" fillId="6" borderId="13" xfId="0" applyFont="1" applyFill="1" applyBorder="1" applyAlignment="1">
      <alignment horizontal="left" vertical="center" wrapText="1"/>
    </xf>
    <xf numFmtId="0" fontId="272" fillId="0" borderId="8" xfId="0" applyFont="1" applyBorder="1" applyAlignment="1">
      <alignment horizontal="left" vertical="center" wrapText="1"/>
    </xf>
    <xf numFmtId="17" fontId="15" fillId="30" borderId="14" xfId="0" applyNumberFormat="1" applyFont="1" applyFill="1" applyBorder="1" applyAlignment="1">
      <alignment horizontal="center"/>
    </xf>
    <xf numFmtId="17" fontId="15" fillId="30" borderId="13" xfId="0" applyNumberFormat="1" applyFont="1" applyFill="1" applyBorder="1" applyAlignment="1">
      <alignment horizontal="center"/>
    </xf>
    <xf numFmtId="3" fontId="7" fillId="20" borderId="286" xfId="0" applyNumberFormat="1" applyFont="1" applyFill="1" applyBorder="1" applyAlignment="1">
      <alignment horizontal="center" shrinkToFit="1"/>
    </xf>
    <xf numFmtId="3" fontId="7" fillId="20" borderId="17" xfId="0" applyNumberFormat="1" applyFont="1" applyFill="1" applyBorder="1" applyAlignment="1">
      <alignment horizontal="center" shrinkToFit="1"/>
    </xf>
    <xf numFmtId="3" fontId="7" fillId="20" borderId="278" xfId="0" applyNumberFormat="1" applyFont="1" applyFill="1" applyBorder="1" applyAlignment="1">
      <alignment horizontal="center" shrinkToFit="1"/>
    </xf>
    <xf numFmtId="184" fontId="9" fillId="6" borderId="18" xfId="0" applyNumberFormat="1" applyFont="1" applyFill="1" applyBorder="1" applyAlignment="1">
      <alignment horizontal="center" vertical="center" shrinkToFit="1"/>
    </xf>
    <xf numFmtId="184" fontId="9" fillId="6" borderId="178" xfId="0" applyNumberFormat="1" applyFont="1" applyFill="1" applyBorder="1" applyAlignment="1">
      <alignment horizontal="center" vertical="center" shrinkToFit="1"/>
    </xf>
    <xf numFmtId="0" fontId="163" fillId="6" borderId="285" xfId="0" applyFont="1" applyFill="1" applyBorder="1" applyAlignment="1">
      <alignment horizontal="center" vertical="center" shrinkToFit="1"/>
    </xf>
    <xf numFmtId="0" fontId="163" fillId="6" borderId="13" xfId="0" applyFont="1" applyFill="1" applyBorder="1" applyAlignment="1">
      <alignment horizontal="center" vertical="center" shrinkToFit="1"/>
    </xf>
    <xf numFmtId="0" fontId="163" fillId="6" borderId="295" xfId="0" applyFont="1" applyFill="1" applyBorder="1" applyAlignment="1">
      <alignment horizontal="center" vertical="center" shrinkToFit="1"/>
    </xf>
    <xf numFmtId="17" fontId="274" fillId="6" borderId="290" xfId="0" applyNumberFormat="1" applyFont="1" applyFill="1" applyBorder="1" applyAlignment="1">
      <alignment horizontal="center" shrinkToFit="1"/>
    </xf>
    <xf numFmtId="17" fontId="274" fillId="6" borderId="178" xfId="0" applyNumberFormat="1" applyFont="1" applyFill="1" applyBorder="1" applyAlignment="1">
      <alignment horizontal="center" shrinkToFit="1"/>
    </xf>
    <xf numFmtId="0" fontId="163" fillId="26" borderId="6" xfId="0" applyFont="1" applyFill="1" applyBorder="1" applyAlignment="1">
      <alignment horizontal="center" wrapText="1" shrinkToFit="1"/>
    </xf>
    <xf numFmtId="0" fontId="163" fillId="26" borderId="41" xfId="0" applyFont="1" applyFill="1" applyBorder="1" applyAlignment="1">
      <alignment horizontal="center" wrapText="1" shrinkToFit="1"/>
    </xf>
    <xf numFmtId="0" fontId="163" fillId="26" borderId="4" xfId="0" applyFont="1" applyFill="1" applyBorder="1" applyAlignment="1">
      <alignment horizontal="center" wrapText="1" shrinkToFit="1"/>
    </xf>
    <xf numFmtId="0" fontId="163" fillId="26" borderId="23" xfId="0" applyFont="1" applyFill="1" applyBorder="1" applyAlignment="1">
      <alignment horizontal="center" vertical="center" wrapText="1" shrinkToFit="1"/>
    </xf>
    <xf numFmtId="17" fontId="274" fillId="26" borderId="290" xfId="0" applyNumberFormat="1" applyFont="1" applyFill="1" applyBorder="1" applyAlignment="1">
      <alignment horizontal="center" shrinkToFit="1"/>
    </xf>
    <xf numFmtId="17" fontId="274" fillId="26" borderId="178" xfId="0" applyNumberFormat="1" applyFont="1" applyFill="1" applyBorder="1" applyAlignment="1">
      <alignment horizontal="center" shrinkToFit="1"/>
    </xf>
    <xf numFmtId="0" fontId="163" fillId="26" borderId="285" xfId="0" applyFont="1" applyFill="1" applyBorder="1" applyAlignment="1">
      <alignment horizontal="center" vertical="center" shrinkToFit="1"/>
    </xf>
    <xf numFmtId="0" fontId="163" fillId="26" borderId="13" xfId="0" applyFont="1" applyFill="1" applyBorder="1" applyAlignment="1">
      <alignment horizontal="center" vertical="center" shrinkToFit="1"/>
    </xf>
    <xf numFmtId="17" fontId="274" fillId="26" borderId="9" xfId="0" applyNumberFormat="1" applyFont="1" applyFill="1" applyBorder="1" applyAlignment="1">
      <alignment horizontal="center" shrinkToFit="1"/>
    </xf>
    <xf numFmtId="0" fontId="163" fillId="26" borderId="10" xfId="0" applyFont="1" applyFill="1" applyBorder="1" applyAlignment="1">
      <alignment horizontal="center" vertical="center" shrinkToFit="1"/>
    </xf>
    <xf numFmtId="184" fontId="9" fillId="19" borderId="178" xfId="0" applyNumberFormat="1" applyFont="1" applyFill="1" applyBorder="1" applyAlignment="1">
      <alignment horizontal="center" vertical="center" shrinkToFit="1"/>
    </xf>
    <xf numFmtId="0" fontId="163" fillId="19" borderId="285" xfId="0" applyFont="1" applyFill="1" applyBorder="1" applyAlignment="1">
      <alignment horizontal="center" vertical="center" shrinkToFit="1"/>
    </xf>
    <xf numFmtId="0" fontId="163" fillId="19" borderId="13" xfId="0" applyFont="1" applyFill="1" applyBorder="1" applyAlignment="1">
      <alignment horizontal="center" vertical="center" shrinkToFit="1"/>
    </xf>
    <xf numFmtId="0" fontId="163" fillId="19" borderId="295" xfId="0" applyFont="1" applyFill="1" applyBorder="1" applyAlignment="1">
      <alignment horizontal="center" vertical="center" shrinkToFit="1"/>
    </xf>
    <xf numFmtId="17" fontId="274" fillId="19" borderId="290" xfId="0" applyNumberFormat="1" applyFont="1" applyFill="1" applyBorder="1" applyAlignment="1">
      <alignment horizontal="center" shrinkToFit="1"/>
    </xf>
    <xf numFmtId="17" fontId="274" fillId="19" borderId="178" xfId="0" applyNumberFormat="1" applyFont="1" applyFill="1" applyBorder="1" applyAlignment="1">
      <alignment horizontal="center" shrinkToFit="1"/>
    </xf>
    <xf numFmtId="0" fontId="82" fillId="0" borderId="8" xfId="0" applyFont="1" applyBorder="1" applyAlignment="1">
      <alignment horizontal="center" vertical="center" shrinkToFit="1"/>
    </xf>
    <xf numFmtId="0" fontId="163" fillId="26" borderId="32" xfId="0" applyFont="1" applyFill="1" applyBorder="1" applyAlignment="1">
      <alignment horizontal="center" vertical="center" wrapText="1" shrinkToFit="1"/>
    </xf>
    <xf numFmtId="0" fontId="163" fillId="26" borderId="43" xfId="0" applyFont="1" applyFill="1" applyBorder="1" applyAlignment="1">
      <alignment horizontal="center" wrapText="1" shrinkToFit="1"/>
    </xf>
    <xf numFmtId="0" fontId="163" fillId="26" borderId="0" xfId="0" applyFont="1" applyFill="1" applyAlignment="1">
      <alignment horizontal="center" wrapText="1" shrinkToFit="1"/>
    </xf>
    <xf numFmtId="0" fontId="82" fillId="0" borderId="285" xfId="0" applyFont="1" applyBorder="1" applyAlignment="1">
      <alignment horizontal="center" vertical="center" shrinkToFit="1"/>
    </xf>
    <xf numFmtId="0" fontId="82" fillId="0" borderId="13" xfId="0" applyFont="1" applyBorder="1" applyAlignment="1">
      <alignment horizontal="center" vertical="center" shrinkToFit="1"/>
    </xf>
    <xf numFmtId="0" fontId="82" fillId="0" borderId="3" xfId="0" applyFont="1" applyBorder="1" applyAlignment="1">
      <alignment horizontal="center" vertical="center" shrinkToFit="1"/>
    </xf>
    <xf numFmtId="17" fontId="79" fillId="0" borderId="178" xfId="0" applyNumberFormat="1" applyFont="1" applyBorder="1" applyAlignment="1">
      <alignment horizontal="center" shrinkToFit="1"/>
    </xf>
    <xf numFmtId="17" fontId="79" fillId="0" borderId="179" xfId="0" applyNumberFormat="1" applyFont="1" applyBorder="1" applyAlignment="1">
      <alignment horizontal="center" shrinkToFit="1"/>
    </xf>
    <xf numFmtId="184" fontId="141" fillId="0" borderId="18" xfId="0" applyNumberFormat="1" applyFont="1" applyBorder="1" applyAlignment="1">
      <alignment horizontal="center" vertical="center" shrinkToFit="1"/>
    </xf>
    <xf numFmtId="184" fontId="141" fillId="0" borderId="178" xfId="0" applyNumberFormat="1" applyFont="1" applyBorder="1" applyAlignment="1">
      <alignment horizontal="center" vertical="center" shrinkToFit="1"/>
    </xf>
    <xf numFmtId="17" fontId="79" fillId="0" borderId="290" xfId="0" applyNumberFormat="1" applyFont="1" applyBorder="1" applyAlignment="1">
      <alignment horizontal="center" shrinkToFit="1"/>
    </xf>
    <xf numFmtId="17" fontId="79" fillId="0" borderId="291" xfId="0" applyNumberFormat="1" applyFont="1" applyBorder="1" applyAlignment="1">
      <alignment horizontal="center" shrinkToFit="1"/>
    </xf>
    <xf numFmtId="184" fontId="9" fillId="19" borderId="18" xfId="0" applyNumberFormat="1" applyFont="1" applyFill="1" applyBorder="1" applyAlignment="1">
      <alignment horizontal="center" vertical="center" shrinkToFit="1"/>
    </xf>
    <xf numFmtId="0" fontId="11" fillId="26" borderId="125" xfId="0" applyFont="1" applyFill="1" applyBorder="1" applyAlignment="1">
      <alignment horizontal="left" vertical="center" wrapText="1"/>
    </xf>
    <xf numFmtId="0" fontId="11" fillId="26" borderId="43" xfId="0" applyFont="1" applyFill="1" applyBorder="1" applyAlignment="1">
      <alignment horizontal="left" vertical="center" wrapText="1"/>
    </xf>
    <xf numFmtId="0" fontId="11" fillId="26" borderId="47" xfId="0" applyFont="1" applyFill="1" applyBorder="1" applyAlignment="1">
      <alignment horizontal="left" vertical="center" wrapText="1"/>
    </xf>
    <xf numFmtId="0" fontId="11" fillId="26" borderId="40" xfId="0" applyFont="1" applyFill="1" applyBorder="1" applyAlignment="1">
      <alignment horizontal="left" vertical="top" wrapText="1"/>
    </xf>
    <xf numFmtId="0" fontId="11" fillId="26" borderId="0" xfId="0" applyFont="1" applyFill="1" applyAlignment="1">
      <alignment horizontal="left" vertical="top" wrapText="1"/>
    </xf>
    <xf numFmtId="0" fontId="11" fillId="26" borderId="20" xfId="0" applyFont="1" applyFill="1" applyBorder="1" applyAlignment="1">
      <alignment horizontal="left" vertical="top" wrapText="1"/>
    </xf>
    <xf numFmtId="0" fontId="11" fillId="26" borderId="33" xfId="0" applyFont="1" applyFill="1" applyBorder="1" applyAlignment="1">
      <alignment horizontal="left" vertical="top" wrapText="1"/>
    </xf>
    <xf numFmtId="0" fontId="332" fillId="0" borderId="17" xfId="0" applyFont="1" applyBorder="1" applyAlignment="1">
      <alignment horizontal="left" vertical="center" wrapText="1"/>
    </xf>
    <xf numFmtId="0" fontId="332" fillId="0" borderId="5" xfId="0" applyFont="1" applyBorder="1" applyAlignment="1">
      <alignment horizontal="left" vertical="center" wrapText="1"/>
    </xf>
    <xf numFmtId="0" fontId="332" fillId="0" borderId="39" xfId="0" applyFont="1" applyBorder="1" applyAlignment="1">
      <alignment horizontal="left" wrapText="1"/>
    </xf>
    <xf numFmtId="0" fontId="332" fillId="0" borderId="83" xfId="0" applyFont="1" applyBorder="1" applyAlignment="1">
      <alignment horizontal="left" wrapText="1"/>
    </xf>
    <xf numFmtId="0" fontId="193" fillId="9" borderId="14" xfId="0" applyFont="1" applyFill="1" applyBorder="1" applyAlignment="1">
      <alignment horizontal="center"/>
    </xf>
    <xf numFmtId="0" fontId="193" fillId="9" borderId="10" xfId="0" applyFont="1" applyFill="1" applyBorder="1" applyAlignment="1">
      <alignment horizontal="center"/>
    </xf>
    <xf numFmtId="0" fontId="85" fillId="16" borderId="42" xfId="0" applyFont="1" applyFill="1" applyBorder="1" applyAlignment="1">
      <alignment horizontal="center" vertical="center" shrinkToFit="1"/>
    </xf>
    <xf numFmtId="0" fontId="85" fillId="16" borderId="9" xfId="0" applyFont="1" applyFill="1" applyBorder="1" applyAlignment="1">
      <alignment horizontal="center" vertical="center" shrinkToFit="1"/>
    </xf>
    <xf numFmtId="0" fontId="85" fillId="19" borderId="42" xfId="0" applyFont="1" applyFill="1" applyBorder="1" applyAlignment="1">
      <alignment horizontal="center" vertical="center" shrinkToFit="1"/>
    </xf>
    <xf numFmtId="0" fontId="85" fillId="19" borderId="9" xfId="0" applyFont="1" applyFill="1" applyBorder="1" applyAlignment="1">
      <alignment horizontal="center" vertical="center" shrinkToFit="1"/>
    </xf>
    <xf numFmtId="0" fontId="193" fillId="9" borderId="4" xfId="0" applyFont="1" applyFill="1" applyBorder="1" applyAlignment="1">
      <alignment horizontal="center"/>
    </xf>
    <xf numFmtId="0" fontId="85" fillId="16" borderId="32" xfId="0" applyFont="1" applyFill="1" applyBorder="1" applyAlignment="1">
      <alignment horizontal="center" vertical="center" shrinkToFit="1"/>
    </xf>
    <xf numFmtId="0" fontId="85" fillId="19" borderId="32" xfId="0" applyFont="1" applyFill="1" applyBorder="1" applyAlignment="1">
      <alignment horizontal="center" vertical="center" shrinkToFit="1"/>
    </xf>
    <xf numFmtId="0" fontId="344" fillId="0" borderId="0" xfId="0" applyFont="1" applyAlignment="1">
      <alignment horizontal="center"/>
    </xf>
    <xf numFmtId="0" fontId="307" fillId="0" borderId="0" xfId="0" applyFont="1" applyAlignment="1">
      <alignment horizontal="center" vertical="center" shrinkToFit="1"/>
    </xf>
    <xf numFmtId="0" fontId="71" fillId="4" borderId="0" xfId="0" applyFont="1" applyFill="1" applyAlignment="1">
      <alignment horizontal="center" vertical="center" wrapText="1"/>
    </xf>
    <xf numFmtId="0" fontId="343" fillId="0" borderId="0" xfId="0" applyFont="1" applyAlignment="1">
      <alignment horizontal="center"/>
    </xf>
    <xf numFmtId="0" fontId="307" fillId="0" borderId="0" xfId="0" applyFont="1" applyAlignment="1">
      <alignment horizontal="center" wrapText="1"/>
    </xf>
    <xf numFmtId="0" fontId="351" fillId="8" borderId="0" xfId="0" applyFont="1" applyFill="1" applyAlignment="1">
      <alignment horizontal="center" vertical="center" wrapText="1"/>
    </xf>
    <xf numFmtId="0" fontId="350" fillId="7" borderId="0" xfId="0" applyFont="1" applyFill="1" applyAlignment="1" applyProtection="1">
      <alignment horizontal="center" vertical="center"/>
      <protection locked="0"/>
    </xf>
    <xf numFmtId="0" fontId="79" fillId="0" borderId="0" xfId="0" applyFont="1" applyAlignment="1">
      <alignment horizontal="left" vertical="center"/>
    </xf>
    <xf numFmtId="0" fontId="175" fillId="0" borderId="0" xfId="0" applyFont="1" applyAlignment="1">
      <alignment horizontal="center" vertical="center" wrapText="1"/>
    </xf>
    <xf numFmtId="0" fontId="72" fillId="0" borderId="0" xfId="0" applyFont="1" applyAlignment="1">
      <alignment vertical="top" wrapText="1"/>
    </xf>
    <xf numFmtId="0" fontId="15" fillId="0" borderId="84" xfId="0" applyFont="1" applyBorder="1" applyAlignment="1">
      <alignment horizontal="center" vertical="center"/>
    </xf>
    <xf numFmtId="0" fontId="15" fillId="0" borderId="86" xfId="0" applyFont="1" applyBorder="1" applyAlignment="1">
      <alignment horizontal="center" vertical="center"/>
    </xf>
    <xf numFmtId="166" fontId="7" fillId="0" borderId="0" xfId="0" applyNumberFormat="1" applyFont="1" applyAlignment="1">
      <alignment horizontal="center" vertical="center"/>
    </xf>
    <xf numFmtId="0" fontId="242" fillId="0" borderId="0" xfId="0" applyFont="1" applyAlignment="1">
      <alignment horizontal="left" vertical="top" wrapText="1"/>
    </xf>
    <xf numFmtId="0" fontId="161" fillId="0" borderId="0" xfId="0" applyFont="1" applyAlignment="1">
      <alignment horizontal="left" vertical="center" wrapText="1"/>
    </xf>
    <xf numFmtId="0" fontId="176" fillId="2" borderId="8" xfId="0" applyFont="1" applyFill="1" applyBorder="1" applyAlignment="1">
      <alignment horizontal="left" wrapText="1"/>
    </xf>
    <xf numFmtId="9" fontId="74" fillId="7" borderId="8" xfId="0" applyNumberFormat="1" applyFont="1" applyFill="1" applyBorder="1" applyAlignment="1" applyProtection="1">
      <alignment horizontal="center" vertical="center"/>
      <protection locked="0"/>
    </xf>
    <xf numFmtId="9" fontId="74" fillId="5" borderId="23" xfId="0" applyNumberFormat="1" applyFont="1" applyFill="1" applyBorder="1" applyAlignment="1">
      <alignment horizontal="center" vertical="center"/>
    </xf>
    <xf numFmtId="169" fontId="74" fillId="7" borderId="0" xfId="0" applyNumberFormat="1" applyFont="1" applyFill="1" applyAlignment="1" applyProtection="1">
      <alignment horizontal="center"/>
      <protection locked="0"/>
    </xf>
    <xf numFmtId="9" fontId="7" fillId="2" borderId="0" xfId="0" applyNumberFormat="1" applyFont="1" applyFill="1" applyAlignment="1">
      <alignment horizontal="center"/>
    </xf>
    <xf numFmtId="3" fontId="9" fillId="0" borderId="1" xfId="0" applyNumberFormat="1" applyFont="1" applyBorder="1" applyAlignment="1">
      <alignment horizontal="center"/>
    </xf>
    <xf numFmtId="3" fontId="9" fillId="0" borderId="0" xfId="0" applyNumberFormat="1" applyFont="1" applyAlignment="1">
      <alignment horizontal="center"/>
    </xf>
    <xf numFmtId="0" fontId="15" fillId="2" borderId="1" xfId="0" applyFont="1" applyFill="1" applyBorder="1" applyAlignment="1">
      <alignment horizontal="left" wrapText="1"/>
    </xf>
    <xf numFmtId="0" fontId="15" fillId="2" borderId="0" xfId="0" applyFont="1" applyFill="1" applyAlignment="1">
      <alignment horizontal="left" wrapText="1"/>
    </xf>
    <xf numFmtId="0" fontId="23" fillId="2" borderId="1" xfId="0" applyFont="1" applyFill="1" applyBorder="1" applyAlignment="1">
      <alignment horizontal="left" vertical="center" wrapText="1"/>
    </xf>
    <xf numFmtId="0" fontId="23" fillId="2" borderId="0" xfId="0" applyFont="1" applyFill="1" applyAlignment="1">
      <alignment horizontal="left" vertical="center" wrapText="1"/>
    </xf>
    <xf numFmtId="0" fontId="15" fillId="0" borderId="52" xfId="0" applyFont="1" applyBorder="1" applyAlignment="1">
      <alignment horizontal="left" wrapText="1"/>
    </xf>
    <xf numFmtId="0" fontId="15" fillId="0" borderId="53" xfId="0" applyFont="1" applyBorder="1" applyAlignment="1">
      <alignment horizontal="left" wrapText="1"/>
    </xf>
    <xf numFmtId="0" fontId="15" fillId="0" borderId="54" xfId="0" applyFont="1" applyBorder="1" applyAlignment="1">
      <alignment horizontal="left" wrapText="1"/>
    </xf>
    <xf numFmtId="0" fontId="15" fillId="0" borderId="49" xfId="0" applyFont="1" applyBorder="1" applyAlignment="1">
      <alignment horizontal="left" wrapText="1"/>
    </xf>
    <xf numFmtId="0" fontId="15" fillId="0" borderId="55" xfId="0" applyFont="1" applyBorder="1" applyAlignment="1">
      <alignment horizontal="left" wrapText="1"/>
    </xf>
    <xf numFmtId="0" fontId="15" fillId="0" borderId="50" xfId="0" applyFont="1" applyBorder="1" applyAlignment="1">
      <alignment horizontal="left" wrapText="1"/>
    </xf>
    <xf numFmtId="0" fontId="15" fillId="0" borderId="48" xfId="0" applyFont="1" applyBorder="1" applyAlignment="1">
      <alignment horizontal="left" wrapText="1"/>
    </xf>
    <xf numFmtId="0" fontId="15" fillId="0" borderId="56" xfId="0" applyFont="1" applyBorder="1" applyAlignment="1">
      <alignment horizontal="left" wrapText="1"/>
    </xf>
    <xf numFmtId="0" fontId="160" fillId="5" borderId="0" xfId="0" applyFont="1" applyFill="1" applyAlignment="1">
      <alignment horizontal="left" vertical="top" wrapText="1"/>
    </xf>
    <xf numFmtId="0" fontId="15" fillId="16" borderId="0" xfId="0" applyFont="1" applyFill="1" applyAlignment="1">
      <alignment horizontal="center" wrapText="1"/>
    </xf>
    <xf numFmtId="9" fontId="15" fillId="16" borderId="0" xfId="0" applyNumberFormat="1" applyFont="1" applyFill="1" applyAlignment="1">
      <alignment horizontal="left" vertical="center" wrapText="1"/>
    </xf>
    <xf numFmtId="0" fontId="26" fillId="5" borderId="0" xfId="0" applyFont="1" applyFill="1" applyAlignment="1">
      <alignment horizontal="left"/>
    </xf>
    <xf numFmtId="0" fontId="26" fillId="5" borderId="8" xfId="0" applyFont="1" applyFill="1" applyBorder="1" applyAlignment="1">
      <alignment horizontal="left" wrapText="1"/>
    </xf>
    <xf numFmtId="0" fontId="11" fillId="5" borderId="0" xfId="0" applyFont="1" applyFill="1" applyAlignment="1">
      <alignment horizontal="left" vertical="center" wrapText="1"/>
    </xf>
    <xf numFmtId="0" fontId="64" fillId="5" borderId="0" xfId="0" applyFont="1" applyFill="1" applyAlignment="1">
      <alignment horizontal="right" vertical="top"/>
    </xf>
    <xf numFmtId="0" fontId="54" fillId="5" borderId="0" xfId="0" applyFont="1" applyFill="1" applyAlignment="1">
      <alignment horizontal="left" vertical="top" wrapText="1"/>
    </xf>
    <xf numFmtId="0" fontId="7" fillId="5" borderId="0" xfId="0" applyFont="1" applyFill="1" applyAlignment="1">
      <alignment horizontal="left"/>
    </xf>
    <xf numFmtId="0" fontId="9" fillId="5" borderId="0" xfId="0" applyFont="1" applyFill="1" applyAlignment="1">
      <alignment horizontal="center" wrapText="1"/>
    </xf>
    <xf numFmtId="0" fontId="24" fillId="5" borderId="0" xfId="0" applyFont="1" applyFill="1" applyAlignment="1">
      <alignment horizontal="left" vertical="top" wrapText="1"/>
    </xf>
    <xf numFmtId="0" fontId="56" fillId="7" borderId="17" xfId="0" applyFont="1" applyFill="1" applyBorder="1" applyAlignment="1" applyProtection="1">
      <alignment horizontal="center" vertical="center" shrinkToFit="1"/>
      <protection locked="0"/>
    </xf>
    <xf numFmtId="0" fontId="56" fillId="7" borderId="5" xfId="0" applyFont="1" applyFill="1" applyBorder="1" applyAlignment="1" applyProtection="1">
      <alignment horizontal="center" vertical="center" shrinkToFit="1"/>
      <protection locked="0"/>
    </xf>
    <xf numFmtId="0" fontId="9" fillId="14" borderId="7" xfId="0" applyFont="1" applyFill="1" applyBorder="1" applyAlignment="1">
      <alignment horizontal="left" vertical="center" wrapText="1"/>
    </xf>
    <xf numFmtId="0" fontId="9" fillId="14" borderId="17" xfId="0" applyFont="1" applyFill="1" applyBorder="1" applyAlignment="1">
      <alignment horizontal="left" vertical="center" wrapText="1"/>
    </xf>
    <xf numFmtId="0" fontId="9" fillId="14" borderId="12" xfId="0" applyFont="1" applyFill="1" applyBorder="1" applyAlignment="1">
      <alignment horizontal="left" vertical="center" wrapText="1"/>
    </xf>
    <xf numFmtId="0" fontId="9" fillId="14" borderId="8" xfId="0" applyFont="1" applyFill="1" applyBorder="1" applyAlignment="1">
      <alignment horizontal="left" vertical="center" wrapText="1"/>
    </xf>
    <xf numFmtId="0" fontId="11" fillId="0" borderId="0" xfId="0" applyFont="1" applyAlignment="1">
      <alignment horizontal="center" vertical="center" wrapText="1"/>
    </xf>
    <xf numFmtId="0" fontId="193" fillId="26" borderId="0" xfId="0" applyFont="1" applyFill="1" applyAlignment="1">
      <alignment horizontal="center" vertical="center" wrapText="1"/>
    </xf>
    <xf numFmtId="0" fontId="85" fillId="0" borderId="125" xfId="0" applyFont="1" applyBorder="1" applyAlignment="1">
      <alignment horizontal="right" wrapText="1"/>
    </xf>
    <xf numFmtId="0" fontId="85" fillId="0" borderId="43" xfId="0" applyFont="1" applyBorder="1" applyAlignment="1">
      <alignment horizontal="right" wrapText="1"/>
    </xf>
    <xf numFmtId="0" fontId="85" fillId="0" borderId="40" xfId="0" applyFont="1" applyBorder="1" applyAlignment="1">
      <alignment horizontal="right" wrapText="1"/>
    </xf>
    <xf numFmtId="0" fontId="85" fillId="0" borderId="0" xfId="0" applyFont="1" applyAlignment="1">
      <alignment horizontal="right" wrapText="1"/>
    </xf>
    <xf numFmtId="0" fontId="85" fillId="0" borderId="43" xfId="0" applyFont="1" applyBorder="1" applyAlignment="1">
      <alignment horizontal="center" wrapText="1"/>
    </xf>
    <xf numFmtId="0" fontId="85" fillId="0" borderId="0" xfId="0" applyFont="1" applyAlignment="1">
      <alignment horizontal="center" wrapText="1"/>
    </xf>
    <xf numFmtId="0" fontId="85" fillId="0" borderId="34" xfId="0" applyFont="1" applyBorder="1" applyAlignment="1">
      <alignment horizontal="center" wrapText="1"/>
    </xf>
    <xf numFmtId="0" fontId="85" fillId="0" borderId="0" xfId="0" applyFont="1" applyAlignment="1">
      <alignment horizontal="left" wrapText="1"/>
    </xf>
    <xf numFmtId="0" fontId="85" fillId="0" borderId="47" xfId="0" applyFont="1" applyBorder="1" applyAlignment="1">
      <alignment horizontal="center" wrapText="1"/>
    </xf>
    <xf numFmtId="0" fontId="198" fillId="0" borderId="0" xfId="0" applyFont="1" applyAlignment="1">
      <alignment horizontal="center" wrapText="1"/>
    </xf>
    <xf numFmtId="0" fontId="58" fillId="4" borderId="40" xfId="0" applyFont="1" applyFill="1" applyBorder="1" applyAlignment="1">
      <alignment horizontal="center" vertical="center" wrapText="1"/>
    </xf>
    <xf numFmtId="0" fontId="69" fillId="0" borderId="0" xfId="0" applyFont="1" applyAlignment="1">
      <alignment horizontal="left" wrapText="1"/>
    </xf>
    <xf numFmtId="0" fontId="11" fillId="0" borderId="8" xfId="0" applyFont="1" applyBorder="1" applyAlignment="1">
      <alignment horizontal="left" vertical="top" wrapText="1"/>
    </xf>
    <xf numFmtId="0" fontId="11" fillId="0" borderId="3" xfId="0" applyFont="1" applyBorder="1" applyAlignment="1">
      <alignment horizontal="left" vertical="top" wrapText="1"/>
    </xf>
    <xf numFmtId="0" fontId="15" fillId="0" borderId="1" xfId="0" applyFont="1" applyBorder="1" applyAlignment="1">
      <alignment horizontal="right" vertical="top" wrapText="1"/>
    </xf>
    <xf numFmtId="0" fontId="15" fillId="0" borderId="0" xfId="0" applyFont="1" applyAlignment="1">
      <alignment horizontal="right" vertical="top" wrapText="1"/>
    </xf>
    <xf numFmtId="0" fontId="9" fillId="0" borderId="0" xfId="0" applyFont="1" applyAlignment="1">
      <alignment horizontal="center" vertical="center" shrinkToFit="1"/>
    </xf>
    <xf numFmtId="0" fontId="15" fillId="0" borderId="1" xfId="0" applyFont="1" applyBorder="1" applyAlignment="1">
      <alignment horizontal="right" vertical="center" wrapText="1"/>
    </xf>
    <xf numFmtId="0" fontId="15" fillId="0" borderId="0" xfId="0" applyFont="1" applyAlignment="1">
      <alignment horizontal="right" vertical="center" wrapText="1"/>
    </xf>
    <xf numFmtId="0" fontId="15" fillId="0" borderId="1" xfId="0" applyFont="1" applyBorder="1" applyAlignment="1">
      <alignment horizontal="right" vertical="center"/>
    </xf>
    <xf numFmtId="0" fontId="15" fillId="0" borderId="0" xfId="0" applyFont="1" applyAlignment="1">
      <alignment horizontal="right" vertical="center"/>
    </xf>
    <xf numFmtId="0" fontId="15" fillId="0" borderId="5" xfId="0" applyFont="1" applyBorder="1" applyAlignment="1">
      <alignment horizontal="left" vertical="center" wrapText="1"/>
    </xf>
    <xf numFmtId="0" fontId="11" fillId="0" borderId="1" xfId="0" applyFont="1" applyBorder="1" applyAlignment="1">
      <alignment horizontal="right" vertical="top" wrapText="1"/>
    </xf>
    <xf numFmtId="0" fontId="11" fillId="0" borderId="0" xfId="0" applyFont="1" applyAlignment="1">
      <alignment horizontal="right" vertical="top" wrapText="1"/>
    </xf>
    <xf numFmtId="0" fontId="11" fillId="0" borderId="8" xfId="0" applyFont="1" applyBorder="1" applyAlignment="1">
      <alignment horizontal="left" vertical="center" wrapText="1"/>
    </xf>
    <xf numFmtId="0" fontId="11" fillId="0" borderId="1" xfId="0" applyFont="1" applyBorder="1" applyAlignment="1">
      <alignment horizontal="right" vertical="center" wrapText="1"/>
    </xf>
    <xf numFmtId="0" fontId="11" fillId="0" borderId="0" xfId="0" applyFont="1" applyAlignment="1">
      <alignment horizontal="right" vertical="center" wrapText="1"/>
    </xf>
    <xf numFmtId="0" fontId="11" fillId="0" borderId="1" xfId="0" applyFont="1" applyBorder="1" applyAlignment="1">
      <alignment horizontal="right" vertical="center"/>
    </xf>
    <xf numFmtId="0" fontId="11" fillId="0" borderId="0" xfId="0" applyFont="1" applyAlignment="1">
      <alignment horizontal="right" vertical="center"/>
    </xf>
    <xf numFmtId="0" fontId="56" fillId="15" borderId="17" xfId="0" applyFont="1" applyFill="1" applyBorder="1" applyAlignment="1" applyProtection="1">
      <alignment horizontal="center" vertical="center" shrinkToFit="1"/>
      <protection locked="0"/>
    </xf>
    <xf numFmtId="0" fontId="56" fillId="15" borderId="5" xfId="0" applyFont="1" applyFill="1" applyBorder="1" applyAlignment="1" applyProtection="1">
      <alignment horizontal="center" vertical="center" shrinkToFit="1"/>
      <protection locked="0"/>
    </xf>
    <xf numFmtId="0" fontId="198" fillId="0" borderId="34" xfId="0" applyFont="1" applyBorder="1" applyAlignment="1">
      <alignment horizontal="center" wrapText="1"/>
    </xf>
    <xf numFmtId="0" fontId="56" fillId="7" borderId="13" xfId="0" applyFont="1" applyFill="1" applyBorder="1" applyAlignment="1" applyProtection="1">
      <alignment horizontal="center" vertical="center" shrinkToFit="1"/>
      <protection locked="0"/>
    </xf>
    <xf numFmtId="0" fontId="56" fillId="7" borderId="10" xfId="0" applyFont="1" applyFill="1" applyBorder="1" applyAlignment="1" applyProtection="1">
      <alignment horizontal="center" vertical="center" shrinkToFit="1"/>
      <protection locked="0"/>
    </xf>
    <xf numFmtId="0" fontId="27" fillId="0" borderId="0" xfId="0" applyFont="1" applyAlignment="1">
      <alignment horizontal="left" vertical="center"/>
    </xf>
    <xf numFmtId="0" fontId="9" fillId="2" borderId="79" xfId="0" applyFont="1" applyFill="1" applyBorder="1" applyAlignment="1">
      <alignment horizontal="center" shrinkToFit="1"/>
    </xf>
    <xf numFmtId="0" fontId="9" fillId="2" borderId="74" xfId="0" applyFont="1" applyFill="1" applyBorder="1" applyAlignment="1">
      <alignment horizontal="center" shrinkToFit="1"/>
    </xf>
    <xf numFmtId="0" fontId="9" fillId="2" borderId="80" xfId="0" applyFont="1" applyFill="1" applyBorder="1" applyAlignment="1">
      <alignment horizontal="center" shrinkToFit="1"/>
    </xf>
    <xf numFmtId="0" fontId="71" fillId="0" borderId="8" xfId="0" applyFont="1" applyBorder="1" applyAlignment="1">
      <alignment horizontal="left" vertical="center" wrapText="1"/>
    </xf>
    <xf numFmtId="17" fontId="85" fillId="21" borderId="14" xfId="0" applyNumberFormat="1" applyFont="1" applyFill="1" applyBorder="1" applyAlignment="1">
      <alignment horizontal="center" vertical="center"/>
    </xf>
    <xf numFmtId="17" fontId="85" fillId="21" borderId="10" xfId="0" applyNumberFormat="1" applyFont="1" applyFill="1" applyBorder="1" applyAlignment="1">
      <alignment horizontal="center" vertical="center"/>
    </xf>
    <xf numFmtId="17" fontId="194" fillId="21" borderId="19" xfId="0" applyNumberFormat="1" applyFont="1" applyFill="1" applyBorder="1" applyAlignment="1">
      <alignment horizontal="center" vertical="center"/>
    </xf>
    <xf numFmtId="17" fontId="194" fillId="21" borderId="13" xfId="0" applyNumberFormat="1" applyFont="1" applyFill="1" applyBorder="1" applyAlignment="1">
      <alignment horizontal="center" vertical="center"/>
    </xf>
    <xf numFmtId="17" fontId="85" fillId="21" borderId="19" xfId="0" applyNumberFormat="1" applyFont="1" applyFill="1" applyBorder="1" applyAlignment="1">
      <alignment horizontal="center" vertical="center"/>
    </xf>
    <xf numFmtId="17" fontId="15" fillId="3" borderId="14" xfId="0" applyNumberFormat="1" applyFont="1" applyFill="1" applyBorder="1" applyAlignment="1">
      <alignment horizontal="center" vertical="center"/>
    </xf>
    <xf numFmtId="17" fontId="15" fillId="3" borderId="13" xfId="0" applyNumberFormat="1" applyFont="1" applyFill="1" applyBorder="1" applyAlignment="1">
      <alignment horizontal="center" vertical="center"/>
    </xf>
    <xf numFmtId="0" fontId="15" fillId="3" borderId="14"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0" xfId="0" applyFont="1" applyFill="1" applyBorder="1" applyAlignment="1">
      <alignment horizontal="center" vertical="center"/>
    </xf>
    <xf numFmtId="0" fontId="307" fillId="0" borderId="0" xfId="0" applyFont="1" applyAlignment="1">
      <alignment horizontal="center" vertical="center" wrapText="1" shrinkToFit="1"/>
    </xf>
    <xf numFmtId="0" fontId="307" fillId="0" borderId="0" xfId="0" applyFont="1" applyAlignment="1">
      <alignment horizontal="center" wrapText="1" shrinkToFit="1"/>
    </xf>
    <xf numFmtId="17" fontId="344" fillId="0" borderId="0" xfId="0" applyNumberFormat="1" applyFont="1" applyAlignment="1">
      <alignment horizontal="center" shrinkToFit="1"/>
    </xf>
    <xf numFmtId="0" fontId="341" fillId="0" borderId="0" xfId="0" applyFont="1" applyAlignment="1">
      <alignment horizontal="center" vertical="top" wrapText="1"/>
    </xf>
    <xf numFmtId="0" fontId="340" fillId="0" borderId="0" xfId="0" applyFont="1" applyAlignment="1">
      <alignment horizontal="center" vertical="center" wrapText="1"/>
    </xf>
    <xf numFmtId="0" fontId="307" fillId="0" borderId="0" xfId="0" applyFont="1" applyAlignment="1">
      <alignment horizontal="center" vertical="center" wrapText="1"/>
    </xf>
    <xf numFmtId="0" fontId="339" fillId="0" borderId="0" xfId="0" applyFont="1" applyAlignment="1">
      <alignment horizontal="center" wrapText="1"/>
    </xf>
    <xf numFmtId="0" fontId="339" fillId="0" borderId="0" xfId="0" applyFont="1" applyAlignment="1">
      <alignment horizontal="center" vertical="center" wrapText="1"/>
    </xf>
    <xf numFmtId="0" fontId="342" fillId="0" borderId="0" xfId="0" applyFont="1" applyAlignment="1">
      <alignment vertical="center" wrapText="1"/>
    </xf>
    <xf numFmtId="0" fontId="342" fillId="0" borderId="0" xfId="0" applyFont="1" applyAlignment="1">
      <alignment horizontal="left" wrapText="1"/>
    </xf>
    <xf numFmtId="0" fontId="342" fillId="0" borderId="0" xfId="0" applyFont="1" applyAlignment="1">
      <alignment horizontal="center" vertical="center" wrapText="1"/>
    </xf>
    <xf numFmtId="0" fontId="343" fillId="0" borderId="0" xfId="0" applyFont="1" applyAlignment="1">
      <alignment horizontal="center" wrapText="1"/>
    </xf>
  </cellXfs>
  <cellStyles count="6">
    <cellStyle name="Excel Built-in Normal" xfId="2" xr:uid="{00000000-0005-0000-0000-000000000000}"/>
    <cellStyle name="Link" xfId="3" builtinId="8"/>
    <cellStyle name="Link 2" xfId="5" xr:uid="{00000000-0005-0000-0000-000032000000}"/>
    <cellStyle name="Prozent" xfId="1" builtinId="5"/>
    <cellStyle name="Standard" xfId="0" builtinId="0"/>
    <cellStyle name="Standard 2" xfId="4" xr:uid="{00000000-0005-0000-0000-000033000000}"/>
  </cellStyles>
  <dxfs count="0"/>
  <tableStyles count="0" defaultTableStyle="TableStyleMedium2" defaultPivotStyle="PivotStyleLight16"/>
  <colors>
    <mruColors>
      <color rgb="FF33CC33"/>
      <color rgb="FFAD1D4D"/>
      <color rgb="FFFF3399"/>
      <color rgb="FFFFFF99"/>
      <color rgb="FF008000"/>
      <color rgb="FFFFE1FF"/>
      <color rgb="FFFFC9FF"/>
      <color rgb="FF8EB868"/>
      <color rgb="FFFFCC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 PK Kosten Diagramm'!$A$13</c:f>
              <c:strCache>
                <c:ptCount val="1"/>
                <c:pt idx="0">
                  <c:v>Personalkosten incl. BGW
pro Monat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 PK Kosten Diagramm'!$B$10:$M$10</c:f>
              <c:numCache>
                <c:formatCode>mmm\-yy</c:formatCode>
                <c:ptCount val="12"/>
                <c:pt idx="0">
                  <c:v>44927</c:v>
                </c:pt>
                <c:pt idx="1">
                  <c:v>44959</c:v>
                </c:pt>
                <c:pt idx="2">
                  <c:v>44991</c:v>
                </c:pt>
                <c:pt idx="3">
                  <c:v>45023</c:v>
                </c:pt>
                <c:pt idx="4">
                  <c:v>45055</c:v>
                </c:pt>
                <c:pt idx="5">
                  <c:v>45087</c:v>
                </c:pt>
                <c:pt idx="6">
                  <c:v>45119</c:v>
                </c:pt>
                <c:pt idx="7">
                  <c:v>45151</c:v>
                </c:pt>
                <c:pt idx="8">
                  <c:v>45183</c:v>
                </c:pt>
                <c:pt idx="9">
                  <c:v>45215</c:v>
                </c:pt>
                <c:pt idx="10">
                  <c:v>45247</c:v>
                </c:pt>
                <c:pt idx="11">
                  <c:v>45279</c:v>
                </c:pt>
              </c:numCache>
            </c:numRef>
          </c:cat>
          <c:val>
            <c:numRef>
              <c:f>'10 PK Kosten Diagramm'!$B$13:$M$13</c:f>
              <c:numCache>
                <c:formatCode>0</c:formatCode>
                <c:ptCount val="12"/>
                <c:pt idx="0">
                  <c:v>17249.107813709677</c:v>
                </c:pt>
                <c:pt idx="1">
                  <c:v>17249.107813709677</c:v>
                </c:pt>
                <c:pt idx="2">
                  <c:v>17249.107813709677</c:v>
                </c:pt>
                <c:pt idx="3">
                  <c:v>17249.107813709677</c:v>
                </c:pt>
                <c:pt idx="4">
                  <c:v>18609.337813709677</c:v>
                </c:pt>
                <c:pt idx="5">
                  <c:v>17249.107813709677</c:v>
                </c:pt>
                <c:pt idx="6">
                  <c:v>17559.59168467742</c:v>
                </c:pt>
                <c:pt idx="7">
                  <c:v>17784.206033064514</c:v>
                </c:pt>
                <c:pt idx="8">
                  <c:v>17784.206033064514</c:v>
                </c:pt>
                <c:pt idx="9">
                  <c:v>17784.206033064514</c:v>
                </c:pt>
                <c:pt idx="10">
                  <c:v>17784.206033064514</c:v>
                </c:pt>
                <c:pt idx="11">
                  <c:v>17784.206033064514</c:v>
                </c:pt>
              </c:numCache>
            </c:numRef>
          </c:val>
          <c:extLst>
            <c:ext xmlns:c16="http://schemas.microsoft.com/office/drawing/2014/chart" uri="{C3380CC4-5D6E-409C-BE32-E72D297353CC}">
              <c16:uniqueId val="{00000000-F02C-46F9-8437-44F52673DE2B}"/>
            </c:ext>
          </c:extLst>
        </c:ser>
        <c:dLbls>
          <c:showLegendKey val="0"/>
          <c:showVal val="0"/>
          <c:showCatName val="0"/>
          <c:showSerName val="0"/>
          <c:showPercent val="0"/>
          <c:showBubbleSize val="0"/>
        </c:dLbls>
        <c:gapWidth val="150"/>
        <c:axId val="388038000"/>
        <c:axId val="388034472"/>
      </c:barChart>
      <c:dateAx>
        <c:axId val="388038000"/>
        <c:scaling>
          <c:orientation val="minMax"/>
        </c:scaling>
        <c:delete val="0"/>
        <c:axPos val="b"/>
        <c:numFmt formatCode="mmm\-yy" sourceLinked="1"/>
        <c:majorTickMark val="out"/>
        <c:minorTickMark val="none"/>
        <c:tickLblPos val="nextTo"/>
        <c:crossAx val="388034472"/>
        <c:crosses val="autoZero"/>
        <c:auto val="1"/>
        <c:lblOffset val="100"/>
        <c:baseTimeUnit val="months"/>
      </c:dateAx>
      <c:valAx>
        <c:axId val="388034472"/>
        <c:scaling>
          <c:orientation val="minMax"/>
        </c:scaling>
        <c:delete val="0"/>
        <c:axPos val="l"/>
        <c:majorGridlines/>
        <c:numFmt formatCode="0" sourceLinked="1"/>
        <c:majorTickMark val="out"/>
        <c:minorTickMark val="none"/>
        <c:tickLblPos val="nextTo"/>
        <c:crossAx val="388038000"/>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DE-4FD1-9830-F707BEA0BA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DE-4FD1-9830-F707BEA0BA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6DE-4FD1-9830-F707BEA0BA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6DE-4FD1-9830-F707BEA0BA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6DE-4FD1-9830-F707BEA0BA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'32 Preis Herrenhaarschnitt'!$N$18:$R$18</c:f>
              <c:numCache>
                <c:formatCode>General</c:formatCode>
                <c:ptCount val="5"/>
              </c:numCache>
            </c:numRef>
          </c:cat>
          <c:val>
            <c:numRef>
              <c:f>'32 Preis Herrenhaarschnitt'!$N$19:$R$19</c:f>
              <c:numCache>
                <c:formatCode>General</c:formatCode>
                <c:ptCount val="5"/>
              </c:numCache>
            </c:numRef>
          </c:val>
          <c:extLst>
            <c:ext xmlns:c16="http://schemas.microsoft.com/office/drawing/2014/chart" uri="{C3380CC4-5D6E-409C-BE32-E72D297353CC}">
              <c16:uniqueId val="{00000000-9E90-4FB1-AE83-C2DB8267662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'32 Preis Herrenhaarschnitt'!$N$14:$R$14</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66-4575-B716-AAFE2C25F2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66-4575-B716-AAFE2C25F2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66-4575-B716-AAFE2C25F27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66-4575-B716-AAFE2C25F27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66-4575-B716-AAFE2C25F2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'32 Preis Herrenhaarschnitt'!$N$15:$R$15</c:f>
              <c:numCache>
                <c:formatCode>0.00</c:formatCode>
                <c:ptCount val="5"/>
                <c:pt idx="0">
                  <c:v>1.5</c:v>
                </c:pt>
                <c:pt idx="1">
                  <c:v>16.576394896726804</c:v>
                </c:pt>
                <c:pt idx="2">
                  <c:v>9.9</c:v>
                </c:pt>
                <c:pt idx="3">
                  <c:v>3.4439147051727006</c:v>
                </c:pt>
                <c:pt idx="4">
                  <c:v>5.9698588243609061</c:v>
                </c:pt>
              </c:numCache>
            </c:numRef>
          </c:val>
          <c:extLst>
            <c:ext xmlns:c16="http://schemas.microsoft.com/office/drawing/2014/chart" uri="{C3380CC4-5D6E-409C-BE32-E72D297353CC}">
              <c16:uniqueId val="{0000000A-9866-4575-B716-AAFE2C25F27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A71-491D-B091-ED7174DA67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71-491D-B091-ED7174DA676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A71-491D-B091-ED7174DA676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A71-491D-B091-ED7174DA676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A71-491D-B091-ED7174DA67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'32 Preis Herrenhaarschnitt'!$N$18:$R$18</c:f>
              <c:numCache>
                <c:formatCode>General</c:formatCode>
                <c:ptCount val="5"/>
              </c:numCache>
            </c:numRef>
          </c:cat>
          <c:val>
            <c:numRef>
              <c:f>'32 Preis Herrenhaarschnitt'!$N$19:$R$19</c:f>
              <c:numCache>
                <c:formatCode>General</c:formatCode>
                <c:ptCount val="5"/>
              </c:numCache>
            </c:numRef>
          </c:val>
          <c:extLst>
            <c:ext xmlns:c16="http://schemas.microsoft.com/office/drawing/2014/chart" uri="{C3380CC4-5D6E-409C-BE32-E72D297353CC}">
              <c16:uniqueId val="{0000000A-2A71-491D-B091-ED7174DA676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Preis-Anteile</a:t>
            </a:r>
            <a:r>
              <a:rPr lang="de-DE" baseline="0"/>
              <a:t> in €</a:t>
            </a:r>
            <a:endParaRPr lang="de-DE"/>
          </a:p>
        </c:rich>
      </c:tx>
      <c:layout>
        <c:manualLayout>
          <c:xMode val="edge"/>
          <c:yMode val="edge"/>
          <c:x val="2.0200314602347991E-2"/>
          <c:y val="5.12024888001427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116398425210847"/>
          <c:y val="0.16704326335415517"/>
          <c:w val="0.48574735831785493"/>
          <c:h val="0.80132078230952164"/>
        </c:manualLayout>
      </c:layout>
      <c:pieChart>
        <c:varyColors val="1"/>
        <c:ser>
          <c:idx val="0"/>
          <c:order val="0"/>
          <c:tx>
            <c:strRef>
              <c:f>'32 Preis Herrenhaarschnitt'!$N$14:$R$14</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39C-45C0-A608-4514027EF1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39C-45C0-A608-4514027EF1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39C-45C0-A608-4514027EF1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39C-45C0-A608-4514027EF1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39C-45C0-A608-4514027EF1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'32 Preis Herrenhaarschnitt'!$N$15:$R$15</c:f>
              <c:numCache>
                <c:formatCode>0.00</c:formatCode>
                <c:ptCount val="5"/>
                <c:pt idx="0">
                  <c:v>1.5</c:v>
                </c:pt>
                <c:pt idx="1">
                  <c:v>16.576394896726804</c:v>
                </c:pt>
                <c:pt idx="2">
                  <c:v>9.9</c:v>
                </c:pt>
                <c:pt idx="3">
                  <c:v>3.4439147051727006</c:v>
                </c:pt>
                <c:pt idx="4">
                  <c:v>5.9698588243609061</c:v>
                </c:pt>
              </c:numCache>
            </c:numRef>
          </c:val>
          <c:extLst>
            <c:ext xmlns:c16="http://schemas.microsoft.com/office/drawing/2014/chart" uri="{C3380CC4-5D6E-409C-BE32-E72D297353CC}">
              <c16:uniqueId val="{0000000A-239C-45C0-A608-4514027EF12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'33 Preis Farbe 1'!$P$25:$T$25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DA-491A-92C1-CFD024AD37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DA-491A-92C1-CFD024AD37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FDA-491A-92C1-CFD024AD372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FDA-491A-92C1-CFD024AD372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FDA-491A-92C1-CFD024AD372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'33 Preis Farbe 1'!$P$26:$T$26</c:f>
              <c:numCache>
                <c:formatCode>0.00</c:formatCode>
                <c:ptCount val="5"/>
                <c:pt idx="0">
                  <c:v>6.8063333333333338</c:v>
                </c:pt>
                <c:pt idx="1">
                  <c:v>19.339127379514604</c:v>
                </c:pt>
                <c:pt idx="2">
                  <c:v>11.55</c:v>
                </c:pt>
                <c:pt idx="3">
                  <c:v>4.6403388265878958</c:v>
                </c:pt>
                <c:pt idx="4">
                  <c:v>8.0438019124928086</c:v>
                </c:pt>
              </c:numCache>
            </c:numRef>
          </c:val>
          <c:extLst>
            <c:ext xmlns:c16="http://schemas.microsoft.com/office/drawing/2014/chart" uri="{C3380CC4-5D6E-409C-BE32-E72D297353CC}">
              <c16:uniqueId val="{0000000A-AFDA-491A-92C1-CFD024AD372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Preis-Anteile in €</a:t>
            </a:r>
          </a:p>
        </c:rich>
      </c:tx>
      <c:layout>
        <c:manualLayout>
          <c:xMode val="edge"/>
          <c:yMode val="edge"/>
          <c:x val="3.2391585292622815E-2"/>
          <c:y val="3.25099074765839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997429499728137"/>
          <c:y val="0.14823018477256414"/>
          <c:w val="0.50571976225089965"/>
          <c:h val="0.83399724488590632"/>
        </c:manualLayout>
      </c:layout>
      <c:pieChart>
        <c:varyColors val="1"/>
        <c:ser>
          <c:idx val="0"/>
          <c:order val="0"/>
          <c:tx>
            <c:strRef>
              <c:f>'33 Preis Farbe 1'!$P$25:$T$25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C4-4AAE-A8FB-5CCA35799E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C4-4AAE-A8FB-5CCA35799EE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7C4-4AAE-A8FB-5CCA35799EE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7C4-4AAE-A8FB-5CCA35799EE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7C4-4AAE-A8FB-5CCA35799EE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'33 Preis Farbe 1'!$P$26:$T$26</c:f>
              <c:numCache>
                <c:formatCode>0.00</c:formatCode>
                <c:ptCount val="5"/>
                <c:pt idx="0">
                  <c:v>6.8063333333333338</c:v>
                </c:pt>
                <c:pt idx="1">
                  <c:v>19.339127379514604</c:v>
                </c:pt>
                <c:pt idx="2">
                  <c:v>11.55</c:v>
                </c:pt>
                <c:pt idx="3">
                  <c:v>4.6403388265878958</c:v>
                </c:pt>
                <c:pt idx="4">
                  <c:v>8.0438019124928086</c:v>
                </c:pt>
              </c:numCache>
            </c:numRef>
          </c:val>
          <c:extLst>
            <c:ext xmlns:c16="http://schemas.microsoft.com/office/drawing/2014/chart" uri="{C3380CC4-5D6E-409C-BE32-E72D297353CC}">
              <c16:uniqueId val="{0000000A-37C4-4AAE-A8FB-5CCA35799EE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'34 Preis Farbe 2'!$P$25:$T$25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6B-4EF7-970E-C37AF849D9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6B-4EF7-970E-C37AF849D9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6B-4EF7-970E-C37AF849D93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66B-4EF7-970E-C37AF849D93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66B-4EF7-970E-C37AF849D9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'34 Preis Farbe 2'!$P$26:$T$26</c:f>
              <c:numCache>
                <c:formatCode>0.00</c:formatCode>
                <c:ptCount val="5"/>
                <c:pt idx="0">
                  <c:v>6.8063333333333338</c:v>
                </c:pt>
                <c:pt idx="1">
                  <c:v>24.864592345090209</c:v>
                </c:pt>
                <c:pt idx="2">
                  <c:v>14.850000000000001</c:v>
                </c:pt>
                <c:pt idx="3">
                  <c:v>5.7267600287167078</c:v>
                </c:pt>
                <c:pt idx="4">
                  <c:v>9.9270602843566476</c:v>
                </c:pt>
              </c:numCache>
            </c:numRef>
          </c:val>
          <c:extLst>
            <c:ext xmlns:c16="http://schemas.microsoft.com/office/drawing/2014/chart" uri="{C3380CC4-5D6E-409C-BE32-E72D297353CC}">
              <c16:uniqueId val="{0000000A-566B-4EF7-970E-C37AF849D93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0" i="0" baseline="0">
                <a:effectLst/>
              </a:rPr>
              <a:t>Preis-Anteile in €</a:t>
            </a:r>
            <a:endParaRPr lang="de-DE">
              <a:effectLst/>
            </a:endParaRPr>
          </a:p>
        </c:rich>
      </c:tx>
      <c:layout>
        <c:manualLayout>
          <c:xMode val="edge"/>
          <c:yMode val="edge"/>
          <c:x val="2.7533756664629566E-2"/>
          <c:y val="4.17984524698935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9386854081977495"/>
          <c:y val="0.1787884007283097"/>
          <c:w val="0.47678478136112334"/>
          <c:h val="0.78627972197263829"/>
        </c:manualLayout>
      </c:layout>
      <c:pieChart>
        <c:varyColors val="1"/>
        <c:ser>
          <c:idx val="0"/>
          <c:order val="0"/>
          <c:tx>
            <c:strRef>
              <c:f>'34 Preis Farbe 2'!$P$25:$T$25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A8-4C3F-B075-9EFFFC9857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A8-4C3F-B075-9EFFFC9857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5A8-4C3F-B075-9EFFFC9857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5A8-4C3F-B075-9EFFFC9857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5A8-4C3F-B075-9EFFFC9857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'34 Preis Farbe 2'!$P$26:$T$26</c:f>
              <c:numCache>
                <c:formatCode>0.00</c:formatCode>
                <c:ptCount val="5"/>
                <c:pt idx="0">
                  <c:v>6.8063333333333338</c:v>
                </c:pt>
                <c:pt idx="1">
                  <c:v>24.864592345090209</c:v>
                </c:pt>
                <c:pt idx="2">
                  <c:v>14.850000000000001</c:v>
                </c:pt>
                <c:pt idx="3">
                  <c:v>5.7267600287167078</c:v>
                </c:pt>
                <c:pt idx="4">
                  <c:v>9.9270602843566476</c:v>
                </c:pt>
              </c:numCache>
            </c:numRef>
          </c:val>
          <c:extLst>
            <c:ext xmlns:c16="http://schemas.microsoft.com/office/drawing/2014/chart" uri="{C3380CC4-5D6E-409C-BE32-E72D297353CC}">
              <c16:uniqueId val="{0000000A-05A8-4C3F-B075-9EFFFC9857F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'35 Preis Strähnen'!$P$25:$T$25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AD-45F4-9483-4F164E6F9CF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AD-45F4-9483-4F164E6F9CF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AD-45F4-9483-4F164E6F9CF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AD-45F4-9483-4F164E6F9CF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9AD-45F4-9483-4F164E6F9C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'35 Preis Strähnen'!$P$26:$T$26</c:f>
              <c:numCache>
                <c:formatCode>0.00</c:formatCode>
                <c:ptCount val="5"/>
                <c:pt idx="0">
                  <c:v>6.8063333333333338</c:v>
                </c:pt>
                <c:pt idx="1">
                  <c:v>33.152789793453607</c:v>
                </c:pt>
                <c:pt idx="2">
                  <c:v>19.8</c:v>
                </c:pt>
                <c:pt idx="3">
                  <c:v>7.3563918319099262</c:v>
                </c:pt>
                <c:pt idx="4">
                  <c:v>12.751947842152408</c:v>
                </c:pt>
              </c:numCache>
            </c:numRef>
          </c:val>
          <c:extLst>
            <c:ext xmlns:c16="http://schemas.microsoft.com/office/drawing/2014/chart" uri="{C3380CC4-5D6E-409C-BE32-E72D297353CC}">
              <c16:uniqueId val="{0000000A-09AD-45F4-9483-4F164E6F9CF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0" i="0" baseline="0">
                <a:effectLst/>
              </a:rPr>
              <a:t>Preis-Anteile in €</a:t>
            </a:r>
            <a:endParaRPr lang="de-DE">
              <a:effectLst/>
            </a:endParaRPr>
          </a:p>
        </c:rich>
      </c:tx>
      <c:layout>
        <c:manualLayout>
          <c:xMode val="edge"/>
          <c:yMode val="edge"/>
          <c:x val="1.6268969413885156E-2"/>
          <c:y val="4.17984524698935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9386854081977495"/>
          <c:y val="0.16021131074169032"/>
          <c:w val="0.48241717498649556"/>
          <c:h val="0.79556826696594796"/>
        </c:manualLayout>
      </c:layout>
      <c:pieChart>
        <c:varyColors val="1"/>
        <c:ser>
          <c:idx val="0"/>
          <c:order val="0"/>
          <c:tx>
            <c:strRef>
              <c:f>'35 Preis Strähnen'!$P$25:$T$25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300-4532-B43E-F4A66851C6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300-4532-B43E-F4A66851C6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300-4532-B43E-F4A66851C6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300-4532-B43E-F4A66851C63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300-4532-B43E-F4A66851C6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'35 Preis Strähnen'!$P$26:$T$26</c:f>
              <c:numCache>
                <c:formatCode>0.00</c:formatCode>
                <c:ptCount val="5"/>
                <c:pt idx="0">
                  <c:v>6.8063333333333338</c:v>
                </c:pt>
                <c:pt idx="1">
                  <c:v>33.152789793453607</c:v>
                </c:pt>
                <c:pt idx="2">
                  <c:v>19.8</c:v>
                </c:pt>
                <c:pt idx="3">
                  <c:v>7.3563918319099262</c:v>
                </c:pt>
                <c:pt idx="4">
                  <c:v>12.751947842152408</c:v>
                </c:pt>
              </c:numCache>
            </c:numRef>
          </c:val>
          <c:extLst>
            <c:ext xmlns:c16="http://schemas.microsoft.com/office/drawing/2014/chart" uri="{C3380CC4-5D6E-409C-BE32-E72D297353CC}">
              <c16:uniqueId val="{0000000A-0300-4532-B43E-F4A66851C63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94034014356145E-2"/>
          <c:y val="3.4104984192245176E-2"/>
          <c:w val="0.92601640152030362"/>
          <c:h val="0.75391586468358118"/>
        </c:manualLayout>
      </c:layout>
      <c:barChart>
        <c:barDir val="col"/>
        <c:grouping val="clustered"/>
        <c:varyColors val="0"/>
        <c:ser>
          <c:idx val="0"/>
          <c:order val="0"/>
          <c:tx>
            <c:strRef>
              <c:f>'18 Zielumsatz Planungsjahr'!$AD$28</c:f>
              <c:strCache>
                <c:ptCount val="1"/>
              </c:strCache>
            </c:strRef>
          </c:tx>
          <c:invertIfNegative val="0"/>
          <c:dLbls>
            <c:spPr>
              <a:noFill/>
              <a:ln>
                <a:noFill/>
              </a:ln>
              <a:effectLst/>
            </c:spPr>
            <c:txPr>
              <a:bodyPr/>
              <a:lstStyle/>
              <a:p>
                <a:pPr>
                  <a:defRPr sz="7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Planungsjahr'!$AE$27:$AJ$27</c:f>
              <c:strCache>
                <c:ptCount val="6"/>
                <c:pt idx="0">
                  <c:v>Mo</c:v>
                </c:pt>
                <c:pt idx="1">
                  <c:v>Di</c:v>
                </c:pt>
                <c:pt idx="2">
                  <c:v>Mi</c:v>
                </c:pt>
                <c:pt idx="3">
                  <c:v>Do</c:v>
                </c:pt>
                <c:pt idx="4">
                  <c:v>Fr</c:v>
                </c:pt>
                <c:pt idx="5">
                  <c:v>Sa</c:v>
                </c:pt>
              </c:strCache>
            </c:strRef>
          </c:cat>
          <c:val>
            <c:numRef>
              <c:f>'18 Zielumsatz Planungsjahr'!$AE$28:$AJ$28</c:f>
              <c:numCache>
                <c:formatCode>0</c:formatCode>
                <c:ptCount val="6"/>
                <c:pt idx="0">
                  <c:v>2010.0123165206176</c:v>
                </c:pt>
                <c:pt idx="1">
                  <c:v>2010.0123165206176</c:v>
                </c:pt>
                <c:pt idx="2">
                  <c:v>2010.0123165206176</c:v>
                </c:pt>
                <c:pt idx="3">
                  <c:v>2010.0123165206176</c:v>
                </c:pt>
                <c:pt idx="4">
                  <c:v>2010.0123165206176</c:v>
                </c:pt>
                <c:pt idx="5">
                  <c:v>1507.5092373904631</c:v>
                </c:pt>
              </c:numCache>
            </c:numRef>
          </c:val>
          <c:extLst>
            <c:ext xmlns:c16="http://schemas.microsoft.com/office/drawing/2014/chart" uri="{C3380CC4-5D6E-409C-BE32-E72D297353CC}">
              <c16:uniqueId val="{00000000-404E-4D6E-A7E6-30E350956506}"/>
            </c:ext>
          </c:extLst>
        </c:ser>
        <c:ser>
          <c:idx val="1"/>
          <c:order val="1"/>
          <c:tx>
            <c:strRef>
              <c:f>'18 Zielumsatz Planungsjahr'!$AD$29</c:f>
              <c:strCache>
                <c:ptCount val="1"/>
              </c:strCache>
            </c:strRef>
          </c:tx>
          <c:invertIfNegative val="0"/>
          <c:dLbls>
            <c:spPr>
              <a:noFill/>
              <a:ln>
                <a:noFill/>
              </a:ln>
              <a:effectLst/>
            </c:spPr>
            <c:txPr>
              <a:bodyPr/>
              <a:lstStyle/>
              <a:p>
                <a:pPr>
                  <a:defRPr sz="7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Planungsjahr'!$AE$27:$AJ$27</c:f>
              <c:strCache>
                <c:ptCount val="6"/>
                <c:pt idx="0">
                  <c:v>Mo</c:v>
                </c:pt>
                <c:pt idx="1">
                  <c:v>Di</c:v>
                </c:pt>
                <c:pt idx="2">
                  <c:v>Mi</c:v>
                </c:pt>
                <c:pt idx="3">
                  <c:v>Do</c:v>
                </c:pt>
                <c:pt idx="4">
                  <c:v>Fr</c:v>
                </c:pt>
                <c:pt idx="5">
                  <c:v>Sa</c:v>
                </c:pt>
              </c:strCache>
            </c:strRef>
          </c:cat>
          <c:val>
            <c:numRef>
              <c:f>'18 Zielumsatz Planungsjahr'!$AE$29:$AJ$29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04E-4D6E-A7E6-30E350956506}"/>
            </c:ext>
          </c:extLst>
        </c:ser>
        <c:dLbls>
          <c:showLegendKey val="0"/>
          <c:showVal val="0"/>
          <c:showCatName val="0"/>
          <c:showSerName val="0"/>
          <c:showPercent val="0"/>
          <c:showBubbleSize val="0"/>
        </c:dLbls>
        <c:gapWidth val="150"/>
        <c:axId val="529863072"/>
        <c:axId val="529867384"/>
      </c:barChart>
      <c:catAx>
        <c:axId val="529863072"/>
        <c:scaling>
          <c:orientation val="minMax"/>
        </c:scaling>
        <c:delete val="0"/>
        <c:axPos val="b"/>
        <c:numFmt formatCode="General" sourceLinked="0"/>
        <c:majorTickMark val="out"/>
        <c:minorTickMark val="none"/>
        <c:tickLblPos val="nextTo"/>
        <c:crossAx val="529867384"/>
        <c:crosses val="autoZero"/>
        <c:auto val="1"/>
        <c:lblAlgn val="ctr"/>
        <c:lblOffset val="100"/>
        <c:noMultiLvlLbl val="0"/>
      </c:catAx>
      <c:valAx>
        <c:axId val="529867384"/>
        <c:scaling>
          <c:orientation val="minMax"/>
        </c:scaling>
        <c:delete val="1"/>
        <c:axPos val="l"/>
        <c:majorGridlines>
          <c:spPr>
            <a:ln>
              <a:noFill/>
            </a:ln>
          </c:spPr>
        </c:majorGridlines>
        <c:numFmt formatCode="0" sourceLinked="1"/>
        <c:majorTickMark val="out"/>
        <c:minorTickMark val="none"/>
        <c:tickLblPos val="nextTo"/>
        <c:crossAx val="529863072"/>
        <c:crosses val="autoZero"/>
        <c:crossBetween val="between"/>
      </c:valAx>
    </c:plotArea>
    <c:legend>
      <c:legendPos val="r"/>
      <c:layout>
        <c:manualLayout>
          <c:xMode val="edge"/>
          <c:yMode val="edge"/>
          <c:x val="0.20459529174966407"/>
          <c:y val="0.91229385708137178"/>
          <c:w val="0.57735609853743919"/>
          <c:h val="8.2877848919672925E-2"/>
        </c:manualLayout>
      </c:layout>
      <c:overlay val="0"/>
      <c:txPr>
        <a:bodyPr/>
        <a:lstStyle/>
        <a:p>
          <a:pPr>
            <a:defRPr sz="800" baseline="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'36 Preis DL offen'!$P$26:$T$26</c:f>
              <c:strCache>
                <c:ptCount val="5"/>
                <c:pt idx="0">
                  <c:v>6,81</c:v>
                </c:pt>
                <c:pt idx="1">
                  <c:v>99,46</c:v>
                </c:pt>
                <c:pt idx="2">
                  <c:v>59,40</c:v>
                </c:pt>
                <c:pt idx="3">
                  <c:v>20,39</c:v>
                </c:pt>
                <c:pt idx="4">
                  <c:v>35,35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CC6-4444-A16C-022048635D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C6-4444-A16C-022048635D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CC6-4444-A16C-022048635D8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CC6-4444-A16C-022048635D8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CC6-4444-A16C-022048635D8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'36 Preis DL offen'!$P$26:$T$26</c:f>
              <c:numCache>
                <c:formatCode>0.00</c:formatCode>
                <c:ptCount val="5"/>
                <c:pt idx="0">
                  <c:v>6.8063333333333338</c:v>
                </c:pt>
                <c:pt idx="1">
                  <c:v>99.458369380360836</c:v>
                </c:pt>
                <c:pt idx="2">
                  <c:v>59.400000000000006</c:v>
                </c:pt>
                <c:pt idx="3">
                  <c:v>20.393446257455672</c:v>
                </c:pt>
                <c:pt idx="4">
                  <c:v>35.351048304518471</c:v>
                </c:pt>
              </c:numCache>
            </c:numRef>
          </c:val>
          <c:extLst>
            <c:ext xmlns:c16="http://schemas.microsoft.com/office/drawing/2014/chart" uri="{C3380CC4-5D6E-409C-BE32-E72D297353CC}">
              <c16:uniqueId val="{0000000A-DCC6-4444-A16C-022048635D8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0" i="0" baseline="0">
                <a:effectLst/>
              </a:rPr>
              <a:t>Preis-Anteile in €</a:t>
            </a:r>
            <a:endParaRPr lang="de-DE">
              <a:effectLst/>
            </a:endParaRPr>
          </a:p>
        </c:rich>
      </c:tx>
      <c:layout>
        <c:manualLayout>
          <c:xMode val="edge"/>
          <c:yMode val="edge"/>
          <c:x val="2.1901363039257358E-2"/>
          <c:y val="4.17984524698935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9386854081977495"/>
          <c:y val="0.15556703824503548"/>
          <c:w val="0.49649815904992606"/>
          <c:h val="0.81878962944922218"/>
        </c:manualLayout>
      </c:layout>
      <c:pieChart>
        <c:varyColors val="1"/>
        <c:ser>
          <c:idx val="0"/>
          <c:order val="0"/>
          <c:tx>
            <c:strRef>
              <c:f>'36 Preis DL offen'!$P$26:$T$26</c:f>
              <c:strCache>
                <c:ptCount val="5"/>
                <c:pt idx="0">
                  <c:v>6,81</c:v>
                </c:pt>
                <c:pt idx="1">
                  <c:v>99,46</c:v>
                </c:pt>
                <c:pt idx="2">
                  <c:v>59,40</c:v>
                </c:pt>
                <c:pt idx="3">
                  <c:v>20,39</c:v>
                </c:pt>
                <c:pt idx="4">
                  <c:v>35,35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CE-4993-B5B3-D561251AD7C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CE-4993-B5B3-D561251AD7C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CE-4993-B5B3-D561251AD7C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6CE-4993-B5B3-D561251AD7C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6CE-4993-B5B3-D561251AD7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'36 Preis DL offen'!$P$26:$T$26</c:f>
              <c:numCache>
                <c:formatCode>0.00</c:formatCode>
                <c:ptCount val="5"/>
                <c:pt idx="0">
                  <c:v>6.8063333333333338</c:v>
                </c:pt>
                <c:pt idx="1">
                  <c:v>99.458369380360836</c:v>
                </c:pt>
                <c:pt idx="2">
                  <c:v>59.400000000000006</c:v>
                </c:pt>
                <c:pt idx="3">
                  <c:v>20.393446257455672</c:v>
                </c:pt>
                <c:pt idx="4">
                  <c:v>35.351048304518471</c:v>
                </c:pt>
              </c:numCache>
            </c:numRef>
          </c:val>
          <c:extLst>
            <c:ext xmlns:c16="http://schemas.microsoft.com/office/drawing/2014/chart" uri="{C3380CC4-5D6E-409C-BE32-E72D297353CC}">
              <c16:uniqueId val="{0000000A-B6CE-4993-B5B3-D561251AD7C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'37 offen 16 Preise'!$P$35:$T$35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8DC-4D68-AE48-98DA7E36ED6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8DC-4D68-AE48-98DA7E36ED6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DC-4D68-AE48-98DA7E36ED6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DC-4D68-AE48-98DA7E36ED6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8DC-4D68-AE48-98DA7E36ED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'37 offen 16 Preise'!$P$36:$T$36</c:f>
              <c:numCache>
                <c:formatCode>0.00</c:formatCode>
                <c:ptCount val="5"/>
                <c:pt idx="0">
                  <c:v>6.8063333333333338</c:v>
                </c:pt>
                <c:pt idx="1">
                  <c:v>5.5254649655756012</c:v>
                </c:pt>
                <c:pt idx="2">
                  <c:v>3.3000000000000003</c:v>
                </c:pt>
                <c:pt idx="3">
                  <c:v>1.9242858212658651</c:v>
                </c:pt>
                <c:pt idx="4">
                  <c:v>3.3356559828332122</c:v>
                </c:pt>
              </c:numCache>
            </c:numRef>
          </c:val>
          <c:extLst>
            <c:ext xmlns:c16="http://schemas.microsoft.com/office/drawing/2014/chart" uri="{C3380CC4-5D6E-409C-BE32-E72D297353CC}">
              <c16:uniqueId val="{0000000A-E8DC-4D68-AE48-98DA7E36ED6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7D-4063-901D-33D58C048D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7D-4063-901D-33D58C048DF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7D-4063-901D-33D58C048DF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37D-4063-901D-33D58C048DF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37D-4063-901D-33D58C048D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Preise'!$P$73:$T$73</c:f>
              <c:strCache>
                <c:ptCount val="5"/>
                <c:pt idx="0">
                  <c:v>Material</c:v>
                </c:pt>
                <c:pt idx="1">
                  <c:v>Personalkosten</c:v>
                </c:pt>
                <c:pt idx="2">
                  <c:v>Gemeinkosten</c:v>
                </c:pt>
                <c:pt idx="3">
                  <c:v>Gewinn</c:v>
                </c:pt>
                <c:pt idx="4">
                  <c:v>MwSt</c:v>
                </c:pt>
              </c:strCache>
            </c:strRef>
          </c:cat>
          <c:val>
            <c:numRef>
              <c:f>'37 offen 16 Preise'!$P$74:$T$74</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C37D-4063-901D-33D58C048DF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B97-4EDB-B910-ECCCE8CDCE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B97-4EDB-B910-ECCCE8CDCE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B97-4EDB-B910-ECCCE8CDCE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B97-4EDB-B910-ECCCE8CDCE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B97-4EDB-B910-ECCCE8CDCE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Preise'!$P$111:$T$111</c:f>
              <c:strCache>
                <c:ptCount val="5"/>
                <c:pt idx="0">
                  <c:v>Material</c:v>
                </c:pt>
                <c:pt idx="1">
                  <c:v>Personalkosten</c:v>
                </c:pt>
                <c:pt idx="2">
                  <c:v>Gemeinkosten</c:v>
                </c:pt>
                <c:pt idx="3">
                  <c:v>Gewinn</c:v>
                </c:pt>
                <c:pt idx="4">
                  <c:v>MwSt</c:v>
                </c:pt>
              </c:strCache>
            </c:strRef>
          </c:cat>
          <c:val>
            <c:numRef>
              <c:f>'37 offen 16 Preise'!$P$112:$T$112</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8B97-4EDB-B910-ECCCE8CDCE4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33-44CA-8654-26DCF22985D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33-44CA-8654-26DCF22985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33-44CA-8654-26DCF22985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33-44CA-8654-26DCF22985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133-44CA-8654-26DCF22985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Preise'!$P$149:$T$149</c:f>
              <c:strCache>
                <c:ptCount val="5"/>
                <c:pt idx="0">
                  <c:v>Material</c:v>
                </c:pt>
                <c:pt idx="1">
                  <c:v>Personalkosten</c:v>
                </c:pt>
                <c:pt idx="2">
                  <c:v>Gemeinkosten</c:v>
                </c:pt>
                <c:pt idx="3">
                  <c:v>Gewinn</c:v>
                </c:pt>
                <c:pt idx="4">
                  <c:v>MwSt</c:v>
                </c:pt>
              </c:strCache>
            </c:strRef>
          </c:cat>
          <c:val>
            <c:numRef>
              <c:f>'37 offen 16 Preise'!$P$150:$T$150</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B133-44CA-8654-26DCF22985D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A48-4086-9745-0E0799E414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A48-4086-9745-0E0799E414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A48-4086-9745-0E0799E414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A48-4086-9745-0E0799E414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A48-4086-9745-0E0799E414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Preise'!$P$605:$T$605</c:f>
              <c:strCache>
                <c:ptCount val="5"/>
                <c:pt idx="0">
                  <c:v>Material</c:v>
                </c:pt>
                <c:pt idx="1">
                  <c:v>Personalkosten</c:v>
                </c:pt>
                <c:pt idx="2">
                  <c:v>Gemeinkosten</c:v>
                </c:pt>
                <c:pt idx="3">
                  <c:v>Gewinn</c:v>
                </c:pt>
                <c:pt idx="4">
                  <c:v>MwSt</c:v>
                </c:pt>
              </c:strCache>
            </c:strRef>
          </c:cat>
          <c:val>
            <c:numRef>
              <c:f>'37 offen 16 Preise'!$P$606:$T$606</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EA48-4086-9745-0E0799E414C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'37 offen 16 Preise'!$P$35:$T$35</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AE-406F-A9A0-2CDEA3A884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AE-406F-A9A0-2CDEA3A884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AE-406F-A9A0-2CDEA3A884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AE-406F-A9A0-2CDEA3A884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9AE-406F-A9A0-2CDEA3A884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'37 offen 16 Preise'!$P$36:$T$36</c:f>
              <c:numCache>
                <c:formatCode>0.00</c:formatCode>
                <c:ptCount val="5"/>
                <c:pt idx="0">
                  <c:v>6.8063333333333338</c:v>
                </c:pt>
                <c:pt idx="1">
                  <c:v>5.5254649655756012</c:v>
                </c:pt>
                <c:pt idx="2">
                  <c:v>3.3000000000000003</c:v>
                </c:pt>
                <c:pt idx="3">
                  <c:v>1.9242858212658651</c:v>
                </c:pt>
                <c:pt idx="4">
                  <c:v>3.3356559828332122</c:v>
                </c:pt>
              </c:numCache>
            </c:numRef>
          </c:val>
          <c:extLst>
            <c:ext xmlns:c16="http://schemas.microsoft.com/office/drawing/2014/chart" uri="{C3380CC4-5D6E-409C-BE32-E72D297353CC}">
              <c16:uniqueId val="{0000000A-09AE-406F-A9A0-2CDEA3A884B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33-434A-BA1C-B17DB88C71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33-434A-BA1C-B17DB88C71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133-434A-BA1C-B17DB88C71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133-434A-BA1C-B17DB88C71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133-434A-BA1C-B17DB88C71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Preise'!$P$73:$T$73</c:f>
              <c:strCache>
                <c:ptCount val="5"/>
                <c:pt idx="0">
                  <c:v>Material</c:v>
                </c:pt>
                <c:pt idx="1">
                  <c:v>Personalkosten</c:v>
                </c:pt>
                <c:pt idx="2">
                  <c:v>Gemeinkosten</c:v>
                </c:pt>
                <c:pt idx="3">
                  <c:v>Gewinn</c:v>
                </c:pt>
                <c:pt idx="4">
                  <c:v>MwSt</c:v>
                </c:pt>
              </c:strCache>
            </c:strRef>
          </c:cat>
          <c:val>
            <c:numRef>
              <c:f>'37 offen 16 Preise'!$P$74:$T$74</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8133-434A-BA1C-B17DB88C710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488-432C-BFA7-905294B7C9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488-432C-BFA7-905294B7C9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488-432C-BFA7-905294B7C93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488-432C-BFA7-905294B7C93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488-432C-BFA7-905294B7C9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Preise'!$P$149:$T$149</c:f>
              <c:strCache>
                <c:ptCount val="5"/>
                <c:pt idx="0">
                  <c:v>Material</c:v>
                </c:pt>
                <c:pt idx="1">
                  <c:v>Personalkosten</c:v>
                </c:pt>
                <c:pt idx="2">
                  <c:v>Gemeinkosten</c:v>
                </c:pt>
                <c:pt idx="3">
                  <c:v>Gewinn</c:v>
                </c:pt>
                <c:pt idx="4">
                  <c:v>MwSt</c:v>
                </c:pt>
              </c:strCache>
            </c:strRef>
          </c:cat>
          <c:val>
            <c:numRef>
              <c:f>'37 offen 16 Preise'!$P$150:$T$150</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D488-432C-BFA7-905294B7C93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80327635591625E-2"/>
          <c:y val="1.8518518518518517E-2"/>
          <c:w val="0.93252449461453002"/>
          <c:h val="0.83309419655876349"/>
        </c:manualLayout>
      </c:layout>
      <c:barChart>
        <c:barDir val="col"/>
        <c:grouping val="clustered"/>
        <c:varyColors val="0"/>
        <c:ser>
          <c:idx val="0"/>
          <c:order val="0"/>
          <c:tx>
            <c:strRef>
              <c:f>'18 Zielumsatz Planungsjahr'!$AD$34</c:f>
              <c:strCache>
                <c:ptCount val="1"/>
                <c:pt idx="0">
                  <c:v>Planung</c:v>
                </c:pt>
              </c:strCache>
            </c:strRef>
          </c:tx>
          <c:invertIfNegative val="0"/>
          <c:dLbls>
            <c:spPr>
              <a:noFill/>
              <a:ln>
                <a:noFill/>
              </a:ln>
              <a:effectLst/>
            </c:spPr>
            <c:txPr>
              <a:bodyPr/>
              <a:lstStyle/>
              <a:p>
                <a:pPr>
                  <a:defRPr sz="8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Planungsjahr'!$AE$33:$AJ$33</c:f>
              <c:strCache>
                <c:ptCount val="6"/>
                <c:pt idx="0">
                  <c:v>Mo</c:v>
                </c:pt>
                <c:pt idx="1">
                  <c:v>Di</c:v>
                </c:pt>
                <c:pt idx="2">
                  <c:v>Mi</c:v>
                </c:pt>
                <c:pt idx="3">
                  <c:v>Do</c:v>
                </c:pt>
                <c:pt idx="4">
                  <c:v>Fr</c:v>
                </c:pt>
                <c:pt idx="5">
                  <c:v>Sa</c:v>
                </c:pt>
              </c:strCache>
            </c:strRef>
          </c:cat>
          <c:val>
            <c:numRef>
              <c:f>'18 Zielumsatz Planungsjahr'!$AE$34:$AJ$34</c:f>
              <c:numCache>
                <c:formatCode>0</c:formatCode>
                <c:ptCount val="6"/>
                <c:pt idx="0">
                  <c:v>1083.5222643743955</c:v>
                </c:pt>
                <c:pt idx="1">
                  <c:v>933.03306098906285</c:v>
                </c:pt>
                <c:pt idx="2">
                  <c:v>1745.6747592698596</c:v>
                </c:pt>
                <c:pt idx="3">
                  <c:v>2498.1207761965229</c:v>
                </c:pt>
                <c:pt idx="4">
                  <c:v>2678.7078202589223</c:v>
                </c:pt>
                <c:pt idx="5">
                  <c:v>2618.512138904789</c:v>
                </c:pt>
              </c:numCache>
            </c:numRef>
          </c:val>
          <c:extLst>
            <c:ext xmlns:c16="http://schemas.microsoft.com/office/drawing/2014/chart" uri="{C3380CC4-5D6E-409C-BE32-E72D297353CC}">
              <c16:uniqueId val="{00000000-D1DF-4037-AE9D-F92C26E676B0}"/>
            </c:ext>
          </c:extLst>
        </c:ser>
        <c:ser>
          <c:idx val="1"/>
          <c:order val="1"/>
          <c:tx>
            <c:strRef>
              <c:f>'18 Zielumsatz Planungsjahr'!$AD$35</c:f>
              <c:strCache>
                <c:ptCount val="1"/>
              </c:strCache>
            </c:strRef>
          </c:tx>
          <c:invertIfNegative val="0"/>
          <c:dLbls>
            <c:spPr>
              <a:noFill/>
              <a:ln>
                <a:noFill/>
              </a:ln>
              <a:effectLst/>
            </c:spPr>
            <c:txPr>
              <a:bodyPr/>
              <a:lstStyle/>
              <a:p>
                <a:pPr>
                  <a:defRPr sz="8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Planungsjahr'!$AE$33:$AJ$33</c:f>
              <c:strCache>
                <c:ptCount val="6"/>
                <c:pt idx="0">
                  <c:v>Mo</c:v>
                </c:pt>
                <c:pt idx="1">
                  <c:v>Di</c:v>
                </c:pt>
                <c:pt idx="2">
                  <c:v>Mi</c:v>
                </c:pt>
                <c:pt idx="3">
                  <c:v>Do</c:v>
                </c:pt>
                <c:pt idx="4">
                  <c:v>Fr</c:v>
                </c:pt>
                <c:pt idx="5">
                  <c:v>Sa</c:v>
                </c:pt>
              </c:strCache>
            </c:strRef>
          </c:cat>
          <c:val>
            <c:numRef>
              <c:f>'18 Zielumsatz Planungsjahr'!$AE$35:$AJ$35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1DF-4037-AE9D-F92C26E676B0}"/>
            </c:ext>
          </c:extLst>
        </c:ser>
        <c:dLbls>
          <c:showLegendKey val="0"/>
          <c:showVal val="0"/>
          <c:showCatName val="0"/>
          <c:showSerName val="0"/>
          <c:showPercent val="0"/>
          <c:showBubbleSize val="0"/>
        </c:dLbls>
        <c:gapWidth val="150"/>
        <c:axId val="529861896"/>
        <c:axId val="529862288"/>
      </c:barChart>
      <c:catAx>
        <c:axId val="529861896"/>
        <c:scaling>
          <c:orientation val="minMax"/>
        </c:scaling>
        <c:delete val="0"/>
        <c:axPos val="b"/>
        <c:numFmt formatCode="General" sourceLinked="0"/>
        <c:majorTickMark val="out"/>
        <c:minorTickMark val="none"/>
        <c:tickLblPos val="nextTo"/>
        <c:crossAx val="529862288"/>
        <c:crosses val="autoZero"/>
        <c:auto val="1"/>
        <c:lblAlgn val="ctr"/>
        <c:lblOffset val="100"/>
        <c:noMultiLvlLbl val="0"/>
      </c:catAx>
      <c:valAx>
        <c:axId val="529862288"/>
        <c:scaling>
          <c:orientation val="minMax"/>
        </c:scaling>
        <c:delete val="1"/>
        <c:axPos val="l"/>
        <c:numFmt formatCode="0" sourceLinked="1"/>
        <c:majorTickMark val="out"/>
        <c:minorTickMark val="none"/>
        <c:tickLblPos val="nextTo"/>
        <c:crossAx val="529861896"/>
        <c:crosses val="autoZero"/>
        <c:crossBetween val="between"/>
      </c:valAx>
      <c:spPr>
        <a:noFill/>
        <a:ln w="25400">
          <a:noFill/>
        </a:ln>
      </c:spPr>
    </c:plotArea>
    <c:legend>
      <c:legendPos val="r"/>
      <c:layout>
        <c:manualLayout>
          <c:xMode val="edge"/>
          <c:yMode val="edge"/>
          <c:x val="0.18634753282308186"/>
          <c:y val="0.93017169728783899"/>
          <c:w val="0.4747635608048994"/>
          <c:h val="6.5582531350247872E-2"/>
        </c:manualLayout>
      </c:layout>
      <c:overlay val="0"/>
      <c:txPr>
        <a:bodyPr/>
        <a:lstStyle/>
        <a:p>
          <a:pPr>
            <a:defRPr sz="700" baseline="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C2-468B-941C-A5A06D34A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C2-468B-941C-A5A06D34A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C2-468B-941C-A5A06D34A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C2-468B-941C-A5A06D34A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2C2-468B-941C-A5A06D34AB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Preise'!$P$187:$T$187</c:f>
              <c:strCache>
                <c:ptCount val="5"/>
                <c:pt idx="0">
                  <c:v>Material</c:v>
                </c:pt>
                <c:pt idx="1">
                  <c:v>Personalkosten</c:v>
                </c:pt>
                <c:pt idx="2">
                  <c:v>Gemeinkosten</c:v>
                </c:pt>
                <c:pt idx="3">
                  <c:v>Gewinn</c:v>
                </c:pt>
                <c:pt idx="4">
                  <c:v>MwSt</c:v>
                </c:pt>
              </c:strCache>
            </c:strRef>
          </c:cat>
          <c:val>
            <c:numRef>
              <c:f>'37 offen 16 Preise'!$P$188:$T$188</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E2C2-468B-941C-A5A06D34AB1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88-4C8E-876F-34B6EA7687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88-4C8E-876F-34B6EA7687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288-4C8E-876F-34B6EA7687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288-4C8E-876F-34B6EA76872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288-4C8E-876F-34B6EA7687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Preise'!$P$225:$T$225</c:f>
              <c:strCache>
                <c:ptCount val="5"/>
                <c:pt idx="0">
                  <c:v>Material</c:v>
                </c:pt>
                <c:pt idx="1">
                  <c:v>Personalkosten</c:v>
                </c:pt>
                <c:pt idx="2">
                  <c:v>Gemeinkosten</c:v>
                </c:pt>
                <c:pt idx="3">
                  <c:v>Gewinn</c:v>
                </c:pt>
                <c:pt idx="4">
                  <c:v>MwSt</c:v>
                </c:pt>
              </c:strCache>
            </c:strRef>
          </c:cat>
          <c:val>
            <c:numRef>
              <c:f>'37 offen 16 Preise'!$P$226:$T$226</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6288-4C8E-876F-34B6EA76872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BB-4DE8-9ACC-8AC8D91A64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BB-4DE8-9ACC-8AC8D91A64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BB-4DE8-9ACC-8AC8D91A64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9BB-4DE8-9ACC-8AC8D91A644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9BB-4DE8-9ACC-8AC8D91A644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Preise'!$P$263:$T$263</c:f>
              <c:strCache>
                <c:ptCount val="5"/>
                <c:pt idx="0">
                  <c:v>Material</c:v>
                </c:pt>
                <c:pt idx="1">
                  <c:v>Personalkosten</c:v>
                </c:pt>
                <c:pt idx="2">
                  <c:v>Gemeinkosten</c:v>
                </c:pt>
                <c:pt idx="3">
                  <c:v>Gewinn</c:v>
                </c:pt>
                <c:pt idx="4">
                  <c:v>MwSt</c:v>
                </c:pt>
              </c:strCache>
            </c:strRef>
          </c:cat>
          <c:val>
            <c:numRef>
              <c:f>'37 offen 16 Preise'!$P$264:$T$264</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29BB-4DE8-9ACC-8AC8D91A644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E4-4817-94E4-F8097F44FE5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E4-4817-94E4-F8097F44FE5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DE4-4817-94E4-F8097F44FE5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DE4-4817-94E4-F8097F44FE5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DE4-4817-94E4-F8097F44FE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Preise'!$P$301:$T$301</c:f>
              <c:strCache>
                <c:ptCount val="5"/>
                <c:pt idx="0">
                  <c:v>Material</c:v>
                </c:pt>
                <c:pt idx="1">
                  <c:v>Personalkosten</c:v>
                </c:pt>
                <c:pt idx="2">
                  <c:v>Gemeinkosten</c:v>
                </c:pt>
                <c:pt idx="3">
                  <c:v>Gewinn</c:v>
                </c:pt>
                <c:pt idx="4">
                  <c:v>MwSt</c:v>
                </c:pt>
              </c:strCache>
            </c:strRef>
          </c:cat>
          <c:val>
            <c:numRef>
              <c:f>'37 offen 16 Preise'!$P$302:$T$302</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BDE4-4817-94E4-F8097F44FE5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AC-414A-A3A2-22AFD12801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AC-414A-A3A2-22AFD128017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AC-414A-A3A2-22AFD128017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AC-414A-A3A2-22AFD128017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AC-414A-A3A2-22AFD12801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Preise'!$P$339:$T$339</c:f>
              <c:strCache>
                <c:ptCount val="5"/>
                <c:pt idx="0">
                  <c:v>Material</c:v>
                </c:pt>
                <c:pt idx="1">
                  <c:v>Personalkosten</c:v>
                </c:pt>
                <c:pt idx="2">
                  <c:v>Gemeinkosten</c:v>
                </c:pt>
                <c:pt idx="3">
                  <c:v>Gewinn</c:v>
                </c:pt>
                <c:pt idx="4">
                  <c:v>MwSt</c:v>
                </c:pt>
              </c:strCache>
            </c:strRef>
          </c:cat>
          <c:val>
            <c:numRef>
              <c:f>'37 offen 16 Preise'!$P$340:$T$340</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98AC-414A-A3A2-22AFD128017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8A-4546-866C-CD909C0C4E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8A-4546-866C-CD909C0C4E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8A-4546-866C-CD909C0C4E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8A-4546-866C-CD909C0C4E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8A-4546-866C-CD909C0C4E2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Preise'!$P$377:$T$377</c:f>
              <c:strCache>
                <c:ptCount val="5"/>
                <c:pt idx="0">
                  <c:v>Material</c:v>
                </c:pt>
                <c:pt idx="1">
                  <c:v>Personalkosten</c:v>
                </c:pt>
                <c:pt idx="2">
                  <c:v>Gemeinkosten</c:v>
                </c:pt>
                <c:pt idx="3">
                  <c:v>Gewinn</c:v>
                </c:pt>
                <c:pt idx="4">
                  <c:v>MwSt</c:v>
                </c:pt>
              </c:strCache>
            </c:strRef>
          </c:cat>
          <c:val>
            <c:numRef>
              <c:f>'37 offen 16 Preise'!$P$378:$T$378</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9F8A-4546-866C-CD909C0C4E2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C9-439B-93D2-48E49B4C8F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C9-439B-93D2-48E49B4C8F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C9-439B-93D2-48E49B4C8F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FC9-439B-93D2-48E49B4C8FE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FC9-439B-93D2-48E49B4C8F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Preise'!$P$415:$T$415</c:f>
              <c:strCache>
                <c:ptCount val="5"/>
                <c:pt idx="0">
                  <c:v>Material</c:v>
                </c:pt>
                <c:pt idx="1">
                  <c:v>Personalkosten</c:v>
                </c:pt>
                <c:pt idx="2">
                  <c:v>Gemeinkosten</c:v>
                </c:pt>
                <c:pt idx="3">
                  <c:v>Gewinn</c:v>
                </c:pt>
                <c:pt idx="4">
                  <c:v>MwSt</c:v>
                </c:pt>
              </c:strCache>
            </c:strRef>
          </c:cat>
          <c:val>
            <c:numRef>
              <c:f>'37 offen 16 Preise'!$P$416:$T$416</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6FC9-439B-93D2-48E49B4C8FE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DC-427C-B647-74F430D7D8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DC-427C-B647-74F430D7D8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DC-427C-B647-74F430D7D8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DC-427C-B647-74F430D7D80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DC-427C-B647-74F430D7D8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Preise'!$P$453:$T$453</c:f>
              <c:strCache>
                <c:ptCount val="5"/>
                <c:pt idx="0">
                  <c:v>Material</c:v>
                </c:pt>
                <c:pt idx="1">
                  <c:v>Personalkosten</c:v>
                </c:pt>
                <c:pt idx="2">
                  <c:v>Gemeinkosten</c:v>
                </c:pt>
                <c:pt idx="3">
                  <c:v>Gewinn</c:v>
                </c:pt>
                <c:pt idx="4">
                  <c:v>MwSt</c:v>
                </c:pt>
              </c:strCache>
            </c:strRef>
          </c:cat>
          <c:val>
            <c:numRef>
              <c:f>'37 offen 16 Preise'!$P$454:$T$454</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A6DC-427C-B647-74F430D7D80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1C2-4191-A902-CAFE4194E1E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1C2-4191-A902-CAFE4194E1E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C2-4191-A902-CAFE4194E1E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C2-4191-A902-CAFE4194E1E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C2-4191-A902-CAFE4194E1E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Preise'!$P$491:$T$491</c:f>
              <c:strCache>
                <c:ptCount val="5"/>
                <c:pt idx="0">
                  <c:v>Material</c:v>
                </c:pt>
                <c:pt idx="1">
                  <c:v>Personalkosten</c:v>
                </c:pt>
                <c:pt idx="2">
                  <c:v>Gemeinkosten</c:v>
                </c:pt>
                <c:pt idx="3">
                  <c:v>Gewinn</c:v>
                </c:pt>
                <c:pt idx="4">
                  <c:v>MwSt</c:v>
                </c:pt>
              </c:strCache>
            </c:strRef>
          </c:cat>
          <c:val>
            <c:numRef>
              <c:f>'37 offen 16 Preise'!$P$492:$T$492</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51C2-4191-A902-CAFE4194E1E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1C-4729-BC44-4C476B4F89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1C-4729-BC44-4C476B4F89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1C-4729-BC44-4C476B4F89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1C-4729-BC44-4C476B4F895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1C-4729-BC44-4C476B4F89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Preise'!$P$529:$T$529</c:f>
              <c:strCache>
                <c:ptCount val="5"/>
                <c:pt idx="0">
                  <c:v>Material</c:v>
                </c:pt>
                <c:pt idx="1">
                  <c:v>Personalkosten</c:v>
                </c:pt>
                <c:pt idx="2">
                  <c:v>Gemeinkosten</c:v>
                </c:pt>
                <c:pt idx="3">
                  <c:v>Gewinn</c:v>
                </c:pt>
                <c:pt idx="4">
                  <c:v>MwSt</c:v>
                </c:pt>
              </c:strCache>
            </c:strRef>
          </c:cat>
          <c:val>
            <c:numRef>
              <c:f>'37 offen 16 Preise'!$P$530:$T$530</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661C-4729-BC44-4C476B4F895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94034014356145E-2"/>
          <c:y val="3.4104984192245176E-2"/>
          <c:w val="0.92601640152030362"/>
          <c:h val="0.75391586468358118"/>
        </c:manualLayout>
      </c:layout>
      <c:barChart>
        <c:barDir val="col"/>
        <c:grouping val="clustered"/>
        <c:varyColors val="0"/>
        <c:ser>
          <c:idx val="0"/>
          <c:order val="0"/>
          <c:tx>
            <c:strRef>
              <c:f>'18 Zielumsatz Planungsjahr'!$AD$28</c:f>
              <c:strCache>
                <c:ptCount val="1"/>
              </c:strCache>
            </c:strRef>
          </c:tx>
          <c:invertIfNegative val="0"/>
          <c:dLbls>
            <c:spPr>
              <a:noFill/>
              <a:ln>
                <a:noFill/>
              </a:ln>
              <a:effectLst/>
            </c:spPr>
            <c:txPr>
              <a:bodyPr/>
              <a:lstStyle/>
              <a:p>
                <a:pPr>
                  <a:defRPr sz="7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Planungsjahr'!$AE$27:$AJ$27</c:f>
              <c:strCache>
                <c:ptCount val="6"/>
                <c:pt idx="0">
                  <c:v>Mo</c:v>
                </c:pt>
                <c:pt idx="1">
                  <c:v>Di</c:v>
                </c:pt>
                <c:pt idx="2">
                  <c:v>Mi</c:v>
                </c:pt>
                <c:pt idx="3">
                  <c:v>Do</c:v>
                </c:pt>
                <c:pt idx="4">
                  <c:v>Fr</c:v>
                </c:pt>
                <c:pt idx="5">
                  <c:v>Sa</c:v>
                </c:pt>
              </c:strCache>
            </c:strRef>
          </c:cat>
          <c:val>
            <c:numRef>
              <c:f>'18 Zielumsatz Planungsjahr'!$AE$28:$AJ$28</c:f>
              <c:numCache>
                <c:formatCode>0</c:formatCode>
                <c:ptCount val="6"/>
                <c:pt idx="0">
                  <c:v>2010.0123165206176</c:v>
                </c:pt>
                <c:pt idx="1">
                  <c:v>2010.0123165206176</c:v>
                </c:pt>
                <c:pt idx="2">
                  <c:v>2010.0123165206176</c:v>
                </c:pt>
                <c:pt idx="3">
                  <c:v>2010.0123165206176</c:v>
                </c:pt>
                <c:pt idx="4">
                  <c:v>2010.0123165206176</c:v>
                </c:pt>
                <c:pt idx="5">
                  <c:v>1507.5092373904631</c:v>
                </c:pt>
              </c:numCache>
            </c:numRef>
          </c:val>
          <c:extLst>
            <c:ext xmlns:c16="http://schemas.microsoft.com/office/drawing/2014/chart" uri="{C3380CC4-5D6E-409C-BE32-E72D297353CC}">
              <c16:uniqueId val="{00000000-1094-423C-A75F-2027E4D40E13}"/>
            </c:ext>
          </c:extLst>
        </c:ser>
        <c:ser>
          <c:idx val="1"/>
          <c:order val="1"/>
          <c:tx>
            <c:strRef>
              <c:f>'18 Zielumsatz Planungsjahr'!$AD$29</c:f>
              <c:strCache>
                <c:ptCount val="1"/>
              </c:strCache>
            </c:strRef>
          </c:tx>
          <c:invertIfNegative val="0"/>
          <c:dLbls>
            <c:spPr>
              <a:noFill/>
              <a:ln>
                <a:noFill/>
              </a:ln>
              <a:effectLst/>
            </c:spPr>
            <c:txPr>
              <a:bodyPr/>
              <a:lstStyle/>
              <a:p>
                <a:pPr>
                  <a:defRPr sz="7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Planungsjahr'!$AE$27:$AJ$27</c:f>
              <c:strCache>
                <c:ptCount val="6"/>
                <c:pt idx="0">
                  <c:v>Mo</c:v>
                </c:pt>
                <c:pt idx="1">
                  <c:v>Di</c:v>
                </c:pt>
                <c:pt idx="2">
                  <c:v>Mi</c:v>
                </c:pt>
                <c:pt idx="3">
                  <c:v>Do</c:v>
                </c:pt>
                <c:pt idx="4">
                  <c:v>Fr</c:v>
                </c:pt>
                <c:pt idx="5">
                  <c:v>Sa</c:v>
                </c:pt>
              </c:strCache>
            </c:strRef>
          </c:cat>
          <c:val>
            <c:numRef>
              <c:f>'18 Zielumsatz Planungsjahr'!$AE$29:$AJ$29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094-423C-A75F-2027E4D40E13}"/>
            </c:ext>
          </c:extLst>
        </c:ser>
        <c:dLbls>
          <c:showLegendKey val="0"/>
          <c:showVal val="0"/>
          <c:showCatName val="0"/>
          <c:showSerName val="0"/>
          <c:showPercent val="0"/>
          <c:showBubbleSize val="0"/>
        </c:dLbls>
        <c:gapWidth val="150"/>
        <c:axId val="529867776"/>
        <c:axId val="529864640"/>
      </c:barChart>
      <c:catAx>
        <c:axId val="529867776"/>
        <c:scaling>
          <c:orientation val="minMax"/>
        </c:scaling>
        <c:delete val="0"/>
        <c:axPos val="b"/>
        <c:numFmt formatCode="General" sourceLinked="0"/>
        <c:majorTickMark val="out"/>
        <c:minorTickMark val="none"/>
        <c:tickLblPos val="nextTo"/>
        <c:crossAx val="529864640"/>
        <c:crosses val="autoZero"/>
        <c:auto val="1"/>
        <c:lblAlgn val="ctr"/>
        <c:lblOffset val="100"/>
        <c:noMultiLvlLbl val="0"/>
      </c:catAx>
      <c:valAx>
        <c:axId val="529864640"/>
        <c:scaling>
          <c:orientation val="minMax"/>
        </c:scaling>
        <c:delete val="1"/>
        <c:axPos val="l"/>
        <c:majorGridlines>
          <c:spPr>
            <a:ln>
              <a:noFill/>
            </a:ln>
          </c:spPr>
        </c:majorGridlines>
        <c:numFmt formatCode="0" sourceLinked="1"/>
        <c:majorTickMark val="out"/>
        <c:minorTickMark val="none"/>
        <c:tickLblPos val="nextTo"/>
        <c:crossAx val="529867776"/>
        <c:crosses val="autoZero"/>
        <c:crossBetween val="between"/>
      </c:valAx>
    </c:plotArea>
    <c:legend>
      <c:legendPos val="r"/>
      <c:layout>
        <c:manualLayout>
          <c:xMode val="edge"/>
          <c:yMode val="edge"/>
          <c:x val="0.20459529174966407"/>
          <c:y val="0.91229385708137178"/>
          <c:w val="0.57735609853743919"/>
          <c:h val="8.2877848919672925E-2"/>
        </c:manualLayout>
      </c:layout>
      <c:overlay val="0"/>
      <c:txPr>
        <a:bodyPr/>
        <a:lstStyle/>
        <a:p>
          <a:pPr>
            <a:defRPr sz="800" baseline="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C45-40FC-BC0D-C4C90E675D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C45-40FC-BC0D-C4C90E675D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C45-40FC-BC0D-C4C90E675D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C45-40FC-BC0D-C4C90E675D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C45-40FC-BC0D-C4C90E675D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Preise'!$P$567:$T$567</c:f>
              <c:strCache>
                <c:ptCount val="5"/>
                <c:pt idx="0">
                  <c:v>Material</c:v>
                </c:pt>
                <c:pt idx="1">
                  <c:v>Personalkosten</c:v>
                </c:pt>
                <c:pt idx="2">
                  <c:v>Gemeinkosten</c:v>
                </c:pt>
                <c:pt idx="3">
                  <c:v>Gewinn</c:v>
                </c:pt>
                <c:pt idx="4">
                  <c:v>MwSt</c:v>
                </c:pt>
              </c:strCache>
            </c:strRef>
          </c:cat>
          <c:val>
            <c:numRef>
              <c:f>'37 offen 16 Preise'!$P$568:$T$568</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3C45-40FC-BC0D-C4C90E675D3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94-45B9-882A-8ADC5DEFA5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94-45B9-882A-8ADC5DEFA5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94-45B9-882A-8ADC5DEFA5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94-45B9-882A-8ADC5DEFA5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94-45B9-882A-8ADC5DEFA53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 offen 16 Preise'!$P$605:$T$605</c:f>
              <c:strCache>
                <c:ptCount val="5"/>
                <c:pt idx="0">
                  <c:v>Material</c:v>
                </c:pt>
                <c:pt idx="1">
                  <c:v>Personalkosten</c:v>
                </c:pt>
                <c:pt idx="2">
                  <c:v>Gemeinkosten</c:v>
                </c:pt>
                <c:pt idx="3">
                  <c:v>Gewinn</c:v>
                </c:pt>
                <c:pt idx="4">
                  <c:v>MwSt</c:v>
                </c:pt>
              </c:strCache>
            </c:strRef>
          </c:cat>
          <c:val>
            <c:numRef>
              <c:f>'37 offen 16 Preise'!$P$606:$T$606</c:f>
              <c:numCache>
                <c:formatCode>0.00</c:formatCode>
                <c:ptCount val="5"/>
                <c:pt idx="0">
                  <c:v>6.8063333333333338</c:v>
                </c:pt>
                <c:pt idx="1">
                  <c:v>0</c:v>
                </c:pt>
                <c:pt idx="2">
                  <c:v>0</c:v>
                </c:pt>
                <c:pt idx="3">
                  <c:v>0</c:v>
                </c:pt>
                <c:pt idx="4">
                  <c:v>0</c:v>
                </c:pt>
              </c:numCache>
            </c:numRef>
          </c:val>
          <c:extLst>
            <c:ext xmlns:c16="http://schemas.microsoft.com/office/drawing/2014/chart" uri="{C3380CC4-5D6E-409C-BE32-E72D297353CC}">
              <c16:uniqueId val="{0000000A-CD94-45B9-882A-8ADC5DEFA53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80327635591625E-2"/>
          <c:y val="1.8518518518518517E-2"/>
          <c:w val="0.93252449461453002"/>
          <c:h val="0.83309419655876349"/>
        </c:manualLayout>
      </c:layout>
      <c:barChart>
        <c:barDir val="col"/>
        <c:grouping val="clustered"/>
        <c:varyColors val="0"/>
        <c:ser>
          <c:idx val="0"/>
          <c:order val="0"/>
          <c:tx>
            <c:strRef>
              <c:f>'18 Zielumsatz Planungsjahr'!$AD$34</c:f>
              <c:strCache>
                <c:ptCount val="1"/>
                <c:pt idx="0">
                  <c:v>Planung</c:v>
                </c:pt>
              </c:strCache>
            </c:strRef>
          </c:tx>
          <c:invertIfNegative val="0"/>
          <c:dLbls>
            <c:spPr>
              <a:noFill/>
              <a:ln>
                <a:noFill/>
              </a:ln>
              <a:effectLst/>
            </c:spPr>
            <c:txPr>
              <a:bodyPr/>
              <a:lstStyle/>
              <a:p>
                <a:pPr>
                  <a:defRPr sz="8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Planungsjahr'!$AE$33:$AJ$33</c:f>
              <c:strCache>
                <c:ptCount val="6"/>
                <c:pt idx="0">
                  <c:v>Mo</c:v>
                </c:pt>
                <c:pt idx="1">
                  <c:v>Di</c:v>
                </c:pt>
                <c:pt idx="2">
                  <c:v>Mi</c:v>
                </c:pt>
                <c:pt idx="3">
                  <c:v>Do</c:v>
                </c:pt>
                <c:pt idx="4">
                  <c:v>Fr</c:v>
                </c:pt>
                <c:pt idx="5">
                  <c:v>Sa</c:v>
                </c:pt>
              </c:strCache>
            </c:strRef>
          </c:cat>
          <c:val>
            <c:numRef>
              <c:f>'18 Zielumsatz Planungsjahr'!$AE$34:$AJ$34</c:f>
              <c:numCache>
                <c:formatCode>0</c:formatCode>
                <c:ptCount val="6"/>
                <c:pt idx="0">
                  <c:v>1083.5222643743955</c:v>
                </c:pt>
                <c:pt idx="1">
                  <c:v>933.03306098906285</c:v>
                </c:pt>
                <c:pt idx="2">
                  <c:v>1745.6747592698596</c:v>
                </c:pt>
                <c:pt idx="3">
                  <c:v>2498.1207761965229</c:v>
                </c:pt>
                <c:pt idx="4">
                  <c:v>2678.7078202589223</c:v>
                </c:pt>
                <c:pt idx="5">
                  <c:v>2618.512138904789</c:v>
                </c:pt>
              </c:numCache>
            </c:numRef>
          </c:val>
          <c:extLst>
            <c:ext xmlns:c16="http://schemas.microsoft.com/office/drawing/2014/chart" uri="{C3380CC4-5D6E-409C-BE32-E72D297353CC}">
              <c16:uniqueId val="{00000000-0A8B-440E-8FF0-F6592ACF4282}"/>
            </c:ext>
          </c:extLst>
        </c:ser>
        <c:ser>
          <c:idx val="1"/>
          <c:order val="1"/>
          <c:tx>
            <c:strRef>
              <c:f>'18 Zielumsatz Planungsjahr'!$AD$35</c:f>
              <c:strCache>
                <c:ptCount val="1"/>
              </c:strCache>
            </c:strRef>
          </c:tx>
          <c:invertIfNegative val="0"/>
          <c:dLbls>
            <c:spPr>
              <a:noFill/>
              <a:ln>
                <a:noFill/>
              </a:ln>
              <a:effectLst/>
            </c:spPr>
            <c:txPr>
              <a:bodyPr/>
              <a:lstStyle/>
              <a:p>
                <a:pPr>
                  <a:defRPr sz="800" baseline="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Zielumsatz Planungsjahr'!$AE$33:$AJ$33</c:f>
              <c:strCache>
                <c:ptCount val="6"/>
                <c:pt idx="0">
                  <c:v>Mo</c:v>
                </c:pt>
                <c:pt idx="1">
                  <c:v>Di</c:v>
                </c:pt>
                <c:pt idx="2">
                  <c:v>Mi</c:v>
                </c:pt>
                <c:pt idx="3">
                  <c:v>Do</c:v>
                </c:pt>
                <c:pt idx="4">
                  <c:v>Fr</c:v>
                </c:pt>
                <c:pt idx="5">
                  <c:v>Sa</c:v>
                </c:pt>
              </c:strCache>
            </c:strRef>
          </c:cat>
          <c:val>
            <c:numRef>
              <c:f>'18 Zielumsatz Planungsjahr'!$AE$35:$AJ$35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A8B-440E-8FF0-F6592ACF4282}"/>
            </c:ext>
          </c:extLst>
        </c:ser>
        <c:dLbls>
          <c:showLegendKey val="0"/>
          <c:showVal val="0"/>
          <c:showCatName val="0"/>
          <c:showSerName val="0"/>
          <c:showPercent val="0"/>
          <c:showBubbleSize val="0"/>
        </c:dLbls>
        <c:gapWidth val="150"/>
        <c:axId val="529865424"/>
        <c:axId val="529865032"/>
      </c:barChart>
      <c:catAx>
        <c:axId val="529865424"/>
        <c:scaling>
          <c:orientation val="minMax"/>
        </c:scaling>
        <c:delete val="0"/>
        <c:axPos val="b"/>
        <c:numFmt formatCode="General" sourceLinked="0"/>
        <c:majorTickMark val="out"/>
        <c:minorTickMark val="none"/>
        <c:tickLblPos val="nextTo"/>
        <c:crossAx val="529865032"/>
        <c:crosses val="autoZero"/>
        <c:auto val="1"/>
        <c:lblAlgn val="ctr"/>
        <c:lblOffset val="100"/>
        <c:noMultiLvlLbl val="0"/>
      </c:catAx>
      <c:valAx>
        <c:axId val="529865032"/>
        <c:scaling>
          <c:orientation val="minMax"/>
        </c:scaling>
        <c:delete val="1"/>
        <c:axPos val="l"/>
        <c:numFmt formatCode="0" sourceLinked="1"/>
        <c:majorTickMark val="out"/>
        <c:minorTickMark val="none"/>
        <c:tickLblPos val="nextTo"/>
        <c:crossAx val="529865424"/>
        <c:crosses val="autoZero"/>
        <c:crossBetween val="between"/>
      </c:valAx>
      <c:spPr>
        <a:noFill/>
        <a:ln w="25400">
          <a:noFill/>
        </a:ln>
      </c:spPr>
    </c:plotArea>
    <c:legend>
      <c:legendPos val="r"/>
      <c:layout>
        <c:manualLayout>
          <c:xMode val="edge"/>
          <c:yMode val="edge"/>
          <c:x val="0.18634753282308186"/>
          <c:y val="0.93017169728783899"/>
          <c:w val="0.4747635608048994"/>
          <c:h val="6.5582531350247872E-2"/>
        </c:manualLayout>
      </c:layout>
      <c:overlay val="0"/>
      <c:txPr>
        <a:bodyPr/>
        <a:lstStyle/>
        <a:p>
          <a:pPr>
            <a:defRPr sz="700" baseline="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'30 Preis Fönen'!$N$18:$S$18</c:f>
              <c:strCache>
                <c:ptCount val="6"/>
                <c:pt idx="0">
                  <c:v>1,50</c:v>
                </c:pt>
                <c:pt idx="1">
                  <c:v>16,58</c:v>
                </c:pt>
                <c:pt idx="2">
                  <c:v>Den genauen Rechenweg des Gewinnaufschlages finden Sie hier:</c:v>
                </c:pt>
                <c:pt idx="3">
                  <c:v>3,44</c:v>
                </c:pt>
                <c:pt idx="4">
                  <c:v>5,97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8D-4EC7-9926-6A64A4E31B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8D-4EC7-9926-6A64A4E31B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8D-4EC7-9926-6A64A4E31B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8D-4EC7-9926-6A64A4E31B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38D-4EC7-9926-6A64A4E31B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'30 Preis Fönen'!$N$15:$R$15</c:f>
              <c:numCache>
                <c:formatCode>0.00</c:formatCode>
                <c:ptCount val="5"/>
                <c:pt idx="0">
                  <c:v>1.5</c:v>
                </c:pt>
                <c:pt idx="1">
                  <c:v>16.576394896726804</c:v>
                </c:pt>
                <c:pt idx="2">
                  <c:v>9.9</c:v>
                </c:pt>
                <c:pt idx="3">
                  <c:v>3.4439147051727006</c:v>
                </c:pt>
                <c:pt idx="4">
                  <c:v>5.9698588243609061</c:v>
                </c:pt>
              </c:numCache>
            </c:numRef>
          </c:val>
          <c:extLst>
            <c:ext xmlns:c16="http://schemas.microsoft.com/office/drawing/2014/chart" uri="{C3380CC4-5D6E-409C-BE32-E72D297353CC}">
              <c16:uniqueId val="{00000000-0D4D-45D1-B31F-974ED084929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Preis-Anteile</a:t>
            </a:r>
            <a:r>
              <a:rPr lang="de-DE" baseline="0"/>
              <a:t> in €</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tx>
            <c:strRef>
              <c:f>'30 Preis Fönen'!$N$18:$S$18</c:f>
              <c:strCache>
                <c:ptCount val="6"/>
                <c:pt idx="0">
                  <c:v>1,50</c:v>
                </c:pt>
                <c:pt idx="1">
                  <c:v>16,58</c:v>
                </c:pt>
                <c:pt idx="2">
                  <c:v>Den genauen Rechenweg des Gewinnaufschlages finden Sie hier:</c:v>
                </c:pt>
                <c:pt idx="3">
                  <c:v>3,44</c:v>
                </c:pt>
                <c:pt idx="4">
                  <c:v>5,97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592-4CAA-96EF-E974C7CD1F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92-4CAA-96EF-E974C7CD1F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92-4CAA-96EF-E974C7CD1F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92-4CAA-96EF-E974C7CD1F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92-4CAA-96EF-E974C7CD1F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'30 Preis Fönen'!$N$15:$R$15</c:f>
              <c:numCache>
                <c:formatCode>0.00</c:formatCode>
                <c:ptCount val="5"/>
                <c:pt idx="0">
                  <c:v>1.5</c:v>
                </c:pt>
                <c:pt idx="1">
                  <c:v>16.576394896726804</c:v>
                </c:pt>
                <c:pt idx="2">
                  <c:v>9.9</c:v>
                </c:pt>
                <c:pt idx="3">
                  <c:v>3.4439147051727006</c:v>
                </c:pt>
                <c:pt idx="4">
                  <c:v>5.9698588243609061</c:v>
                </c:pt>
              </c:numCache>
            </c:numRef>
          </c:val>
          <c:extLst>
            <c:ext xmlns:c16="http://schemas.microsoft.com/office/drawing/2014/chart" uri="{C3380CC4-5D6E-409C-BE32-E72D297353CC}">
              <c16:uniqueId val="{0000000A-5592-4CAA-96EF-E974C7CD1FF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'31 Preis  Wa, Sch, Fö'!$N$14:$R$14</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0-4B30-B81F-95558E64C4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20-4B30-B81F-95558E64C4A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D20-4B30-B81F-95558E64C4A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D20-4B30-B81F-95558E64C4A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D20-4B30-B81F-95558E64C4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'31 Preis  Wa, Sch, Fö'!$N$15:$R$15</c:f>
              <c:numCache>
                <c:formatCode>0.00</c:formatCode>
                <c:ptCount val="5"/>
                <c:pt idx="0">
                  <c:v>2</c:v>
                </c:pt>
                <c:pt idx="1">
                  <c:v>33.152789793453607</c:v>
                </c:pt>
                <c:pt idx="2">
                  <c:v>19.8</c:v>
                </c:pt>
                <c:pt idx="3">
                  <c:v>6.7647286778212248</c:v>
                </c:pt>
                <c:pt idx="4">
                  <c:v>11.726328509542217</c:v>
                </c:pt>
              </c:numCache>
            </c:numRef>
          </c:val>
          <c:extLst>
            <c:ext xmlns:c16="http://schemas.microsoft.com/office/drawing/2014/chart" uri="{C3380CC4-5D6E-409C-BE32-E72D297353CC}">
              <c16:uniqueId val="{0000000A-4D20-4B30-B81F-95558E64C4A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Preis-Anteile in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2576917607955709"/>
          <c:y val="0.19497189360877853"/>
          <c:w val="0.4772824222603379"/>
          <c:h val="0.78735646718221008"/>
        </c:manualLayout>
      </c:layout>
      <c:pieChart>
        <c:varyColors val="1"/>
        <c:ser>
          <c:idx val="0"/>
          <c:order val="0"/>
          <c:tx>
            <c:strRef>
              <c:f>'31 Preis  Wa, Sch, Fö'!$N$14:$R$14</c:f>
              <c:strCache>
                <c:ptCount val="5"/>
                <c:pt idx="0">
                  <c:v>Material</c:v>
                </c:pt>
                <c:pt idx="1">
                  <c:v>Personalkosten</c:v>
                </c:pt>
                <c:pt idx="2">
                  <c:v>Gemeinkosten</c:v>
                </c:pt>
                <c:pt idx="3">
                  <c:v>Gewinn</c:v>
                </c:pt>
                <c:pt idx="4">
                  <c:v>MwSt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FA-4C67-B550-A089CCCBBA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FA-4C67-B550-A089CCCBBA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FA-4C67-B550-A089CCCBBA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FA-4C67-B550-A089CCCBBA1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FA-4C67-B550-A089CCCBBA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 Preis Fönen'!$N$14:$R$14</c:f>
              <c:strCache>
                <c:ptCount val="5"/>
                <c:pt idx="0">
                  <c:v>Material</c:v>
                </c:pt>
                <c:pt idx="1">
                  <c:v>Personalkosten</c:v>
                </c:pt>
                <c:pt idx="2">
                  <c:v>Gemeinkosten</c:v>
                </c:pt>
                <c:pt idx="3">
                  <c:v>Gewinn</c:v>
                </c:pt>
                <c:pt idx="4">
                  <c:v>MwSt</c:v>
                </c:pt>
              </c:strCache>
            </c:strRef>
          </c:cat>
          <c:val>
            <c:numRef>
              <c:f>'31 Preis  Wa, Sch, Fö'!$N$15:$R$15</c:f>
              <c:numCache>
                <c:formatCode>0.00</c:formatCode>
                <c:ptCount val="5"/>
                <c:pt idx="0">
                  <c:v>2</c:v>
                </c:pt>
                <c:pt idx="1">
                  <c:v>33.152789793453607</c:v>
                </c:pt>
                <c:pt idx="2">
                  <c:v>19.8</c:v>
                </c:pt>
                <c:pt idx="3">
                  <c:v>6.7647286778212248</c:v>
                </c:pt>
                <c:pt idx="4">
                  <c:v>11.726328509542217</c:v>
                </c:pt>
              </c:numCache>
            </c:numRef>
          </c:val>
          <c:extLst>
            <c:ext xmlns:c16="http://schemas.microsoft.com/office/drawing/2014/chart" uri="{C3380CC4-5D6E-409C-BE32-E72D297353CC}">
              <c16:uniqueId val="{0000000A-80FA-4C67-B550-A089CCCBBA1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18" Type="http://schemas.openxmlformats.org/officeDocument/2006/relationships/chart" Target="../charts/chart3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 Type="http://schemas.openxmlformats.org/officeDocument/2006/relationships/chart" Target="../charts/chart23.xml"/><Relationship Id="rId16" Type="http://schemas.openxmlformats.org/officeDocument/2006/relationships/chart" Target="../charts/chart37.xml"/><Relationship Id="rId20" Type="http://schemas.openxmlformats.org/officeDocument/2006/relationships/chart" Target="../charts/chart41.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19" Type="http://schemas.openxmlformats.org/officeDocument/2006/relationships/chart" Target="../charts/chart40.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257175</xdr:colOff>
      <xdr:row>6</xdr:row>
      <xdr:rowOff>66675</xdr:rowOff>
    </xdr:from>
    <xdr:to>
      <xdr:col>0</xdr:col>
      <xdr:colOff>647700</xdr:colOff>
      <xdr:row>6</xdr:row>
      <xdr:rowOff>265557</xdr:rowOff>
    </xdr:to>
    <xdr:sp macro="" textlink="">
      <xdr:nvSpPr>
        <xdr:cNvPr id="3" name="Pfeil nach rechts 2">
          <a:extLst>
            <a:ext uri="{FF2B5EF4-FFF2-40B4-BE49-F238E27FC236}">
              <a16:creationId xmlns:a16="http://schemas.microsoft.com/office/drawing/2014/main" id="{00000000-0008-0000-0000-000003000000}"/>
            </a:ext>
          </a:extLst>
        </xdr:cNvPr>
        <xdr:cNvSpPr/>
      </xdr:nvSpPr>
      <xdr:spPr bwMode="auto">
        <a:xfrm>
          <a:off x="257175" y="971550"/>
          <a:ext cx="390525" cy="19888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twoCellAnchor>
    <xdr:from>
      <xdr:col>0</xdr:col>
      <xdr:colOff>266700</xdr:colOff>
      <xdr:row>7</xdr:row>
      <xdr:rowOff>76200</xdr:rowOff>
    </xdr:from>
    <xdr:to>
      <xdr:col>0</xdr:col>
      <xdr:colOff>657225</xdr:colOff>
      <xdr:row>7</xdr:row>
      <xdr:rowOff>275082</xdr:rowOff>
    </xdr:to>
    <xdr:sp macro="" textlink="">
      <xdr:nvSpPr>
        <xdr:cNvPr id="5" name="Pfeil nach rechts 4">
          <a:extLst>
            <a:ext uri="{FF2B5EF4-FFF2-40B4-BE49-F238E27FC236}">
              <a16:creationId xmlns:a16="http://schemas.microsoft.com/office/drawing/2014/main" id="{00000000-0008-0000-0000-000005000000}"/>
            </a:ext>
          </a:extLst>
        </xdr:cNvPr>
        <xdr:cNvSpPr/>
      </xdr:nvSpPr>
      <xdr:spPr bwMode="auto">
        <a:xfrm>
          <a:off x="266700" y="1266825"/>
          <a:ext cx="390525" cy="19888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twoCellAnchor>
    <xdr:from>
      <xdr:col>0</xdr:col>
      <xdr:colOff>266700</xdr:colOff>
      <xdr:row>5</xdr:row>
      <xdr:rowOff>76200</xdr:rowOff>
    </xdr:from>
    <xdr:to>
      <xdr:col>0</xdr:col>
      <xdr:colOff>657225</xdr:colOff>
      <xdr:row>5</xdr:row>
      <xdr:rowOff>275082</xdr:rowOff>
    </xdr:to>
    <xdr:sp macro="" textlink="">
      <xdr:nvSpPr>
        <xdr:cNvPr id="6" name="Pfeil nach rechts 5">
          <a:extLst>
            <a:ext uri="{FF2B5EF4-FFF2-40B4-BE49-F238E27FC236}">
              <a16:creationId xmlns:a16="http://schemas.microsoft.com/office/drawing/2014/main" id="{00000000-0008-0000-0000-000006000000}"/>
            </a:ext>
          </a:extLst>
        </xdr:cNvPr>
        <xdr:cNvSpPr/>
      </xdr:nvSpPr>
      <xdr:spPr bwMode="auto">
        <a:xfrm>
          <a:off x="266700" y="695325"/>
          <a:ext cx="390525" cy="19888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twoCellAnchor>
    <xdr:from>
      <xdr:col>0</xdr:col>
      <xdr:colOff>266700</xdr:colOff>
      <xdr:row>8</xdr:row>
      <xdr:rowOff>76200</xdr:rowOff>
    </xdr:from>
    <xdr:to>
      <xdr:col>0</xdr:col>
      <xdr:colOff>657225</xdr:colOff>
      <xdr:row>8</xdr:row>
      <xdr:rowOff>275082</xdr:rowOff>
    </xdr:to>
    <xdr:sp macro="" textlink="">
      <xdr:nvSpPr>
        <xdr:cNvPr id="7" name="Pfeil nach rechts 4">
          <a:extLst>
            <a:ext uri="{FF2B5EF4-FFF2-40B4-BE49-F238E27FC236}">
              <a16:creationId xmlns:a16="http://schemas.microsoft.com/office/drawing/2014/main" id="{6BE7E726-F216-4651-82AC-8E9C99DC8F28}"/>
            </a:ext>
          </a:extLst>
        </xdr:cNvPr>
        <xdr:cNvSpPr/>
      </xdr:nvSpPr>
      <xdr:spPr bwMode="auto">
        <a:xfrm>
          <a:off x="266700" y="2094089"/>
          <a:ext cx="390525" cy="19888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515033</xdr:colOff>
      <xdr:row>15</xdr:row>
      <xdr:rowOff>75596</xdr:rowOff>
    </xdr:from>
    <xdr:to>
      <xdr:col>21</xdr:col>
      <xdr:colOff>353601</xdr:colOff>
      <xdr:row>28</xdr:row>
      <xdr:rowOff>13607</xdr:rowOff>
    </xdr:to>
    <xdr:graphicFrame macro="">
      <xdr:nvGraphicFramePr>
        <xdr:cNvPr id="3" name="Diagramm 2">
          <a:extLst>
            <a:ext uri="{FF2B5EF4-FFF2-40B4-BE49-F238E27FC236}">
              <a16:creationId xmlns:a16="http://schemas.microsoft.com/office/drawing/2014/main" id="{6D206E96-3BBB-4D1C-BA62-D6EE3CF53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515033</xdr:colOff>
      <xdr:row>15</xdr:row>
      <xdr:rowOff>75596</xdr:rowOff>
    </xdr:from>
    <xdr:to>
      <xdr:col>21</xdr:col>
      <xdr:colOff>353601</xdr:colOff>
      <xdr:row>28</xdr:row>
      <xdr:rowOff>13607</xdr:rowOff>
    </xdr:to>
    <xdr:graphicFrame macro="">
      <xdr:nvGraphicFramePr>
        <xdr:cNvPr id="4" name="Diagramm 3">
          <a:extLst>
            <a:ext uri="{FF2B5EF4-FFF2-40B4-BE49-F238E27FC236}">
              <a16:creationId xmlns:a16="http://schemas.microsoft.com/office/drawing/2014/main" id="{54B89659-AEC5-46F3-81D4-09C6C2012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575993</xdr:colOff>
      <xdr:row>15</xdr:row>
      <xdr:rowOff>75596</xdr:rowOff>
    </xdr:from>
    <xdr:to>
      <xdr:col>21</xdr:col>
      <xdr:colOff>414561</xdr:colOff>
      <xdr:row>28</xdr:row>
      <xdr:rowOff>13607</xdr:rowOff>
    </xdr:to>
    <xdr:graphicFrame macro="">
      <xdr:nvGraphicFramePr>
        <xdr:cNvPr id="4" name="Diagramm 3">
          <a:extLst>
            <a:ext uri="{FF2B5EF4-FFF2-40B4-BE49-F238E27FC236}">
              <a16:creationId xmlns:a16="http://schemas.microsoft.com/office/drawing/2014/main" id="{D4B6AA29-1497-438A-82FB-47DCE88CB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583613</xdr:colOff>
      <xdr:row>15</xdr:row>
      <xdr:rowOff>75596</xdr:rowOff>
    </xdr:from>
    <xdr:to>
      <xdr:col>21</xdr:col>
      <xdr:colOff>422181</xdr:colOff>
      <xdr:row>28</xdr:row>
      <xdr:rowOff>13607</xdr:rowOff>
    </xdr:to>
    <xdr:graphicFrame macro="">
      <xdr:nvGraphicFramePr>
        <xdr:cNvPr id="3" name="Diagramm 2">
          <a:extLst>
            <a:ext uri="{FF2B5EF4-FFF2-40B4-BE49-F238E27FC236}">
              <a16:creationId xmlns:a16="http://schemas.microsoft.com/office/drawing/2014/main" id="{43CAD8F1-9E43-4A60-BF03-65DE83EB3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545513</xdr:colOff>
      <xdr:row>15</xdr:row>
      <xdr:rowOff>75596</xdr:rowOff>
    </xdr:from>
    <xdr:to>
      <xdr:col>21</xdr:col>
      <xdr:colOff>384081</xdr:colOff>
      <xdr:row>28</xdr:row>
      <xdr:rowOff>13607</xdr:rowOff>
    </xdr:to>
    <xdr:graphicFrame macro="">
      <xdr:nvGraphicFramePr>
        <xdr:cNvPr id="4" name="Diagramm 3">
          <a:extLst>
            <a:ext uri="{FF2B5EF4-FFF2-40B4-BE49-F238E27FC236}">
              <a16:creationId xmlns:a16="http://schemas.microsoft.com/office/drawing/2014/main" id="{5A20680A-EF1D-4DD9-A7B3-1AD338CA4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537893</xdr:colOff>
      <xdr:row>15</xdr:row>
      <xdr:rowOff>75596</xdr:rowOff>
    </xdr:from>
    <xdr:to>
      <xdr:col>21</xdr:col>
      <xdr:colOff>376461</xdr:colOff>
      <xdr:row>28</xdr:row>
      <xdr:rowOff>13607</xdr:rowOff>
    </xdr:to>
    <xdr:graphicFrame macro="">
      <xdr:nvGraphicFramePr>
        <xdr:cNvPr id="3" name="Diagramm 2">
          <a:extLst>
            <a:ext uri="{FF2B5EF4-FFF2-40B4-BE49-F238E27FC236}">
              <a16:creationId xmlns:a16="http://schemas.microsoft.com/office/drawing/2014/main" id="{2E45855F-20AE-4207-8054-90A5D73F5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34973</xdr:colOff>
      <xdr:row>25</xdr:row>
      <xdr:rowOff>90836</xdr:rowOff>
    </xdr:from>
    <xdr:to>
      <xdr:col>21</xdr:col>
      <xdr:colOff>574581</xdr:colOff>
      <xdr:row>38</xdr:row>
      <xdr:rowOff>28847</xdr:rowOff>
    </xdr:to>
    <xdr:graphicFrame macro="">
      <xdr:nvGraphicFramePr>
        <xdr:cNvPr id="3" name="Diagramm 2">
          <a:extLst>
            <a:ext uri="{FF2B5EF4-FFF2-40B4-BE49-F238E27FC236}">
              <a16:creationId xmlns:a16="http://schemas.microsoft.com/office/drawing/2014/main" id="{DAB93537-B1D8-459E-AE3E-021E3B8A2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616633</xdr:colOff>
      <xdr:row>63</xdr:row>
      <xdr:rowOff>88296</xdr:rowOff>
    </xdr:from>
    <xdr:to>
      <xdr:col>21</xdr:col>
      <xdr:colOff>455201</xdr:colOff>
      <xdr:row>76</xdr:row>
      <xdr:rowOff>26307</xdr:rowOff>
    </xdr:to>
    <xdr:graphicFrame macro="">
      <xdr:nvGraphicFramePr>
        <xdr:cNvPr id="5" name="Diagramm 4">
          <a:extLst>
            <a:ext uri="{FF2B5EF4-FFF2-40B4-BE49-F238E27FC236}">
              <a16:creationId xmlns:a16="http://schemas.microsoft.com/office/drawing/2014/main" id="{BC6FE271-743A-4C49-92C1-8B9A20B5F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448993</xdr:colOff>
      <xdr:row>101</xdr:row>
      <xdr:rowOff>94646</xdr:rowOff>
    </xdr:from>
    <xdr:to>
      <xdr:col>21</xdr:col>
      <xdr:colOff>287561</xdr:colOff>
      <xdr:row>114</xdr:row>
      <xdr:rowOff>32657</xdr:rowOff>
    </xdr:to>
    <xdr:graphicFrame macro="">
      <xdr:nvGraphicFramePr>
        <xdr:cNvPr id="7" name="Diagramm 6">
          <a:extLst>
            <a:ext uri="{FF2B5EF4-FFF2-40B4-BE49-F238E27FC236}">
              <a16:creationId xmlns:a16="http://schemas.microsoft.com/office/drawing/2014/main" id="{B2497728-B7FB-4884-83BD-66E134574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358823</xdr:colOff>
      <xdr:row>139</xdr:row>
      <xdr:rowOff>100996</xdr:rowOff>
    </xdr:from>
    <xdr:to>
      <xdr:col>21</xdr:col>
      <xdr:colOff>197391</xdr:colOff>
      <xdr:row>152</xdr:row>
      <xdr:rowOff>39007</xdr:rowOff>
    </xdr:to>
    <xdr:graphicFrame macro="">
      <xdr:nvGraphicFramePr>
        <xdr:cNvPr id="9" name="Diagramm 8">
          <a:extLst>
            <a:ext uri="{FF2B5EF4-FFF2-40B4-BE49-F238E27FC236}">
              <a16:creationId xmlns:a16="http://schemas.microsoft.com/office/drawing/2014/main" id="{CD8B7AF6-07B7-4F7E-A667-AE02185F4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351203</xdr:colOff>
      <xdr:row>595</xdr:row>
      <xdr:rowOff>88296</xdr:rowOff>
    </xdr:from>
    <xdr:to>
      <xdr:col>21</xdr:col>
      <xdr:colOff>189771</xdr:colOff>
      <xdr:row>608</xdr:row>
      <xdr:rowOff>26307</xdr:rowOff>
    </xdr:to>
    <xdr:graphicFrame macro="">
      <xdr:nvGraphicFramePr>
        <xdr:cNvPr id="33" name="Diagramm 32">
          <a:extLst>
            <a:ext uri="{FF2B5EF4-FFF2-40B4-BE49-F238E27FC236}">
              <a16:creationId xmlns:a16="http://schemas.microsoft.com/office/drawing/2014/main" id="{468BA7A9-AEDB-4FF7-B85C-27913E8A9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667433</xdr:colOff>
      <xdr:row>25</xdr:row>
      <xdr:rowOff>75596</xdr:rowOff>
    </xdr:from>
    <xdr:to>
      <xdr:col>21</xdr:col>
      <xdr:colOff>506001</xdr:colOff>
      <xdr:row>38</xdr:row>
      <xdr:rowOff>13607</xdr:rowOff>
    </xdr:to>
    <xdr:graphicFrame macro="">
      <xdr:nvGraphicFramePr>
        <xdr:cNvPr id="2" name="Diagramm 1">
          <a:extLst>
            <a:ext uri="{FF2B5EF4-FFF2-40B4-BE49-F238E27FC236}">
              <a16:creationId xmlns:a16="http://schemas.microsoft.com/office/drawing/2014/main" id="{3E992B13-9E9B-441E-9E66-3AAA18CB1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601393</xdr:colOff>
      <xdr:row>63</xdr:row>
      <xdr:rowOff>88296</xdr:rowOff>
    </xdr:from>
    <xdr:to>
      <xdr:col>21</xdr:col>
      <xdr:colOff>439961</xdr:colOff>
      <xdr:row>76</xdr:row>
      <xdr:rowOff>26307</xdr:rowOff>
    </xdr:to>
    <xdr:graphicFrame macro="">
      <xdr:nvGraphicFramePr>
        <xdr:cNvPr id="4" name="Diagramm 3">
          <a:extLst>
            <a:ext uri="{FF2B5EF4-FFF2-40B4-BE49-F238E27FC236}">
              <a16:creationId xmlns:a16="http://schemas.microsoft.com/office/drawing/2014/main" id="{D3AA6070-9F8C-43D1-B38C-3BB5A3F2F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374063</xdr:colOff>
      <xdr:row>139</xdr:row>
      <xdr:rowOff>100996</xdr:rowOff>
    </xdr:from>
    <xdr:to>
      <xdr:col>21</xdr:col>
      <xdr:colOff>212631</xdr:colOff>
      <xdr:row>152</xdr:row>
      <xdr:rowOff>39007</xdr:rowOff>
    </xdr:to>
    <xdr:graphicFrame macro="">
      <xdr:nvGraphicFramePr>
        <xdr:cNvPr id="8" name="Diagramm 7">
          <a:extLst>
            <a:ext uri="{FF2B5EF4-FFF2-40B4-BE49-F238E27FC236}">
              <a16:creationId xmlns:a16="http://schemas.microsoft.com/office/drawing/2014/main" id="{E9D14B03-F9DA-465F-9650-B5FBC3074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428673</xdr:colOff>
      <xdr:row>177</xdr:row>
      <xdr:rowOff>75596</xdr:rowOff>
    </xdr:from>
    <xdr:to>
      <xdr:col>21</xdr:col>
      <xdr:colOff>267241</xdr:colOff>
      <xdr:row>190</xdr:row>
      <xdr:rowOff>13607</xdr:rowOff>
    </xdr:to>
    <xdr:graphicFrame macro="">
      <xdr:nvGraphicFramePr>
        <xdr:cNvPr id="10" name="Diagramm 9">
          <a:extLst>
            <a:ext uri="{FF2B5EF4-FFF2-40B4-BE49-F238E27FC236}">
              <a16:creationId xmlns:a16="http://schemas.microsoft.com/office/drawing/2014/main" id="{418E7270-5F20-40A7-BBB3-7C67F7610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531543</xdr:colOff>
      <xdr:row>215</xdr:row>
      <xdr:rowOff>75596</xdr:rowOff>
    </xdr:from>
    <xdr:to>
      <xdr:col>21</xdr:col>
      <xdr:colOff>370111</xdr:colOff>
      <xdr:row>228</xdr:row>
      <xdr:rowOff>13607</xdr:rowOff>
    </xdr:to>
    <xdr:graphicFrame macro="">
      <xdr:nvGraphicFramePr>
        <xdr:cNvPr id="12" name="Diagramm 11">
          <a:extLst>
            <a:ext uri="{FF2B5EF4-FFF2-40B4-BE49-F238E27FC236}">
              <a16:creationId xmlns:a16="http://schemas.microsoft.com/office/drawing/2014/main" id="{FD309C34-3FF0-4589-B93C-AADD40366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531543</xdr:colOff>
      <xdr:row>253</xdr:row>
      <xdr:rowOff>88296</xdr:rowOff>
    </xdr:from>
    <xdr:to>
      <xdr:col>21</xdr:col>
      <xdr:colOff>370111</xdr:colOff>
      <xdr:row>266</xdr:row>
      <xdr:rowOff>26307</xdr:rowOff>
    </xdr:to>
    <xdr:graphicFrame macro="">
      <xdr:nvGraphicFramePr>
        <xdr:cNvPr id="14" name="Diagramm 13">
          <a:extLst>
            <a:ext uri="{FF2B5EF4-FFF2-40B4-BE49-F238E27FC236}">
              <a16:creationId xmlns:a16="http://schemas.microsoft.com/office/drawing/2014/main" id="{3CB0148F-ABAA-42C8-9C35-000F48B4A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662353</xdr:colOff>
      <xdr:row>291</xdr:row>
      <xdr:rowOff>94646</xdr:rowOff>
    </xdr:from>
    <xdr:to>
      <xdr:col>21</xdr:col>
      <xdr:colOff>500921</xdr:colOff>
      <xdr:row>304</xdr:row>
      <xdr:rowOff>32657</xdr:rowOff>
    </xdr:to>
    <xdr:graphicFrame macro="">
      <xdr:nvGraphicFramePr>
        <xdr:cNvPr id="16" name="Diagramm 15">
          <a:extLst>
            <a:ext uri="{FF2B5EF4-FFF2-40B4-BE49-F238E27FC236}">
              <a16:creationId xmlns:a16="http://schemas.microsoft.com/office/drawing/2014/main" id="{146E3241-2744-4FA5-A789-E2994A136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421053</xdr:colOff>
      <xdr:row>329</xdr:row>
      <xdr:rowOff>81946</xdr:rowOff>
    </xdr:from>
    <xdr:to>
      <xdr:col>21</xdr:col>
      <xdr:colOff>259621</xdr:colOff>
      <xdr:row>342</xdr:row>
      <xdr:rowOff>19957</xdr:rowOff>
    </xdr:to>
    <xdr:graphicFrame macro="">
      <xdr:nvGraphicFramePr>
        <xdr:cNvPr id="18" name="Diagramm 17">
          <a:extLst>
            <a:ext uri="{FF2B5EF4-FFF2-40B4-BE49-F238E27FC236}">
              <a16:creationId xmlns:a16="http://schemas.microsoft.com/office/drawing/2014/main" id="{E420C5A1-B262-43E8-AF03-A42784238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582343</xdr:colOff>
      <xdr:row>367</xdr:row>
      <xdr:rowOff>94646</xdr:rowOff>
    </xdr:from>
    <xdr:to>
      <xdr:col>21</xdr:col>
      <xdr:colOff>420911</xdr:colOff>
      <xdr:row>380</xdr:row>
      <xdr:rowOff>32657</xdr:rowOff>
    </xdr:to>
    <xdr:graphicFrame macro="">
      <xdr:nvGraphicFramePr>
        <xdr:cNvPr id="20" name="Diagramm 19">
          <a:extLst>
            <a:ext uri="{FF2B5EF4-FFF2-40B4-BE49-F238E27FC236}">
              <a16:creationId xmlns:a16="http://schemas.microsoft.com/office/drawing/2014/main" id="{620F71BC-F83E-4800-B7B2-13DB36970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402003</xdr:colOff>
      <xdr:row>405</xdr:row>
      <xdr:rowOff>62896</xdr:rowOff>
    </xdr:from>
    <xdr:to>
      <xdr:col>21</xdr:col>
      <xdr:colOff>240571</xdr:colOff>
      <xdr:row>418</xdr:row>
      <xdr:rowOff>907</xdr:rowOff>
    </xdr:to>
    <xdr:graphicFrame macro="">
      <xdr:nvGraphicFramePr>
        <xdr:cNvPr id="22" name="Diagramm 21">
          <a:extLst>
            <a:ext uri="{FF2B5EF4-FFF2-40B4-BE49-F238E27FC236}">
              <a16:creationId xmlns:a16="http://schemas.microsoft.com/office/drawing/2014/main" id="{6AE849CE-C4E2-416B-B5CA-B186D713A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388033</xdr:colOff>
      <xdr:row>443</xdr:row>
      <xdr:rowOff>88296</xdr:rowOff>
    </xdr:from>
    <xdr:to>
      <xdr:col>21</xdr:col>
      <xdr:colOff>226601</xdr:colOff>
      <xdr:row>456</xdr:row>
      <xdr:rowOff>26307</xdr:rowOff>
    </xdr:to>
    <xdr:graphicFrame macro="">
      <xdr:nvGraphicFramePr>
        <xdr:cNvPr id="24" name="Diagramm 23">
          <a:extLst>
            <a:ext uri="{FF2B5EF4-FFF2-40B4-BE49-F238E27FC236}">
              <a16:creationId xmlns:a16="http://schemas.microsoft.com/office/drawing/2014/main" id="{43DA516C-A91E-4F81-8E7A-7E7D222F3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577263</xdr:colOff>
      <xdr:row>481</xdr:row>
      <xdr:rowOff>75596</xdr:rowOff>
    </xdr:from>
    <xdr:to>
      <xdr:col>21</xdr:col>
      <xdr:colOff>415831</xdr:colOff>
      <xdr:row>494</xdr:row>
      <xdr:rowOff>13607</xdr:rowOff>
    </xdr:to>
    <xdr:graphicFrame macro="">
      <xdr:nvGraphicFramePr>
        <xdr:cNvPr id="26" name="Diagramm 25">
          <a:extLst>
            <a:ext uri="{FF2B5EF4-FFF2-40B4-BE49-F238E27FC236}">
              <a16:creationId xmlns:a16="http://schemas.microsoft.com/office/drawing/2014/main" id="{8EA2C562-EBAE-4E42-8915-1178ED7BA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504873</xdr:colOff>
      <xdr:row>519</xdr:row>
      <xdr:rowOff>75596</xdr:rowOff>
    </xdr:from>
    <xdr:to>
      <xdr:col>21</xdr:col>
      <xdr:colOff>343441</xdr:colOff>
      <xdr:row>532</xdr:row>
      <xdr:rowOff>13607</xdr:rowOff>
    </xdr:to>
    <xdr:graphicFrame macro="">
      <xdr:nvGraphicFramePr>
        <xdr:cNvPr id="28" name="Diagramm 27">
          <a:extLst>
            <a:ext uri="{FF2B5EF4-FFF2-40B4-BE49-F238E27FC236}">
              <a16:creationId xmlns:a16="http://schemas.microsoft.com/office/drawing/2014/main" id="{C62D0A4A-8B3F-44F7-9D55-BB3BC21F9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577263</xdr:colOff>
      <xdr:row>557</xdr:row>
      <xdr:rowOff>88296</xdr:rowOff>
    </xdr:from>
    <xdr:to>
      <xdr:col>21</xdr:col>
      <xdr:colOff>415831</xdr:colOff>
      <xdr:row>570</xdr:row>
      <xdr:rowOff>26307</xdr:rowOff>
    </xdr:to>
    <xdr:graphicFrame macro="">
      <xdr:nvGraphicFramePr>
        <xdr:cNvPr id="30" name="Diagramm 29">
          <a:extLst>
            <a:ext uri="{FF2B5EF4-FFF2-40B4-BE49-F238E27FC236}">
              <a16:creationId xmlns:a16="http://schemas.microsoft.com/office/drawing/2014/main" id="{04801E86-F504-4C1C-835E-FC1AFAA2E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343583</xdr:colOff>
      <xdr:row>595</xdr:row>
      <xdr:rowOff>88296</xdr:rowOff>
    </xdr:from>
    <xdr:to>
      <xdr:col>21</xdr:col>
      <xdr:colOff>182151</xdr:colOff>
      <xdr:row>608</xdr:row>
      <xdr:rowOff>26307</xdr:rowOff>
    </xdr:to>
    <xdr:graphicFrame macro="">
      <xdr:nvGraphicFramePr>
        <xdr:cNvPr id="32" name="Diagramm 31">
          <a:extLst>
            <a:ext uri="{FF2B5EF4-FFF2-40B4-BE49-F238E27FC236}">
              <a16:creationId xmlns:a16="http://schemas.microsoft.com/office/drawing/2014/main" id="{D5E107E2-0E73-4BE7-93A0-CDE0D3585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4</xdr:row>
      <xdr:rowOff>63500</xdr:rowOff>
    </xdr:from>
    <xdr:to>
      <xdr:col>1</xdr:col>
      <xdr:colOff>617982</xdr:colOff>
      <xdr:row>6</xdr:row>
      <xdr:rowOff>254000</xdr:rowOff>
    </xdr:to>
    <xdr:sp macro="" textlink="">
      <xdr:nvSpPr>
        <xdr:cNvPr id="2" name="Pfeil nach unten 1">
          <a:extLst>
            <a:ext uri="{FF2B5EF4-FFF2-40B4-BE49-F238E27FC236}">
              <a16:creationId xmlns:a16="http://schemas.microsoft.com/office/drawing/2014/main" id="{00000000-0008-0000-0300-000002000000}"/>
            </a:ext>
          </a:extLst>
        </xdr:cNvPr>
        <xdr:cNvSpPr/>
      </xdr:nvSpPr>
      <xdr:spPr bwMode="auto">
        <a:xfrm>
          <a:off x="1854200" y="2899833"/>
          <a:ext cx="605282" cy="797278"/>
        </a:xfrm>
        <a:prstGeom prst="down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twoCellAnchor>
  <xdr:twoCellAnchor>
    <xdr:from>
      <xdr:col>10</xdr:col>
      <xdr:colOff>520700</xdr:colOff>
      <xdr:row>4</xdr:row>
      <xdr:rowOff>82550</xdr:rowOff>
    </xdr:from>
    <xdr:to>
      <xdr:col>10</xdr:col>
      <xdr:colOff>1125982</xdr:colOff>
      <xdr:row>7</xdr:row>
      <xdr:rowOff>298450</xdr:rowOff>
    </xdr:to>
    <xdr:sp macro="" textlink="">
      <xdr:nvSpPr>
        <xdr:cNvPr id="3" name="Pfeil nach unten 1">
          <a:extLst>
            <a:ext uri="{FF2B5EF4-FFF2-40B4-BE49-F238E27FC236}">
              <a16:creationId xmlns:a16="http://schemas.microsoft.com/office/drawing/2014/main" id="{674C27CD-C0B4-4173-A0E3-38113636B7AE}"/>
            </a:ext>
          </a:extLst>
        </xdr:cNvPr>
        <xdr:cNvSpPr/>
      </xdr:nvSpPr>
      <xdr:spPr bwMode="auto">
        <a:xfrm>
          <a:off x="10922000" y="2603500"/>
          <a:ext cx="605282" cy="1162050"/>
        </a:xfrm>
        <a:prstGeom prst="down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twoCellAnchor>
  <xdr:twoCellAnchor>
    <xdr:from>
      <xdr:col>5</xdr:col>
      <xdr:colOff>162294</xdr:colOff>
      <xdr:row>4</xdr:row>
      <xdr:rowOff>0</xdr:rowOff>
    </xdr:from>
    <xdr:to>
      <xdr:col>5</xdr:col>
      <xdr:colOff>767576</xdr:colOff>
      <xdr:row>6</xdr:row>
      <xdr:rowOff>294922</xdr:rowOff>
    </xdr:to>
    <xdr:sp macro="" textlink="">
      <xdr:nvSpPr>
        <xdr:cNvPr id="5" name="Pfeil nach unten 1">
          <a:extLst>
            <a:ext uri="{FF2B5EF4-FFF2-40B4-BE49-F238E27FC236}">
              <a16:creationId xmlns:a16="http://schemas.microsoft.com/office/drawing/2014/main" id="{76D0709E-715B-4C14-8BF8-9D22A6FD076F}"/>
            </a:ext>
          </a:extLst>
        </xdr:cNvPr>
        <xdr:cNvSpPr/>
      </xdr:nvSpPr>
      <xdr:spPr bwMode="auto">
        <a:xfrm>
          <a:off x="5983127" y="2518833"/>
          <a:ext cx="605282" cy="901700"/>
        </a:xfrm>
        <a:prstGeom prst="down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twoCellAnchor>
  <xdr:twoCellAnchor>
    <xdr:from>
      <xdr:col>10</xdr:col>
      <xdr:colOff>520700</xdr:colOff>
      <xdr:row>4</xdr:row>
      <xdr:rowOff>82550</xdr:rowOff>
    </xdr:from>
    <xdr:to>
      <xdr:col>10</xdr:col>
      <xdr:colOff>1125982</xdr:colOff>
      <xdr:row>7</xdr:row>
      <xdr:rowOff>298450</xdr:rowOff>
    </xdr:to>
    <xdr:sp macro="" textlink="">
      <xdr:nvSpPr>
        <xdr:cNvPr id="7" name="Pfeil nach unten 1">
          <a:extLst>
            <a:ext uri="{FF2B5EF4-FFF2-40B4-BE49-F238E27FC236}">
              <a16:creationId xmlns:a16="http://schemas.microsoft.com/office/drawing/2014/main" id="{AFBF87AC-2679-4A11-B59C-3B0C0D17A86F}"/>
            </a:ext>
          </a:extLst>
        </xdr:cNvPr>
        <xdr:cNvSpPr/>
      </xdr:nvSpPr>
      <xdr:spPr bwMode="auto">
        <a:xfrm>
          <a:off x="10928350" y="2603500"/>
          <a:ext cx="605282" cy="1162050"/>
        </a:xfrm>
        <a:prstGeom prst="down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twoCellAnchor>
  <xdr:twoCellAnchor>
    <xdr:from>
      <xdr:col>5</xdr:col>
      <xdr:colOff>162294</xdr:colOff>
      <xdr:row>4</xdr:row>
      <xdr:rowOff>0</xdr:rowOff>
    </xdr:from>
    <xdr:to>
      <xdr:col>5</xdr:col>
      <xdr:colOff>767576</xdr:colOff>
      <xdr:row>6</xdr:row>
      <xdr:rowOff>294922</xdr:rowOff>
    </xdr:to>
    <xdr:sp macro="" textlink="">
      <xdr:nvSpPr>
        <xdr:cNvPr id="9" name="Pfeil nach unten 1">
          <a:extLst>
            <a:ext uri="{FF2B5EF4-FFF2-40B4-BE49-F238E27FC236}">
              <a16:creationId xmlns:a16="http://schemas.microsoft.com/office/drawing/2014/main" id="{03F6F2B7-3F5A-4268-B71C-68675A1B1ADC}"/>
            </a:ext>
          </a:extLst>
        </xdr:cNvPr>
        <xdr:cNvSpPr/>
      </xdr:nvSpPr>
      <xdr:spPr bwMode="auto">
        <a:xfrm>
          <a:off x="5978894" y="2520950"/>
          <a:ext cx="605282" cy="898172"/>
        </a:xfrm>
        <a:prstGeom prst="down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10</xdr:col>
      <xdr:colOff>53975</xdr:colOff>
      <xdr:row>2</xdr:row>
      <xdr:rowOff>234950</xdr:rowOff>
    </xdr:from>
    <xdr:ext cx="65" cy="172227"/>
    <xdr:sp macro="" textlink="">
      <xdr:nvSpPr>
        <xdr:cNvPr id="2" name="Textfeld 1">
          <a:extLst>
            <a:ext uri="{FF2B5EF4-FFF2-40B4-BE49-F238E27FC236}">
              <a16:creationId xmlns:a16="http://schemas.microsoft.com/office/drawing/2014/main" id="{63B9C632-E770-41C4-8636-CB48E209BCF1}"/>
            </a:ext>
          </a:extLst>
        </xdr:cNvPr>
        <xdr:cNvSpPr txBox="1"/>
      </xdr:nvSpPr>
      <xdr:spPr>
        <a:xfrm>
          <a:off x="5413375" y="155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11</xdr:col>
      <xdr:colOff>53975</xdr:colOff>
      <xdr:row>2</xdr:row>
      <xdr:rowOff>234950</xdr:rowOff>
    </xdr:from>
    <xdr:ext cx="65" cy="172227"/>
    <xdr:sp macro="" textlink="">
      <xdr:nvSpPr>
        <xdr:cNvPr id="3" name="Textfeld 2">
          <a:extLst>
            <a:ext uri="{FF2B5EF4-FFF2-40B4-BE49-F238E27FC236}">
              <a16:creationId xmlns:a16="http://schemas.microsoft.com/office/drawing/2014/main" id="{1F5C9CAD-F0F5-478F-BAA4-2339634A0EE2}"/>
            </a:ext>
          </a:extLst>
        </xdr:cNvPr>
        <xdr:cNvSpPr txBox="1"/>
      </xdr:nvSpPr>
      <xdr:spPr>
        <a:xfrm>
          <a:off x="5303308" y="231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1079499</xdr:colOff>
      <xdr:row>13</xdr:row>
      <xdr:rowOff>215899</xdr:rowOff>
    </xdr:from>
    <xdr:to>
      <xdr:col>13</xdr:col>
      <xdr:colOff>158749</xdr:colOff>
      <xdr:row>29</xdr:row>
      <xdr:rowOff>105833</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48492</xdr:colOff>
      <xdr:row>24</xdr:row>
      <xdr:rowOff>235526</xdr:rowOff>
    </xdr:from>
    <xdr:to>
      <xdr:col>18</xdr:col>
      <xdr:colOff>616527</xdr:colOff>
      <xdr:row>30</xdr:row>
      <xdr:rowOff>207818</xdr:rowOff>
    </xdr:to>
    <xdr:graphicFrame macro="">
      <xdr:nvGraphicFramePr>
        <xdr:cNvPr id="2" name="Diagramm 1">
          <a:extLst>
            <a:ext uri="{FF2B5EF4-FFF2-40B4-BE49-F238E27FC236}">
              <a16:creationId xmlns:a16="http://schemas.microsoft.com/office/drawing/2014/main" id="{94F12C5B-B6C1-42D2-AA90-DC473B058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43295</xdr:colOff>
      <xdr:row>31</xdr:row>
      <xdr:rowOff>224558</xdr:rowOff>
    </xdr:from>
    <xdr:to>
      <xdr:col>18</xdr:col>
      <xdr:colOff>629227</xdr:colOff>
      <xdr:row>39</xdr:row>
      <xdr:rowOff>103909</xdr:rowOff>
    </xdr:to>
    <xdr:graphicFrame macro="">
      <xdr:nvGraphicFramePr>
        <xdr:cNvPr id="3" name="Diagramm 2">
          <a:extLst>
            <a:ext uri="{FF2B5EF4-FFF2-40B4-BE49-F238E27FC236}">
              <a16:creationId xmlns:a16="http://schemas.microsoft.com/office/drawing/2014/main" id="{0186AE2B-1AAD-451B-9652-3257BA3E5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48492</xdr:colOff>
      <xdr:row>24</xdr:row>
      <xdr:rowOff>235526</xdr:rowOff>
    </xdr:from>
    <xdr:to>
      <xdr:col>56</xdr:col>
      <xdr:colOff>616527</xdr:colOff>
      <xdr:row>30</xdr:row>
      <xdr:rowOff>207818</xdr:rowOff>
    </xdr:to>
    <xdr:graphicFrame macro="">
      <xdr:nvGraphicFramePr>
        <xdr:cNvPr id="4" name="Diagramm 3">
          <a:extLst>
            <a:ext uri="{FF2B5EF4-FFF2-40B4-BE49-F238E27FC236}">
              <a16:creationId xmlns:a16="http://schemas.microsoft.com/office/drawing/2014/main" id="{34C831BF-8801-4663-B05F-ABA3151A9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53</xdr:col>
      <xdr:colOff>43295</xdr:colOff>
      <xdr:row>31</xdr:row>
      <xdr:rowOff>224558</xdr:rowOff>
    </xdr:from>
    <xdr:to>
      <xdr:col>56</xdr:col>
      <xdr:colOff>629227</xdr:colOff>
      <xdr:row>39</xdr:row>
      <xdr:rowOff>103909</xdr:rowOff>
    </xdr:to>
    <xdr:graphicFrame macro="">
      <xdr:nvGraphicFramePr>
        <xdr:cNvPr id="5" name="Diagramm 4">
          <a:extLst>
            <a:ext uri="{FF2B5EF4-FFF2-40B4-BE49-F238E27FC236}">
              <a16:creationId xmlns:a16="http://schemas.microsoft.com/office/drawing/2014/main" id="{A9DFE5FA-BAA4-46D6-8143-F92198B9E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186650</xdr:colOff>
      <xdr:row>0</xdr:row>
      <xdr:rowOff>402167</xdr:rowOff>
    </xdr:from>
    <xdr:to>
      <xdr:col>19</xdr:col>
      <xdr:colOff>222250</xdr:colOff>
      <xdr:row>14</xdr:row>
      <xdr:rowOff>158750</xdr:rowOff>
    </xdr:to>
    <xdr:graphicFrame macro="">
      <xdr:nvGraphicFramePr>
        <xdr:cNvPr id="4" name="Diagramm 3">
          <a:extLst>
            <a:ext uri="{FF2B5EF4-FFF2-40B4-BE49-F238E27FC236}">
              <a16:creationId xmlns:a16="http://schemas.microsoft.com/office/drawing/2014/main" id="{2F380276-E588-4E99-BE48-81F698E80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186650</xdr:colOff>
      <xdr:row>0</xdr:row>
      <xdr:rowOff>402167</xdr:rowOff>
    </xdr:from>
    <xdr:to>
      <xdr:col>19</xdr:col>
      <xdr:colOff>222250</xdr:colOff>
      <xdr:row>14</xdr:row>
      <xdr:rowOff>158750</xdr:rowOff>
    </xdr:to>
    <xdr:graphicFrame macro="">
      <xdr:nvGraphicFramePr>
        <xdr:cNvPr id="3" name="Diagramm 2">
          <a:extLst>
            <a:ext uri="{FF2B5EF4-FFF2-40B4-BE49-F238E27FC236}">
              <a16:creationId xmlns:a16="http://schemas.microsoft.com/office/drawing/2014/main" id="{3E18D868-367A-44CE-82AF-9D6D45514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186650</xdr:colOff>
      <xdr:row>0</xdr:row>
      <xdr:rowOff>402167</xdr:rowOff>
    </xdr:from>
    <xdr:to>
      <xdr:col>19</xdr:col>
      <xdr:colOff>222250</xdr:colOff>
      <xdr:row>14</xdr:row>
      <xdr:rowOff>158750</xdr:rowOff>
    </xdr:to>
    <xdr:graphicFrame macro="">
      <xdr:nvGraphicFramePr>
        <xdr:cNvPr id="2" name="Diagramm 1">
          <a:extLst>
            <a:ext uri="{FF2B5EF4-FFF2-40B4-BE49-F238E27FC236}">
              <a16:creationId xmlns:a16="http://schemas.microsoft.com/office/drawing/2014/main" id="{371B2D92-2967-4901-A159-761F4DDC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186650</xdr:colOff>
      <xdr:row>0</xdr:row>
      <xdr:rowOff>402167</xdr:rowOff>
    </xdr:from>
    <xdr:to>
      <xdr:col>19</xdr:col>
      <xdr:colOff>222250</xdr:colOff>
      <xdr:row>14</xdr:row>
      <xdr:rowOff>158750</xdr:rowOff>
    </xdr:to>
    <xdr:graphicFrame macro="">
      <xdr:nvGraphicFramePr>
        <xdr:cNvPr id="3" name="Diagramm 2">
          <a:extLst>
            <a:ext uri="{FF2B5EF4-FFF2-40B4-BE49-F238E27FC236}">
              <a16:creationId xmlns:a16="http://schemas.microsoft.com/office/drawing/2014/main" id="{2B903C48-9DCE-45FA-AA23-DCB93C615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136525</xdr:colOff>
      <xdr:row>1</xdr:row>
      <xdr:rowOff>0</xdr:rowOff>
    </xdr:from>
    <xdr:to>
      <xdr:col>19</xdr:col>
      <xdr:colOff>174625</xdr:colOff>
      <xdr:row>15</xdr:row>
      <xdr:rowOff>0</xdr:rowOff>
    </xdr:to>
    <xdr:graphicFrame macro="">
      <xdr:nvGraphicFramePr>
        <xdr:cNvPr id="2" name="Diagramm 1">
          <a:extLst>
            <a:ext uri="{FF2B5EF4-FFF2-40B4-BE49-F238E27FC236}">
              <a16:creationId xmlns:a16="http://schemas.microsoft.com/office/drawing/2014/main" id="{4A1BA87E-9F78-473F-9138-20E4171907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186650</xdr:colOff>
      <xdr:row>0</xdr:row>
      <xdr:rowOff>402167</xdr:rowOff>
    </xdr:from>
    <xdr:to>
      <xdr:col>19</xdr:col>
      <xdr:colOff>222250</xdr:colOff>
      <xdr:row>14</xdr:row>
      <xdr:rowOff>158750</xdr:rowOff>
    </xdr:to>
    <xdr:graphicFrame macro="">
      <xdr:nvGraphicFramePr>
        <xdr:cNvPr id="3" name="Diagramm 2">
          <a:extLst>
            <a:ext uri="{FF2B5EF4-FFF2-40B4-BE49-F238E27FC236}">
              <a16:creationId xmlns:a16="http://schemas.microsoft.com/office/drawing/2014/main" id="{80AC895B-7E50-4CE3-9DE2-94EAFDB9A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136525</xdr:colOff>
      <xdr:row>1</xdr:row>
      <xdr:rowOff>0</xdr:rowOff>
    </xdr:from>
    <xdr:to>
      <xdr:col>19</xdr:col>
      <xdr:colOff>174625</xdr:colOff>
      <xdr:row>15</xdr:row>
      <xdr:rowOff>0</xdr:rowOff>
    </xdr:to>
    <xdr:graphicFrame macro="">
      <xdr:nvGraphicFramePr>
        <xdr:cNvPr id="4" name="Diagramm 3">
          <a:extLst>
            <a:ext uri="{FF2B5EF4-FFF2-40B4-BE49-F238E27FC236}">
              <a16:creationId xmlns:a16="http://schemas.microsoft.com/office/drawing/2014/main" id="{6097DD53-FD74-40D9-8B44-F16CAAB34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186650</xdr:colOff>
      <xdr:row>0</xdr:row>
      <xdr:rowOff>402167</xdr:rowOff>
    </xdr:from>
    <xdr:to>
      <xdr:col>19</xdr:col>
      <xdr:colOff>222250</xdr:colOff>
      <xdr:row>14</xdr:row>
      <xdr:rowOff>158750</xdr:rowOff>
    </xdr:to>
    <xdr:graphicFrame macro="">
      <xdr:nvGraphicFramePr>
        <xdr:cNvPr id="5" name="Diagramm 4">
          <a:extLst>
            <a:ext uri="{FF2B5EF4-FFF2-40B4-BE49-F238E27FC236}">
              <a16:creationId xmlns:a16="http://schemas.microsoft.com/office/drawing/2014/main" id="{8392D044-DDB8-4CEC-8DCB-B2C9B7231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446453</xdr:colOff>
      <xdr:row>15</xdr:row>
      <xdr:rowOff>75596</xdr:rowOff>
    </xdr:from>
    <xdr:to>
      <xdr:col>21</xdr:col>
      <xdr:colOff>285021</xdr:colOff>
      <xdr:row>28</xdr:row>
      <xdr:rowOff>13607</xdr:rowOff>
    </xdr:to>
    <xdr:graphicFrame macro="">
      <xdr:nvGraphicFramePr>
        <xdr:cNvPr id="3" name="Diagramm 2">
          <a:extLst>
            <a:ext uri="{FF2B5EF4-FFF2-40B4-BE49-F238E27FC236}">
              <a16:creationId xmlns:a16="http://schemas.microsoft.com/office/drawing/2014/main" id="{4040B0E6-4FAC-494E-AC8F-1F0EB6C33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446453</xdr:colOff>
      <xdr:row>15</xdr:row>
      <xdr:rowOff>75596</xdr:rowOff>
    </xdr:from>
    <xdr:to>
      <xdr:col>21</xdr:col>
      <xdr:colOff>285021</xdr:colOff>
      <xdr:row>28</xdr:row>
      <xdr:rowOff>13607</xdr:rowOff>
    </xdr:to>
    <xdr:graphicFrame macro="">
      <xdr:nvGraphicFramePr>
        <xdr:cNvPr id="4" name="Diagramm 3">
          <a:extLst>
            <a:ext uri="{FF2B5EF4-FFF2-40B4-BE49-F238E27FC236}">
              <a16:creationId xmlns:a16="http://schemas.microsoft.com/office/drawing/2014/main" id="{806ABE01-7118-4139-8058-C2BE92854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Peter Lehmann" id="{314F2509-602F-4051-A98F-DEBAC1C8C992}" userId="d8c805c4a3338014" providerId="Windows Live"/>
</personList>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3" dT="2022-09-06T16:30:56.95" personId="{314F2509-602F-4051-A98F-DEBAC1C8C992}" id="{651576FE-B198-420A-996F-73F4912D0C7D}">
    <text>Als Anhang App undgeschützt lassen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2.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6.xml"/><Relationship Id="rId1" Type="http://schemas.openxmlformats.org/officeDocument/2006/relationships/printerSettings" Target="../printerSettings/printerSettings77.bin"/><Relationship Id="rId4"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8.xml"/><Relationship Id="rId1" Type="http://schemas.openxmlformats.org/officeDocument/2006/relationships/printerSettings" Target="../printerSettings/printerSettings7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0.xml"/><Relationship Id="rId1" Type="http://schemas.openxmlformats.org/officeDocument/2006/relationships/printerSettings" Target="../printerSettings/printerSettings79.bin"/><Relationship Id="rId4"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80.bin"/><Relationship Id="rId4"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2.xml"/><Relationship Id="rId1" Type="http://schemas.openxmlformats.org/officeDocument/2006/relationships/printerSettings" Target="../printerSettings/printerSettings81.bin"/><Relationship Id="rId4"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82.bin"/><Relationship Id="rId4"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microsoft.com/office/2017/10/relationships/threadedComment" Target="../threadedComments/threadedComment1.xm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xml.rels><?xml version="1.0" encoding="UTF-8" standalone="yes"?>
<Relationships xmlns="http://schemas.openxmlformats.org/package/2006/relationships"><Relationship Id="rId3" Type="http://schemas.openxmlformats.org/officeDocument/2006/relationships/hyperlink" Target="mailto:lehmann@unternehmenstraining.com" TargetMode="External"/><Relationship Id="rId7" Type="http://schemas.openxmlformats.org/officeDocument/2006/relationships/comments" Target="../comments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4"/>
  <sheetViews>
    <sheetView showGridLines="0" tabSelected="1" zoomScale="90" zoomScaleNormal="90" workbookViewId="0"/>
  </sheetViews>
  <sheetFormatPr baseColWidth="10" defaultColWidth="11.44140625" defaultRowHeight="15.6"/>
  <cols>
    <col min="1" max="1" width="10" style="244" customWidth="1"/>
    <col min="2" max="2" width="11.44140625" style="244"/>
    <col min="3" max="3" width="18" style="244" customWidth="1"/>
    <col min="4" max="4" width="11.44140625" style="244"/>
    <col min="5" max="5" width="12.77734375" style="244" customWidth="1"/>
    <col min="6" max="7" width="11.44140625" style="244"/>
    <col min="8" max="8" width="4.44140625" style="244" customWidth="1"/>
    <col min="9" max="9" width="20.77734375" style="244" customWidth="1"/>
    <col min="10" max="10" width="11.44140625" style="244"/>
    <col min="11" max="11" width="13" style="244" customWidth="1"/>
    <col min="12" max="13" width="11.44140625" style="244"/>
    <col min="14" max="14" width="13" style="244" customWidth="1"/>
    <col min="15" max="15" width="11.44140625" style="244"/>
    <col min="16" max="16" width="6" style="244" customWidth="1"/>
    <col min="17" max="16384" width="11.44140625" style="244"/>
  </cols>
  <sheetData>
    <row r="1" spans="2:22" ht="46.2">
      <c r="B1" s="563" t="s">
        <v>964</v>
      </c>
      <c r="G1" s="3257" t="s">
        <v>526</v>
      </c>
      <c r="H1" s="3257"/>
      <c r="I1" s="3257"/>
      <c r="K1" s="3258" t="str">
        <f ca="1">IF(K2&lt;O28,"Lizenz abgelaufen","")</f>
        <v/>
      </c>
      <c r="L1" s="3258"/>
      <c r="M1" s="1866" t="str">
        <f>IF(K29="ü","Passwörter Seite 1 beachten","")</f>
        <v/>
      </c>
      <c r="N1" s="1865"/>
      <c r="O1" s="2547" t="str">
        <f>IF(R26="","",IF(L32="","","unten noch etwas löschen"))</f>
        <v/>
      </c>
      <c r="R1" s="1876">
        <v>46327</v>
      </c>
      <c r="S1" s="1876">
        <v>45962</v>
      </c>
      <c r="T1" s="1876">
        <v>45597</v>
      </c>
      <c r="U1" s="1876">
        <v>45231</v>
      </c>
      <c r="V1" s="1876">
        <v>44866</v>
      </c>
    </row>
    <row r="2" spans="2:22">
      <c r="F2" s="1846" t="str">
        <f>O26</f>
        <v xml:space="preserve"> 23-02</v>
      </c>
      <c r="J2" s="499" t="s">
        <v>1261</v>
      </c>
      <c r="K2" s="749">
        <f ca="1">N29</f>
        <v>45300</v>
      </c>
      <c r="L2" s="748" t="s">
        <v>475</v>
      </c>
      <c r="M2" s="498" t="str">
        <f>_xlfn.CONCAT(N26," ", N27)</f>
        <v>Demo Version</v>
      </c>
      <c r="R2" s="1876">
        <v>46174</v>
      </c>
      <c r="S2" s="1876">
        <v>45809</v>
      </c>
      <c r="T2" s="1876">
        <v>45444</v>
      </c>
      <c r="U2" s="1876">
        <v>45078</v>
      </c>
      <c r="V2" s="1876">
        <v>44713</v>
      </c>
    </row>
    <row r="3" spans="2:22">
      <c r="I3" s="2577" t="s">
        <v>1262</v>
      </c>
      <c r="R3" s="1876">
        <v>46143</v>
      </c>
      <c r="S3" s="1876">
        <v>45778</v>
      </c>
      <c r="T3" s="1876">
        <v>45413</v>
      </c>
      <c r="U3" s="1876">
        <v>45047</v>
      </c>
      <c r="V3" s="1876">
        <v>44682</v>
      </c>
    </row>
    <row r="4" spans="2:22" ht="35.4" customHeight="1">
      <c r="B4" s="391" t="s">
        <v>715</v>
      </c>
      <c r="R4" s="568" t="s">
        <v>1251</v>
      </c>
      <c r="S4" s="568"/>
      <c r="T4" s="568"/>
      <c r="U4" s="568"/>
      <c r="V4" s="568"/>
    </row>
    <row r="5" spans="2:22" ht="7.5" customHeight="1"/>
    <row r="6" spans="2:22" ht="22.5" customHeight="1">
      <c r="B6" s="245" t="s">
        <v>377</v>
      </c>
    </row>
    <row r="7" spans="2:22" ht="22.5" customHeight="1">
      <c r="B7" s="245" t="s">
        <v>378</v>
      </c>
    </row>
    <row r="8" spans="2:22" ht="22.5" customHeight="1">
      <c r="B8" s="245" t="s">
        <v>379</v>
      </c>
      <c r="I8" s="1189" t="str">
        <f>IF(J8="","","ü")</f>
        <v/>
      </c>
      <c r="J8" s="607" t="str">
        <f>IF(N23="","","gebucht wurde die Preiskalkulation")</f>
        <v/>
      </c>
    </row>
    <row r="9" spans="2:22" ht="20.55" customHeight="1">
      <c r="B9" s="245" t="s">
        <v>772</v>
      </c>
    </row>
    <row r="10" spans="2:22" ht="12" customHeight="1">
      <c r="B10" s="245"/>
    </row>
    <row r="11" spans="2:22" ht="12" customHeight="1">
      <c r="B11" s="245"/>
    </row>
    <row r="12" spans="2:22" ht="12.75" customHeight="1">
      <c r="B12" s="245"/>
    </row>
    <row r="13" spans="2:22" ht="75.75" customHeight="1">
      <c r="B13" s="3256" t="s">
        <v>439</v>
      </c>
      <c r="C13" s="3256"/>
      <c r="D13" s="3256"/>
      <c r="E13" s="3256"/>
      <c r="F13" s="3256"/>
      <c r="G13" s="3256"/>
      <c r="H13" s="3256"/>
      <c r="I13" s="3256"/>
      <c r="J13" s="3256"/>
      <c r="K13" s="3256"/>
      <c r="L13" s="3256"/>
      <c r="M13" s="3256"/>
      <c r="N13" s="3256"/>
      <c r="S13" s="590"/>
    </row>
    <row r="14" spans="2:22" ht="44.55" customHeight="1">
      <c r="S14" s="590"/>
    </row>
    <row r="15" spans="2:22" ht="17.399999999999999">
      <c r="S15" s="590"/>
    </row>
    <row r="16" spans="2:22" ht="17.399999999999999">
      <c r="G16" s="498" t="s">
        <v>382</v>
      </c>
      <c r="K16" s="498"/>
      <c r="L16" s="568"/>
      <c r="M16" s="504">
        <f ca="1">IF(O17&gt;0,O17,IF(O19&gt;0,O19,IF(O20&gt;0,O20,IF(O23&gt;0,O23,O25))))</f>
        <v>45300</v>
      </c>
      <c r="N16" s="568"/>
      <c r="O16" s="568"/>
      <c r="S16" s="590"/>
    </row>
    <row r="17" spans="2:19" ht="20.399999999999999">
      <c r="B17" s="1327"/>
      <c r="C17" s="1328"/>
      <c r="D17" s="1328"/>
      <c r="E17" s="1329"/>
      <c r="F17" s="1238"/>
      <c r="G17" s="608"/>
      <c r="I17" s="498"/>
      <c r="J17" s="244" t="s">
        <v>816</v>
      </c>
      <c r="K17" s="608"/>
      <c r="L17" s="502" t="str">
        <f>IF(L19="ü","ü",IF(G17="ü","ü",IF(K17="ü","ü",IF(L20="ü","ü",IF(L25="ü","ü","")))))</f>
        <v>ü</v>
      </c>
      <c r="M17" s="503" t="s">
        <v>396</v>
      </c>
      <c r="N17" s="505" t="str">
        <f>IF(K17="ü",$N$28+7,IF(G17="ü",$N$28+365,""))</f>
        <v/>
      </c>
      <c r="O17" s="568">
        <f>IF(N17="",0,N17)</f>
        <v>0</v>
      </c>
      <c r="Q17" s="568"/>
      <c r="S17" s="590"/>
    </row>
    <row r="18" spans="2:19" ht="21">
      <c r="E18" s="1326"/>
      <c r="G18" s="607"/>
      <c r="K18" s="609"/>
      <c r="L18" s="2584"/>
      <c r="M18" s="503"/>
      <c r="O18" s="568"/>
      <c r="Q18" s="568"/>
      <c r="S18" s="590"/>
    </row>
    <row r="19" spans="2:19" ht="20.399999999999999">
      <c r="B19" s="1330" t="s">
        <v>866</v>
      </c>
      <c r="C19" s="1331"/>
      <c r="D19" s="1332"/>
      <c r="E19" s="1331"/>
      <c r="F19" s="1331"/>
      <c r="G19" s="1331"/>
      <c r="H19" s="1336"/>
      <c r="I19" s="1336"/>
      <c r="J19" s="2582" t="str">
        <f>IF(K19="ü","Nach einer Beratung oder einem Seminar 14 Tage kostenlos","")</f>
        <v/>
      </c>
      <c r="K19" s="608"/>
      <c r="L19" s="502" t="str">
        <f>IF(G19="ü","ü",IF(K19="ü","ü",IF(L22="ü","ü",IF(L25="ü","ü",""))))</f>
        <v>ü</v>
      </c>
      <c r="M19" s="503" t="s">
        <v>396</v>
      </c>
      <c r="N19" s="505" t="str">
        <f>IF(K19="ü",$N$28+P19,IF(G19="ü",$N$28+365,""))</f>
        <v/>
      </c>
      <c r="O19" s="568">
        <f>IF(N19="",0,N19)</f>
        <v>0</v>
      </c>
      <c r="P19" s="2583">
        <v>14</v>
      </c>
      <c r="Q19" s="568">
        <f>IF(K19="ü",2,0)</f>
        <v>0</v>
      </c>
      <c r="S19" s="590"/>
    </row>
    <row r="20" spans="2:19" ht="20.399999999999999">
      <c r="B20" s="1333" t="s">
        <v>867</v>
      </c>
      <c r="C20" s="1334"/>
      <c r="D20" s="1334"/>
      <c r="E20" s="1329" t="s">
        <v>380</v>
      </c>
      <c r="F20" s="1238">
        <v>99</v>
      </c>
      <c r="G20" s="608"/>
      <c r="I20" s="1239" t="s">
        <v>502</v>
      </c>
      <c r="J20" s="1238">
        <v>49</v>
      </c>
      <c r="K20" s="608"/>
      <c r="L20" s="502" t="str">
        <f>IF(G20="ü","ü",IF(K20="ü","ü",IF(L19="ü","ü",IF(L25="ü","ü",""))))</f>
        <v>ü</v>
      </c>
      <c r="M20" s="503" t="s">
        <v>396</v>
      </c>
      <c r="N20" s="505" t="str">
        <f>IF(K20="ü",$N$28+P20,IF(G20="ü",$N$28+365,""))</f>
        <v/>
      </c>
      <c r="O20" s="568">
        <f>IF(K29="ü",0,IF(SUM(Q19:Q21)=2,L27,IF(N20="",0,N20)))</f>
        <v>0</v>
      </c>
      <c r="P20" s="2583">
        <v>21</v>
      </c>
      <c r="Q20" s="568">
        <f>IF(G20="ü",1,0)</f>
        <v>0</v>
      </c>
    </row>
    <row r="21" spans="2:19" ht="21">
      <c r="G21" s="607"/>
      <c r="K21" s="2589" t="str">
        <f>IF(G20="ü"," Solo-Selbstständige    Mitarbeiterseiten hinter Preise stellen?",IF(K20="ü"," Solo-Selbstständige    Mitarbeiterseiten hinter Preise stellen?",""))</f>
        <v/>
      </c>
      <c r="L21" s="2594" t="str">
        <f>IF(K21="","","←")</f>
        <v/>
      </c>
      <c r="M21" s="2594" t="str">
        <f>IF(K21="","","←")</f>
        <v/>
      </c>
      <c r="O21" s="2594" t="str">
        <f>IF(K21="","","←")</f>
        <v/>
      </c>
      <c r="P21" s="2583"/>
      <c r="Q21" s="568">
        <f>IF(K29="ü",2,IF(K28="ü",2,0))</f>
        <v>0</v>
      </c>
      <c r="R21" s="2581" t="str">
        <f>IF(K21="","","löschen")</f>
        <v/>
      </c>
    </row>
    <row r="22" spans="2:19" ht="21">
      <c r="B22" s="1335"/>
      <c r="C22" s="1336"/>
      <c r="D22" s="1332"/>
      <c r="E22" s="498"/>
      <c r="G22" s="607"/>
      <c r="K22" s="609"/>
      <c r="L22" s="568"/>
      <c r="O22" s="568"/>
      <c r="P22" s="2583"/>
      <c r="Q22" s="568"/>
    </row>
    <row r="23" spans="2:19" ht="20.399999999999999">
      <c r="B23" s="1333"/>
      <c r="C23" s="1334"/>
      <c r="D23" s="1334"/>
      <c r="E23" s="1329"/>
      <c r="F23" s="1238"/>
      <c r="G23" s="608"/>
      <c r="I23" s="1239"/>
      <c r="J23" s="1238"/>
      <c r="K23" s="608"/>
      <c r="L23" s="502" t="str">
        <f>IF(G23="ü","ü",IF(K23="ü","ü",""))</f>
        <v/>
      </c>
      <c r="M23" s="503" t="s">
        <v>396</v>
      </c>
      <c r="N23" s="505" t="str">
        <f>IF(K23="ü",$N$28+P23,IF(G23="ü",$N$28+365,""))</f>
        <v/>
      </c>
      <c r="O23" s="568">
        <f>IF(N23="",0,N23)</f>
        <v>0</v>
      </c>
      <c r="P23" s="2583">
        <v>21</v>
      </c>
      <c r="Q23" s="568"/>
    </row>
    <row r="24" spans="2:19" ht="15.75" customHeight="1">
      <c r="G24" s="607"/>
      <c r="K24" s="609"/>
      <c r="L24" s="568"/>
      <c r="O24" s="568"/>
      <c r="P24" s="2583"/>
      <c r="Q24" s="568"/>
    </row>
    <row r="25" spans="2:19" ht="20.399999999999999">
      <c r="B25" s="1337" t="s">
        <v>381</v>
      </c>
      <c r="C25" s="1338"/>
      <c r="D25" s="1338"/>
      <c r="E25" s="1329" t="s">
        <v>380</v>
      </c>
      <c r="F25" s="1238">
        <v>129</v>
      </c>
      <c r="G25" s="608" t="s">
        <v>66</v>
      </c>
      <c r="I25" s="1239" t="s">
        <v>502</v>
      </c>
      <c r="J25" s="1238">
        <v>49</v>
      </c>
      <c r="K25" s="608"/>
      <c r="L25" s="502" t="str">
        <f>IF(K28="ü","ü",IF(K27="ü","ü",IF(G25="ü","ü",IF(K25="ü","ü",""))))</f>
        <v>ü</v>
      </c>
      <c r="M25" s="503" t="s">
        <v>396</v>
      </c>
      <c r="N25" s="505">
        <f>IF(K25="ü",$N$28+P25,IF(G25="ü",$N$28+365,""))</f>
        <v>45300</v>
      </c>
      <c r="O25" s="568">
        <f ca="1">IF(N32&gt;TODAY(),TODAY()-365,IF(K28="ü",L27,IF(K27="ü",L27,IF(N25="",0,N25))))</f>
        <v>45300</v>
      </c>
      <c r="P25" s="2583">
        <v>21</v>
      </c>
      <c r="Q25" s="568"/>
      <c r="R25" s="2581"/>
    </row>
    <row r="26" spans="2:19" ht="21.6" thickBot="1">
      <c r="B26" s="1339" t="s">
        <v>868</v>
      </c>
      <c r="C26" s="625"/>
      <c r="D26" s="1340"/>
      <c r="I26" s="498"/>
      <c r="K26" s="609"/>
      <c r="L26" s="568"/>
      <c r="M26" s="2688" t="str">
        <f ca="1">IF(N28=O28,"zuerst mit neuem Namen abspeichern","")</f>
        <v/>
      </c>
      <c r="N26" s="1858" t="s">
        <v>1428</v>
      </c>
      <c r="O26" s="1845" t="s">
        <v>1416</v>
      </c>
      <c r="P26" s="1860"/>
      <c r="Q26" s="244" t="s">
        <v>1066</v>
      </c>
      <c r="R26" s="2581"/>
    </row>
    <row r="27" spans="2:19" ht="21" thickBot="1">
      <c r="B27" s="1339" t="s">
        <v>869</v>
      </c>
      <c r="C27" s="625"/>
      <c r="D27" s="1340"/>
      <c r="I27" s="499" t="str">
        <f>IF(K29="","Nach einer Beratung oder einem Seminar 14 Tage kostenlos",I29)</f>
        <v>Nach einer Beratung oder einem Seminar 14 Tage kostenlos</v>
      </c>
      <c r="J27" s="608"/>
      <c r="K27" s="2548" t="str">
        <f>IF(J27="ü","ü",IF(K29="","",K29))</f>
        <v/>
      </c>
      <c r="L27" s="505" t="str">
        <f>IF(K29="ü",N28+21,IF(K28="ü",N28+10,IF(K27="ü",N28+14,"")))</f>
        <v/>
      </c>
      <c r="N27" s="1858" t="s">
        <v>1429</v>
      </c>
      <c r="O27" s="2547" t="str">
        <f ca="1">IF(S3&lt;O28+365,"Achtung Datum R1 - V3 ändern","")</f>
        <v/>
      </c>
    </row>
    <row r="28" spans="2:19" ht="21">
      <c r="B28" s="1339" t="s">
        <v>870</v>
      </c>
      <c r="C28" s="625"/>
      <c r="D28" s="1340"/>
      <c r="I28" s="1326" t="s">
        <v>939</v>
      </c>
      <c r="K28" s="608"/>
      <c r="L28" s="2549" t="s">
        <v>1267</v>
      </c>
      <c r="M28" s="2499" t="str">
        <f>IF(R25="","",IF(N28=O28,"ok","nicht heute"))</f>
        <v/>
      </c>
      <c r="N28" s="1646">
        <v>44935</v>
      </c>
      <c r="O28" s="746">
        <f ca="1">TODAY()</f>
        <v>44939</v>
      </c>
      <c r="P28" s="244" t="s">
        <v>426</v>
      </c>
    </row>
    <row r="29" spans="2:19" ht="20.399999999999999">
      <c r="B29" s="1341" t="s">
        <v>871</v>
      </c>
      <c r="C29" s="1342"/>
      <c r="D29" s="1343"/>
      <c r="I29" s="499" t="s">
        <v>1067</v>
      </c>
      <c r="J29" s="500"/>
      <c r="K29" s="608"/>
      <c r="L29" s="505"/>
      <c r="N29" s="505">
        <f ca="1">'1 Erklärung'!AA1</f>
        <v>45300</v>
      </c>
      <c r="O29" s="244" t="s">
        <v>445</v>
      </c>
      <c r="P29" s="501" t="str">
        <f ca="1">IF(M16=N29,"ü","?")</f>
        <v>ü</v>
      </c>
      <c r="Q29" s="244">
        <f ca="1">N29-O28</f>
        <v>361</v>
      </c>
      <c r="R29" s="244" t="s">
        <v>1065</v>
      </c>
    </row>
    <row r="30" spans="2:19" ht="17.399999999999999">
      <c r="B30" s="568" t="s">
        <v>527</v>
      </c>
      <c r="K30" s="2589" t="str">
        <f>IF(K29="ü"," Trilogie      Mitarbeiterseiten hinter Preise stellen?","")</f>
        <v/>
      </c>
      <c r="N30" s="505">
        <f>'2a Chefeingaben'!T1</f>
        <v>45300</v>
      </c>
      <c r="O30" s="244" t="s">
        <v>446</v>
      </c>
      <c r="P30" s="501" t="str">
        <f ca="1">IF(M16=N30,"ü","?")</f>
        <v>ü</v>
      </c>
    </row>
    <row r="31" spans="2:19" ht="17.399999999999999">
      <c r="B31" s="568" t="s">
        <v>528</v>
      </c>
      <c r="N31" s="505">
        <f>'3 Vorjahr'!AA1</f>
        <v>45300</v>
      </c>
      <c r="O31" s="244" t="s">
        <v>447</v>
      </c>
      <c r="P31" s="501" t="str">
        <f ca="1">IF(M16=N31,"ü","?")</f>
        <v>ü</v>
      </c>
    </row>
    <row r="32" spans="2:19">
      <c r="B32" s="568" t="s">
        <v>529</v>
      </c>
      <c r="L32" s="2581"/>
      <c r="M32" s="499" t="s">
        <v>1256</v>
      </c>
      <c r="N32" s="2552"/>
    </row>
    <row r="33" spans="2:12" ht="17.399999999999999">
      <c r="B33" s="568" t="s">
        <v>530</v>
      </c>
      <c r="K33" s="2595" t="str">
        <f>IF(L34="","","ä")</f>
        <v/>
      </c>
      <c r="L33" s="1326"/>
    </row>
    <row r="34" spans="2:12">
      <c r="L34" s="2589"/>
    </row>
  </sheetData>
  <sheetProtection algorithmName="SHA-512" hashValue="qz3kk5Am+hTs8h5OA7jyPKgfxUdX3zYaNOrv+7ot5/uiMTtAp5QOeP2PfK0+f+PH1UzsMhIVqdjUet3GWPputg==" saltValue="KhUWvHSGUBvCqenl1/GraQ==" spinCount="100000" sheet="1" objects="1" scenarios="1"/>
  <mergeCells count="3">
    <mergeCell ref="B13:N13"/>
    <mergeCell ref="G1:I1"/>
    <mergeCell ref="K1:L1"/>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102"/>
  <sheetViews>
    <sheetView showGridLines="0" zoomScaleNormal="100" workbookViewId="0">
      <selection activeCell="F4" sqref="F4"/>
    </sheetView>
  </sheetViews>
  <sheetFormatPr baseColWidth="10" defaultRowHeight="13.2"/>
  <cols>
    <col min="1" max="1" width="14.21875" customWidth="1"/>
    <col min="2" max="3" width="12.5546875" customWidth="1"/>
    <col min="4" max="5" width="12.44140625" style="76" customWidth="1"/>
    <col min="6" max="17" width="8.44140625" style="76" customWidth="1"/>
    <col min="18" max="18" width="10" style="76" customWidth="1"/>
    <col min="19" max="19" width="11.44140625" style="76"/>
    <col min="20" max="20" width="12.44140625" style="76" bestFit="1" customWidth="1"/>
    <col min="21" max="23" width="11.44140625" style="76"/>
    <col min="24" max="24" width="18.44140625" style="76" customWidth="1"/>
  </cols>
  <sheetData>
    <row r="1" spans="1:42" s="76" customFormat="1" ht="35.549999999999997" customHeight="1">
      <c r="A1" s="229" t="s">
        <v>948</v>
      </c>
      <c r="B1" s="3724" t="s">
        <v>957</v>
      </c>
      <c r="C1" s="3724"/>
      <c r="D1" s="3724"/>
      <c r="E1" s="3724"/>
      <c r="F1" s="3724"/>
      <c r="G1" s="3724"/>
      <c r="H1" s="3724"/>
      <c r="I1" s="3724"/>
      <c r="J1" s="3724"/>
      <c r="K1" s="3724"/>
      <c r="L1" s="3724"/>
      <c r="M1" s="3724"/>
      <c r="N1" s="1584" t="s">
        <v>957</v>
      </c>
      <c r="O1" s="3707" t="s">
        <v>1002</v>
      </c>
      <c r="P1" s="3708"/>
      <c r="Q1" s="3687"/>
      <c r="R1" s="3688"/>
      <c r="S1" s="3688"/>
      <c r="T1" s="3688"/>
      <c r="U1" s="3689"/>
      <c r="V1" s="888"/>
      <c r="W1" s="888"/>
      <c r="X1" s="888"/>
      <c r="Y1" s="1584"/>
      <c r="Z1" s="229"/>
      <c r="AA1" s="229"/>
      <c r="AB1" s="229"/>
      <c r="AC1" s="229"/>
      <c r="AD1" s="229"/>
      <c r="AE1" s="229"/>
      <c r="AF1" s="229"/>
      <c r="AG1" s="229"/>
      <c r="AH1" s="229"/>
      <c r="AI1" s="229"/>
      <c r="AJ1" s="229"/>
      <c r="AK1" s="229"/>
      <c r="AL1" s="229"/>
    </row>
    <row r="2" spans="1:42" s="76" customFormat="1" ht="21.6" customHeight="1">
      <c r="A2" s="229" t="s">
        <v>672</v>
      </c>
      <c r="B2" s="3725" t="str">
        <f>IF(F3="","Sie zahlen keine Einmalzahlungen, die Sie verteilen könnten.","Tragen Sie die Einmalzahlungen in den Monat ein, in denen sie gezahlt werden.")</f>
        <v>Sie zahlen keine Einmalzahlungen, die Sie verteilen könnten.</v>
      </c>
      <c r="C2" s="3725"/>
      <c r="D2" s="3725"/>
      <c r="E2" s="3725"/>
      <c r="F2" s="3725"/>
      <c r="G2" s="3725"/>
      <c r="H2" s="3725"/>
      <c r="I2" s="3725"/>
      <c r="J2" s="3725"/>
      <c r="K2" s="3725"/>
      <c r="L2" s="3725"/>
      <c r="M2" s="3725"/>
      <c r="N2" s="1583"/>
      <c r="O2" s="3709"/>
      <c r="P2" s="3710"/>
      <c r="Q2" s="3690"/>
      <c r="R2" s="3691"/>
      <c r="S2" s="3691"/>
      <c r="T2" s="3691"/>
      <c r="U2" s="3692"/>
      <c r="V2" s="888"/>
      <c r="W2" s="888"/>
      <c r="X2" s="888"/>
      <c r="Y2" s="1584"/>
      <c r="Z2" s="229"/>
      <c r="AA2" s="229"/>
      <c r="AB2" s="229"/>
      <c r="AC2" s="229"/>
      <c r="AD2" s="229"/>
      <c r="AE2" s="229"/>
      <c r="AF2" s="229"/>
      <c r="AG2" s="229"/>
      <c r="AH2" s="229"/>
      <c r="AI2" s="229"/>
      <c r="AJ2" s="229"/>
      <c r="AK2" s="229"/>
      <c r="AL2" s="229"/>
    </row>
    <row r="3" spans="1:42" s="76" customFormat="1" ht="39" customHeight="1">
      <c r="A3" s="254" t="s">
        <v>203</v>
      </c>
      <c r="B3" s="3717" t="s">
        <v>674</v>
      </c>
      <c r="C3" s="3718"/>
      <c r="D3" s="944"/>
      <c r="F3" s="3719" t="str">
        <f>IF(SUM(J3,K3)=0,"","Einmalzahlungen wie z.B. Weihnachts-und Urlaubsgeld in:")</f>
        <v/>
      </c>
      <c r="G3" s="3719"/>
      <c r="H3" s="3719"/>
      <c r="I3" s="3719"/>
      <c r="J3" s="524" t="str">
        <f>'5 Eingabe Organisationskräfte'!C6</f>
        <v/>
      </c>
      <c r="K3" s="524" t="str">
        <f>'5 Eingabe Organisationskräfte'!D6</f>
        <v/>
      </c>
      <c r="L3" s="230"/>
      <c r="M3" s="3726" t="str">
        <f>IF(F3="","","In die grauen Felder können Sie die zusätzlichen Einmalzahlungen eintragen.")</f>
        <v/>
      </c>
      <c r="N3" s="3726"/>
      <c r="O3" s="3726"/>
      <c r="P3" s="3726"/>
      <c r="Q3" s="3726"/>
      <c r="R3" s="3726"/>
      <c r="S3" s="3233" t="str">
        <f>IF(Y4=0,"","Werte vorhanden")</f>
        <v/>
      </c>
      <c r="T3" s="230"/>
      <c r="U3" s="230"/>
      <c r="V3" s="230"/>
      <c r="W3" s="230"/>
      <c r="X3" s="230"/>
      <c r="Y3" s="230"/>
      <c r="Z3" s="229"/>
      <c r="AA3" s="229"/>
      <c r="AB3" s="229"/>
      <c r="AC3" s="229"/>
      <c r="AD3" s="1585">
        <f>SUM(AD6:AD103)</f>
        <v>0</v>
      </c>
      <c r="AE3" s="229"/>
      <c r="AF3" s="229"/>
      <c r="AG3" s="229"/>
      <c r="AH3" s="229"/>
      <c r="AI3" s="229"/>
      <c r="AJ3" s="229"/>
      <c r="AK3" s="229"/>
      <c r="AL3" s="229"/>
    </row>
    <row r="4" spans="1:42" s="76" customFormat="1" ht="26.25" customHeight="1" thickBot="1">
      <c r="A4" s="229" t="s">
        <v>683</v>
      </c>
      <c r="B4" s="3727" t="s">
        <v>673</v>
      </c>
      <c r="C4" s="3728"/>
      <c r="D4" s="231"/>
      <c r="E4" s="232" t="s">
        <v>162</v>
      </c>
      <c r="F4" s="233">
        <f>'7 Verteil. auf Monate Friseure'!F4</f>
        <v>44927</v>
      </c>
      <c r="G4" s="233">
        <f t="shared" ref="G4:Q4" si="0">F4+32</f>
        <v>44959</v>
      </c>
      <c r="H4" s="233">
        <f t="shared" si="0"/>
        <v>44991</v>
      </c>
      <c r="I4" s="233">
        <f t="shared" si="0"/>
        <v>45023</v>
      </c>
      <c r="J4" s="233">
        <f t="shared" si="0"/>
        <v>45055</v>
      </c>
      <c r="K4" s="233">
        <f t="shared" si="0"/>
        <v>45087</v>
      </c>
      <c r="L4" s="233">
        <f t="shared" si="0"/>
        <v>45119</v>
      </c>
      <c r="M4" s="233">
        <f t="shared" si="0"/>
        <v>45151</v>
      </c>
      <c r="N4" s="233">
        <f t="shared" si="0"/>
        <v>45183</v>
      </c>
      <c r="O4" s="233">
        <f t="shared" si="0"/>
        <v>45215</v>
      </c>
      <c r="P4" s="233">
        <f t="shared" si="0"/>
        <v>45247</v>
      </c>
      <c r="Q4" s="233">
        <f t="shared" si="0"/>
        <v>45279</v>
      </c>
      <c r="R4" s="230"/>
      <c r="S4" s="230"/>
      <c r="T4" s="230"/>
      <c r="U4" s="230"/>
      <c r="V4" s="1820">
        <f>IF('2 Unternehmensdaten'!F10="x",'2 Unternehmensdaten'!D14,'2 Unternehmensdaten'!D15)</f>
        <v>0.25</v>
      </c>
      <c r="W4" s="1821">
        <f>IF('2 Unternehmensdaten'!F10="x",'2 Unternehmensdaten'!G14,'2 Unternehmensdaten'!G15)</f>
        <v>0.3</v>
      </c>
      <c r="X4" s="1822">
        <f>IF('2 Unternehmensdaten'!F10="x",'2 Unternehmensdaten'!F14,'2 Unternehmensdaten'!F15+1)</f>
        <v>521</v>
      </c>
      <c r="Y4" s="229">
        <f>SUM(Y6:Y6:Y52)</f>
        <v>0</v>
      </c>
      <c r="Z4" s="1586">
        <f>F4</f>
        <v>44927</v>
      </c>
      <c r="AA4" s="1586">
        <f t="shared" ref="AA4:AK4" si="1">G4</f>
        <v>44959</v>
      </c>
      <c r="AB4" s="1586">
        <f t="shared" si="1"/>
        <v>44991</v>
      </c>
      <c r="AC4" s="1586">
        <f t="shared" si="1"/>
        <v>45023</v>
      </c>
      <c r="AD4" s="1586">
        <f t="shared" si="1"/>
        <v>45055</v>
      </c>
      <c r="AE4" s="1586">
        <f t="shared" si="1"/>
        <v>45087</v>
      </c>
      <c r="AF4" s="1586">
        <f t="shared" si="1"/>
        <v>45119</v>
      </c>
      <c r="AG4" s="1586">
        <f t="shared" si="1"/>
        <v>45151</v>
      </c>
      <c r="AH4" s="1586">
        <f t="shared" si="1"/>
        <v>45183</v>
      </c>
      <c r="AI4" s="1586">
        <f t="shared" si="1"/>
        <v>45215</v>
      </c>
      <c r="AJ4" s="1586">
        <f t="shared" si="1"/>
        <v>45247</v>
      </c>
      <c r="AK4" s="1586">
        <f t="shared" si="1"/>
        <v>45279</v>
      </c>
      <c r="AL4" s="229"/>
      <c r="AM4" s="243"/>
      <c r="AN4" s="243"/>
      <c r="AO4" s="243"/>
    </row>
    <row r="5" spans="1:42" s="76" customFormat="1" ht="24" customHeight="1">
      <c r="A5" s="939" t="str">
        <f>IF('5 Eingabe Organisationskräfte'!A7="","",'5 Eingabe Organisationskräfte'!A7)</f>
        <v>Gina</v>
      </c>
      <c r="B5" s="898" t="str">
        <f>IF(B6="","",AA$7)</f>
        <v/>
      </c>
      <c r="C5" s="898" t="str">
        <f>IF(C6="","",AB$7)</f>
        <v/>
      </c>
      <c r="E5" s="207">
        <f ca="1">IF('1 Erklärung'!$AA$2="","",'5 Eingabe Organisationskräfte'!AP7)</f>
        <v>1600</v>
      </c>
      <c r="F5" s="3234">
        <f>IF(SUM(F6,F7)=0,Z5,SUM(F6,F7,Z5))</f>
        <v>1600</v>
      </c>
      <c r="G5" s="3234">
        <f t="shared" ref="G5:Q5" si="2">IF(SUM(G6,G7)=0,AA5,SUM(G6,G7,AA5))</f>
        <v>1600</v>
      </c>
      <c r="H5" s="3234">
        <f t="shared" si="2"/>
        <v>1600</v>
      </c>
      <c r="I5" s="3234">
        <f t="shared" si="2"/>
        <v>1600</v>
      </c>
      <c r="J5" s="3234">
        <f t="shared" si="2"/>
        <v>1600</v>
      </c>
      <c r="K5" s="3234">
        <f t="shared" si="2"/>
        <v>1600</v>
      </c>
      <c r="L5" s="3234">
        <f t="shared" si="2"/>
        <v>1600</v>
      </c>
      <c r="M5" s="3234">
        <f t="shared" si="2"/>
        <v>1600</v>
      </c>
      <c r="N5" s="3234">
        <f t="shared" si="2"/>
        <v>1600</v>
      </c>
      <c r="O5" s="3234">
        <f t="shared" si="2"/>
        <v>1600</v>
      </c>
      <c r="P5" s="3234">
        <f t="shared" si="2"/>
        <v>1600</v>
      </c>
      <c r="Q5" s="3234">
        <f t="shared" si="2"/>
        <v>1600</v>
      </c>
      <c r="R5" s="894">
        <f ca="1">IF('1 Erklärung'!AA$2="","",IF(A5="","",SUM(F5:Q5)))</f>
        <v>19200</v>
      </c>
      <c r="S5" s="895"/>
      <c r="T5" s="1269">
        <f ca="1">IF(A5="","",SUM(R5,-R7,-R6))</f>
        <v>19200</v>
      </c>
      <c r="U5" s="1270" t="s">
        <v>801</v>
      </c>
      <c r="V5" s="1361">
        <f ca="1">IF(A5="","",SUM(T5,R6,T6))</f>
        <v>19200</v>
      </c>
      <c r="W5" s="1223" t="s">
        <v>166</v>
      </c>
      <c r="X5" s="1362">
        <f ca="1">IF(A5="","",R5/COUNTIF(F5:Q5,"&gt;0"))</f>
        <v>1600</v>
      </c>
      <c r="Y5" s="920"/>
      <c r="Z5" s="1587">
        <f>IF('5 Eingabe Organisationskräfte'!AQ7&gt;0.4,'5 Eingabe Organisationskräfte'!$AP7*'5 Eingabe Organisationskräfte'!AQ7,"")</f>
        <v>1600</v>
      </c>
      <c r="AA5" s="1587">
        <f>IF('5 Eingabe Organisationskräfte'!AR7&gt;0.4,'5 Eingabe Organisationskräfte'!$AP7*'5 Eingabe Organisationskräfte'!AR7,"")</f>
        <v>1600</v>
      </c>
      <c r="AB5" s="1587">
        <f>IF('5 Eingabe Organisationskräfte'!AS7&gt;0.4,'5 Eingabe Organisationskräfte'!$AP7*'5 Eingabe Organisationskräfte'!AS7,"")</f>
        <v>1600</v>
      </c>
      <c r="AC5" s="1587">
        <f>IF('5 Eingabe Organisationskräfte'!AT7&gt;0.4,'5 Eingabe Organisationskräfte'!$AP7*'5 Eingabe Organisationskräfte'!AT7,"")</f>
        <v>1600</v>
      </c>
      <c r="AD5" s="1587">
        <f>IF('5 Eingabe Organisationskräfte'!AU7&gt;0.4,'5 Eingabe Organisationskräfte'!$AP7*'5 Eingabe Organisationskräfte'!AU7,"")</f>
        <v>1600</v>
      </c>
      <c r="AE5" s="1587">
        <f>IF('5 Eingabe Organisationskräfte'!AV7&gt;0.4,'5 Eingabe Organisationskräfte'!$AP7*'5 Eingabe Organisationskräfte'!AV7,"")</f>
        <v>1600</v>
      </c>
      <c r="AF5" s="1587">
        <f>IF('5 Eingabe Organisationskräfte'!AW7&gt;0.4,'5 Eingabe Organisationskräfte'!$AP7*'5 Eingabe Organisationskräfte'!AW7,"")</f>
        <v>1600</v>
      </c>
      <c r="AG5" s="1587">
        <f>IF('5 Eingabe Organisationskräfte'!AX7&gt;0.4,'5 Eingabe Organisationskräfte'!$AP7*'5 Eingabe Organisationskräfte'!AX7,"")</f>
        <v>1600</v>
      </c>
      <c r="AH5" s="1587">
        <f>IF('5 Eingabe Organisationskräfte'!AY7&gt;0.4,'5 Eingabe Organisationskräfte'!$AP7*'5 Eingabe Organisationskräfte'!AY7,"")</f>
        <v>1600</v>
      </c>
      <c r="AI5" s="1587">
        <f>IF('5 Eingabe Organisationskräfte'!AZ7&gt;0.4,'5 Eingabe Organisationskräfte'!$AP7*'5 Eingabe Organisationskräfte'!AZ7,"")</f>
        <v>1600</v>
      </c>
      <c r="AJ5" s="1587">
        <f>IF('5 Eingabe Organisationskräfte'!BA7&gt;0.4,'5 Eingabe Organisationskräfte'!$AP7*'5 Eingabe Organisationskräfte'!BA7,"")</f>
        <v>1600</v>
      </c>
      <c r="AK5" s="1587">
        <f>IF('5 Eingabe Organisationskräfte'!BB7&gt;0.4,'5 Eingabe Organisationskräfte'!$AP7*'5 Eingabe Organisationskräfte'!BB7,"")</f>
        <v>1600</v>
      </c>
      <c r="AL5" s="920">
        <f>'5 Eingabe Organisationskräfte'!AK7</f>
        <v>12</v>
      </c>
      <c r="AM5" s="378"/>
      <c r="AN5" s="199"/>
      <c r="AO5" s="199"/>
      <c r="AP5" s="338"/>
    </row>
    <row r="6" spans="1:42" s="76" customFormat="1" ht="24" customHeight="1">
      <c r="A6" s="937" t="str">
        <f>IF(SUM(AA6:AB6)=0,"",A$4)</f>
        <v/>
      </c>
      <c r="B6" s="1687" t="str">
        <f>IF(AA6=0,"",AA6)</f>
        <v/>
      </c>
      <c r="C6" s="1688" t="str">
        <f>IF(AB6=0,"",AB6)</f>
        <v/>
      </c>
      <c r="D6" s="3711" t="str">
        <f>IF(A5="","",$A$1)</f>
        <v>Weihnachts- + Urlaubsgeld ==&gt;</v>
      </c>
      <c r="E6" s="3712"/>
      <c r="F6" s="2578"/>
      <c r="G6" s="2578"/>
      <c r="H6" s="2578"/>
      <c r="I6" s="2578"/>
      <c r="J6" s="2578"/>
      <c r="K6" s="2578"/>
      <c r="L6" s="2578"/>
      <c r="M6" s="2578"/>
      <c r="N6" s="2578"/>
      <c r="O6" s="2578"/>
      <c r="P6" s="2578"/>
      <c r="Q6" s="2578"/>
      <c r="R6" s="1221">
        <f>IF(A5="","",SUM(F6:Q6))</f>
        <v>0</v>
      </c>
      <c r="S6" s="1222" t="s">
        <v>799</v>
      </c>
      <c r="T6" s="1221">
        <f>IF(A5="","",(AL5*AC6))</f>
        <v>0</v>
      </c>
      <c r="U6" s="1223" t="s">
        <v>707</v>
      </c>
      <c r="V6" s="203">
        <f ca="1">IF(A5="","",SUM(V5)*IF(T5/COUNTIF(F5:Q5,"&gt;0")&lt;$X$4,$W$4,$V$4))</f>
        <v>4800</v>
      </c>
      <c r="W6" s="204" t="s">
        <v>158</v>
      </c>
      <c r="X6" s="3715" t="str">
        <f>'7 Verteil. auf Monate Friseure'!X6:X7</f>
        <v>Bruttolohn p. Mon. incl. st-freien und st-pfl. Monats-sonderzahlungen und jährl. Einmalzahlungen</v>
      </c>
      <c r="Y6" s="920">
        <f>SUM(F6:Q6)</f>
        <v>0</v>
      </c>
      <c r="Z6" s="1587"/>
      <c r="AA6" s="1587">
        <f>'5 Eingabe Organisationskräfte'!C7</f>
        <v>0</v>
      </c>
      <c r="AB6" s="1587">
        <f>'5 Eingabe Organisationskräfte'!D7</f>
        <v>0</v>
      </c>
      <c r="AC6" s="1587">
        <f>'5 Eingabe Organisationskräfte'!E7</f>
        <v>0</v>
      </c>
      <c r="AD6" s="1587">
        <f>'5 Eingabe Organisationskräfte'!F7</f>
        <v>0</v>
      </c>
      <c r="AE6" s="1587">
        <f>'5 Eingabe Organisationskräfte'!G7</f>
        <v>0</v>
      </c>
      <c r="AF6" s="1587"/>
      <c r="AG6" s="1587"/>
      <c r="AH6" s="1587"/>
      <c r="AI6" s="1587"/>
      <c r="AJ6" s="1587"/>
      <c r="AK6" s="1587"/>
      <c r="AL6" s="920"/>
      <c r="AM6" s="378"/>
      <c r="AN6" s="199"/>
      <c r="AO6" s="199"/>
      <c r="AP6" s="338"/>
    </row>
    <row r="7" spans="1:42" s="76" customFormat="1" ht="24" customHeight="1" thickBot="1">
      <c r="A7" s="938" t="str">
        <f>IF(SUM(AD6)=0,"",A$4)</f>
        <v/>
      </c>
      <c r="B7" s="1691"/>
      <c r="C7" s="1690" t="str">
        <f>IF(AD6=0,"",AD6)</f>
        <v/>
      </c>
      <c r="D7" s="3729" t="str">
        <f>IF(C7="","",$A$2)</f>
        <v/>
      </c>
      <c r="E7" s="3730"/>
      <c r="F7" s="2579"/>
      <c r="G7" s="2579"/>
      <c r="H7" s="2579"/>
      <c r="I7" s="2579"/>
      <c r="J7" s="2579"/>
      <c r="K7" s="2579"/>
      <c r="L7" s="2579"/>
      <c r="M7" s="2579"/>
      <c r="N7" s="2579"/>
      <c r="O7" s="2579"/>
      <c r="P7" s="2579"/>
      <c r="Q7" s="2580"/>
      <c r="R7" s="1224">
        <f>IF(A5="","",SUM(F7:Q7))</f>
        <v>0</v>
      </c>
      <c r="S7" s="1225" t="s">
        <v>800</v>
      </c>
      <c r="T7" s="1226">
        <f>IF(A5="","",(AE6*AL5))</f>
        <v>0</v>
      </c>
      <c r="U7" s="1225" t="s">
        <v>708</v>
      </c>
      <c r="V7" s="201">
        <f ca="1">IF(A5="","",SUM(V5:V6,R7,T7))</f>
        <v>24000</v>
      </c>
      <c r="W7" s="959" t="s">
        <v>167</v>
      </c>
      <c r="X7" s="3716"/>
      <c r="Y7" s="920">
        <f>SUM(F7:Q7)</f>
        <v>0</v>
      </c>
      <c r="Z7" s="1587"/>
      <c r="AA7" s="1590" t="str">
        <f>'7 Verteil. auf Monate Friseure'!AA7</f>
        <v>einmal Sonderzahl. z.B.Weihn.-geld</v>
      </c>
      <c r="AB7" s="1590" t="str">
        <f>'7 Verteil. auf Monate Friseure'!AB7</f>
        <v xml:space="preserve">einmal Sonderzahl. z.B. Urlaubsgeld </v>
      </c>
      <c r="AC7" s="1590" t="str">
        <f>'7 Verteil. auf Monate Friseure'!AC7</f>
        <v>regelmäßige monatl. Sonder-zahlung (z.B.Werkzeuggeld, VWL usw.)</v>
      </c>
      <c r="AD7" s="1590" t="str">
        <f>'7 Verteil. auf Monate Friseure'!AD7</f>
        <v>einmal steuerfreie Sonderzahlung ==&gt;</v>
      </c>
      <c r="AE7" s="1590" t="str">
        <f>'4 Eingabe Friseure'!J5</f>
        <v>regelmäßige monatl. Sonder-zahlung steuerfrei</v>
      </c>
      <c r="AF7" s="1587"/>
      <c r="AG7" s="1587"/>
      <c r="AH7" s="1587"/>
      <c r="AI7" s="1587"/>
      <c r="AJ7" s="1587"/>
      <c r="AK7" s="1587"/>
      <c r="AL7" s="920"/>
      <c r="AM7" s="378"/>
      <c r="AN7" s="199"/>
      <c r="AO7" s="199"/>
      <c r="AP7" s="338"/>
    </row>
    <row r="8" spans="1:42" s="76" customFormat="1" ht="24" customHeight="1">
      <c r="A8" s="939" t="str">
        <f>IF('5 Eingabe Organisationskräfte'!A8="","",'5 Eingabe Organisationskräfte'!A8)</f>
        <v/>
      </c>
      <c r="B8" s="898" t="str">
        <f>IF(B9="","",AA$7)</f>
        <v/>
      </c>
      <c r="C8" s="898" t="str">
        <f>IF(C9="","",AB$7)</f>
        <v/>
      </c>
      <c r="E8" s="207">
        <f ca="1">IF('1 Erklärung'!$AA$2="","",'5 Eingabe Organisationskräfte'!AP8)</f>
        <v>0</v>
      </c>
      <c r="F8" s="3234" t="str">
        <f t="shared" ref="F8:Q8" si="3">IF(SUM(F9,F10)=0,Z8,SUM(F9,F10,Z8))</f>
        <v/>
      </c>
      <c r="G8" s="3234" t="str">
        <f t="shared" si="3"/>
        <v/>
      </c>
      <c r="H8" s="3234" t="str">
        <f t="shared" si="3"/>
        <v/>
      </c>
      <c r="I8" s="3234" t="str">
        <f t="shared" si="3"/>
        <v/>
      </c>
      <c r="J8" s="3234" t="str">
        <f t="shared" si="3"/>
        <v/>
      </c>
      <c r="K8" s="3234" t="str">
        <f t="shared" si="3"/>
        <v/>
      </c>
      <c r="L8" s="3234" t="str">
        <f t="shared" si="3"/>
        <v/>
      </c>
      <c r="M8" s="3234" t="str">
        <f t="shared" si="3"/>
        <v/>
      </c>
      <c r="N8" s="3234" t="str">
        <f t="shared" si="3"/>
        <v/>
      </c>
      <c r="O8" s="3234" t="str">
        <f t="shared" si="3"/>
        <v/>
      </c>
      <c r="P8" s="3234" t="str">
        <f t="shared" si="3"/>
        <v/>
      </c>
      <c r="Q8" s="3234" t="str">
        <f t="shared" si="3"/>
        <v/>
      </c>
      <c r="R8" s="894" t="str">
        <f ca="1">IF('1 Erklärung'!AA$2="","",IF(A8="","",SUM(F8:Q8)))</f>
        <v/>
      </c>
      <c r="S8" s="895"/>
      <c r="T8" s="1269" t="str">
        <f>IF(A8="","",SUM(R8,-R10,-R9))</f>
        <v/>
      </c>
      <c r="U8" s="1228" t="str">
        <f>IF(A8="","",IF(T8="","",$U$5))</f>
        <v/>
      </c>
      <c r="V8" s="1227" t="str">
        <f>IF(A8="","",SUM(T8,R9,T9))</f>
        <v/>
      </c>
      <c r="W8" s="1229" t="str">
        <f>IF(A8="","",IF(V8="","",$W$5))</f>
        <v/>
      </c>
      <c r="X8" s="206" t="str">
        <f>IF(A8="","",R8/COUNTIF(F8:Q8,"&gt;0"))</f>
        <v/>
      </c>
      <c r="Y8" s="920"/>
      <c r="Z8" s="1587" t="str">
        <f>IF('5 Eingabe Organisationskräfte'!AQ8&gt;0.4,'5 Eingabe Organisationskräfte'!$AP8*'5 Eingabe Organisationskräfte'!AQ8,"")</f>
        <v/>
      </c>
      <c r="AA8" s="1587" t="str">
        <f>IF('5 Eingabe Organisationskräfte'!AR8&gt;0.4,'5 Eingabe Organisationskräfte'!$AP8*'5 Eingabe Organisationskräfte'!AR8,"")</f>
        <v/>
      </c>
      <c r="AB8" s="1587" t="str">
        <f>IF('5 Eingabe Organisationskräfte'!AS8&gt;0.4,'5 Eingabe Organisationskräfte'!$AP8*'5 Eingabe Organisationskräfte'!AS8,"")</f>
        <v/>
      </c>
      <c r="AC8" s="1587" t="str">
        <f>IF('5 Eingabe Organisationskräfte'!AT8&gt;0.4,'5 Eingabe Organisationskräfte'!$AP8*'5 Eingabe Organisationskräfte'!AT8,"")</f>
        <v/>
      </c>
      <c r="AD8" s="1587" t="str">
        <f>IF('5 Eingabe Organisationskräfte'!AU8&gt;0.4,'5 Eingabe Organisationskräfte'!$AP8*'5 Eingabe Organisationskräfte'!AU8,"")</f>
        <v/>
      </c>
      <c r="AE8" s="1587" t="str">
        <f>IF('5 Eingabe Organisationskräfte'!AV8&gt;0.4,'5 Eingabe Organisationskräfte'!$AP8*'5 Eingabe Organisationskräfte'!AV8,"")</f>
        <v/>
      </c>
      <c r="AF8" s="1587" t="str">
        <f>IF('5 Eingabe Organisationskräfte'!AW8&gt;0.4,'5 Eingabe Organisationskräfte'!$AP8*'5 Eingabe Organisationskräfte'!AW8,"")</f>
        <v/>
      </c>
      <c r="AG8" s="1587" t="str">
        <f>IF('5 Eingabe Organisationskräfte'!AX8&gt;0.4,'5 Eingabe Organisationskräfte'!$AP8*'5 Eingabe Organisationskräfte'!AX8,"")</f>
        <v/>
      </c>
      <c r="AH8" s="1587" t="str">
        <f>IF('5 Eingabe Organisationskräfte'!AY8&gt;0.4,'5 Eingabe Organisationskräfte'!$AP8*'5 Eingabe Organisationskräfte'!AY8,"")</f>
        <v/>
      </c>
      <c r="AI8" s="1587" t="str">
        <f>IF('5 Eingabe Organisationskräfte'!AZ8&gt;0.4,'5 Eingabe Organisationskräfte'!$AP8*'5 Eingabe Organisationskräfte'!AZ8,"")</f>
        <v/>
      </c>
      <c r="AJ8" s="1587" t="str">
        <f>IF('5 Eingabe Organisationskräfte'!BA8&gt;0.4,'5 Eingabe Organisationskräfte'!$AP8*'5 Eingabe Organisationskräfte'!BA8,"")</f>
        <v/>
      </c>
      <c r="AK8" s="1587" t="str">
        <f>IF('5 Eingabe Organisationskräfte'!BB8&gt;0.4,'5 Eingabe Organisationskräfte'!$AP8*'5 Eingabe Organisationskräfte'!BB8,"")</f>
        <v/>
      </c>
      <c r="AL8" s="920" t="str">
        <f>'5 Eingabe Organisationskräfte'!AK8</f>
        <v/>
      </c>
      <c r="AM8" s="378"/>
      <c r="AN8" s="199"/>
      <c r="AO8" s="199"/>
      <c r="AP8" s="338"/>
    </row>
    <row r="9" spans="1:42" s="76" customFormat="1" ht="24" customHeight="1">
      <c r="A9" s="937" t="str">
        <f>IF(SUM(AA9:AB9)=0,"",A$4)</f>
        <v/>
      </c>
      <c r="B9" s="1687" t="str">
        <f>IF(AA9=0,"",AA9)</f>
        <v/>
      </c>
      <c r="C9" s="1688" t="str">
        <f>IF(AB9=0,"",AB9)</f>
        <v/>
      </c>
      <c r="D9" s="3711" t="str">
        <f>IF(A8="","",$A$1)</f>
        <v/>
      </c>
      <c r="E9" s="3712"/>
      <c r="F9" s="2578"/>
      <c r="G9" s="2578"/>
      <c r="H9" s="2578"/>
      <c r="I9" s="2578"/>
      <c r="J9" s="2578"/>
      <c r="K9" s="2578"/>
      <c r="L9" s="2578"/>
      <c r="M9" s="2578"/>
      <c r="N9" s="2578"/>
      <c r="O9" s="2578"/>
      <c r="P9" s="2578"/>
      <c r="Q9" s="2578"/>
      <c r="R9" s="1221" t="str">
        <f>IF(A8="","",SUM(F9:Q9))</f>
        <v/>
      </c>
      <c r="S9" s="1222" t="str">
        <f>IF(D7="","",IF(R9="","",S$6))</f>
        <v/>
      </c>
      <c r="T9" s="1221" t="str">
        <f>IF(A8="","",(AL8*AC9))</f>
        <v/>
      </c>
      <c r="U9" s="1223" t="str">
        <f>IF(A8="","",IF(T9="","",U$6))</f>
        <v/>
      </c>
      <c r="V9" s="203" t="str">
        <f>IF(A8="","",SUM(V8)*IF(T8/COUNTIF(F8:Q8,"&gt;0")&lt;$X$4,$W$4,$V$4))</f>
        <v/>
      </c>
      <c r="W9" s="204" t="str">
        <f>IF(A8="","",IF(V9="","",W$6))</f>
        <v/>
      </c>
      <c r="X9" s="3715" t="str">
        <f>IF(A8="","",IF(X8="","",X$6))</f>
        <v/>
      </c>
      <c r="Y9" s="920">
        <f t="shared" ref="Y9:Y10" si="4">SUM(F9:Q9)</f>
        <v>0</v>
      </c>
      <c r="Z9" s="1587"/>
      <c r="AA9" s="1587">
        <f>'5 Eingabe Organisationskräfte'!C8</f>
        <v>0</v>
      </c>
      <c r="AB9" s="1587">
        <f>'5 Eingabe Organisationskräfte'!D8</f>
        <v>0</v>
      </c>
      <c r="AC9" s="1587">
        <f>'5 Eingabe Organisationskräfte'!E8</f>
        <v>0</v>
      </c>
      <c r="AD9" s="1587">
        <f>'5 Eingabe Organisationskräfte'!F8</f>
        <v>0</v>
      </c>
      <c r="AE9" s="1587">
        <f>'5 Eingabe Organisationskräfte'!G8</f>
        <v>0</v>
      </c>
      <c r="AF9" s="1587"/>
      <c r="AG9" s="1587"/>
      <c r="AH9" s="1587"/>
      <c r="AI9" s="1587"/>
      <c r="AJ9" s="1587"/>
      <c r="AK9" s="1587"/>
      <c r="AL9" s="920"/>
      <c r="AM9" s="378"/>
      <c r="AN9" s="199"/>
      <c r="AO9" s="199"/>
      <c r="AP9" s="338"/>
    </row>
    <row r="10" spans="1:42" s="76" customFormat="1" ht="24" customHeight="1" thickBot="1">
      <c r="A10" s="938" t="str">
        <f>IF(SUM(AD9)=0,"",A$4)</f>
        <v/>
      </c>
      <c r="B10" s="1691"/>
      <c r="C10" s="1690" t="str">
        <f>IF(AD9=0,"",AD9)</f>
        <v/>
      </c>
      <c r="D10" s="3729" t="str">
        <f>IF(C10="","",$A$2)</f>
        <v/>
      </c>
      <c r="E10" s="3730"/>
      <c r="F10" s="2579"/>
      <c r="G10" s="2579"/>
      <c r="H10" s="2579"/>
      <c r="I10" s="2579"/>
      <c r="J10" s="2579"/>
      <c r="K10" s="2579"/>
      <c r="L10" s="2579"/>
      <c r="M10" s="2579"/>
      <c r="N10" s="2579"/>
      <c r="O10" s="2579"/>
      <c r="P10" s="2579"/>
      <c r="Q10" s="2580"/>
      <c r="R10" s="1224" t="str">
        <f>IF(A8="","",SUM(F10:Q10))</f>
        <v/>
      </c>
      <c r="S10" s="1225" t="str">
        <f>IF(A8="","",IF(R10="","",S$7))</f>
        <v/>
      </c>
      <c r="T10" s="1226" t="str">
        <f>IF(A8="","",(AE9*AL8))</f>
        <v/>
      </c>
      <c r="U10" s="1225" t="str">
        <f>IF(A8="","",IF(T10="","",U$7))</f>
        <v/>
      </c>
      <c r="V10" s="201" t="str">
        <f>IF(A8="","",SUM(V8:V9,R10,T10))</f>
        <v/>
      </c>
      <c r="W10" s="959" t="str">
        <f>IF(A8="","",IF(V10="","",W$7))</f>
        <v/>
      </c>
      <c r="X10" s="3716"/>
      <c r="Y10" s="920">
        <f t="shared" si="4"/>
        <v>0</v>
      </c>
      <c r="Z10" s="1587"/>
      <c r="AA10" s="1587"/>
      <c r="AB10" s="1587"/>
      <c r="AC10" s="1587"/>
      <c r="AD10" s="1587"/>
      <c r="AE10" s="1587"/>
      <c r="AF10" s="1587"/>
      <c r="AG10" s="1587"/>
      <c r="AH10" s="1587"/>
      <c r="AI10" s="1587"/>
      <c r="AJ10" s="1587"/>
      <c r="AK10" s="1587"/>
      <c r="AL10" s="920"/>
      <c r="AM10" s="378"/>
      <c r="AN10" s="199"/>
      <c r="AO10" s="199"/>
      <c r="AP10" s="338"/>
    </row>
    <row r="11" spans="1:42" s="76" customFormat="1" ht="24" customHeight="1">
      <c r="A11" s="939" t="str">
        <f>IF('5 Eingabe Organisationskräfte'!A9="","",'5 Eingabe Organisationskräfte'!A9)</f>
        <v/>
      </c>
      <c r="B11" s="898" t="str">
        <f>IF(B12="","",AA$7)</f>
        <v/>
      </c>
      <c r="C11" s="898" t="str">
        <f>IF(C12="","",AB$7)</f>
        <v/>
      </c>
      <c r="E11" s="207">
        <f ca="1">IF('1 Erklärung'!$AA$2="","",'5 Eingabe Organisationskräfte'!AP9)</f>
        <v>0</v>
      </c>
      <c r="F11" s="3234" t="str">
        <f t="shared" ref="F11:Q11" si="5">IF(SUM(F12,F13)=0,Z11,SUM(F12,F13,Z11))</f>
        <v/>
      </c>
      <c r="G11" s="3234" t="str">
        <f t="shared" si="5"/>
        <v/>
      </c>
      <c r="H11" s="3234" t="str">
        <f t="shared" si="5"/>
        <v/>
      </c>
      <c r="I11" s="3234" t="str">
        <f t="shared" si="5"/>
        <v/>
      </c>
      <c r="J11" s="3234" t="str">
        <f t="shared" si="5"/>
        <v/>
      </c>
      <c r="K11" s="3234" t="str">
        <f t="shared" si="5"/>
        <v/>
      </c>
      <c r="L11" s="3234" t="str">
        <f t="shared" si="5"/>
        <v/>
      </c>
      <c r="M11" s="3234" t="str">
        <f t="shared" si="5"/>
        <v/>
      </c>
      <c r="N11" s="3234" t="str">
        <f t="shared" si="5"/>
        <v/>
      </c>
      <c r="O11" s="3234" t="str">
        <f t="shared" si="5"/>
        <v/>
      </c>
      <c r="P11" s="3234" t="str">
        <f t="shared" si="5"/>
        <v/>
      </c>
      <c r="Q11" s="3234" t="str">
        <f t="shared" si="5"/>
        <v/>
      </c>
      <c r="R11" s="894" t="str">
        <f ca="1">IF('1 Erklärung'!AA$2="","",IF(A11="","",SUM(F11:Q11)))</f>
        <v/>
      </c>
      <c r="S11" s="895"/>
      <c r="T11" s="1269" t="str">
        <f>IF(A11="","",SUM(R11,-R13,-R12))</f>
        <v/>
      </c>
      <c r="U11" s="1228" t="str">
        <f>IF(A11="","",IF(T11="","",$U$5))</f>
        <v/>
      </c>
      <c r="V11" s="1227" t="str">
        <f>IF(A11="","",SUM(T11,R12,T12))</f>
        <v/>
      </c>
      <c r="W11" s="1229" t="str">
        <f>IF(A11="","",IF(V11="","",$W$5))</f>
        <v/>
      </c>
      <c r="X11" s="206" t="str">
        <f>IF(A11="","",R11/COUNTIF(F11:Q11,"&gt;0"))</f>
        <v/>
      </c>
      <c r="Y11" s="920"/>
      <c r="Z11" s="1587" t="str">
        <f>IF('5 Eingabe Organisationskräfte'!AQ9&gt;0.4,'5 Eingabe Organisationskräfte'!$AP9*'5 Eingabe Organisationskräfte'!AQ9,"")</f>
        <v/>
      </c>
      <c r="AA11" s="1587" t="str">
        <f>IF('5 Eingabe Organisationskräfte'!AR9&gt;0.4,'5 Eingabe Organisationskräfte'!$AP9*'5 Eingabe Organisationskräfte'!AR9,"")</f>
        <v/>
      </c>
      <c r="AB11" s="1587" t="str">
        <f>IF('5 Eingabe Organisationskräfte'!AS9&gt;0.4,'5 Eingabe Organisationskräfte'!$AP9*'5 Eingabe Organisationskräfte'!AS9,"")</f>
        <v/>
      </c>
      <c r="AC11" s="1587" t="str">
        <f>IF('5 Eingabe Organisationskräfte'!AT9&gt;0.4,'5 Eingabe Organisationskräfte'!$AP9*'5 Eingabe Organisationskräfte'!AT9,"")</f>
        <v/>
      </c>
      <c r="AD11" s="1587" t="str">
        <f>IF('5 Eingabe Organisationskräfte'!AU9&gt;0.4,'5 Eingabe Organisationskräfte'!$AP9*'5 Eingabe Organisationskräfte'!AU9,"")</f>
        <v/>
      </c>
      <c r="AE11" s="1587" t="str">
        <f>IF('5 Eingabe Organisationskräfte'!AV9&gt;0.4,'5 Eingabe Organisationskräfte'!$AP9*'5 Eingabe Organisationskräfte'!AV9,"")</f>
        <v/>
      </c>
      <c r="AF11" s="1587" t="str">
        <f>IF('5 Eingabe Organisationskräfte'!AW9&gt;0.4,'5 Eingabe Organisationskräfte'!$AP9*'5 Eingabe Organisationskräfte'!AW9,"")</f>
        <v/>
      </c>
      <c r="AG11" s="1587" t="str">
        <f>IF('5 Eingabe Organisationskräfte'!AX9&gt;0.4,'5 Eingabe Organisationskräfte'!$AP9*'5 Eingabe Organisationskräfte'!AX9,"")</f>
        <v/>
      </c>
      <c r="AH11" s="1587" t="str">
        <f>IF('5 Eingabe Organisationskräfte'!AY9&gt;0.4,'5 Eingabe Organisationskräfte'!$AP9*'5 Eingabe Organisationskräfte'!AY9,"")</f>
        <v/>
      </c>
      <c r="AI11" s="1587" t="str">
        <f>IF('5 Eingabe Organisationskräfte'!AZ9&gt;0.4,'5 Eingabe Organisationskräfte'!$AP9*'5 Eingabe Organisationskräfte'!AZ9,"")</f>
        <v/>
      </c>
      <c r="AJ11" s="1587" t="str">
        <f>IF('5 Eingabe Organisationskräfte'!BA9&gt;0.4,'5 Eingabe Organisationskräfte'!$AP9*'5 Eingabe Organisationskräfte'!BA9,"")</f>
        <v/>
      </c>
      <c r="AK11" s="1587" t="str">
        <f>IF('5 Eingabe Organisationskräfte'!BB9&gt;0.4,'5 Eingabe Organisationskräfte'!$AP9*'5 Eingabe Organisationskräfte'!BB9,"")</f>
        <v/>
      </c>
      <c r="AL11" s="920" t="str">
        <f>'5 Eingabe Organisationskräfte'!AK9</f>
        <v/>
      </c>
      <c r="AM11" s="378"/>
      <c r="AN11" s="199"/>
      <c r="AO11" s="199"/>
      <c r="AP11" s="338"/>
    </row>
    <row r="12" spans="1:42" s="76" customFormat="1" ht="24" customHeight="1">
      <c r="A12" s="937" t="str">
        <f>IF(SUM(AA12:AB12)=0,"",A$4)</f>
        <v/>
      </c>
      <c r="B12" s="1687" t="str">
        <f>IF(AA12=0,"",AA12)</f>
        <v/>
      </c>
      <c r="C12" s="1688" t="str">
        <f>IF(AB12=0,"",AB12)</f>
        <v/>
      </c>
      <c r="D12" s="3711" t="str">
        <f>IF(A11="","",$A$1)</f>
        <v/>
      </c>
      <c r="E12" s="3712"/>
      <c r="F12" s="2578"/>
      <c r="G12" s="2578"/>
      <c r="H12" s="2578"/>
      <c r="I12" s="2578"/>
      <c r="J12" s="2578"/>
      <c r="K12" s="2578"/>
      <c r="L12" s="2578"/>
      <c r="M12" s="2578"/>
      <c r="N12" s="2578"/>
      <c r="O12" s="2578"/>
      <c r="P12" s="2578"/>
      <c r="Q12" s="2578"/>
      <c r="R12" s="1221" t="str">
        <f>IF(A11="","",SUM(F12:Q12))</f>
        <v/>
      </c>
      <c r="S12" s="1222" t="str">
        <f>IF(D10="","",IF(R12="","",S$6))</f>
        <v/>
      </c>
      <c r="T12" s="1221" t="str">
        <f>IF(A11="","",(AL11*AC12))</f>
        <v/>
      </c>
      <c r="U12" s="1223" t="str">
        <f>IF(A11="","",IF(T12="","",U$6))</f>
        <v/>
      </c>
      <c r="V12" s="203" t="str">
        <f>IF(A11="","",SUM(V11)*IF(T11/COUNTIF(F11:Q11,"&gt;0")&lt;$X$4,$W$4,$V$4))</f>
        <v/>
      </c>
      <c r="W12" s="204" t="str">
        <f>IF(A11="","",IF(V12="","",W$6))</f>
        <v/>
      </c>
      <c r="X12" s="3715" t="str">
        <f>IF(A11="","",IF(X11="","",X$6))</f>
        <v/>
      </c>
      <c r="Y12" s="920">
        <f t="shared" ref="Y12:Y13" si="6">SUM(F12:Q12)</f>
        <v>0</v>
      </c>
      <c r="Z12" s="1587"/>
      <c r="AA12" s="1587">
        <f>'5 Eingabe Organisationskräfte'!C9</f>
        <v>0</v>
      </c>
      <c r="AB12" s="1587">
        <f>'5 Eingabe Organisationskräfte'!D9</f>
        <v>0</v>
      </c>
      <c r="AC12" s="1587">
        <f>'5 Eingabe Organisationskräfte'!E9</f>
        <v>0</v>
      </c>
      <c r="AD12" s="1587">
        <f>'5 Eingabe Organisationskräfte'!F9</f>
        <v>0</v>
      </c>
      <c r="AE12" s="1587">
        <f>'5 Eingabe Organisationskräfte'!G9</f>
        <v>0</v>
      </c>
      <c r="AF12" s="1587"/>
      <c r="AG12" s="1587"/>
      <c r="AH12" s="1587"/>
      <c r="AI12" s="1587"/>
      <c r="AJ12" s="1587"/>
      <c r="AK12" s="1587"/>
      <c r="AL12" s="920"/>
      <c r="AM12" s="378"/>
      <c r="AN12" s="199"/>
      <c r="AO12" s="199"/>
      <c r="AP12" s="338"/>
    </row>
    <row r="13" spans="1:42" s="76" customFormat="1" ht="24" customHeight="1" thickBot="1">
      <c r="A13" s="938" t="str">
        <f>IF(SUM(AD12)=0,"",A$4)</f>
        <v/>
      </c>
      <c r="B13" s="1691"/>
      <c r="C13" s="1690" t="str">
        <f>IF(AD12=0,"",AD12)</f>
        <v/>
      </c>
      <c r="D13" s="3729" t="str">
        <f>IF(C13="","",$A$2)</f>
        <v/>
      </c>
      <c r="E13" s="3730"/>
      <c r="F13" s="2579"/>
      <c r="G13" s="2579"/>
      <c r="H13" s="2579"/>
      <c r="I13" s="2579"/>
      <c r="J13" s="2579"/>
      <c r="K13" s="2579"/>
      <c r="L13" s="2579"/>
      <c r="M13" s="2579"/>
      <c r="N13" s="2579"/>
      <c r="O13" s="2579"/>
      <c r="P13" s="2579"/>
      <c r="Q13" s="2580"/>
      <c r="R13" s="1224" t="str">
        <f>IF(A11="","",SUM(F13:Q13))</f>
        <v/>
      </c>
      <c r="S13" s="1225" t="str">
        <f>IF(A11="","",IF(R13="","",S$7))</f>
        <v/>
      </c>
      <c r="T13" s="1226" t="str">
        <f>IF(A11="","",(AE12*AL11))</f>
        <v/>
      </c>
      <c r="U13" s="1225" t="str">
        <f>IF(A11="","",IF(T13="","",U$7))</f>
        <v/>
      </c>
      <c r="V13" s="201" t="str">
        <f>IF(A11="","",SUM(V11:V12,R13,T13))</f>
        <v/>
      </c>
      <c r="W13" s="959" t="str">
        <f>IF(A11="","",IF(V13="","",W$7))</f>
        <v/>
      </c>
      <c r="X13" s="3716"/>
      <c r="Y13" s="920">
        <f t="shared" si="6"/>
        <v>0</v>
      </c>
      <c r="Z13" s="1587"/>
      <c r="AA13" s="1587"/>
      <c r="AB13" s="1587"/>
      <c r="AC13" s="1587"/>
      <c r="AD13" s="1587"/>
      <c r="AE13" s="1587"/>
      <c r="AF13" s="1587"/>
      <c r="AG13" s="1587"/>
      <c r="AH13" s="1587"/>
      <c r="AI13" s="1587"/>
      <c r="AJ13" s="1587"/>
      <c r="AK13" s="1587"/>
      <c r="AL13" s="920"/>
      <c r="AM13" s="378"/>
      <c r="AN13" s="199"/>
      <c r="AO13" s="199"/>
      <c r="AP13" s="338"/>
    </row>
    <row r="14" spans="1:42" s="76" customFormat="1" ht="24" customHeight="1">
      <c r="A14" s="939" t="str">
        <f>IF('5 Eingabe Organisationskräfte'!A10="","",'5 Eingabe Organisationskräfte'!A10)</f>
        <v/>
      </c>
      <c r="B14" s="898" t="str">
        <f>IF(B15="","",AA$7)</f>
        <v/>
      </c>
      <c r="C14" s="898" t="str">
        <f>IF(C15="","",AB$7)</f>
        <v/>
      </c>
      <c r="E14" s="207">
        <f ca="1">IF('1 Erklärung'!$AA$2="","",'5 Eingabe Organisationskräfte'!AP10)</f>
        <v>0</v>
      </c>
      <c r="F14" s="3234" t="str">
        <f t="shared" ref="F14:Q14" si="7">IF(SUM(F15,F16)=0,Z14,SUM(F15,F16,Z14))</f>
        <v/>
      </c>
      <c r="G14" s="3234" t="str">
        <f t="shared" si="7"/>
        <v/>
      </c>
      <c r="H14" s="3234" t="str">
        <f t="shared" si="7"/>
        <v/>
      </c>
      <c r="I14" s="3234" t="str">
        <f t="shared" si="7"/>
        <v/>
      </c>
      <c r="J14" s="3234" t="str">
        <f t="shared" si="7"/>
        <v/>
      </c>
      <c r="K14" s="3234" t="str">
        <f t="shared" si="7"/>
        <v/>
      </c>
      <c r="L14" s="3234" t="str">
        <f t="shared" si="7"/>
        <v/>
      </c>
      <c r="M14" s="3234" t="str">
        <f t="shared" si="7"/>
        <v/>
      </c>
      <c r="N14" s="3234" t="str">
        <f t="shared" si="7"/>
        <v/>
      </c>
      <c r="O14" s="3234" t="str">
        <f t="shared" si="7"/>
        <v/>
      </c>
      <c r="P14" s="3234" t="str">
        <f t="shared" si="7"/>
        <v/>
      </c>
      <c r="Q14" s="3234" t="str">
        <f t="shared" si="7"/>
        <v/>
      </c>
      <c r="R14" s="894" t="str">
        <f ca="1">IF('1 Erklärung'!AA$2="","",IF(A14="","",SUM(F14:Q14)))</f>
        <v/>
      </c>
      <c r="S14" s="895"/>
      <c r="T14" s="1269" t="str">
        <f>IF(A14="","",SUM(R14,-R16,-R15))</f>
        <v/>
      </c>
      <c r="U14" s="1228" t="str">
        <f>IF(A14="","",IF(T14="","",$U$5))</f>
        <v/>
      </c>
      <c r="V14" s="1227" t="str">
        <f>IF(A14="","",SUM(T14,R15,T15))</f>
        <v/>
      </c>
      <c r="W14" s="1229" t="str">
        <f>IF(A14="","",IF(V14="","",$W$5))</f>
        <v/>
      </c>
      <c r="X14" s="206" t="str">
        <f>IF(A14="","",R14/COUNTIF(F14:Q14,"&gt;0"))</f>
        <v/>
      </c>
      <c r="Y14" s="920"/>
      <c r="Z14" s="1587" t="str">
        <f>IF('5 Eingabe Organisationskräfte'!AQ10&gt;0.4,'5 Eingabe Organisationskräfte'!$AP10*'5 Eingabe Organisationskräfte'!AQ10,"")</f>
        <v/>
      </c>
      <c r="AA14" s="1587" t="str">
        <f>IF('5 Eingabe Organisationskräfte'!AR10&gt;0.4,'5 Eingabe Organisationskräfte'!$AP10*'5 Eingabe Organisationskräfte'!AR10,"")</f>
        <v/>
      </c>
      <c r="AB14" s="1587" t="str">
        <f>IF('5 Eingabe Organisationskräfte'!AS10&gt;0.4,'5 Eingabe Organisationskräfte'!$AP10*'5 Eingabe Organisationskräfte'!AS10,"")</f>
        <v/>
      </c>
      <c r="AC14" s="1587" t="str">
        <f>IF('5 Eingabe Organisationskräfte'!AT10&gt;0.4,'5 Eingabe Organisationskräfte'!$AP10*'5 Eingabe Organisationskräfte'!AT10,"")</f>
        <v/>
      </c>
      <c r="AD14" s="1587" t="str">
        <f>IF('5 Eingabe Organisationskräfte'!AU10&gt;0.4,'5 Eingabe Organisationskräfte'!$AP10*'5 Eingabe Organisationskräfte'!AU10,"")</f>
        <v/>
      </c>
      <c r="AE14" s="1587" t="str">
        <f>IF('5 Eingabe Organisationskräfte'!AV10&gt;0.4,'5 Eingabe Organisationskräfte'!$AP10*'5 Eingabe Organisationskräfte'!AV10,"")</f>
        <v/>
      </c>
      <c r="AF14" s="1587" t="str">
        <f>IF('5 Eingabe Organisationskräfte'!AW10&gt;0.4,'5 Eingabe Organisationskräfte'!$AP10*'5 Eingabe Organisationskräfte'!AW10,"")</f>
        <v/>
      </c>
      <c r="AG14" s="1587" t="str">
        <f>IF('5 Eingabe Organisationskräfte'!AX10&gt;0.4,'5 Eingabe Organisationskräfte'!$AP10*'5 Eingabe Organisationskräfte'!AX10,"")</f>
        <v/>
      </c>
      <c r="AH14" s="1587" t="str">
        <f>IF('5 Eingabe Organisationskräfte'!AY10&gt;0.4,'5 Eingabe Organisationskräfte'!$AP10*'5 Eingabe Organisationskräfte'!AY10,"")</f>
        <v/>
      </c>
      <c r="AI14" s="1587" t="str">
        <f>IF('5 Eingabe Organisationskräfte'!AZ10&gt;0.4,'5 Eingabe Organisationskräfte'!$AP10*'5 Eingabe Organisationskräfte'!AZ10,"")</f>
        <v/>
      </c>
      <c r="AJ14" s="1587" t="str">
        <f>IF('5 Eingabe Organisationskräfte'!BA10&gt;0.4,'5 Eingabe Organisationskräfte'!$AP10*'5 Eingabe Organisationskräfte'!BA10,"")</f>
        <v/>
      </c>
      <c r="AK14" s="1587" t="str">
        <f>IF('5 Eingabe Organisationskräfte'!BB10&gt;0.4,'5 Eingabe Organisationskräfte'!$AP10*'5 Eingabe Organisationskräfte'!BB10,"")</f>
        <v/>
      </c>
      <c r="AL14" s="920" t="str">
        <f>'5 Eingabe Organisationskräfte'!AK10</f>
        <v/>
      </c>
      <c r="AM14" s="378"/>
      <c r="AN14" s="199"/>
      <c r="AO14" s="199"/>
      <c r="AP14" s="338"/>
    </row>
    <row r="15" spans="1:42" s="76" customFormat="1" ht="24" customHeight="1">
      <c r="A15" s="937" t="str">
        <f>IF(SUM(AA15:AB15)=0,"",A$4)</f>
        <v/>
      </c>
      <c r="B15" s="1687" t="str">
        <f>IF(AA15=0,"",AA15)</f>
        <v/>
      </c>
      <c r="C15" s="1688" t="str">
        <f>IF(AB15=0,"",AB15)</f>
        <v/>
      </c>
      <c r="D15" s="3711" t="str">
        <f>IF(A14="","",$A$1)</f>
        <v/>
      </c>
      <c r="E15" s="3712"/>
      <c r="F15" s="2578"/>
      <c r="G15" s="2578"/>
      <c r="H15" s="2578"/>
      <c r="I15" s="2578"/>
      <c r="J15" s="2578"/>
      <c r="K15" s="2578"/>
      <c r="L15" s="2578"/>
      <c r="M15" s="2578"/>
      <c r="N15" s="2578"/>
      <c r="O15" s="2578"/>
      <c r="P15" s="2578"/>
      <c r="Q15" s="2578"/>
      <c r="R15" s="1221" t="str">
        <f>IF(A14="","",SUM(F15:Q15))</f>
        <v/>
      </c>
      <c r="S15" s="1222" t="str">
        <f>IF(D13="","",IF(R15="","",S$6))</f>
        <v/>
      </c>
      <c r="T15" s="1221" t="str">
        <f>IF(A14="","",(AL14*AC15))</f>
        <v/>
      </c>
      <c r="U15" s="1223" t="str">
        <f>IF(A14="","",IF(T15="","",U$6))</f>
        <v/>
      </c>
      <c r="V15" s="203" t="str">
        <f>IF(A14="","",SUM(V14)*IF(T14/COUNTIF(F14:Q14,"&gt;0")&lt;$X$4,$W$4,$V$4))</f>
        <v/>
      </c>
      <c r="W15" s="204" t="str">
        <f>IF(A14="","",IF(V15="","",W$6))</f>
        <v/>
      </c>
      <c r="X15" s="3715" t="str">
        <f>IF(A14="","",IF(X14="","",X$6))</f>
        <v/>
      </c>
      <c r="Y15" s="920">
        <f t="shared" ref="Y15:Y16" si="8">SUM(F15:Q15)</f>
        <v>0</v>
      </c>
      <c r="Z15" s="1587"/>
      <c r="AA15" s="1587">
        <f>'5 Eingabe Organisationskräfte'!C10</f>
        <v>0</v>
      </c>
      <c r="AB15" s="1587">
        <f>'5 Eingabe Organisationskräfte'!D10</f>
        <v>0</v>
      </c>
      <c r="AC15" s="1587">
        <f>'5 Eingabe Organisationskräfte'!E10</f>
        <v>0</v>
      </c>
      <c r="AD15" s="1587">
        <f>'5 Eingabe Organisationskräfte'!F10</f>
        <v>0</v>
      </c>
      <c r="AE15" s="1587">
        <f>'5 Eingabe Organisationskräfte'!G10</f>
        <v>0</v>
      </c>
      <c r="AF15" s="1587"/>
      <c r="AG15" s="1587"/>
      <c r="AH15" s="1587"/>
      <c r="AI15" s="1587"/>
      <c r="AJ15" s="1587"/>
      <c r="AK15" s="1587"/>
      <c r="AL15" s="920"/>
      <c r="AM15" s="378"/>
      <c r="AN15" s="199"/>
      <c r="AO15" s="199"/>
      <c r="AP15" s="338"/>
    </row>
    <row r="16" spans="1:42" s="76" customFormat="1" ht="24" customHeight="1" thickBot="1">
      <c r="A16" s="938" t="str">
        <f>IF(SUM(AD15)=0,"",A$4)</f>
        <v/>
      </c>
      <c r="B16" s="1691"/>
      <c r="C16" s="1690" t="str">
        <f>IF(AD15=0,"",AD15)</f>
        <v/>
      </c>
      <c r="D16" s="3729" t="str">
        <f>IF(C16="","",$A$2)</f>
        <v/>
      </c>
      <c r="E16" s="3730"/>
      <c r="F16" s="2579"/>
      <c r="G16" s="2579"/>
      <c r="H16" s="2579"/>
      <c r="I16" s="2579"/>
      <c r="J16" s="2579"/>
      <c r="K16" s="2579"/>
      <c r="L16" s="2579"/>
      <c r="M16" s="2579"/>
      <c r="N16" s="2579"/>
      <c r="O16" s="2579"/>
      <c r="P16" s="2579"/>
      <c r="Q16" s="2580"/>
      <c r="R16" s="1224" t="str">
        <f>IF(A14="","",SUM(F16:Q16))</f>
        <v/>
      </c>
      <c r="S16" s="1225" t="str">
        <f>IF(A14="","",IF(R16="","",S$7))</f>
        <v/>
      </c>
      <c r="T16" s="1226" t="str">
        <f>IF(A14="","",(AE15*AL14))</f>
        <v/>
      </c>
      <c r="U16" s="1225" t="str">
        <f>IF(A14="","",IF(T16="","",U$7))</f>
        <v/>
      </c>
      <c r="V16" s="201" t="str">
        <f>IF(A14="","",SUM(V14:V15,R16,T16))</f>
        <v/>
      </c>
      <c r="W16" s="959" t="str">
        <f>IF(A14="","",IF(V16="","",W$7))</f>
        <v/>
      </c>
      <c r="X16" s="3716"/>
      <c r="Y16" s="920">
        <f t="shared" si="8"/>
        <v>0</v>
      </c>
      <c r="Z16" s="1587"/>
      <c r="AA16" s="1587"/>
      <c r="AB16" s="1587"/>
      <c r="AC16" s="1587"/>
      <c r="AD16" s="1587"/>
      <c r="AE16" s="1587"/>
      <c r="AF16" s="1587"/>
      <c r="AG16" s="1587"/>
      <c r="AH16" s="1587"/>
      <c r="AI16" s="1587"/>
      <c r="AJ16" s="1587"/>
      <c r="AK16" s="1587"/>
      <c r="AL16" s="920"/>
      <c r="AM16" s="378"/>
      <c r="AN16" s="199"/>
      <c r="AO16" s="199"/>
      <c r="AP16" s="338"/>
    </row>
    <row r="17" spans="1:42" s="76" customFormat="1" ht="24" customHeight="1">
      <c r="A17" s="939" t="str">
        <f>IF('5 Eingabe Organisationskräfte'!A11="","",'5 Eingabe Organisationskräfte'!A11)</f>
        <v/>
      </c>
      <c r="B17" s="898" t="str">
        <f>IF(B18="","",AA$7)</f>
        <v/>
      </c>
      <c r="C17" s="898" t="str">
        <f>IF(C18="","",AB$7)</f>
        <v/>
      </c>
      <c r="E17" s="207">
        <f ca="1">IF('1 Erklärung'!$AA$2="","",'5 Eingabe Organisationskräfte'!AP11)</f>
        <v>0</v>
      </c>
      <c r="F17" s="3234" t="str">
        <f t="shared" ref="F17:Q17" si="9">IF(SUM(F18,F19)=0,Z17,SUM(F18,F19,Z17))</f>
        <v/>
      </c>
      <c r="G17" s="3234" t="str">
        <f t="shared" si="9"/>
        <v/>
      </c>
      <c r="H17" s="3234" t="str">
        <f t="shared" si="9"/>
        <v/>
      </c>
      <c r="I17" s="3234" t="str">
        <f t="shared" si="9"/>
        <v/>
      </c>
      <c r="J17" s="3234" t="str">
        <f t="shared" si="9"/>
        <v/>
      </c>
      <c r="K17" s="3234" t="str">
        <f t="shared" si="9"/>
        <v/>
      </c>
      <c r="L17" s="3234" t="str">
        <f t="shared" si="9"/>
        <v/>
      </c>
      <c r="M17" s="3234" t="str">
        <f t="shared" si="9"/>
        <v/>
      </c>
      <c r="N17" s="3234" t="str">
        <f t="shared" si="9"/>
        <v/>
      </c>
      <c r="O17" s="3234" t="str">
        <f t="shared" si="9"/>
        <v/>
      </c>
      <c r="P17" s="3234" t="str">
        <f t="shared" si="9"/>
        <v/>
      </c>
      <c r="Q17" s="3234" t="str">
        <f t="shared" si="9"/>
        <v/>
      </c>
      <c r="R17" s="894" t="str">
        <f ca="1">IF('1 Erklärung'!AA$2="","",IF(A17="","",SUM(F17:Q17)))</f>
        <v/>
      </c>
      <c r="S17" s="895"/>
      <c r="T17" s="1269" t="str">
        <f>IF(A17="","",SUM(R17,-R19,-R18))</f>
        <v/>
      </c>
      <c r="U17" s="1228" t="str">
        <f>IF(A17="","",IF(T17="","",$U$5))</f>
        <v/>
      </c>
      <c r="V17" s="1227" t="str">
        <f>IF(A17="","",SUM(T17,R18,T18))</f>
        <v/>
      </c>
      <c r="W17" s="1229" t="str">
        <f>IF(A17="","",IF(V17="","",$W$5))</f>
        <v/>
      </c>
      <c r="X17" s="206" t="str">
        <f>IF(A17="","",R17/COUNTIF(F17:Q17,"&gt;0"))</f>
        <v/>
      </c>
      <c r="Y17" s="920"/>
      <c r="Z17" s="1587" t="str">
        <f>IF('5 Eingabe Organisationskräfte'!AQ11&gt;0.4,'5 Eingabe Organisationskräfte'!$AP11*'5 Eingabe Organisationskräfte'!AQ11,"")</f>
        <v/>
      </c>
      <c r="AA17" s="1587" t="str">
        <f>IF('5 Eingabe Organisationskräfte'!AR11&gt;0.4,'5 Eingabe Organisationskräfte'!$AP11*'5 Eingabe Organisationskräfte'!AR11,"")</f>
        <v/>
      </c>
      <c r="AB17" s="1587" t="str">
        <f>IF('5 Eingabe Organisationskräfte'!AS11&gt;0.4,'5 Eingabe Organisationskräfte'!$AP11*'5 Eingabe Organisationskräfte'!AS11,"")</f>
        <v/>
      </c>
      <c r="AC17" s="1587" t="str">
        <f>IF('5 Eingabe Organisationskräfte'!AT11&gt;0.4,'5 Eingabe Organisationskräfte'!$AP11*'5 Eingabe Organisationskräfte'!AT11,"")</f>
        <v/>
      </c>
      <c r="AD17" s="1587" t="str">
        <f>IF('5 Eingabe Organisationskräfte'!AU11&gt;0.4,'5 Eingabe Organisationskräfte'!$AP11*'5 Eingabe Organisationskräfte'!AU11,"")</f>
        <v/>
      </c>
      <c r="AE17" s="1587" t="str">
        <f>IF('5 Eingabe Organisationskräfte'!AV11&gt;0.4,'5 Eingabe Organisationskräfte'!$AP11*'5 Eingabe Organisationskräfte'!AV11,"")</f>
        <v/>
      </c>
      <c r="AF17" s="1587" t="str">
        <f>IF('5 Eingabe Organisationskräfte'!AW11&gt;0.4,'5 Eingabe Organisationskräfte'!$AP11*'5 Eingabe Organisationskräfte'!AW11,"")</f>
        <v/>
      </c>
      <c r="AG17" s="1587" t="str">
        <f>IF('5 Eingabe Organisationskräfte'!AX11&gt;0.4,'5 Eingabe Organisationskräfte'!$AP11*'5 Eingabe Organisationskräfte'!AX11,"")</f>
        <v/>
      </c>
      <c r="AH17" s="1587" t="str">
        <f>IF('5 Eingabe Organisationskräfte'!AY11&gt;0.4,'5 Eingabe Organisationskräfte'!$AP11*'5 Eingabe Organisationskräfte'!AY11,"")</f>
        <v/>
      </c>
      <c r="AI17" s="1587" t="str">
        <f>IF('5 Eingabe Organisationskräfte'!AZ11&gt;0.4,'5 Eingabe Organisationskräfte'!$AP11*'5 Eingabe Organisationskräfte'!AZ11,"")</f>
        <v/>
      </c>
      <c r="AJ17" s="1587" t="str">
        <f>IF('5 Eingabe Organisationskräfte'!BA11&gt;0.4,'5 Eingabe Organisationskräfte'!$AP11*'5 Eingabe Organisationskräfte'!BA11,"")</f>
        <v/>
      </c>
      <c r="AK17" s="1587" t="str">
        <f>IF('5 Eingabe Organisationskräfte'!BB11&gt;0.4,'5 Eingabe Organisationskräfte'!$AP11*'5 Eingabe Organisationskräfte'!BB11,"")</f>
        <v/>
      </c>
      <c r="AL17" s="920" t="str">
        <f>'5 Eingabe Organisationskräfte'!AK11</f>
        <v/>
      </c>
      <c r="AM17" s="378"/>
      <c r="AN17" s="199"/>
      <c r="AO17" s="199"/>
      <c r="AP17" s="338"/>
    </row>
    <row r="18" spans="1:42" s="76" customFormat="1" ht="24" customHeight="1">
      <c r="A18" s="937" t="str">
        <f>IF(SUM(AA18:AB18)=0,"",A$4)</f>
        <v/>
      </c>
      <c r="B18" s="1687" t="str">
        <f>IF(AA18=0,"",AA18)</f>
        <v/>
      </c>
      <c r="C18" s="1688" t="str">
        <f>IF(AB18=0,"",AB18)</f>
        <v/>
      </c>
      <c r="D18" s="3711" t="str">
        <f>IF(A17="","",$A$1)</f>
        <v/>
      </c>
      <c r="E18" s="3712"/>
      <c r="F18" s="2578"/>
      <c r="G18" s="2578"/>
      <c r="H18" s="2578"/>
      <c r="I18" s="2578"/>
      <c r="J18" s="2578"/>
      <c r="K18" s="2578"/>
      <c r="L18" s="2578"/>
      <c r="M18" s="2578"/>
      <c r="N18" s="2578"/>
      <c r="O18" s="2578"/>
      <c r="P18" s="2578"/>
      <c r="Q18" s="2578"/>
      <c r="R18" s="1221" t="str">
        <f>IF(A17="","",SUM(F18:Q18))</f>
        <v/>
      </c>
      <c r="S18" s="1222" t="str">
        <f>IF(D16="","",IF(R18="","",S$6))</f>
        <v/>
      </c>
      <c r="T18" s="1221" t="str">
        <f>IF(A17="","",(AL17*AC18))</f>
        <v/>
      </c>
      <c r="U18" s="1223" t="str">
        <f>IF(A17="","",IF(T18="","",U$6))</f>
        <v/>
      </c>
      <c r="V18" s="203" t="str">
        <f>IF(A17="","",SUM(V17)*IF(T17/COUNTIF(F17:Q17,"&gt;0")&lt;$X$4,$W$4,$V$4))</f>
        <v/>
      </c>
      <c r="W18" s="204" t="str">
        <f>IF(A17="","",IF(V18="","",W$6))</f>
        <v/>
      </c>
      <c r="X18" s="3715" t="str">
        <f>IF(A17="","",IF(X17="","",X$6))</f>
        <v/>
      </c>
      <c r="Y18" s="920">
        <f t="shared" ref="Y18:Y19" si="10">SUM(F18:Q18)</f>
        <v>0</v>
      </c>
      <c r="Z18" s="1587"/>
      <c r="AA18" s="1587">
        <f>'5 Eingabe Organisationskräfte'!C11</f>
        <v>0</v>
      </c>
      <c r="AB18" s="1587">
        <f>'5 Eingabe Organisationskräfte'!D11</f>
        <v>0</v>
      </c>
      <c r="AC18" s="1587">
        <f>'5 Eingabe Organisationskräfte'!E11</f>
        <v>0</v>
      </c>
      <c r="AD18" s="1587">
        <f>'5 Eingabe Organisationskräfte'!F11</f>
        <v>0</v>
      </c>
      <c r="AE18" s="1587">
        <f>'5 Eingabe Organisationskräfte'!G11</f>
        <v>0</v>
      </c>
      <c r="AF18" s="1587"/>
      <c r="AG18" s="1587"/>
      <c r="AH18" s="1587"/>
      <c r="AI18" s="1587"/>
      <c r="AJ18" s="1587"/>
      <c r="AK18" s="1587"/>
      <c r="AL18" s="920"/>
      <c r="AM18" s="378"/>
      <c r="AN18" s="199"/>
      <c r="AO18" s="199"/>
      <c r="AP18" s="338"/>
    </row>
    <row r="19" spans="1:42" s="76" customFormat="1" ht="24" customHeight="1" thickBot="1">
      <c r="A19" s="938" t="str">
        <f>IF(SUM(AD18)=0,"",A$4)</f>
        <v/>
      </c>
      <c r="B19" s="1691"/>
      <c r="C19" s="1690" t="str">
        <f>IF(AD18=0,"",AD18)</f>
        <v/>
      </c>
      <c r="D19" s="3729" t="str">
        <f>IF(C19="","",$A$2)</f>
        <v/>
      </c>
      <c r="E19" s="3730"/>
      <c r="F19" s="2579"/>
      <c r="G19" s="2579"/>
      <c r="H19" s="2579"/>
      <c r="I19" s="2579"/>
      <c r="J19" s="2579"/>
      <c r="K19" s="2579"/>
      <c r="L19" s="2579"/>
      <c r="M19" s="2579"/>
      <c r="N19" s="2579"/>
      <c r="O19" s="2579"/>
      <c r="P19" s="2579"/>
      <c r="Q19" s="2580"/>
      <c r="R19" s="1224" t="str">
        <f>IF(A17="","",SUM(F19:Q19))</f>
        <v/>
      </c>
      <c r="S19" s="1225" t="str">
        <f>IF(A17="","",IF(R19="","",S$7))</f>
        <v/>
      </c>
      <c r="T19" s="1226" t="str">
        <f>IF(A17="","",(AE18*AL17))</f>
        <v/>
      </c>
      <c r="U19" s="1225" t="str">
        <f>IF(A17="","",IF(T19="","",U$7))</f>
        <v/>
      </c>
      <c r="V19" s="201" t="str">
        <f>IF(A17="","",SUM(V17:V18,R19,T19))</f>
        <v/>
      </c>
      <c r="W19" s="959" t="str">
        <f>IF(A17="","",IF(V19="","",W$7))</f>
        <v/>
      </c>
      <c r="X19" s="3716"/>
      <c r="Y19" s="920">
        <f t="shared" si="10"/>
        <v>0</v>
      </c>
      <c r="Z19" s="1587"/>
      <c r="AA19" s="1587"/>
      <c r="AB19" s="1587"/>
      <c r="AC19" s="1587"/>
      <c r="AD19" s="1587"/>
      <c r="AE19" s="1587"/>
      <c r="AF19" s="1587"/>
      <c r="AG19" s="1587"/>
      <c r="AH19" s="1587"/>
      <c r="AI19" s="1587"/>
      <c r="AJ19" s="1587"/>
      <c r="AK19" s="1587"/>
      <c r="AL19" s="920"/>
      <c r="AM19" s="378"/>
      <c r="AN19" s="199"/>
      <c r="AO19" s="199"/>
      <c r="AP19" s="338"/>
    </row>
    <row r="20" spans="1:42" s="76" customFormat="1" ht="24" customHeight="1">
      <c r="A20" s="939" t="str">
        <f>IF('5 Eingabe Organisationskräfte'!A12="","",'5 Eingabe Organisationskräfte'!A12)</f>
        <v/>
      </c>
      <c r="B20" s="898" t="str">
        <f>IF(B21="","",AA$7)</f>
        <v/>
      </c>
      <c r="C20" s="898" t="str">
        <f>IF(C21="","",AB$7)</f>
        <v/>
      </c>
      <c r="E20" s="207">
        <f ca="1">IF('1 Erklärung'!$AA$2="","",'5 Eingabe Organisationskräfte'!AP12)</f>
        <v>0</v>
      </c>
      <c r="F20" s="3234" t="str">
        <f t="shared" ref="F20:Q20" si="11">IF(SUM(F21,F22)=0,Z20,SUM(F21,F22,Z20))</f>
        <v/>
      </c>
      <c r="G20" s="3234" t="str">
        <f t="shared" si="11"/>
        <v/>
      </c>
      <c r="H20" s="3234" t="str">
        <f t="shared" si="11"/>
        <v/>
      </c>
      <c r="I20" s="3234" t="str">
        <f t="shared" si="11"/>
        <v/>
      </c>
      <c r="J20" s="3234" t="str">
        <f t="shared" si="11"/>
        <v/>
      </c>
      <c r="K20" s="3234" t="str">
        <f t="shared" si="11"/>
        <v/>
      </c>
      <c r="L20" s="3234" t="str">
        <f t="shared" si="11"/>
        <v/>
      </c>
      <c r="M20" s="3234" t="str">
        <f t="shared" si="11"/>
        <v/>
      </c>
      <c r="N20" s="3234" t="str">
        <f t="shared" si="11"/>
        <v/>
      </c>
      <c r="O20" s="3234" t="str">
        <f t="shared" si="11"/>
        <v/>
      </c>
      <c r="P20" s="3234" t="str">
        <f t="shared" si="11"/>
        <v/>
      </c>
      <c r="Q20" s="3234" t="str">
        <f t="shared" si="11"/>
        <v/>
      </c>
      <c r="R20" s="894" t="str">
        <f ca="1">IF('1 Erklärung'!AA$2="","",IF(A20="","",SUM(F20:Q20)))</f>
        <v/>
      </c>
      <c r="S20" s="895"/>
      <c r="T20" s="1269" t="str">
        <f>IF(A20="","",SUM(R20,-R22,-R21))</f>
        <v/>
      </c>
      <c r="U20" s="1228" t="str">
        <f>IF(A20="","",IF(T20="","",$U$5))</f>
        <v/>
      </c>
      <c r="V20" s="1227" t="str">
        <f>IF(A20="","",SUM(T20,R21,T21))</f>
        <v/>
      </c>
      <c r="W20" s="1229" t="str">
        <f>IF(A20="","",IF(V20="","",$W$5))</f>
        <v/>
      </c>
      <c r="X20" s="206" t="str">
        <f>IF(A20="","",R20/COUNTIF(F20:Q20,"&gt;0"))</f>
        <v/>
      </c>
      <c r="Y20" s="920"/>
      <c r="Z20" s="1587" t="str">
        <f>IF('5 Eingabe Organisationskräfte'!AQ12&gt;0.4,'5 Eingabe Organisationskräfte'!$AP12*'5 Eingabe Organisationskräfte'!AQ12,"")</f>
        <v/>
      </c>
      <c r="AA20" s="1587" t="str">
        <f>IF('5 Eingabe Organisationskräfte'!AR12&gt;0.4,'5 Eingabe Organisationskräfte'!$AP12*'5 Eingabe Organisationskräfte'!AR12,"")</f>
        <v/>
      </c>
      <c r="AB20" s="1587" t="str">
        <f>IF('5 Eingabe Organisationskräfte'!AS12&gt;0.4,'5 Eingabe Organisationskräfte'!$AP12*'5 Eingabe Organisationskräfte'!AS12,"")</f>
        <v/>
      </c>
      <c r="AC20" s="1587" t="str">
        <f>IF('5 Eingabe Organisationskräfte'!AT12&gt;0.4,'5 Eingabe Organisationskräfte'!$AP12*'5 Eingabe Organisationskräfte'!AT12,"")</f>
        <v/>
      </c>
      <c r="AD20" s="1587" t="str">
        <f>IF('5 Eingabe Organisationskräfte'!AU12&gt;0.4,'5 Eingabe Organisationskräfte'!$AP12*'5 Eingabe Organisationskräfte'!AU12,"")</f>
        <v/>
      </c>
      <c r="AE20" s="1587" t="str">
        <f>IF('5 Eingabe Organisationskräfte'!AV12&gt;0.4,'5 Eingabe Organisationskräfte'!$AP12*'5 Eingabe Organisationskräfte'!AV12,"")</f>
        <v/>
      </c>
      <c r="AF20" s="1587" t="str">
        <f>IF('5 Eingabe Organisationskräfte'!AW12&gt;0.4,'5 Eingabe Organisationskräfte'!$AP12*'5 Eingabe Organisationskräfte'!AW12,"")</f>
        <v/>
      </c>
      <c r="AG20" s="1587" t="str">
        <f>IF('5 Eingabe Organisationskräfte'!AX12&gt;0.4,'5 Eingabe Organisationskräfte'!$AP12*'5 Eingabe Organisationskräfte'!AX12,"")</f>
        <v/>
      </c>
      <c r="AH20" s="1587" t="str">
        <f>IF('5 Eingabe Organisationskräfte'!AY12&gt;0.4,'5 Eingabe Organisationskräfte'!$AP12*'5 Eingabe Organisationskräfte'!AY12,"")</f>
        <v/>
      </c>
      <c r="AI20" s="1587" t="str">
        <f>IF('5 Eingabe Organisationskräfte'!AZ12&gt;0.4,'5 Eingabe Organisationskräfte'!$AP12*'5 Eingabe Organisationskräfte'!AZ12,"")</f>
        <v/>
      </c>
      <c r="AJ20" s="1587" t="str">
        <f>IF('5 Eingabe Organisationskräfte'!BA12&gt;0.4,'5 Eingabe Organisationskräfte'!$AP12*'5 Eingabe Organisationskräfte'!BA12,"")</f>
        <v/>
      </c>
      <c r="AK20" s="1587" t="str">
        <f>IF('5 Eingabe Organisationskräfte'!BB12&gt;0.4,'5 Eingabe Organisationskräfte'!$AP12*'5 Eingabe Organisationskräfte'!BB12,"")</f>
        <v/>
      </c>
      <c r="AL20" s="920" t="str">
        <f>'5 Eingabe Organisationskräfte'!AK12</f>
        <v/>
      </c>
      <c r="AM20" s="378"/>
      <c r="AN20" s="199"/>
      <c r="AO20" s="199"/>
      <c r="AP20" s="338"/>
    </row>
    <row r="21" spans="1:42" s="76" customFormat="1" ht="24" customHeight="1">
      <c r="A21" s="937" t="str">
        <f>IF(SUM(AA21:AB21)=0,"",A$4)</f>
        <v/>
      </c>
      <c r="B21" s="1687" t="str">
        <f>IF(AA21=0,"",AA21)</f>
        <v/>
      </c>
      <c r="C21" s="1688" t="str">
        <f>IF(AB21=0,"",AB21)</f>
        <v/>
      </c>
      <c r="D21" s="3711" t="str">
        <f>IF(A20="","",$A$1)</f>
        <v/>
      </c>
      <c r="E21" s="3712"/>
      <c r="F21" s="2578"/>
      <c r="G21" s="2578"/>
      <c r="H21" s="2578"/>
      <c r="I21" s="2578"/>
      <c r="J21" s="2578"/>
      <c r="K21" s="2578"/>
      <c r="L21" s="2578"/>
      <c r="M21" s="2578"/>
      <c r="N21" s="2578"/>
      <c r="O21" s="2578"/>
      <c r="P21" s="2578"/>
      <c r="Q21" s="2578"/>
      <c r="R21" s="1221" t="str">
        <f>IF(A20="","",SUM(F21:Q21))</f>
        <v/>
      </c>
      <c r="S21" s="1222" t="str">
        <f>IF(D19="","",IF(R21="","",S$6))</f>
        <v/>
      </c>
      <c r="T21" s="1221" t="str">
        <f>IF(A20="","",(AL20*AC21))</f>
        <v/>
      </c>
      <c r="U21" s="1223" t="str">
        <f>IF(A20="","",IF(T21="","",U$6))</f>
        <v/>
      </c>
      <c r="V21" s="203" t="str">
        <f>IF(A20="","",SUM(V20)*IF(T20/COUNTIF(F20:Q20,"&gt;0")&lt;$X$4,$W$4,$V$4))</f>
        <v/>
      </c>
      <c r="W21" s="204" t="str">
        <f>IF(A20="","",IF(V21="","",W$6))</f>
        <v/>
      </c>
      <c r="X21" s="3715" t="str">
        <f>IF(A20="","",IF(X20="","",X$6))</f>
        <v/>
      </c>
      <c r="Y21" s="920">
        <f t="shared" ref="Y21:Y22" si="12">SUM(F21:Q21)</f>
        <v>0</v>
      </c>
      <c r="Z21" s="1587"/>
      <c r="AA21" s="1587">
        <f>'5 Eingabe Organisationskräfte'!C12</f>
        <v>0</v>
      </c>
      <c r="AB21" s="1587">
        <f>'5 Eingabe Organisationskräfte'!D12</f>
        <v>0</v>
      </c>
      <c r="AC21" s="1587">
        <f>'5 Eingabe Organisationskräfte'!E12</f>
        <v>0</v>
      </c>
      <c r="AD21" s="1587">
        <f>'5 Eingabe Organisationskräfte'!F12</f>
        <v>0</v>
      </c>
      <c r="AE21" s="1587">
        <f>'5 Eingabe Organisationskräfte'!G12</f>
        <v>0</v>
      </c>
      <c r="AF21" s="1587"/>
      <c r="AG21" s="1587"/>
      <c r="AH21" s="1587"/>
      <c r="AI21" s="1587"/>
      <c r="AJ21" s="1587"/>
      <c r="AK21" s="1587"/>
      <c r="AL21" s="920"/>
    </row>
    <row r="22" spans="1:42" s="76" customFormat="1" ht="24" customHeight="1" thickBot="1">
      <c r="A22" s="938" t="str">
        <f>IF(SUM(AD21)=0,"",A$4)</f>
        <v/>
      </c>
      <c r="B22" s="1691"/>
      <c r="C22" s="1690" t="str">
        <f>IF(AD21=0,"",AD21)</f>
        <v/>
      </c>
      <c r="D22" s="3729" t="str">
        <f>IF(C22="","",$A$2)</f>
        <v/>
      </c>
      <c r="E22" s="3730"/>
      <c r="F22" s="2579"/>
      <c r="G22" s="2579"/>
      <c r="H22" s="2579"/>
      <c r="I22" s="2579"/>
      <c r="J22" s="2579"/>
      <c r="K22" s="2579"/>
      <c r="L22" s="2579"/>
      <c r="M22" s="2579"/>
      <c r="N22" s="2579"/>
      <c r="O22" s="2579"/>
      <c r="P22" s="2579"/>
      <c r="Q22" s="2580"/>
      <c r="R22" s="1224" t="str">
        <f>IF(A20="","",SUM(F22:Q22))</f>
        <v/>
      </c>
      <c r="S22" s="1225" t="str">
        <f>IF(A20="","",IF(R22="","",S$7))</f>
        <v/>
      </c>
      <c r="T22" s="1226" t="str">
        <f>IF(A20="","",(AE21*AL20))</f>
        <v/>
      </c>
      <c r="U22" s="1225" t="str">
        <f>IF(A20="","",IF(T22="","",U$7))</f>
        <v/>
      </c>
      <c r="V22" s="201" t="str">
        <f>IF(A20="","",SUM(V20:V21,R22,T22))</f>
        <v/>
      </c>
      <c r="W22" s="959" t="str">
        <f>IF(A20="","",IF(V22="","",W$7))</f>
        <v/>
      </c>
      <c r="X22" s="3716"/>
      <c r="Y22" s="920">
        <f t="shared" si="12"/>
        <v>0</v>
      </c>
      <c r="Z22" s="1587"/>
      <c r="AA22" s="1587"/>
      <c r="AB22" s="1587"/>
      <c r="AC22" s="1587"/>
      <c r="AD22" s="1587"/>
      <c r="AE22" s="1587"/>
      <c r="AF22" s="1587"/>
      <c r="AG22" s="1587"/>
      <c r="AH22" s="1587"/>
      <c r="AI22" s="1587"/>
      <c r="AJ22" s="1587"/>
      <c r="AK22" s="1587"/>
      <c r="AL22" s="920"/>
    </row>
    <row r="23" spans="1:42" s="76" customFormat="1" ht="24" customHeight="1">
      <c r="A23" s="939" t="str">
        <f>IF('5 Eingabe Organisationskräfte'!A13="","",'5 Eingabe Organisationskräfte'!A13)</f>
        <v/>
      </c>
      <c r="B23" s="898" t="str">
        <f>IF(B24="","",AA$7)</f>
        <v/>
      </c>
      <c r="C23" s="898" t="str">
        <f>IF(C24="","",AB$7)</f>
        <v/>
      </c>
      <c r="E23" s="207">
        <f ca="1">IF('1 Erklärung'!$AA$2="","",'5 Eingabe Organisationskräfte'!AP13)</f>
        <v>0</v>
      </c>
      <c r="F23" s="3234" t="str">
        <f t="shared" ref="F23:Q23" si="13">IF(SUM(F24,F25)=0,Z23,SUM(F24,F25,Z23))</f>
        <v/>
      </c>
      <c r="G23" s="3234" t="str">
        <f t="shared" si="13"/>
        <v/>
      </c>
      <c r="H23" s="3234" t="str">
        <f t="shared" si="13"/>
        <v/>
      </c>
      <c r="I23" s="3234" t="str">
        <f t="shared" si="13"/>
        <v/>
      </c>
      <c r="J23" s="3234" t="str">
        <f t="shared" si="13"/>
        <v/>
      </c>
      <c r="K23" s="3234" t="str">
        <f t="shared" si="13"/>
        <v/>
      </c>
      <c r="L23" s="3234" t="str">
        <f t="shared" si="13"/>
        <v/>
      </c>
      <c r="M23" s="3234" t="str">
        <f t="shared" si="13"/>
        <v/>
      </c>
      <c r="N23" s="3234" t="str">
        <f t="shared" si="13"/>
        <v/>
      </c>
      <c r="O23" s="3234" t="str">
        <f t="shared" si="13"/>
        <v/>
      </c>
      <c r="P23" s="3234" t="str">
        <f t="shared" si="13"/>
        <v/>
      </c>
      <c r="Q23" s="3234" t="str">
        <f t="shared" si="13"/>
        <v/>
      </c>
      <c r="R23" s="894" t="str">
        <f ca="1">IF('1 Erklärung'!AA$2="","",IF(A23="","",SUM(F23:Q23)))</f>
        <v/>
      </c>
      <c r="S23" s="895"/>
      <c r="T23" s="1269" t="str">
        <f>IF(A23="","",SUM(R23,-R25,-R24))</f>
        <v/>
      </c>
      <c r="U23" s="1228" t="str">
        <f>IF(A23="","",IF(T23="","",$U$5))</f>
        <v/>
      </c>
      <c r="V23" s="1227" t="str">
        <f>IF(A23="","",SUM(T23,R24,T24))</f>
        <v/>
      </c>
      <c r="W23" s="1229" t="str">
        <f>IF(A23="","",IF(V23="","",$W$5))</f>
        <v/>
      </c>
      <c r="X23" s="206" t="str">
        <f>IF(A23="","",R23/COUNTIF(F23:Q23,"&gt;0"))</f>
        <v/>
      </c>
      <c r="Y23" s="920"/>
      <c r="Z23" s="1587" t="str">
        <f>IF('5 Eingabe Organisationskräfte'!AQ13&gt;0.4,'5 Eingabe Organisationskräfte'!$AP13*'5 Eingabe Organisationskräfte'!AQ13,"")</f>
        <v/>
      </c>
      <c r="AA23" s="1587" t="str">
        <f>IF('5 Eingabe Organisationskräfte'!AR13&gt;0.4,'5 Eingabe Organisationskräfte'!$AP13*'5 Eingabe Organisationskräfte'!AR13,"")</f>
        <v/>
      </c>
      <c r="AB23" s="1587" t="str">
        <f>IF('5 Eingabe Organisationskräfte'!AS13&gt;0.4,'5 Eingabe Organisationskräfte'!$AP13*'5 Eingabe Organisationskräfte'!AS13,"")</f>
        <v/>
      </c>
      <c r="AC23" s="1587" t="str">
        <f>IF('5 Eingabe Organisationskräfte'!AT13&gt;0.4,'5 Eingabe Organisationskräfte'!$AP13*'5 Eingabe Organisationskräfte'!AT13,"")</f>
        <v/>
      </c>
      <c r="AD23" s="1587" t="str">
        <f>IF('5 Eingabe Organisationskräfte'!AU13&gt;0.4,'5 Eingabe Organisationskräfte'!$AP13*'5 Eingabe Organisationskräfte'!AU13,"")</f>
        <v/>
      </c>
      <c r="AE23" s="1587" t="str">
        <f>IF('5 Eingabe Organisationskräfte'!AV13&gt;0.4,'5 Eingabe Organisationskräfte'!$AP13*'5 Eingabe Organisationskräfte'!AV13,"")</f>
        <v/>
      </c>
      <c r="AF23" s="1587" t="str">
        <f>IF('5 Eingabe Organisationskräfte'!AW13&gt;0.4,'5 Eingabe Organisationskräfte'!$AP13*'5 Eingabe Organisationskräfte'!AW13,"")</f>
        <v/>
      </c>
      <c r="AG23" s="1587" t="str">
        <f>IF('5 Eingabe Organisationskräfte'!AX13&gt;0.4,'5 Eingabe Organisationskräfte'!$AP13*'5 Eingabe Organisationskräfte'!AX13,"")</f>
        <v/>
      </c>
      <c r="AH23" s="1587" t="str">
        <f>IF('5 Eingabe Organisationskräfte'!AY13&gt;0.4,'5 Eingabe Organisationskräfte'!$AP13*'5 Eingabe Organisationskräfte'!AY13,"")</f>
        <v/>
      </c>
      <c r="AI23" s="1587" t="str">
        <f>IF('5 Eingabe Organisationskräfte'!AZ13&gt;0.4,'5 Eingabe Organisationskräfte'!$AP13*'5 Eingabe Organisationskräfte'!AZ13,"")</f>
        <v/>
      </c>
      <c r="AJ23" s="1587" t="str">
        <f>IF('5 Eingabe Organisationskräfte'!BA13&gt;0.4,'5 Eingabe Organisationskräfte'!$AP13*'5 Eingabe Organisationskräfte'!BA13,"")</f>
        <v/>
      </c>
      <c r="AK23" s="1587" t="str">
        <f>IF('5 Eingabe Organisationskräfte'!BB13&gt;0.4,'5 Eingabe Organisationskräfte'!$AP13*'5 Eingabe Organisationskräfte'!BB13,"")</f>
        <v/>
      </c>
      <c r="AL23" s="920" t="str">
        <f>'5 Eingabe Organisationskräfte'!AK13</f>
        <v/>
      </c>
    </row>
    <row r="24" spans="1:42" s="76" customFormat="1" ht="24" customHeight="1">
      <c r="A24" s="937" t="str">
        <f>IF(SUM(AA24:AB24)=0,"",A$4)</f>
        <v/>
      </c>
      <c r="B24" s="1687" t="str">
        <f>IF(AA24=0,"",AA24)</f>
        <v/>
      </c>
      <c r="C24" s="1688" t="str">
        <f>IF(AB24=0,"",AB24)</f>
        <v/>
      </c>
      <c r="D24" s="3711" t="str">
        <f>IF(A23="","",$A$1)</f>
        <v/>
      </c>
      <c r="E24" s="3712"/>
      <c r="F24" s="2578"/>
      <c r="G24" s="2578"/>
      <c r="H24" s="2578"/>
      <c r="I24" s="2578"/>
      <c r="J24" s="2578"/>
      <c r="K24" s="2578"/>
      <c r="L24" s="2578"/>
      <c r="M24" s="2578"/>
      <c r="N24" s="2578"/>
      <c r="O24" s="2578"/>
      <c r="P24" s="2578"/>
      <c r="Q24" s="2578"/>
      <c r="R24" s="1221" t="str">
        <f>IF(A23="","",SUM(F24:Q24))</f>
        <v/>
      </c>
      <c r="S24" s="1222" t="str">
        <f>IF(D22="","",IF(R24="","",S$6))</f>
        <v/>
      </c>
      <c r="T24" s="1221" t="str">
        <f>IF(A23="","",(AL23*AC24))</f>
        <v/>
      </c>
      <c r="U24" s="1223" t="str">
        <f>IF(A23="","",IF(T24="","",U$6))</f>
        <v/>
      </c>
      <c r="V24" s="203" t="str">
        <f>IF(A23="","",SUM(V23)*IF(T23/COUNTIF(F23:Q23,"&gt;0")&lt;$X$4,$W$4,$V$4))</f>
        <v/>
      </c>
      <c r="W24" s="204" t="str">
        <f>IF(A23="","",IF(V24="","",W$6))</f>
        <v/>
      </c>
      <c r="X24" s="3715" t="str">
        <f>IF(A23="","",IF(X23="","",X$6))</f>
        <v/>
      </c>
      <c r="Y24" s="920">
        <f t="shared" ref="Y24:Y25" si="14">SUM(F24:Q24)</f>
        <v>0</v>
      </c>
      <c r="Z24" s="1587"/>
      <c r="AA24" s="1587">
        <f>'5 Eingabe Organisationskräfte'!C13</f>
        <v>0</v>
      </c>
      <c r="AB24" s="1587">
        <f>'5 Eingabe Organisationskräfte'!D13</f>
        <v>0</v>
      </c>
      <c r="AC24" s="1587">
        <f>'5 Eingabe Organisationskräfte'!E13</f>
        <v>0</v>
      </c>
      <c r="AD24" s="1587">
        <f>'5 Eingabe Organisationskräfte'!F13</f>
        <v>0</v>
      </c>
      <c r="AE24" s="1587">
        <f>'5 Eingabe Organisationskräfte'!G13</f>
        <v>0</v>
      </c>
      <c r="AF24" s="1587"/>
      <c r="AG24" s="1587"/>
      <c r="AH24" s="1587"/>
      <c r="AI24" s="1587"/>
      <c r="AJ24" s="1587"/>
      <c r="AK24" s="1587"/>
      <c r="AL24" s="920"/>
    </row>
    <row r="25" spans="1:42" s="76" customFormat="1" ht="24" customHeight="1" thickBot="1">
      <c r="A25" s="938" t="str">
        <f>IF(SUM(AD24)=0,"",A$4)</f>
        <v/>
      </c>
      <c r="B25" s="1691"/>
      <c r="C25" s="1690" t="str">
        <f>IF(AD24=0,"",AD24)</f>
        <v/>
      </c>
      <c r="D25" s="3729" t="str">
        <f>IF(C25="","",$A$2)</f>
        <v/>
      </c>
      <c r="E25" s="3730"/>
      <c r="F25" s="2579"/>
      <c r="G25" s="2579"/>
      <c r="H25" s="2579"/>
      <c r="I25" s="2579"/>
      <c r="J25" s="2579"/>
      <c r="K25" s="2579"/>
      <c r="L25" s="2579"/>
      <c r="M25" s="2579"/>
      <c r="N25" s="2579"/>
      <c r="O25" s="2579"/>
      <c r="P25" s="2579"/>
      <c r="Q25" s="2580"/>
      <c r="R25" s="1224" t="str">
        <f>IF(A23="","",SUM(F25:Q25))</f>
        <v/>
      </c>
      <c r="S25" s="1225" t="str">
        <f>IF(A23="","",IF(R25="","",S$7))</f>
        <v/>
      </c>
      <c r="T25" s="1226" t="str">
        <f>IF(A23="","",(AE24*AL23))</f>
        <v/>
      </c>
      <c r="U25" s="1225" t="str">
        <f>IF(A23="","",IF(T25="","",U$7))</f>
        <v/>
      </c>
      <c r="V25" s="201" t="str">
        <f>IF(A23="","",SUM(V23:V24,R25,T25))</f>
        <v/>
      </c>
      <c r="W25" s="959" t="str">
        <f>IF(A23="","",IF(V25="","",W$7))</f>
        <v/>
      </c>
      <c r="X25" s="3716"/>
      <c r="Y25" s="920">
        <f t="shared" si="14"/>
        <v>0</v>
      </c>
      <c r="Z25" s="1587"/>
      <c r="AA25" s="1587"/>
      <c r="AB25" s="1587"/>
      <c r="AC25" s="1587"/>
      <c r="AD25" s="1587"/>
      <c r="AE25" s="1587"/>
      <c r="AF25" s="1587"/>
      <c r="AG25" s="1587"/>
      <c r="AH25" s="1587"/>
      <c r="AI25" s="1587"/>
      <c r="AJ25" s="1587"/>
      <c r="AK25" s="1587"/>
      <c r="AL25" s="920"/>
    </row>
    <row r="26" spans="1:42" s="76" customFormat="1" ht="24" customHeight="1">
      <c r="A26" s="939" t="str">
        <f>IF('5 Eingabe Organisationskräfte'!A14="","",'5 Eingabe Organisationskräfte'!A14)</f>
        <v/>
      </c>
      <c r="B26" s="898" t="str">
        <f>IF(B27="","",AA$7)</f>
        <v/>
      </c>
      <c r="C26" s="898" t="str">
        <f>IF(C27="","",AB$7)</f>
        <v/>
      </c>
      <c r="E26" s="207">
        <f ca="1">IF('1 Erklärung'!$AA$2="","",'5 Eingabe Organisationskräfte'!AP14)</f>
        <v>0</v>
      </c>
      <c r="F26" s="3234" t="str">
        <f t="shared" ref="F26:Q26" si="15">IF(SUM(F27,F28)=0,Z26,SUM(F27,F28,Z26))</f>
        <v/>
      </c>
      <c r="G26" s="3234" t="str">
        <f t="shared" si="15"/>
        <v/>
      </c>
      <c r="H26" s="3234" t="str">
        <f t="shared" si="15"/>
        <v/>
      </c>
      <c r="I26" s="3234" t="str">
        <f t="shared" si="15"/>
        <v/>
      </c>
      <c r="J26" s="3234" t="str">
        <f t="shared" si="15"/>
        <v/>
      </c>
      <c r="K26" s="3234" t="str">
        <f t="shared" si="15"/>
        <v/>
      </c>
      <c r="L26" s="3234" t="str">
        <f t="shared" si="15"/>
        <v/>
      </c>
      <c r="M26" s="3234" t="str">
        <f t="shared" si="15"/>
        <v/>
      </c>
      <c r="N26" s="3234" t="str">
        <f t="shared" si="15"/>
        <v/>
      </c>
      <c r="O26" s="3234" t="str">
        <f t="shared" si="15"/>
        <v/>
      </c>
      <c r="P26" s="3234" t="str">
        <f t="shared" si="15"/>
        <v/>
      </c>
      <c r="Q26" s="3234" t="str">
        <f t="shared" si="15"/>
        <v/>
      </c>
      <c r="R26" s="894" t="str">
        <f ca="1">IF('1 Erklärung'!AA$2="","",IF(A26="","",SUM(F26:Q26)))</f>
        <v/>
      </c>
      <c r="S26" s="895"/>
      <c r="T26" s="1269" t="str">
        <f>IF(A26="","",SUM(R26,-R28,-R27))</f>
        <v/>
      </c>
      <c r="U26" s="1228" t="str">
        <f>IF(A26="","",IF(T26="","",$U$5))</f>
        <v/>
      </c>
      <c r="V26" s="1227" t="str">
        <f>IF(A26="","",SUM(T26,R27,T27))</f>
        <v/>
      </c>
      <c r="W26" s="1229" t="str">
        <f>IF(A26="","",IF(V26="","",$W$5))</f>
        <v/>
      </c>
      <c r="X26" s="206" t="str">
        <f>IF(A26="","",R26/COUNTIF(F26:Q26,"&gt;0"))</f>
        <v/>
      </c>
      <c r="Y26" s="920"/>
      <c r="Z26" s="1587" t="str">
        <f>IF('5 Eingabe Organisationskräfte'!AQ14&gt;0.4,'5 Eingabe Organisationskräfte'!$AP14*'5 Eingabe Organisationskräfte'!AQ14,"")</f>
        <v/>
      </c>
      <c r="AA26" s="1587" t="str">
        <f>IF('5 Eingabe Organisationskräfte'!AR14&gt;0.4,'5 Eingabe Organisationskräfte'!$AP14*'5 Eingabe Organisationskräfte'!AR14,"")</f>
        <v/>
      </c>
      <c r="AB26" s="1587" t="str">
        <f>IF('5 Eingabe Organisationskräfte'!AS14&gt;0.4,'5 Eingabe Organisationskräfte'!$AP14*'5 Eingabe Organisationskräfte'!AS14,"")</f>
        <v/>
      </c>
      <c r="AC26" s="1587" t="str">
        <f>IF('5 Eingabe Organisationskräfte'!AT14&gt;0.4,'5 Eingabe Organisationskräfte'!$AP14*'5 Eingabe Organisationskräfte'!AT14,"")</f>
        <v/>
      </c>
      <c r="AD26" s="1587" t="str">
        <f>IF('5 Eingabe Organisationskräfte'!AU14&gt;0.4,'5 Eingabe Organisationskräfte'!$AP14*'5 Eingabe Organisationskräfte'!AU14,"")</f>
        <v/>
      </c>
      <c r="AE26" s="1587" t="str">
        <f>IF('5 Eingabe Organisationskräfte'!AV14&gt;0.4,'5 Eingabe Organisationskräfte'!$AP14*'5 Eingabe Organisationskräfte'!AV14,"")</f>
        <v/>
      </c>
      <c r="AF26" s="1587" t="str">
        <f>IF('5 Eingabe Organisationskräfte'!AW14&gt;0.4,'5 Eingabe Organisationskräfte'!$AP14*'5 Eingabe Organisationskräfte'!AW14,"")</f>
        <v/>
      </c>
      <c r="AG26" s="1587" t="str">
        <f>IF('5 Eingabe Organisationskräfte'!AX14&gt;0.4,'5 Eingabe Organisationskräfte'!$AP14*'5 Eingabe Organisationskräfte'!AX14,"")</f>
        <v/>
      </c>
      <c r="AH26" s="1587" t="str">
        <f>IF('5 Eingabe Organisationskräfte'!AY14&gt;0.4,'5 Eingabe Organisationskräfte'!$AP14*'5 Eingabe Organisationskräfte'!AY14,"")</f>
        <v/>
      </c>
      <c r="AI26" s="1587" t="str">
        <f>IF('5 Eingabe Organisationskräfte'!AZ14&gt;0.4,'5 Eingabe Organisationskräfte'!$AP14*'5 Eingabe Organisationskräfte'!AZ14,"")</f>
        <v/>
      </c>
      <c r="AJ26" s="1587" t="str">
        <f>IF('5 Eingabe Organisationskräfte'!BA14&gt;0.4,'5 Eingabe Organisationskräfte'!$AP14*'5 Eingabe Organisationskräfte'!BA14,"")</f>
        <v/>
      </c>
      <c r="AK26" s="1587" t="str">
        <f>IF('5 Eingabe Organisationskräfte'!BB14&gt;0.4,'5 Eingabe Organisationskräfte'!$AP14*'5 Eingabe Organisationskräfte'!BB14,"")</f>
        <v/>
      </c>
      <c r="AL26" s="920" t="str">
        <f>'5 Eingabe Organisationskräfte'!AK14</f>
        <v/>
      </c>
    </row>
    <row r="27" spans="1:42" s="76" customFormat="1" ht="24" customHeight="1">
      <c r="A27" s="937" t="str">
        <f>IF(SUM(AA27:AB27)=0,"",A$4)</f>
        <v/>
      </c>
      <c r="B27" s="1687" t="str">
        <f>IF(AA27=0,"",AA27)</f>
        <v/>
      </c>
      <c r="C27" s="1688" t="str">
        <f>IF(AB27=0,"",AB27)</f>
        <v/>
      </c>
      <c r="D27" s="3711" t="str">
        <f>IF(A26="","",$A$1)</f>
        <v/>
      </c>
      <c r="E27" s="3712"/>
      <c r="F27" s="2578"/>
      <c r="G27" s="2578"/>
      <c r="H27" s="2578"/>
      <c r="I27" s="2578"/>
      <c r="J27" s="2578"/>
      <c r="K27" s="2578"/>
      <c r="L27" s="2578"/>
      <c r="M27" s="2578"/>
      <c r="N27" s="2578"/>
      <c r="O27" s="2578"/>
      <c r="P27" s="2578"/>
      <c r="Q27" s="2578"/>
      <c r="R27" s="1221" t="str">
        <f>IF(A26="","",SUM(F27:Q27))</f>
        <v/>
      </c>
      <c r="S27" s="1222" t="str">
        <f>IF(D25="","",IF(R27="","",S$6))</f>
        <v/>
      </c>
      <c r="T27" s="1221" t="str">
        <f>IF(A26="","",(AL26*AC27))</f>
        <v/>
      </c>
      <c r="U27" s="1223" t="str">
        <f>IF(A26="","",IF(T27="","",U$6))</f>
        <v/>
      </c>
      <c r="V27" s="203" t="str">
        <f>IF(A26="","",SUM(V26)*IF(T26/COUNTIF(F26:Q26,"&gt;0")&lt;$X$4,$W$4,$V$4))</f>
        <v/>
      </c>
      <c r="W27" s="204" t="str">
        <f>IF(A26="","",IF(V27="","",W$6))</f>
        <v/>
      </c>
      <c r="X27" s="3715" t="str">
        <f>IF(A26="","",IF(X26="","",X$6))</f>
        <v/>
      </c>
      <c r="Y27" s="920">
        <f t="shared" ref="Y27:Y28" si="16">SUM(F27:Q27)</f>
        <v>0</v>
      </c>
      <c r="Z27" s="1587"/>
      <c r="AA27" s="1587">
        <f>'5 Eingabe Organisationskräfte'!C14</f>
        <v>0</v>
      </c>
      <c r="AB27" s="1587">
        <f>'5 Eingabe Organisationskräfte'!D14</f>
        <v>0</v>
      </c>
      <c r="AC27" s="1587">
        <f>'5 Eingabe Organisationskräfte'!E14</f>
        <v>0</v>
      </c>
      <c r="AD27" s="1587">
        <f>'5 Eingabe Organisationskräfte'!F14</f>
        <v>0</v>
      </c>
      <c r="AE27" s="1587">
        <f>'5 Eingabe Organisationskräfte'!G14</f>
        <v>0</v>
      </c>
      <c r="AF27" s="1587"/>
      <c r="AG27" s="1587"/>
      <c r="AH27" s="1587"/>
      <c r="AI27" s="1587"/>
      <c r="AJ27" s="1587"/>
      <c r="AK27" s="1587"/>
      <c r="AL27" s="920"/>
    </row>
    <row r="28" spans="1:42" s="76" customFormat="1" ht="24" customHeight="1" thickBot="1">
      <c r="A28" s="938" t="str">
        <f>IF(SUM(AD27)=0,"",A$4)</f>
        <v/>
      </c>
      <c r="B28" s="1691"/>
      <c r="C28" s="1690" t="str">
        <f>IF(AD27=0,"",AD27)</f>
        <v/>
      </c>
      <c r="D28" s="3729" t="str">
        <f>IF(C28="","",$A$2)</f>
        <v/>
      </c>
      <c r="E28" s="3730"/>
      <c r="F28" s="2579"/>
      <c r="G28" s="2579"/>
      <c r="H28" s="2579"/>
      <c r="I28" s="2579"/>
      <c r="J28" s="2579"/>
      <c r="K28" s="2579"/>
      <c r="L28" s="2579"/>
      <c r="M28" s="2579"/>
      <c r="N28" s="2579"/>
      <c r="O28" s="2579"/>
      <c r="P28" s="2579"/>
      <c r="Q28" s="2580"/>
      <c r="R28" s="1224" t="str">
        <f>IF(A26="","",SUM(F28:Q28))</f>
        <v/>
      </c>
      <c r="S28" s="1225" t="str">
        <f>IF(A26="","",IF(R28="","",S$7))</f>
        <v/>
      </c>
      <c r="T28" s="1226" t="str">
        <f>IF(A26="","",(AE27*AL26))</f>
        <v/>
      </c>
      <c r="U28" s="1225" t="str">
        <f>IF(A26="","",IF(T28="","",U$7))</f>
        <v/>
      </c>
      <c r="V28" s="201" t="str">
        <f>IF(A26="","",SUM(V26:V27,R28,T28))</f>
        <v/>
      </c>
      <c r="W28" s="959" t="str">
        <f>IF(A26="","",IF(V28="","",W$7))</f>
        <v/>
      </c>
      <c r="X28" s="3716"/>
      <c r="Y28" s="920">
        <f t="shared" si="16"/>
        <v>0</v>
      </c>
      <c r="Z28" s="1587"/>
      <c r="AA28" s="1587"/>
      <c r="AB28" s="1587"/>
      <c r="AC28" s="1587"/>
      <c r="AD28" s="1587"/>
      <c r="AE28" s="1587"/>
      <c r="AF28" s="1587"/>
      <c r="AG28" s="1587"/>
      <c r="AH28" s="1587"/>
      <c r="AI28" s="1587"/>
      <c r="AJ28" s="1587"/>
      <c r="AK28" s="1587"/>
      <c r="AL28" s="920"/>
    </row>
    <row r="29" spans="1:42" s="76" customFormat="1" ht="24" customHeight="1">
      <c r="A29" s="939" t="str">
        <f>IF('5 Eingabe Organisationskräfte'!A15="","",'5 Eingabe Organisationskräfte'!A15)</f>
        <v/>
      </c>
      <c r="B29" s="898" t="str">
        <f>IF(B30="","",AA$7)</f>
        <v/>
      </c>
      <c r="C29" s="898" t="str">
        <f>IF(C30="","",AB$7)</f>
        <v/>
      </c>
      <c r="E29" s="207">
        <f ca="1">IF('1 Erklärung'!$AA$2="","",'5 Eingabe Organisationskräfte'!AP15)</f>
        <v>0</v>
      </c>
      <c r="F29" s="3234" t="str">
        <f t="shared" ref="F29:Q29" si="17">IF(SUM(F30,F31)=0,Z29,SUM(F30,F31,Z29))</f>
        <v/>
      </c>
      <c r="G29" s="3234" t="str">
        <f t="shared" si="17"/>
        <v/>
      </c>
      <c r="H29" s="3234" t="str">
        <f t="shared" si="17"/>
        <v/>
      </c>
      <c r="I29" s="3234" t="str">
        <f t="shared" si="17"/>
        <v/>
      </c>
      <c r="J29" s="3234" t="str">
        <f t="shared" si="17"/>
        <v/>
      </c>
      <c r="K29" s="3234" t="str">
        <f t="shared" si="17"/>
        <v/>
      </c>
      <c r="L29" s="3234" t="str">
        <f t="shared" si="17"/>
        <v/>
      </c>
      <c r="M29" s="3234" t="str">
        <f t="shared" si="17"/>
        <v/>
      </c>
      <c r="N29" s="3234" t="str">
        <f t="shared" si="17"/>
        <v/>
      </c>
      <c r="O29" s="3234" t="str">
        <f t="shared" si="17"/>
        <v/>
      </c>
      <c r="P29" s="3234" t="str">
        <f t="shared" si="17"/>
        <v/>
      </c>
      <c r="Q29" s="3234" t="str">
        <f t="shared" si="17"/>
        <v/>
      </c>
      <c r="R29" s="894" t="str">
        <f ca="1">IF('1 Erklärung'!AA$2="","",IF(A29="","",SUM(F29:Q29)))</f>
        <v/>
      </c>
      <c r="S29" s="895"/>
      <c r="T29" s="1269" t="str">
        <f>IF(A29="","",SUM(R29,-R31,-R30))</f>
        <v/>
      </c>
      <c r="U29" s="1228" t="str">
        <f>IF(A29="","",IF(T29="","",$U$5))</f>
        <v/>
      </c>
      <c r="V29" s="1227" t="str">
        <f>IF(A29="","",SUM(T29,R30,T30))</f>
        <v/>
      </c>
      <c r="W29" s="1229" t="str">
        <f>IF(A29="","",IF(V29="","",$W$5))</f>
        <v/>
      </c>
      <c r="X29" s="206" t="str">
        <f>IF(A29="","",R29/COUNTIF(F29:Q29,"&gt;0"))</f>
        <v/>
      </c>
      <c r="Y29" s="920"/>
      <c r="Z29" s="1587" t="str">
        <f>IF('5 Eingabe Organisationskräfte'!AQ15&gt;0.4,'5 Eingabe Organisationskräfte'!$AP15*'5 Eingabe Organisationskräfte'!AQ15,"")</f>
        <v/>
      </c>
      <c r="AA29" s="1587" t="str">
        <f>IF('5 Eingabe Organisationskräfte'!AR15&gt;0.4,'5 Eingabe Organisationskräfte'!$AP15*'5 Eingabe Organisationskräfte'!AR15,"")</f>
        <v/>
      </c>
      <c r="AB29" s="1587" t="str">
        <f>IF('5 Eingabe Organisationskräfte'!AS15&gt;0.4,'5 Eingabe Organisationskräfte'!$AP15*'5 Eingabe Organisationskräfte'!AS15,"")</f>
        <v/>
      </c>
      <c r="AC29" s="1587" t="str">
        <f>IF('5 Eingabe Organisationskräfte'!AT15&gt;0.4,'5 Eingabe Organisationskräfte'!$AP15*'5 Eingabe Organisationskräfte'!AT15,"")</f>
        <v/>
      </c>
      <c r="AD29" s="1587" t="str">
        <f>IF('5 Eingabe Organisationskräfte'!AU15&gt;0.4,'5 Eingabe Organisationskräfte'!$AP15*'5 Eingabe Organisationskräfte'!AU15,"")</f>
        <v/>
      </c>
      <c r="AE29" s="1587" t="str">
        <f>IF('5 Eingabe Organisationskräfte'!AV15&gt;0.4,'5 Eingabe Organisationskräfte'!$AP15*'5 Eingabe Organisationskräfte'!AV15,"")</f>
        <v/>
      </c>
      <c r="AF29" s="1587" t="str">
        <f>IF('5 Eingabe Organisationskräfte'!AW15&gt;0.4,'5 Eingabe Organisationskräfte'!$AP15*'5 Eingabe Organisationskräfte'!AW15,"")</f>
        <v/>
      </c>
      <c r="AG29" s="1587" t="str">
        <f>IF('5 Eingabe Organisationskräfte'!AX15&gt;0.4,'5 Eingabe Organisationskräfte'!$AP15*'5 Eingabe Organisationskräfte'!AX15,"")</f>
        <v/>
      </c>
      <c r="AH29" s="1587" t="str">
        <f>IF('5 Eingabe Organisationskräfte'!AY15&gt;0.4,'5 Eingabe Organisationskräfte'!$AP15*'5 Eingabe Organisationskräfte'!AY15,"")</f>
        <v/>
      </c>
      <c r="AI29" s="1587" t="str">
        <f>IF('5 Eingabe Organisationskräfte'!AZ15&gt;0.4,'5 Eingabe Organisationskräfte'!$AP15*'5 Eingabe Organisationskräfte'!AZ15,"")</f>
        <v/>
      </c>
      <c r="AJ29" s="1587" t="str">
        <f>IF('5 Eingabe Organisationskräfte'!BA15&gt;0.4,'5 Eingabe Organisationskräfte'!$AP15*'5 Eingabe Organisationskräfte'!BA15,"")</f>
        <v/>
      </c>
      <c r="AK29" s="1587" t="str">
        <f>IF('5 Eingabe Organisationskräfte'!BB15&gt;0.4,'5 Eingabe Organisationskräfte'!$AP15*'5 Eingabe Organisationskräfte'!BB15,"")</f>
        <v/>
      </c>
      <c r="AL29" s="920" t="str">
        <f>'5 Eingabe Organisationskräfte'!AK15</f>
        <v/>
      </c>
    </row>
    <row r="30" spans="1:42" s="76" customFormat="1" ht="24" customHeight="1">
      <c r="A30" s="937" t="str">
        <f>IF(SUM(AA30:AB30)=0,"",A$4)</f>
        <v/>
      </c>
      <c r="B30" s="1687" t="str">
        <f>IF(AA30=0,"",AA30)</f>
        <v/>
      </c>
      <c r="C30" s="1688" t="str">
        <f>IF(AB30=0,"",AB30)</f>
        <v/>
      </c>
      <c r="D30" s="3711" t="str">
        <f>IF(A29="","",$A$1)</f>
        <v/>
      </c>
      <c r="E30" s="3712"/>
      <c r="F30" s="2578"/>
      <c r="G30" s="2578"/>
      <c r="H30" s="2578"/>
      <c r="I30" s="2578"/>
      <c r="J30" s="2578"/>
      <c r="K30" s="2578"/>
      <c r="L30" s="2578"/>
      <c r="M30" s="2578"/>
      <c r="N30" s="2578"/>
      <c r="O30" s="2578"/>
      <c r="P30" s="2578"/>
      <c r="Q30" s="2578"/>
      <c r="R30" s="1221" t="str">
        <f>IF(A29="","",SUM(F30:Q30))</f>
        <v/>
      </c>
      <c r="S30" s="1222" t="str">
        <f>IF(D28="","",IF(R30="","",S$6))</f>
        <v/>
      </c>
      <c r="T30" s="1221" t="str">
        <f>IF(A29="","",(AL29*AC30))</f>
        <v/>
      </c>
      <c r="U30" s="1223" t="str">
        <f>IF(A29="","",IF(T30="","",U$6))</f>
        <v/>
      </c>
      <c r="V30" s="203" t="str">
        <f>IF(A29="","",SUM(V29)*IF(T29/COUNTIF(F29:Q29,"&gt;0")&lt;$X$4,$W$4,$V$4))</f>
        <v/>
      </c>
      <c r="W30" s="204" t="str">
        <f>IF(A29="","",IF(V30="","",W$6))</f>
        <v/>
      </c>
      <c r="X30" s="3715" t="str">
        <f>IF(A29="","",IF(X29="","",X$6))</f>
        <v/>
      </c>
      <c r="Y30" s="920">
        <f t="shared" ref="Y30:Y31" si="18">SUM(F30:Q30)</f>
        <v>0</v>
      </c>
      <c r="Z30" s="1587"/>
      <c r="AA30" s="1587">
        <f>'5 Eingabe Organisationskräfte'!C15</f>
        <v>0</v>
      </c>
      <c r="AB30" s="1587">
        <f>'5 Eingabe Organisationskräfte'!D15</f>
        <v>0</v>
      </c>
      <c r="AC30" s="1587">
        <f>'5 Eingabe Organisationskräfte'!E15</f>
        <v>0</v>
      </c>
      <c r="AD30" s="1587">
        <f>'5 Eingabe Organisationskräfte'!F15</f>
        <v>0</v>
      </c>
      <c r="AE30" s="1587">
        <f>'5 Eingabe Organisationskräfte'!G15</f>
        <v>0</v>
      </c>
      <c r="AF30" s="1587"/>
      <c r="AG30" s="1587"/>
      <c r="AH30" s="1587"/>
      <c r="AI30" s="1587"/>
      <c r="AJ30" s="1587"/>
      <c r="AK30" s="1587"/>
      <c r="AL30" s="920"/>
    </row>
    <row r="31" spans="1:42" s="76" customFormat="1" ht="24" customHeight="1" thickBot="1">
      <c r="A31" s="938" t="str">
        <f>IF(SUM(AD30)=0,"",A$4)</f>
        <v/>
      </c>
      <c r="B31" s="1691"/>
      <c r="C31" s="1690" t="str">
        <f>IF(AD30=0,"",AD30)</f>
        <v/>
      </c>
      <c r="D31" s="3729" t="str">
        <f>IF(C31="","",$A$2)</f>
        <v/>
      </c>
      <c r="E31" s="3730"/>
      <c r="F31" s="2579"/>
      <c r="G31" s="2579"/>
      <c r="H31" s="2579"/>
      <c r="I31" s="2579"/>
      <c r="J31" s="2579"/>
      <c r="K31" s="2579"/>
      <c r="L31" s="2579"/>
      <c r="M31" s="2579"/>
      <c r="N31" s="2579"/>
      <c r="O31" s="2579"/>
      <c r="P31" s="2579"/>
      <c r="Q31" s="2580"/>
      <c r="R31" s="1224" t="str">
        <f>IF(A29="","",SUM(F31:Q31))</f>
        <v/>
      </c>
      <c r="S31" s="1225" t="str">
        <f>IF(A29="","",IF(R31="","",S$7))</f>
        <v/>
      </c>
      <c r="T31" s="1226" t="str">
        <f>IF(A29="","",(AE30*AL29))</f>
        <v/>
      </c>
      <c r="U31" s="1225" t="str">
        <f>IF(A29="","",IF(T31="","",U$7))</f>
        <v/>
      </c>
      <c r="V31" s="201" t="str">
        <f>IF(A29="","",SUM(V29:V30,R31,T31))</f>
        <v/>
      </c>
      <c r="W31" s="959" t="str">
        <f>IF(A29="","",IF(V31="","",W$7))</f>
        <v/>
      </c>
      <c r="X31" s="3716"/>
      <c r="Y31" s="920">
        <f t="shared" si="18"/>
        <v>0</v>
      </c>
      <c r="Z31" s="1587"/>
      <c r="AA31" s="1587"/>
      <c r="AB31" s="1587"/>
      <c r="AC31" s="1587"/>
      <c r="AD31" s="1587"/>
      <c r="AE31" s="1587"/>
      <c r="AF31" s="1587"/>
      <c r="AG31" s="1587"/>
      <c r="AH31" s="1587"/>
      <c r="AI31" s="1587"/>
      <c r="AJ31" s="1587"/>
      <c r="AK31" s="1587"/>
      <c r="AL31" s="920"/>
    </row>
    <row r="32" spans="1:42" s="76" customFormat="1" ht="24" customHeight="1">
      <c r="A32" s="939" t="str">
        <f>IF('5 Eingabe Organisationskräfte'!A16="","",'5 Eingabe Organisationskräfte'!A16)</f>
        <v/>
      </c>
      <c r="B32" s="898" t="str">
        <f>IF(B33="","",AA$7)</f>
        <v/>
      </c>
      <c r="C32" s="898" t="str">
        <f>IF(C33="","",AB$7)</f>
        <v/>
      </c>
      <c r="E32" s="207">
        <f ca="1">IF('1 Erklärung'!$AA$2="","",'5 Eingabe Organisationskräfte'!AP16)</f>
        <v>0</v>
      </c>
      <c r="F32" s="3234" t="str">
        <f t="shared" ref="F32:Q32" si="19">IF(SUM(F33,F34)=0,Z32,SUM(F33,F34,Z32))</f>
        <v/>
      </c>
      <c r="G32" s="3234" t="str">
        <f t="shared" si="19"/>
        <v/>
      </c>
      <c r="H32" s="3234" t="str">
        <f t="shared" si="19"/>
        <v/>
      </c>
      <c r="I32" s="3234" t="str">
        <f t="shared" si="19"/>
        <v/>
      </c>
      <c r="J32" s="3234" t="str">
        <f t="shared" si="19"/>
        <v/>
      </c>
      <c r="K32" s="3234" t="str">
        <f t="shared" si="19"/>
        <v/>
      </c>
      <c r="L32" s="3234" t="str">
        <f t="shared" si="19"/>
        <v/>
      </c>
      <c r="M32" s="3234" t="str">
        <f t="shared" si="19"/>
        <v/>
      </c>
      <c r="N32" s="3234" t="str">
        <f t="shared" si="19"/>
        <v/>
      </c>
      <c r="O32" s="3234" t="str">
        <f t="shared" si="19"/>
        <v/>
      </c>
      <c r="P32" s="3234" t="str">
        <f t="shared" si="19"/>
        <v/>
      </c>
      <c r="Q32" s="3234" t="str">
        <f t="shared" si="19"/>
        <v/>
      </c>
      <c r="R32" s="894" t="str">
        <f ca="1">IF('1 Erklärung'!AA$2="","",IF(A32="","",SUM(F32:Q32)))</f>
        <v/>
      </c>
      <c r="S32" s="895"/>
      <c r="T32" s="1269" t="str">
        <f>IF(A32="","",SUM(R32,-R34,-R33))</f>
        <v/>
      </c>
      <c r="U32" s="1228" t="str">
        <f>IF(A32="","",IF(T32="","",$U$5))</f>
        <v/>
      </c>
      <c r="V32" s="1227" t="str">
        <f>IF(A32="","",SUM(T32,R33,T33))</f>
        <v/>
      </c>
      <c r="W32" s="1229" t="str">
        <f>IF(A32="","",IF(V32="","",$W$5))</f>
        <v/>
      </c>
      <c r="X32" s="206" t="str">
        <f>IF(A32="","",R32/COUNTIF(F32:Q32,"&gt;0"))</f>
        <v/>
      </c>
      <c r="Y32" s="920"/>
      <c r="Z32" s="1587" t="str">
        <f>IF('5 Eingabe Organisationskräfte'!AQ16&gt;0.4,'5 Eingabe Organisationskräfte'!$AP16*'5 Eingabe Organisationskräfte'!AQ16,"")</f>
        <v/>
      </c>
      <c r="AA32" s="1587" t="str">
        <f>IF('5 Eingabe Organisationskräfte'!AR16&gt;0.4,'5 Eingabe Organisationskräfte'!$AP16*'5 Eingabe Organisationskräfte'!AR16,"")</f>
        <v/>
      </c>
      <c r="AB32" s="1587" t="str">
        <f>IF('5 Eingabe Organisationskräfte'!AS16&gt;0.4,'5 Eingabe Organisationskräfte'!$AP16*'5 Eingabe Organisationskräfte'!AS16,"")</f>
        <v/>
      </c>
      <c r="AC32" s="1587" t="str">
        <f>IF('5 Eingabe Organisationskräfte'!AT16&gt;0.4,'5 Eingabe Organisationskräfte'!$AP16*'5 Eingabe Organisationskräfte'!AT16,"")</f>
        <v/>
      </c>
      <c r="AD32" s="1587" t="str">
        <f>IF('5 Eingabe Organisationskräfte'!AU16&gt;0.4,'5 Eingabe Organisationskräfte'!$AP16*'5 Eingabe Organisationskräfte'!AU16,"")</f>
        <v/>
      </c>
      <c r="AE32" s="1587" t="str">
        <f>IF('5 Eingabe Organisationskräfte'!AV16&gt;0.4,'5 Eingabe Organisationskräfte'!$AP16*'5 Eingabe Organisationskräfte'!AV16,"")</f>
        <v/>
      </c>
      <c r="AF32" s="1587" t="str">
        <f>IF('5 Eingabe Organisationskräfte'!AW16&gt;0.4,'5 Eingabe Organisationskräfte'!$AP16*'5 Eingabe Organisationskräfte'!AW16,"")</f>
        <v/>
      </c>
      <c r="AG32" s="1587" t="str">
        <f>IF('5 Eingabe Organisationskräfte'!AX16&gt;0.4,'5 Eingabe Organisationskräfte'!$AP16*'5 Eingabe Organisationskräfte'!AX16,"")</f>
        <v/>
      </c>
      <c r="AH32" s="1587" t="str">
        <f>IF('5 Eingabe Organisationskräfte'!AY16&gt;0.4,'5 Eingabe Organisationskräfte'!$AP16*'5 Eingabe Organisationskräfte'!AY16,"")</f>
        <v/>
      </c>
      <c r="AI32" s="1587" t="str">
        <f>IF('5 Eingabe Organisationskräfte'!AZ16&gt;0.4,'5 Eingabe Organisationskräfte'!$AP16*'5 Eingabe Organisationskräfte'!AZ16,"")</f>
        <v/>
      </c>
      <c r="AJ32" s="1587" t="str">
        <f>IF('5 Eingabe Organisationskräfte'!BA16&gt;0.4,'5 Eingabe Organisationskräfte'!$AP16*'5 Eingabe Organisationskräfte'!BA16,"")</f>
        <v/>
      </c>
      <c r="AK32" s="1587" t="str">
        <f>IF('5 Eingabe Organisationskräfte'!BB16&gt;0.4,'5 Eingabe Organisationskräfte'!$AP16*'5 Eingabe Organisationskräfte'!BB16,"")</f>
        <v/>
      </c>
      <c r="AL32" s="920" t="str">
        <f>'5 Eingabe Organisationskräfte'!AK16</f>
        <v/>
      </c>
    </row>
    <row r="33" spans="1:38" s="76" customFormat="1" ht="24" customHeight="1">
      <c r="A33" s="937" t="str">
        <f>IF(SUM(AA33:AB33)=0,"",A$4)</f>
        <v/>
      </c>
      <c r="B33" s="1687" t="str">
        <f>IF(AA33=0,"",AA33)</f>
        <v/>
      </c>
      <c r="C33" s="1688" t="str">
        <f>IF(AB33=0,"",AB33)</f>
        <v/>
      </c>
      <c r="D33" s="3711" t="str">
        <f>IF(A32="","",$A$1)</f>
        <v/>
      </c>
      <c r="E33" s="3712"/>
      <c r="F33" s="2578"/>
      <c r="G33" s="2578"/>
      <c r="H33" s="2578"/>
      <c r="I33" s="2578"/>
      <c r="J33" s="2578"/>
      <c r="K33" s="2578"/>
      <c r="L33" s="2578"/>
      <c r="M33" s="2578"/>
      <c r="N33" s="2578"/>
      <c r="O33" s="2578"/>
      <c r="P33" s="2578"/>
      <c r="Q33" s="2578"/>
      <c r="R33" s="1221" t="str">
        <f>IF(A32="","",SUM(F33:Q33))</f>
        <v/>
      </c>
      <c r="S33" s="1222" t="str">
        <f>IF(D31="","",IF(R33="","",S$6))</f>
        <v/>
      </c>
      <c r="T33" s="1221" t="str">
        <f>IF(A32="","",(AL32*AC33))</f>
        <v/>
      </c>
      <c r="U33" s="1223" t="str">
        <f>IF(A32="","",IF(T33="","",U$6))</f>
        <v/>
      </c>
      <c r="V33" s="203" t="str">
        <f>IF(A32="","",SUM(V32)*IF(T32/COUNTIF(F32:Q32,"&gt;0")&lt;$X$4,$W$4,$V$4))</f>
        <v/>
      </c>
      <c r="W33" s="204" t="str">
        <f>IF(A32="","",IF(V33="","",W$6))</f>
        <v/>
      </c>
      <c r="X33" s="3715" t="str">
        <f>IF(A32="","",IF(X32="","",X$6))</f>
        <v/>
      </c>
      <c r="Y33" s="920">
        <f t="shared" ref="Y33:Y34" si="20">SUM(F33:Q33)</f>
        <v>0</v>
      </c>
      <c r="Z33" s="1587"/>
      <c r="AA33" s="1587">
        <f>'5 Eingabe Organisationskräfte'!C16</f>
        <v>0</v>
      </c>
      <c r="AB33" s="1587">
        <f>'5 Eingabe Organisationskräfte'!D16</f>
        <v>0</v>
      </c>
      <c r="AC33" s="1587">
        <f>'5 Eingabe Organisationskräfte'!E16</f>
        <v>0</v>
      </c>
      <c r="AD33" s="1587">
        <f>'5 Eingabe Organisationskräfte'!F16</f>
        <v>0</v>
      </c>
      <c r="AE33" s="1587">
        <f>'5 Eingabe Organisationskräfte'!G16</f>
        <v>0</v>
      </c>
      <c r="AF33" s="1587"/>
      <c r="AG33" s="1587"/>
      <c r="AH33" s="1587"/>
      <c r="AI33" s="1587"/>
      <c r="AJ33" s="1587"/>
      <c r="AK33" s="1587"/>
      <c r="AL33" s="920"/>
    </row>
    <row r="34" spans="1:38" s="76" customFormat="1" ht="24" customHeight="1" thickBot="1">
      <c r="A34" s="938" t="str">
        <f>IF(SUM(AD33)=0,"",A$4)</f>
        <v/>
      </c>
      <c r="B34" s="1691"/>
      <c r="C34" s="1690" t="str">
        <f>IF(AD33=0,"",AD33)</f>
        <v/>
      </c>
      <c r="D34" s="3729" t="str">
        <f>IF(C34="","",$A$2)</f>
        <v/>
      </c>
      <c r="E34" s="3730"/>
      <c r="F34" s="2579"/>
      <c r="G34" s="2579"/>
      <c r="H34" s="2579"/>
      <c r="I34" s="2579"/>
      <c r="J34" s="2579"/>
      <c r="K34" s="2579"/>
      <c r="L34" s="2579"/>
      <c r="M34" s="2579"/>
      <c r="N34" s="2579"/>
      <c r="O34" s="2579"/>
      <c r="P34" s="2579"/>
      <c r="Q34" s="2580"/>
      <c r="R34" s="1224" t="str">
        <f>IF(A32="","",SUM(F34:Q34))</f>
        <v/>
      </c>
      <c r="S34" s="1225" t="str">
        <f>IF(A32="","",IF(R34="","",S$7))</f>
        <v/>
      </c>
      <c r="T34" s="1226" t="str">
        <f>IF(A32="","",(AE33*AL32))</f>
        <v/>
      </c>
      <c r="U34" s="1225" t="str">
        <f>IF(A32="","",IF(T34="","",U$7))</f>
        <v/>
      </c>
      <c r="V34" s="201" t="str">
        <f>IF(A32="","",SUM(V32:V33,R34,T34))</f>
        <v/>
      </c>
      <c r="W34" s="959" t="str">
        <f>IF(A32="","",IF(V34="","",W$7))</f>
        <v/>
      </c>
      <c r="X34" s="3716"/>
      <c r="Y34" s="920">
        <f t="shared" si="20"/>
        <v>0</v>
      </c>
      <c r="Z34" s="1587"/>
      <c r="AA34" s="1587"/>
      <c r="AB34" s="1587"/>
      <c r="AC34" s="1587"/>
      <c r="AD34" s="1587"/>
      <c r="AE34" s="1587"/>
      <c r="AF34" s="1587"/>
      <c r="AG34" s="1587"/>
      <c r="AH34" s="1587"/>
      <c r="AI34" s="1587"/>
      <c r="AJ34" s="1587"/>
      <c r="AK34" s="1587"/>
      <c r="AL34" s="920"/>
    </row>
    <row r="35" spans="1:38" s="76" customFormat="1" ht="24" customHeight="1">
      <c r="A35" s="939" t="str">
        <f>IF('5 Eingabe Organisationskräfte'!A17="","",'5 Eingabe Organisationskräfte'!A17)</f>
        <v/>
      </c>
      <c r="B35" s="898" t="str">
        <f>IF(B36="","",AA$7)</f>
        <v/>
      </c>
      <c r="C35" s="898" t="str">
        <f>IF(C36="","",AB$7)</f>
        <v/>
      </c>
      <c r="E35" s="207">
        <f ca="1">IF('1 Erklärung'!$AA$2="","",'5 Eingabe Organisationskräfte'!AP17)</f>
        <v>0</v>
      </c>
      <c r="F35" s="3234" t="str">
        <f t="shared" ref="F35:Q35" si="21">IF(SUM(F36,F37)=0,Z35,SUM(F36,F37,Z35))</f>
        <v/>
      </c>
      <c r="G35" s="3234" t="str">
        <f t="shared" si="21"/>
        <v/>
      </c>
      <c r="H35" s="3234" t="str">
        <f t="shared" si="21"/>
        <v/>
      </c>
      <c r="I35" s="3234" t="str">
        <f t="shared" si="21"/>
        <v/>
      </c>
      <c r="J35" s="3234" t="str">
        <f t="shared" si="21"/>
        <v/>
      </c>
      <c r="K35" s="3234" t="str">
        <f t="shared" si="21"/>
        <v/>
      </c>
      <c r="L35" s="3234" t="str">
        <f t="shared" si="21"/>
        <v/>
      </c>
      <c r="M35" s="3234" t="str">
        <f t="shared" si="21"/>
        <v/>
      </c>
      <c r="N35" s="3234" t="str">
        <f t="shared" si="21"/>
        <v/>
      </c>
      <c r="O35" s="3234" t="str">
        <f t="shared" si="21"/>
        <v/>
      </c>
      <c r="P35" s="3234" t="str">
        <f t="shared" si="21"/>
        <v/>
      </c>
      <c r="Q35" s="3234" t="str">
        <f t="shared" si="21"/>
        <v/>
      </c>
      <c r="R35" s="894" t="str">
        <f ca="1">IF('1 Erklärung'!AA$2="","",IF(A35="","",SUM(F35:Q35)))</f>
        <v/>
      </c>
      <c r="S35" s="895"/>
      <c r="T35" s="1269" t="str">
        <f>IF(A35="","",SUM(R35,-R37,-R36))</f>
        <v/>
      </c>
      <c r="U35" s="1228" t="str">
        <f>IF(A35="","",IF(T35="","",$U$5))</f>
        <v/>
      </c>
      <c r="V35" s="1227" t="str">
        <f>IF(A35="","",SUM(T35,R36,T36))</f>
        <v/>
      </c>
      <c r="W35" s="1229" t="str">
        <f>IF(A35="","",IF(V35="","",$W$5))</f>
        <v/>
      </c>
      <c r="X35" s="206" t="str">
        <f>IF(A35="","",R35/COUNTIF(F35:Q35,"&gt;0"))</f>
        <v/>
      </c>
      <c r="Y35" s="920"/>
      <c r="Z35" s="1587" t="str">
        <f>IF('5 Eingabe Organisationskräfte'!AQ17&gt;0.4,'5 Eingabe Organisationskräfte'!$AP17*'5 Eingabe Organisationskräfte'!AQ17,"")</f>
        <v/>
      </c>
      <c r="AA35" s="1587" t="str">
        <f>IF('5 Eingabe Organisationskräfte'!AR17&gt;0.4,'5 Eingabe Organisationskräfte'!$AP17*'5 Eingabe Organisationskräfte'!AR17,"")</f>
        <v/>
      </c>
      <c r="AB35" s="1587" t="str">
        <f>IF('5 Eingabe Organisationskräfte'!AS17&gt;0.4,'5 Eingabe Organisationskräfte'!$AP17*'5 Eingabe Organisationskräfte'!AS17,"")</f>
        <v/>
      </c>
      <c r="AC35" s="1587" t="str">
        <f>IF('5 Eingabe Organisationskräfte'!AT17&gt;0.4,'5 Eingabe Organisationskräfte'!$AP17*'5 Eingabe Organisationskräfte'!AT17,"")</f>
        <v/>
      </c>
      <c r="AD35" s="1587" t="str">
        <f>IF('5 Eingabe Organisationskräfte'!AU17&gt;0.4,'5 Eingabe Organisationskräfte'!$AP17*'5 Eingabe Organisationskräfte'!AU17,"")</f>
        <v/>
      </c>
      <c r="AE35" s="1587" t="str">
        <f>IF('5 Eingabe Organisationskräfte'!AV17&gt;0.4,'5 Eingabe Organisationskräfte'!$AP17*'5 Eingabe Organisationskräfte'!AV17,"")</f>
        <v/>
      </c>
      <c r="AF35" s="1587" t="str">
        <f>IF('5 Eingabe Organisationskräfte'!AW17&gt;0.4,'5 Eingabe Organisationskräfte'!$AP17*'5 Eingabe Organisationskräfte'!AW17,"")</f>
        <v/>
      </c>
      <c r="AG35" s="1587" t="str">
        <f>IF('5 Eingabe Organisationskräfte'!AX17&gt;0.4,'5 Eingabe Organisationskräfte'!$AP17*'5 Eingabe Organisationskräfte'!AX17,"")</f>
        <v/>
      </c>
      <c r="AH35" s="1587" t="str">
        <f>IF('5 Eingabe Organisationskräfte'!AY17&gt;0.4,'5 Eingabe Organisationskräfte'!$AP17*'5 Eingabe Organisationskräfte'!AY17,"")</f>
        <v/>
      </c>
      <c r="AI35" s="1587" t="str">
        <f>IF('5 Eingabe Organisationskräfte'!AZ17&gt;0.4,'5 Eingabe Organisationskräfte'!$AP17*'5 Eingabe Organisationskräfte'!AZ17,"")</f>
        <v/>
      </c>
      <c r="AJ35" s="1587" t="str">
        <f>IF('5 Eingabe Organisationskräfte'!BA17&gt;0.4,'5 Eingabe Organisationskräfte'!$AP17*'5 Eingabe Organisationskräfte'!BA17,"")</f>
        <v/>
      </c>
      <c r="AK35" s="1587" t="str">
        <f>IF('5 Eingabe Organisationskräfte'!BB17&gt;0.4,'5 Eingabe Organisationskräfte'!$AP17*'5 Eingabe Organisationskräfte'!BB17,"")</f>
        <v/>
      </c>
      <c r="AL35" s="920" t="str">
        <f>'5 Eingabe Organisationskräfte'!AK17</f>
        <v/>
      </c>
    </row>
    <row r="36" spans="1:38" s="76" customFormat="1" ht="24" customHeight="1">
      <c r="A36" s="937" t="str">
        <f>IF(SUM(AA36:AB36)=0,"",A$4)</f>
        <v/>
      </c>
      <c r="B36" s="1687" t="str">
        <f>IF(AA36=0,"",AA36)</f>
        <v/>
      </c>
      <c r="C36" s="1688" t="str">
        <f>IF(AB36=0,"",AB36)</f>
        <v/>
      </c>
      <c r="D36" s="3711" t="str">
        <f>IF(A35="","",$A$1)</f>
        <v/>
      </c>
      <c r="E36" s="3712"/>
      <c r="F36" s="2578"/>
      <c r="G36" s="2578"/>
      <c r="H36" s="2578"/>
      <c r="I36" s="2578"/>
      <c r="J36" s="2578"/>
      <c r="K36" s="2578"/>
      <c r="L36" s="2578"/>
      <c r="M36" s="2578"/>
      <c r="N36" s="2578"/>
      <c r="O36" s="2578"/>
      <c r="P36" s="2578"/>
      <c r="Q36" s="2578"/>
      <c r="R36" s="1221" t="str">
        <f>IF(A35="","",SUM(F36:Q36))</f>
        <v/>
      </c>
      <c r="S36" s="1222" t="str">
        <f>IF(D34="","",IF(R36="","",S$6))</f>
        <v/>
      </c>
      <c r="T36" s="1221" t="str">
        <f>IF(A35="","",(AL35*AC36))</f>
        <v/>
      </c>
      <c r="U36" s="1223" t="str">
        <f>IF(A35="","",IF(T36="","",U$6))</f>
        <v/>
      </c>
      <c r="V36" s="203" t="str">
        <f>IF(A35="","",SUM(V35)*IF(T35/COUNTIF(F35:Q35,"&gt;0")&lt;$X$4,$W$4,$V$4))</f>
        <v/>
      </c>
      <c r="W36" s="204" t="str">
        <f>IF(A35="","",IF(V36="","",W$6))</f>
        <v/>
      </c>
      <c r="X36" s="3715" t="str">
        <f>IF(A35="","",IF(X35="","",X$6))</f>
        <v/>
      </c>
      <c r="Y36" s="920">
        <f t="shared" ref="Y36:Y37" si="22">SUM(F36:Q36)</f>
        <v>0</v>
      </c>
      <c r="Z36" s="1587"/>
      <c r="AA36" s="1587">
        <f>'5 Eingabe Organisationskräfte'!C17</f>
        <v>0</v>
      </c>
      <c r="AB36" s="1587">
        <f>'5 Eingabe Organisationskräfte'!D17</f>
        <v>0</v>
      </c>
      <c r="AC36" s="1587">
        <f>'5 Eingabe Organisationskräfte'!E17</f>
        <v>0</v>
      </c>
      <c r="AD36" s="1587">
        <f>'5 Eingabe Organisationskräfte'!F17</f>
        <v>0</v>
      </c>
      <c r="AE36" s="1587">
        <f>'5 Eingabe Organisationskräfte'!G17</f>
        <v>0</v>
      </c>
      <c r="AF36" s="1587"/>
      <c r="AG36" s="1587"/>
      <c r="AH36" s="1587"/>
      <c r="AI36" s="1587"/>
      <c r="AJ36" s="1587"/>
      <c r="AK36" s="1587"/>
      <c r="AL36" s="920"/>
    </row>
    <row r="37" spans="1:38" s="76" customFormat="1" ht="24" customHeight="1" thickBot="1">
      <c r="A37" s="938" t="str">
        <f>IF(SUM(AD36)=0,"",A$4)</f>
        <v/>
      </c>
      <c r="B37" s="1691"/>
      <c r="C37" s="1690" t="str">
        <f>IF(AD36=0,"",AD36)</f>
        <v/>
      </c>
      <c r="D37" s="3729" t="str">
        <f>IF(C37="","",$A$2)</f>
        <v/>
      </c>
      <c r="E37" s="3730"/>
      <c r="F37" s="2579"/>
      <c r="G37" s="2579"/>
      <c r="H37" s="2579"/>
      <c r="I37" s="2579"/>
      <c r="J37" s="2579"/>
      <c r="K37" s="2579"/>
      <c r="L37" s="2579"/>
      <c r="M37" s="2579"/>
      <c r="N37" s="2579"/>
      <c r="O37" s="2579"/>
      <c r="P37" s="2579"/>
      <c r="Q37" s="2580"/>
      <c r="R37" s="1224" t="str">
        <f>IF(A35="","",SUM(F37:Q37))</f>
        <v/>
      </c>
      <c r="S37" s="1225" t="str">
        <f>IF(A35="","",IF(R37="","",S$7))</f>
        <v/>
      </c>
      <c r="T37" s="1226" t="str">
        <f>IF(A35="","",(AE36*AL35))</f>
        <v/>
      </c>
      <c r="U37" s="1225" t="str">
        <f>IF(A35="","",IF(T37="","",U$7))</f>
        <v/>
      </c>
      <c r="V37" s="201" t="str">
        <f>IF(A35="","",SUM(V35:V36,R37,T37))</f>
        <v/>
      </c>
      <c r="W37" s="959" t="str">
        <f>IF(A35="","",IF(V37="","",W$7))</f>
        <v/>
      </c>
      <c r="X37" s="3716"/>
      <c r="Y37" s="920">
        <f t="shared" si="22"/>
        <v>0</v>
      </c>
      <c r="Z37" s="1587"/>
      <c r="AA37" s="1587"/>
      <c r="AB37" s="1587"/>
      <c r="AC37" s="1587"/>
      <c r="AD37" s="1587"/>
      <c r="AE37" s="1587"/>
      <c r="AF37" s="1587"/>
      <c r="AG37" s="1587"/>
      <c r="AH37" s="1587"/>
      <c r="AI37" s="1587"/>
      <c r="AJ37" s="1587"/>
      <c r="AK37" s="1587"/>
      <c r="AL37" s="920"/>
    </row>
    <row r="38" spans="1:38" s="76" customFormat="1" ht="24" customHeight="1">
      <c r="A38" s="939" t="str">
        <f>IF('5 Eingabe Organisationskräfte'!A18="","",'5 Eingabe Organisationskräfte'!A18)</f>
        <v/>
      </c>
      <c r="B38" s="898" t="str">
        <f>IF(B39="","",AA$7)</f>
        <v/>
      </c>
      <c r="C38" s="898" t="str">
        <f>IF(C39="","",AB$7)</f>
        <v/>
      </c>
      <c r="E38" s="207">
        <f ca="1">IF('1 Erklärung'!$AA$2="","",'5 Eingabe Organisationskräfte'!AP18)</f>
        <v>0</v>
      </c>
      <c r="F38" s="3234" t="str">
        <f t="shared" ref="F38:Q38" si="23">IF(SUM(F39,F40)=0,Z38,SUM(F39,F40,Z38))</f>
        <v/>
      </c>
      <c r="G38" s="3234" t="str">
        <f t="shared" si="23"/>
        <v/>
      </c>
      <c r="H38" s="3234" t="str">
        <f t="shared" si="23"/>
        <v/>
      </c>
      <c r="I38" s="3234" t="str">
        <f t="shared" si="23"/>
        <v/>
      </c>
      <c r="J38" s="3234" t="str">
        <f t="shared" si="23"/>
        <v/>
      </c>
      <c r="K38" s="3234" t="str">
        <f t="shared" si="23"/>
        <v/>
      </c>
      <c r="L38" s="3234" t="str">
        <f t="shared" si="23"/>
        <v/>
      </c>
      <c r="M38" s="3234" t="str">
        <f t="shared" si="23"/>
        <v/>
      </c>
      <c r="N38" s="3234" t="str">
        <f t="shared" si="23"/>
        <v/>
      </c>
      <c r="O38" s="3234" t="str">
        <f t="shared" si="23"/>
        <v/>
      </c>
      <c r="P38" s="3234" t="str">
        <f t="shared" si="23"/>
        <v/>
      </c>
      <c r="Q38" s="3234" t="str">
        <f t="shared" si="23"/>
        <v/>
      </c>
      <c r="R38" s="894" t="str">
        <f ca="1">IF('1 Erklärung'!AA$2="","",IF(A38="","",SUM(F38:Q38)))</f>
        <v/>
      </c>
      <c r="S38" s="895"/>
      <c r="T38" s="1269" t="str">
        <f>IF(A38="","",SUM(R38,-R40,-R39))</f>
        <v/>
      </c>
      <c r="U38" s="1228" t="str">
        <f>IF(A38="","",IF(T38="","",$U$5))</f>
        <v/>
      </c>
      <c r="V38" s="1227" t="str">
        <f>IF(A38="","",SUM(T38,R39,T39))</f>
        <v/>
      </c>
      <c r="W38" s="1229" t="str">
        <f>IF(A38="","",IF(V38="","",$W$5))</f>
        <v/>
      </c>
      <c r="X38" s="206" t="str">
        <f>IF(A38="","",R38/COUNTIF(F38:Q38,"&gt;0"))</f>
        <v/>
      </c>
      <c r="Y38" s="920"/>
      <c r="Z38" s="1587" t="str">
        <f>IF('5 Eingabe Organisationskräfte'!AQ18&gt;0.4,'5 Eingabe Organisationskräfte'!$AP18*'5 Eingabe Organisationskräfte'!AQ18,"")</f>
        <v/>
      </c>
      <c r="AA38" s="1587" t="str">
        <f>IF('5 Eingabe Organisationskräfte'!AR18&gt;0.4,'5 Eingabe Organisationskräfte'!$AP18*'5 Eingabe Organisationskräfte'!AR18,"")</f>
        <v/>
      </c>
      <c r="AB38" s="1587" t="str">
        <f>IF('5 Eingabe Organisationskräfte'!AS18&gt;0.4,'5 Eingabe Organisationskräfte'!$AP18*'5 Eingabe Organisationskräfte'!AS18,"")</f>
        <v/>
      </c>
      <c r="AC38" s="1587" t="str">
        <f>IF('5 Eingabe Organisationskräfte'!AT18&gt;0.4,'5 Eingabe Organisationskräfte'!$AP18*'5 Eingabe Organisationskräfte'!AT18,"")</f>
        <v/>
      </c>
      <c r="AD38" s="1587" t="str">
        <f>IF('5 Eingabe Organisationskräfte'!AU18&gt;0.4,'5 Eingabe Organisationskräfte'!$AP18*'5 Eingabe Organisationskräfte'!AU18,"")</f>
        <v/>
      </c>
      <c r="AE38" s="1587" t="str">
        <f>IF('5 Eingabe Organisationskräfte'!AV18&gt;0.4,'5 Eingabe Organisationskräfte'!$AP18*'5 Eingabe Organisationskräfte'!AV18,"")</f>
        <v/>
      </c>
      <c r="AF38" s="1587" t="str">
        <f>IF('5 Eingabe Organisationskräfte'!AW18&gt;0.4,'5 Eingabe Organisationskräfte'!$AP18*'5 Eingabe Organisationskräfte'!AW18,"")</f>
        <v/>
      </c>
      <c r="AG38" s="1587" t="str">
        <f>IF('5 Eingabe Organisationskräfte'!AX18&gt;0.4,'5 Eingabe Organisationskräfte'!$AP18*'5 Eingabe Organisationskräfte'!AX18,"")</f>
        <v/>
      </c>
      <c r="AH38" s="1587" t="str">
        <f>IF('5 Eingabe Organisationskräfte'!AY18&gt;0.4,'5 Eingabe Organisationskräfte'!$AP18*'5 Eingabe Organisationskräfte'!AY18,"")</f>
        <v/>
      </c>
      <c r="AI38" s="1587" t="str">
        <f>IF('5 Eingabe Organisationskräfte'!AZ18&gt;0.4,'5 Eingabe Organisationskräfte'!$AP18*'5 Eingabe Organisationskräfte'!AZ18,"")</f>
        <v/>
      </c>
      <c r="AJ38" s="1587" t="str">
        <f>IF('5 Eingabe Organisationskräfte'!BA18&gt;0.4,'5 Eingabe Organisationskräfte'!$AP18*'5 Eingabe Organisationskräfte'!BA18,"")</f>
        <v/>
      </c>
      <c r="AK38" s="1587" t="str">
        <f>IF('5 Eingabe Organisationskräfte'!BB18&gt;0.4,'5 Eingabe Organisationskräfte'!$AP18*'5 Eingabe Organisationskräfte'!BB18,"")</f>
        <v/>
      </c>
      <c r="AL38" s="920" t="str">
        <f>'5 Eingabe Organisationskräfte'!AK18</f>
        <v/>
      </c>
    </row>
    <row r="39" spans="1:38" s="76" customFormat="1" ht="24" customHeight="1">
      <c r="A39" s="937" t="str">
        <f>IF(SUM(AA39:AB39)=0,"",A$4)</f>
        <v/>
      </c>
      <c r="B39" s="1687" t="str">
        <f>IF(AA39=0,"",AA39)</f>
        <v/>
      </c>
      <c r="C39" s="1688" t="str">
        <f>IF(AB39=0,"",AB39)</f>
        <v/>
      </c>
      <c r="D39" s="3711" t="str">
        <f>IF(A38="","",$A$1)</f>
        <v/>
      </c>
      <c r="E39" s="3712"/>
      <c r="F39" s="2578"/>
      <c r="G39" s="2578"/>
      <c r="H39" s="2578"/>
      <c r="I39" s="2578"/>
      <c r="J39" s="2578"/>
      <c r="K39" s="2578"/>
      <c r="L39" s="2578"/>
      <c r="M39" s="2578"/>
      <c r="N39" s="2578"/>
      <c r="O39" s="2578"/>
      <c r="P39" s="2578"/>
      <c r="Q39" s="2578"/>
      <c r="R39" s="1221" t="str">
        <f>IF(A38="","",SUM(F39:Q39))</f>
        <v/>
      </c>
      <c r="S39" s="1222" t="str">
        <f>IF(D37="","",IF(R39="","",S$6))</f>
        <v/>
      </c>
      <c r="T39" s="1221" t="str">
        <f>IF(A38="","",(AL38*AC39))</f>
        <v/>
      </c>
      <c r="U39" s="1223" t="str">
        <f>IF(A38="","",IF(T39="","",U$6))</f>
        <v/>
      </c>
      <c r="V39" s="203" t="str">
        <f>IF(A38="","",SUM(V38)*IF(T38/COUNTIF(F38:Q38,"&gt;0")&lt;$X$4,$W$4,$V$4))</f>
        <v/>
      </c>
      <c r="W39" s="204" t="str">
        <f>IF(A38="","",IF(V39="","",W$6))</f>
        <v/>
      </c>
      <c r="X39" s="3715" t="str">
        <f>IF(A38="","",IF(X38="","",X$6))</f>
        <v/>
      </c>
      <c r="Y39" s="920">
        <f t="shared" ref="Y39:Y40" si="24">SUM(F39:Q39)</f>
        <v>0</v>
      </c>
      <c r="Z39" s="1587"/>
      <c r="AA39" s="1587">
        <f>'5 Eingabe Organisationskräfte'!C18</f>
        <v>0</v>
      </c>
      <c r="AB39" s="1587">
        <f>'5 Eingabe Organisationskräfte'!D18</f>
        <v>0</v>
      </c>
      <c r="AC39" s="1587">
        <f>'5 Eingabe Organisationskräfte'!E18</f>
        <v>0</v>
      </c>
      <c r="AD39" s="1587">
        <f>'5 Eingabe Organisationskräfte'!F18</f>
        <v>0</v>
      </c>
      <c r="AE39" s="1587">
        <f>'5 Eingabe Organisationskräfte'!G18</f>
        <v>0</v>
      </c>
      <c r="AF39" s="1587"/>
      <c r="AG39" s="1587"/>
      <c r="AH39" s="1587"/>
      <c r="AI39" s="1587"/>
      <c r="AJ39" s="1587"/>
      <c r="AK39" s="1587"/>
      <c r="AL39" s="920"/>
    </row>
    <row r="40" spans="1:38" s="76" customFormat="1" ht="24" customHeight="1" thickBot="1">
      <c r="A40" s="938" t="str">
        <f>IF(SUM(AD39)=0,"",A$4)</f>
        <v/>
      </c>
      <c r="B40" s="1691"/>
      <c r="C40" s="1690" t="str">
        <f>IF(AD39=0,"",AD39)</f>
        <v/>
      </c>
      <c r="D40" s="3729" t="str">
        <f>IF(C40="","",$A$2)</f>
        <v/>
      </c>
      <c r="E40" s="3730"/>
      <c r="F40" s="2579"/>
      <c r="G40" s="2579"/>
      <c r="H40" s="2579"/>
      <c r="I40" s="2579"/>
      <c r="J40" s="2579"/>
      <c r="K40" s="2579"/>
      <c r="L40" s="2579"/>
      <c r="M40" s="2579"/>
      <c r="N40" s="2579"/>
      <c r="O40" s="2579"/>
      <c r="P40" s="2579"/>
      <c r="Q40" s="2580"/>
      <c r="R40" s="1224" t="str">
        <f>IF(A38="","",SUM(F40:Q40))</f>
        <v/>
      </c>
      <c r="S40" s="1225" t="str">
        <f>IF(A38="","",IF(R40="","",S$7))</f>
        <v/>
      </c>
      <c r="T40" s="1226" t="str">
        <f>IF(A38="","",(AE39*AL38))</f>
        <v/>
      </c>
      <c r="U40" s="1225" t="str">
        <f>IF(A38="","",IF(T40="","",U$7))</f>
        <v/>
      </c>
      <c r="V40" s="201" t="str">
        <f>IF(A38="","",SUM(V38:V39,R40,T40))</f>
        <v/>
      </c>
      <c r="W40" s="959" t="str">
        <f>IF(A38="","",IF(V40="","",W$7))</f>
        <v/>
      </c>
      <c r="X40" s="3716"/>
      <c r="Y40" s="920">
        <f t="shared" si="24"/>
        <v>0</v>
      </c>
      <c r="Z40" s="1587"/>
      <c r="AA40" s="1587"/>
      <c r="AB40" s="1587"/>
      <c r="AC40" s="1587"/>
      <c r="AD40" s="1587"/>
      <c r="AE40" s="1587"/>
      <c r="AF40" s="1587"/>
      <c r="AG40" s="1587"/>
      <c r="AH40" s="1587"/>
      <c r="AI40" s="1587"/>
      <c r="AJ40" s="1587"/>
      <c r="AK40" s="1587"/>
      <c r="AL40" s="920"/>
    </row>
    <row r="41" spans="1:38" s="76" customFormat="1" ht="24" customHeight="1">
      <c r="A41" s="939" t="str">
        <f>IF('5 Eingabe Organisationskräfte'!A19="","",'5 Eingabe Organisationskräfte'!A19)</f>
        <v/>
      </c>
      <c r="B41" s="898" t="str">
        <f>IF(B42="","",AA$7)</f>
        <v/>
      </c>
      <c r="C41" s="898" t="str">
        <f>IF(C42="","",AB$7)</f>
        <v/>
      </c>
      <c r="E41" s="207">
        <f ca="1">IF('1 Erklärung'!$AA$2="","",'5 Eingabe Organisationskräfte'!AP19)</f>
        <v>0</v>
      </c>
      <c r="F41" s="3234" t="str">
        <f t="shared" ref="F41:Q41" si="25">IF(SUM(F42,F43)=0,Z41,SUM(F42,F43,Z41))</f>
        <v/>
      </c>
      <c r="G41" s="3234" t="str">
        <f t="shared" si="25"/>
        <v/>
      </c>
      <c r="H41" s="3234" t="str">
        <f t="shared" si="25"/>
        <v/>
      </c>
      <c r="I41" s="3234" t="str">
        <f t="shared" si="25"/>
        <v/>
      </c>
      <c r="J41" s="3234" t="str">
        <f t="shared" si="25"/>
        <v/>
      </c>
      <c r="K41" s="3234" t="str">
        <f t="shared" si="25"/>
        <v/>
      </c>
      <c r="L41" s="3234" t="str">
        <f t="shared" si="25"/>
        <v/>
      </c>
      <c r="M41" s="3234" t="str">
        <f t="shared" si="25"/>
        <v/>
      </c>
      <c r="N41" s="3234" t="str">
        <f t="shared" si="25"/>
        <v/>
      </c>
      <c r="O41" s="3234" t="str">
        <f t="shared" si="25"/>
        <v/>
      </c>
      <c r="P41" s="3234" t="str">
        <f t="shared" si="25"/>
        <v/>
      </c>
      <c r="Q41" s="3234" t="str">
        <f t="shared" si="25"/>
        <v/>
      </c>
      <c r="R41" s="894" t="str">
        <f ca="1">IF('1 Erklärung'!AA$2="","",IF(A41="","",SUM(F41:Q41)))</f>
        <v/>
      </c>
      <c r="S41" s="895"/>
      <c r="T41" s="1269" t="str">
        <f>IF(A41="","",SUM(R41,-R43,-R42))</f>
        <v/>
      </c>
      <c r="U41" s="1228" t="str">
        <f>IF(A41="","",IF(T41="","",$U$5))</f>
        <v/>
      </c>
      <c r="V41" s="1227" t="str">
        <f>IF(A41="","",SUM(T41,R42,T42))</f>
        <v/>
      </c>
      <c r="W41" s="1229" t="str">
        <f>IF(A41="","",IF(V41="","",$W$5))</f>
        <v/>
      </c>
      <c r="X41" s="206" t="str">
        <f>IF(A41="","",R41/COUNTIF(F41:Q41,"&gt;0"))</f>
        <v/>
      </c>
      <c r="Y41" s="920"/>
      <c r="Z41" s="1587" t="str">
        <f>IF('5 Eingabe Organisationskräfte'!AQ19&gt;0.4,'5 Eingabe Organisationskräfte'!$AP19*'5 Eingabe Organisationskräfte'!AQ19,"")</f>
        <v/>
      </c>
      <c r="AA41" s="1587" t="str">
        <f>IF('5 Eingabe Organisationskräfte'!AR19&gt;0.4,'5 Eingabe Organisationskräfte'!$AP19*'5 Eingabe Organisationskräfte'!AR19,"")</f>
        <v/>
      </c>
      <c r="AB41" s="1587" t="str">
        <f>IF('5 Eingabe Organisationskräfte'!AS19&gt;0.4,'5 Eingabe Organisationskräfte'!$AP19*'5 Eingabe Organisationskräfte'!AS19,"")</f>
        <v/>
      </c>
      <c r="AC41" s="1587" t="str">
        <f>IF('5 Eingabe Organisationskräfte'!AT19&gt;0.4,'5 Eingabe Organisationskräfte'!$AP19*'5 Eingabe Organisationskräfte'!AT19,"")</f>
        <v/>
      </c>
      <c r="AD41" s="1587" t="str">
        <f>IF('5 Eingabe Organisationskräfte'!AU19&gt;0.4,'5 Eingabe Organisationskräfte'!$AP19*'5 Eingabe Organisationskräfte'!AU19,"")</f>
        <v/>
      </c>
      <c r="AE41" s="1587" t="str">
        <f>IF('5 Eingabe Organisationskräfte'!AV19&gt;0.4,'5 Eingabe Organisationskräfte'!$AP19*'5 Eingabe Organisationskräfte'!AV19,"")</f>
        <v/>
      </c>
      <c r="AF41" s="1587" t="str">
        <f>IF('5 Eingabe Organisationskräfte'!AW19&gt;0.4,'5 Eingabe Organisationskräfte'!$AP19*'5 Eingabe Organisationskräfte'!AW19,"")</f>
        <v/>
      </c>
      <c r="AG41" s="1587" t="str">
        <f>IF('5 Eingabe Organisationskräfte'!AX19&gt;0.4,'5 Eingabe Organisationskräfte'!$AP19*'5 Eingabe Organisationskräfte'!AX19,"")</f>
        <v/>
      </c>
      <c r="AH41" s="1587" t="str">
        <f>IF('5 Eingabe Organisationskräfte'!AY19&gt;0.4,'5 Eingabe Organisationskräfte'!$AP19*'5 Eingabe Organisationskräfte'!AY19,"")</f>
        <v/>
      </c>
      <c r="AI41" s="1587" t="str">
        <f>IF('5 Eingabe Organisationskräfte'!AZ19&gt;0.4,'5 Eingabe Organisationskräfte'!$AP19*'5 Eingabe Organisationskräfte'!AZ19,"")</f>
        <v/>
      </c>
      <c r="AJ41" s="1587" t="str">
        <f>IF('5 Eingabe Organisationskräfte'!BA19&gt;0.4,'5 Eingabe Organisationskräfte'!$AP19*'5 Eingabe Organisationskräfte'!BA19,"")</f>
        <v/>
      </c>
      <c r="AK41" s="1587" t="str">
        <f>IF('5 Eingabe Organisationskräfte'!BB19&gt;0.4,'5 Eingabe Organisationskräfte'!$AP19*'5 Eingabe Organisationskräfte'!BB19,"")</f>
        <v/>
      </c>
      <c r="AL41" s="920" t="str">
        <f>'5 Eingabe Organisationskräfte'!AK19</f>
        <v/>
      </c>
    </row>
    <row r="42" spans="1:38" s="76" customFormat="1" ht="24" customHeight="1">
      <c r="A42" s="937" t="str">
        <f>IF(SUM(AA42:AB42)=0,"",A$4)</f>
        <v/>
      </c>
      <c r="B42" s="1687" t="str">
        <f>IF(AA42=0,"",AA42)</f>
        <v/>
      </c>
      <c r="C42" s="1688" t="str">
        <f>IF(AB42=0,"",AB42)</f>
        <v/>
      </c>
      <c r="D42" s="3711" t="str">
        <f>IF(A41="","",$A$1)</f>
        <v/>
      </c>
      <c r="E42" s="3712"/>
      <c r="F42" s="2578"/>
      <c r="G42" s="2578"/>
      <c r="H42" s="2578"/>
      <c r="I42" s="2578"/>
      <c r="J42" s="2578"/>
      <c r="K42" s="2578"/>
      <c r="L42" s="2578"/>
      <c r="M42" s="2578"/>
      <c r="N42" s="2578"/>
      <c r="O42" s="2578"/>
      <c r="P42" s="2578"/>
      <c r="Q42" s="2578"/>
      <c r="R42" s="1221" t="str">
        <f>IF(A41="","",SUM(F42:Q42))</f>
        <v/>
      </c>
      <c r="S42" s="1222" t="str">
        <f>IF(D40="","",IF(R42="","",S$6))</f>
        <v/>
      </c>
      <c r="T42" s="1221" t="str">
        <f>IF(A41="","",(AL41*AC42))</f>
        <v/>
      </c>
      <c r="U42" s="1223" t="str">
        <f>IF(A41="","",IF(T42="","",U$6))</f>
        <v/>
      </c>
      <c r="V42" s="203" t="str">
        <f>IF(A41="","",SUM(V41)*IF(T41/COUNTIF(F41:Q41,"&gt;0")&lt;$X$4,$W$4,$V$4))</f>
        <v/>
      </c>
      <c r="W42" s="204" t="str">
        <f>IF(A41="","",IF(V42="","",W$6))</f>
        <v/>
      </c>
      <c r="X42" s="3715" t="str">
        <f>IF(A41="","",IF(X41="","",X$6))</f>
        <v/>
      </c>
      <c r="Y42" s="920">
        <f t="shared" ref="Y42:Y43" si="26">SUM(F42:Q42)</f>
        <v>0</v>
      </c>
      <c r="Z42" s="1587"/>
      <c r="AA42" s="1587">
        <f>'5 Eingabe Organisationskräfte'!C20</f>
        <v>0</v>
      </c>
      <c r="AB42" s="1587">
        <f>'5 Eingabe Organisationskräfte'!D20</f>
        <v>0</v>
      </c>
      <c r="AC42" s="1587">
        <f>'5 Eingabe Organisationskräfte'!E20</f>
        <v>0</v>
      </c>
      <c r="AD42" s="1587">
        <f>'5 Eingabe Organisationskräfte'!F20</f>
        <v>0</v>
      </c>
      <c r="AE42" s="1587">
        <f>'5 Eingabe Organisationskräfte'!G20</f>
        <v>0</v>
      </c>
      <c r="AF42" s="1587"/>
      <c r="AG42" s="1587"/>
      <c r="AH42" s="1587"/>
      <c r="AI42" s="1587"/>
      <c r="AJ42" s="1587"/>
      <c r="AK42" s="1587"/>
      <c r="AL42" s="920"/>
    </row>
    <row r="43" spans="1:38" s="76" customFormat="1" ht="24" customHeight="1" thickBot="1">
      <c r="A43" s="938" t="str">
        <f>IF(SUM(AD42)=0,"",A$4)</f>
        <v/>
      </c>
      <c r="B43" s="1691"/>
      <c r="C43" s="1690" t="str">
        <f>IF(AD42=0,"",AD42)</f>
        <v/>
      </c>
      <c r="D43" s="3729" t="str">
        <f>IF(C43="","",$A$2)</f>
        <v/>
      </c>
      <c r="E43" s="3730"/>
      <c r="F43" s="2579"/>
      <c r="G43" s="2579"/>
      <c r="H43" s="2579"/>
      <c r="I43" s="2579"/>
      <c r="J43" s="2579"/>
      <c r="K43" s="2579"/>
      <c r="L43" s="2579"/>
      <c r="M43" s="2579"/>
      <c r="N43" s="2579"/>
      <c r="O43" s="2579"/>
      <c r="P43" s="2579"/>
      <c r="Q43" s="2580"/>
      <c r="R43" s="1224" t="str">
        <f>IF(A41="","",SUM(F43:Q43))</f>
        <v/>
      </c>
      <c r="S43" s="1225" t="str">
        <f>IF(A41="","",IF(R43="","",S$7))</f>
        <v/>
      </c>
      <c r="T43" s="1226" t="str">
        <f>IF(A41="","",(AE42*AL41))</f>
        <v/>
      </c>
      <c r="U43" s="1225" t="str">
        <f>IF(A41="","",IF(T43="","",U$7))</f>
        <v/>
      </c>
      <c r="V43" s="201" t="str">
        <f>IF(A41="","",SUM(V41:V42,R43,T43))</f>
        <v/>
      </c>
      <c r="W43" s="959" t="str">
        <f>IF(A41="","",IF(V43="","",W$7))</f>
        <v/>
      </c>
      <c r="X43" s="3716"/>
      <c r="Y43" s="920">
        <f t="shared" si="26"/>
        <v>0</v>
      </c>
      <c r="Z43" s="1587"/>
      <c r="AA43" s="1587"/>
      <c r="AB43" s="1587"/>
      <c r="AC43" s="1587"/>
      <c r="AD43" s="1587"/>
      <c r="AE43" s="1587"/>
      <c r="AF43" s="1587"/>
      <c r="AG43" s="1587"/>
      <c r="AH43" s="1587"/>
      <c r="AI43" s="1587"/>
      <c r="AJ43" s="1587"/>
      <c r="AK43" s="1587"/>
      <c r="AL43" s="920"/>
    </row>
    <row r="44" spans="1:38" s="76" customFormat="1" ht="24" customHeight="1">
      <c r="A44" s="939" t="str">
        <f>IF('5 Eingabe Organisationskräfte'!A20="","",'5 Eingabe Organisationskräfte'!A20)</f>
        <v/>
      </c>
      <c r="B44" s="898" t="str">
        <f>IF(B45="","",AA$7)</f>
        <v/>
      </c>
      <c r="C44" s="898" t="str">
        <f>IF(C45="","",AB$7)</f>
        <v/>
      </c>
      <c r="E44" s="207">
        <f ca="1">IF('1 Erklärung'!$AA$2="","",'5 Eingabe Organisationskräfte'!AP20)</f>
        <v>0</v>
      </c>
      <c r="F44" s="3234" t="str">
        <f t="shared" ref="F44:Q44" si="27">IF(SUM(F45,F46)=0,Z44,SUM(F45,F46,Z44))</f>
        <v/>
      </c>
      <c r="G44" s="3234" t="str">
        <f t="shared" si="27"/>
        <v/>
      </c>
      <c r="H44" s="3234" t="str">
        <f t="shared" si="27"/>
        <v/>
      </c>
      <c r="I44" s="3234" t="str">
        <f t="shared" si="27"/>
        <v/>
      </c>
      <c r="J44" s="3234" t="str">
        <f t="shared" si="27"/>
        <v/>
      </c>
      <c r="K44" s="3234" t="str">
        <f t="shared" si="27"/>
        <v/>
      </c>
      <c r="L44" s="3234" t="str">
        <f t="shared" si="27"/>
        <v/>
      </c>
      <c r="M44" s="3234" t="str">
        <f t="shared" si="27"/>
        <v/>
      </c>
      <c r="N44" s="3234" t="str">
        <f t="shared" si="27"/>
        <v/>
      </c>
      <c r="O44" s="3234" t="str">
        <f t="shared" si="27"/>
        <v/>
      </c>
      <c r="P44" s="3234" t="str">
        <f t="shared" si="27"/>
        <v/>
      </c>
      <c r="Q44" s="3234" t="str">
        <f t="shared" si="27"/>
        <v/>
      </c>
      <c r="R44" s="894" t="str">
        <f ca="1">IF('1 Erklärung'!AA$2="","",IF(A44="","",SUM(F44:Q44)))</f>
        <v/>
      </c>
      <c r="S44" s="895"/>
      <c r="T44" s="1269" t="str">
        <f>IF(A44="","",SUM(R44,-R46,-R45))</f>
        <v/>
      </c>
      <c r="U44" s="1228" t="str">
        <f>IF(A44="","",IF(T44="","",$U$5))</f>
        <v/>
      </c>
      <c r="V44" s="1227" t="str">
        <f>IF(A44="","",SUM(T44,R45,T45))</f>
        <v/>
      </c>
      <c r="W44" s="1229" t="str">
        <f>IF(A44="","",IF(V44="","",$W$5))</f>
        <v/>
      </c>
      <c r="X44" s="206" t="str">
        <f>IF(A44="","",R44/COUNTIF(F44:Q44,"&gt;0"))</f>
        <v/>
      </c>
      <c r="Y44" s="920"/>
      <c r="Z44" s="1587" t="str">
        <f>IF('5 Eingabe Organisationskräfte'!AQ20&gt;0.4,'5 Eingabe Organisationskräfte'!$AP20*'5 Eingabe Organisationskräfte'!AQ20,"")</f>
        <v/>
      </c>
      <c r="AA44" s="1587" t="str">
        <f>IF('5 Eingabe Organisationskräfte'!AR20&gt;0.4,'5 Eingabe Organisationskräfte'!$AP20*'5 Eingabe Organisationskräfte'!AR20,"")</f>
        <v/>
      </c>
      <c r="AB44" s="1587" t="str">
        <f>IF('5 Eingabe Organisationskräfte'!AS20&gt;0.4,'5 Eingabe Organisationskräfte'!$AP20*'5 Eingabe Organisationskräfte'!AS20,"")</f>
        <v/>
      </c>
      <c r="AC44" s="1587" t="str">
        <f>IF('5 Eingabe Organisationskräfte'!AT20&gt;0.4,'5 Eingabe Organisationskräfte'!$AP20*'5 Eingabe Organisationskräfte'!AT20,"")</f>
        <v/>
      </c>
      <c r="AD44" s="1587" t="str">
        <f>IF('5 Eingabe Organisationskräfte'!AU20&gt;0.4,'5 Eingabe Organisationskräfte'!$AP20*'5 Eingabe Organisationskräfte'!AU20,"")</f>
        <v/>
      </c>
      <c r="AE44" s="1587" t="str">
        <f>IF('5 Eingabe Organisationskräfte'!AV20&gt;0.4,'5 Eingabe Organisationskräfte'!$AP20*'5 Eingabe Organisationskräfte'!AV20,"")</f>
        <v/>
      </c>
      <c r="AF44" s="1587" t="str">
        <f>IF('5 Eingabe Organisationskräfte'!AW20&gt;0.4,'5 Eingabe Organisationskräfte'!$AP20*'5 Eingabe Organisationskräfte'!AW20,"")</f>
        <v/>
      </c>
      <c r="AG44" s="1587" t="str">
        <f>IF('5 Eingabe Organisationskräfte'!AX20&gt;0.4,'5 Eingabe Organisationskräfte'!$AP20*'5 Eingabe Organisationskräfte'!AX20,"")</f>
        <v/>
      </c>
      <c r="AH44" s="1587" t="str">
        <f>IF('5 Eingabe Organisationskräfte'!AY20&gt;0.4,'5 Eingabe Organisationskräfte'!$AP20*'5 Eingabe Organisationskräfte'!AY20,"")</f>
        <v/>
      </c>
      <c r="AI44" s="1587" t="str">
        <f>IF('5 Eingabe Organisationskräfte'!AZ20&gt;0.4,'5 Eingabe Organisationskräfte'!$AP20*'5 Eingabe Organisationskräfte'!AZ20,"")</f>
        <v/>
      </c>
      <c r="AJ44" s="1587" t="str">
        <f>IF('5 Eingabe Organisationskräfte'!BA20&gt;0.4,'5 Eingabe Organisationskräfte'!$AP20*'5 Eingabe Organisationskräfte'!BA20,"")</f>
        <v/>
      </c>
      <c r="AK44" s="1587" t="str">
        <f>IF('5 Eingabe Organisationskräfte'!BB20&gt;0.4,'5 Eingabe Organisationskräfte'!$AP20*'5 Eingabe Organisationskräfte'!BB20,"")</f>
        <v/>
      </c>
      <c r="AL44" s="920" t="str">
        <f>'5 Eingabe Organisationskräfte'!AK20</f>
        <v/>
      </c>
    </row>
    <row r="45" spans="1:38" s="76" customFormat="1" ht="24" customHeight="1">
      <c r="A45" s="937" t="str">
        <f>IF(SUM(AA45:AB45)=0,"",A$4)</f>
        <v/>
      </c>
      <c r="B45" s="1687" t="str">
        <f>IF(AA45=0,"",AA45)</f>
        <v/>
      </c>
      <c r="C45" s="1688" t="str">
        <f>IF(AB45=0,"",AB45)</f>
        <v/>
      </c>
      <c r="D45" s="3711" t="str">
        <f>IF(A44="","",$A$1)</f>
        <v/>
      </c>
      <c r="E45" s="3712"/>
      <c r="F45" s="2578"/>
      <c r="G45" s="2578"/>
      <c r="H45" s="2578"/>
      <c r="I45" s="2578"/>
      <c r="J45" s="2578"/>
      <c r="K45" s="2578"/>
      <c r="L45" s="2578"/>
      <c r="M45" s="2578"/>
      <c r="N45" s="2578"/>
      <c r="O45" s="2578"/>
      <c r="P45" s="2578"/>
      <c r="Q45" s="2578"/>
      <c r="R45" s="1221" t="str">
        <f>IF(A44="","",SUM(F45:Q45))</f>
        <v/>
      </c>
      <c r="S45" s="1222" t="str">
        <f>IF(D43="","",IF(R45="","",S$6))</f>
        <v/>
      </c>
      <c r="T45" s="1221" t="str">
        <f>IF(A44="","",(AL44*AC45))</f>
        <v/>
      </c>
      <c r="U45" s="1223" t="str">
        <f>IF(A44="","",IF(T45="","",U$6))</f>
        <v/>
      </c>
      <c r="V45" s="203" t="str">
        <f>IF(A44="","",SUM(V44)*IF(T44/COUNTIF(F44:Q44,"&gt;0")&lt;$X$4,$W$4,$V$4))</f>
        <v/>
      </c>
      <c r="W45" s="204" t="str">
        <f>IF(A44="","",IF(V45="","",W$6))</f>
        <v/>
      </c>
      <c r="X45" s="3715" t="str">
        <f>IF(A44="","",IF(X44="","",X$6))</f>
        <v/>
      </c>
      <c r="Y45" s="920">
        <f t="shared" ref="Y45:Y46" si="28">SUM(F45:Q45)</f>
        <v>0</v>
      </c>
      <c r="Z45" s="1587"/>
      <c r="AA45" s="1587">
        <f>'5 Eingabe Organisationskräfte'!C21</f>
        <v>0</v>
      </c>
      <c r="AB45" s="1587">
        <f>'5 Eingabe Organisationskräfte'!D21</f>
        <v>0</v>
      </c>
      <c r="AC45" s="1587">
        <f>'5 Eingabe Organisationskräfte'!E21</f>
        <v>0</v>
      </c>
      <c r="AD45" s="1587">
        <f>'5 Eingabe Organisationskräfte'!F21</f>
        <v>0</v>
      </c>
      <c r="AE45" s="1587">
        <f>'5 Eingabe Organisationskräfte'!G21</f>
        <v>0</v>
      </c>
      <c r="AF45" s="1587"/>
      <c r="AG45" s="1587"/>
      <c r="AH45" s="1587"/>
      <c r="AI45" s="1587"/>
      <c r="AJ45" s="1587"/>
      <c r="AK45" s="1587"/>
      <c r="AL45" s="920"/>
    </row>
    <row r="46" spans="1:38" s="76" customFormat="1" ht="24" customHeight="1" thickBot="1">
      <c r="A46" s="938" t="str">
        <f>IF(SUM(AD45)=0,"",A$4)</f>
        <v/>
      </c>
      <c r="B46" s="1691"/>
      <c r="C46" s="1690" t="str">
        <f>IF(AD45=0,"",AD45)</f>
        <v/>
      </c>
      <c r="D46" s="3729" t="str">
        <f>IF(C46="","",$A$2)</f>
        <v/>
      </c>
      <c r="E46" s="3730"/>
      <c r="F46" s="2579"/>
      <c r="G46" s="2579"/>
      <c r="H46" s="2579"/>
      <c r="I46" s="2579"/>
      <c r="J46" s="2579"/>
      <c r="K46" s="2579"/>
      <c r="L46" s="2579"/>
      <c r="M46" s="2579"/>
      <c r="N46" s="2579"/>
      <c r="O46" s="2579"/>
      <c r="P46" s="2579"/>
      <c r="Q46" s="2580"/>
      <c r="R46" s="1224" t="str">
        <f>IF(A44="","",SUM(F46:Q46))</f>
        <v/>
      </c>
      <c r="S46" s="1225" t="str">
        <f>IF(A44="","",IF(R46="","",S$7))</f>
        <v/>
      </c>
      <c r="T46" s="1226" t="str">
        <f>IF(A44="","",(AE45*AL44))</f>
        <v/>
      </c>
      <c r="U46" s="1225" t="str">
        <f>IF(A44="","",IF(T46="","",U$7))</f>
        <v/>
      </c>
      <c r="V46" s="201" t="str">
        <f>IF(A44="","",SUM(V44:V45,R46,T46))</f>
        <v/>
      </c>
      <c r="W46" s="959" t="str">
        <f>IF(A44="","",IF(V46="","",W$7))</f>
        <v/>
      </c>
      <c r="X46" s="3716"/>
      <c r="Y46" s="920">
        <f t="shared" si="28"/>
        <v>0</v>
      </c>
      <c r="Z46" s="1587"/>
      <c r="AA46" s="1587"/>
      <c r="AB46" s="1587"/>
      <c r="AC46" s="1587"/>
      <c r="AD46" s="1587"/>
      <c r="AE46" s="1587"/>
      <c r="AF46" s="1587"/>
      <c r="AG46" s="1587"/>
      <c r="AH46" s="1587"/>
      <c r="AI46" s="1587"/>
      <c r="AJ46" s="1587"/>
      <c r="AK46" s="1587"/>
      <c r="AL46" s="920"/>
    </row>
    <row r="47" spans="1:38" s="76" customFormat="1" ht="24" customHeight="1">
      <c r="A47" s="939" t="str">
        <f>IF('5 Eingabe Organisationskräfte'!A21="","",'5 Eingabe Organisationskräfte'!A21)</f>
        <v/>
      </c>
      <c r="B47" s="898" t="str">
        <f>IF(B48="","",AA$7)</f>
        <v/>
      </c>
      <c r="C47" s="898" t="str">
        <f>IF(C48="","",AB$7)</f>
        <v/>
      </c>
      <c r="E47" s="207">
        <f ca="1">IF('1 Erklärung'!$AA$2="","",'5 Eingabe Organisationskräfte'!AP21)</f>
        <v>0</v>
      </c>
      <c r="F47" s="3234" t="str">
        <f t="shared" ref="F47:Q47" si="29">IF(SUM(F48,F49)=0,Z47,SUM(F48,F49,Z47))</f>
        <v/>
      </c>
      <c r="G47" s="3234" t="str">
        <f t="shared" si="29"/>
        <v/>
      </c>
      <c r="H47" s="3234" t="str">
        <f t="shared" si="29"/>
        <v/>
      </c>
      <c r="I47" s="3234" t="str">
        <f t="shared" si="29"/>
        <v/>
      </c>
      <c r="J47" s="3234" t="str">
        <f t="shared" si="29"/>
        <v/>
      </c>
      <c r="K47" s="3234" t="str">
        <f t="shared" si="29"/>
        <v/>
      </c>
      <c r="L47" s="3234" t="str">
        <f t="shared" si="29"/>
        <v/>
      </c>
      <c r="M47" s="3234" t="str">
        <f t="shared" si="29"/>
        <v/>
      </c>
      <c r="N47" s="3234" t="str">
        <f t="shared" si="29"/>
        <v/>
      </c>
      <c r="O47" s="3234" t="str">
        <f t="shared" si="29"/>
        <v/>
      </c>
      <c r="P47" s="3234" t="str">
        <f t="shared" si="29"/>
        <v/>
      </c>
      <c r="Q47" s="3234" t="str">
        <f t="shared" si="29"/>
        <v/>
      </c>
      <c r="R47" s="894" t="str">
        <f ca="1">IF('1 Erklärung'!AA$2="","",IF(A47="","",SUM(F47:Q47)))</f>
        <v/>
      </c>
      <c r="S47" s="895"/>
      <c r="T47" s="1269" t="str">
        <f>IF(A47="","",SUM(R47,-R49,-R48))</f>
        <v/>
      </c>
      <c r="U47" s="1228" t="str">
        <f>IF(A47="","",IF(T47="","",$U$5))</f>
        <v/>
      </c>
      <c r="V47" s="1227" t="str">
        <f>IF(A47="","",SUM(T47,R48,T48))</f>
        <v/>
      </c>
      <c r="W47" s="1229" t="str">
        <f>IF(A47="","",IF(V47="","",$W$5))</f>
        <v/>
      </c>
      <c r="X47" s="206" t="str">
        <f>IF(A47="","",R47/COUNTIF(F47:Q47,"&gt;0"))</f>
        <v/>
      </c>
      <c r="Y47" s="920"/>
      <c r="Z47" s="1587" t="str">
        <f>IF('5 Eingabe Organisationskräfte'!AQ21&gt;0.4,'5 Eingabe Organisationskräfte'!$AP21*'5 Eingabe Organisationskräfte'!AQ21,"")</f>
        <v/>
      </c>
      <c r="AA47" s="1587" t="str">
        <f>IF('5 Eingabe Organisationskräfte'!AR21&gt;0.4,'5 Eingabe Organisationskräfte'!$AP21*'5 Eingabe Organisationskräfte'!AR21,"")</f>
        <v/>
      </c>
      <c r="AB47" s="1587" t="str">
        <f>IF('5 Eingabe Organisationskräfte'!AS21&gt;0.4,'5 Eingabe Organisationskräfte'!$AP21*'5 Eingabe Organisationskräfte'!AS21,"")</f>
        <v/>
      </c>
      <c r="AC47" s="1587" t="str">
        <f>IF('5 Eingabe Organisationskräfte'!AT21&gt;0.4,'5 Eingabe Organisationskräfte'!$AP21*'5 Eingabe Organisationskräfte'!AT21,"")</f>
        <v/>
      </c>
      <c r="AD47" s="1587" t="str">
        <f>IF('5 Eingabe Organisationskräfte'!AU21&gt;0.4,'5 Eingabe Organisationskräfte'!$AP21*'5 Eingabe Organisationskräfte'!AU21,"")</f>
        <v/>
      </c>
      <c r="AE47" s="1587" t="str">
        <f>IF('5 Eingabe Organisationskräfte'!AV21&gt;0.4,'5 Eingabe Organisationskräfte'!$AP21*'5 Eingabe Organisationskräfte'!AV21,"")</f>
        <v/>
      </c>
      <c r="AF47" s="1587" t="str">
        <f>IF('5 Eingabe Organisationskräfte'!AW21&gt;0.4,'5 Eingabe Organisationskräfte'!$AP21*'5 Eingabe Organisationskräfte'!AW21,"")</f>
        <v/>
      </c>
      <c r="AG47" s="1587" t="str">
        <f>IF('5 Eingabe Organisationskräfte'!AX21&gt;0.4,'5 Eingabe Organisationskräfte'!$AP21*'5 Eingabe Organisationskräfte'!AX21,"")</f>
        <v/>
      </c>
      <c r="AH47" s="1587" t="str">
        <f>IF('5 Eingabe Organisationskräfte'!AY21&gt;0.4,'5 Eingabe Organisationskräfte'!$AP21*'5 Eingabe Organisationskräfte'!AY21,"")</f>
        <v/>
      </c>
      <c r="AI47" s="1587" t="str">
        <f>IF('5 Eingabe Organisationskräfte'!AZ21&gt;0.4,'5 Eingabe Organisationskräfte'!$AP21*'5 Eingabe Organisationskräfte'!AZ21,"")</f>
        <v/>
      </c>
      <c r="AJ47" s="1587" t="str">
        <f>IF('5 Eingabe Organisationskräfte'!BA21&gt;0.4,'5 Eingabe Organisationskräfte'!$AP21*'5 Eingabe Organisationskräfte'!BA21,"")</f>
        <v/>
      </c>
      <c r="AK47" s="1587" t="str">
        <f>IF('5 Eingabe Organisationskräfte'!BB21&gt;0.4,'5 Eingabe Organisationskräfte'!$AP21*'5 Eingabe Organisationskräfte'!BB21,"")</f>
        <v/>
      </c>
      <c r="AL47" s="920" t="str">
        <f>'5 Eingabe Organisationskräfte'!AK21</f>
        <v/>
      </c>
    </row>
    <row r="48" spans="1:38" s="76" customFormat="1" ht="24" customHeight="1">
      <c r="A48" s="937" t="str">
        <f>IF(SUM(AA48:AB48)=0,"",A$4)</f>
        <v/>
      </c>
      <c r="B48" s="1687" t="str">
        <f>IF(AA48=0,"",AA48)</f>
        <v/>
      </c>
      <c r="C48" s="1688" t="str">
        <f>IF(AB48=0,"",AB48)</f>
        <v/>
      </c>
      <c r="D48" s="3711" t="str">
        <f>IF(A47="","",$A$1)</f>
        <v/>
      </c>
      <c r="E48" s="3712"/>
      <c r="F48" s="2578"/>
      <c r="G48" s="2578"/>
      <c r="H48" s="2578"/>
      <c r="I48" s="2578"/>
      <c r="J48" s="2578"/>
      <c r="K48" s="2578"/>
      <c r="L48" s="2578"/>
      <c r="M48" s="2578"/>
      <c r="N48" s="2578"/>
      <c r="O48" s="2578"/>
      <c r="P48" s="2578"/>
      <c r="Q48" s="2578"/>
      <c r="R48" s="1221" t="str">
        <f>IF(A47="","",SUM(F48:Q48))</f>
        <v/>
      </c>
      <c r="S48" s="1222" t="str">
        <f>IF(D46="","",IF(R48="","",S$6))</f>
        <v/>
      </c>
      <c r="T48" s="1221" t="str">
        <f>IF(A47="","",(AL47*AC48))</f>
        <v/>
      </c>
      <c r="U48" s="1223" t="str">
        <f>IF(A47="","",IF(T48="","",U$6))</f>
        <v/>
      </c>
      <c r="V48" s="203" t="str">
        <f>IF(A47="","",SUM(V47)*IF(T47/COUNTIF(F47:Q47,"&gt;0")&lt;$X$4,$W$4,$V$4))</f>
        <v/>
      </c>
      <c r="W48" s="204" t="str">
        <f>IF(A47="","",IF(V48="","",W$6))</f>
        <v/>
      </c>
      <c r="X48" s="3715" t="str">
        <f>IF(A47="","",IF(X47="","",X$6))</f>
        <v/>
      </c>
      <c r="Y48" s="920">
        <f t="shared" ref="Y48:Y49" si="30">SUM(F48:Q48)</f>
        <v>0</v>
      </c>
      <c r="Z48" s="1587"/>
      <c r="AA48" s="1587">
        <f>'5 Eingabe Organisationskräfte'!C22</f>
        <v>0</v>
      </c>
      <c r="AB48" s="1587">
        <f>'5 Eingabe Organisationskräfte'!D22</f>
        <v>0</v>
      </c>
      <c r="AC48" s="1587">
        <f>'5 Eingabe Organisationskräfte'!E22</f>
        <v>0</v>
      </c>
      <c r="AD48" s="1587">
        <f>'5 Eingabe Organisationskräfte'!F22</f>
        <v>0</v>
      </c>
      <c r="AE48" s="1587">
        <f>'5 Eingabe Organisationskräfte'!G22</f>
        <v>0</v>
      </c>
      <c r="AF48" s="1587"/>
      <c r="AG48" s="1587"/>
      <c r="AH48" s="1587"/>
      <c r="AI48" s="1587"/>
      <c r="AJ48" s="1587"/>
      <c r="AK48" s="1587"/>
      <c r="AL48" s="920"/>
    </row>
    <row r="49" spans="1:38" s="76" customFormat="1" ht="24" customHeight="1" thickBot="1">
      <c r="A49" s="938" t="str">
        <f>IF(SUM(AD48)=0,"",A$4)</f>
        <v/>
      </c>
      <c r="B49" s="1691"/>
      <c r="C49" s="1690" t="str">
        <f>IF(AD48=0,"",AD48)</f>
        <v/>
      </c>
      <c r="D49" s="3729" t="str">
        <f>IF(C49="","",$A$2)</f>
        <v/>
      </c>
      <c r="E49" s="3730"/>
      <c r="F49" s="2579"/>
      <c r="G49" s="2579"/>
      <c r="H49" s="2579"/>
      <c r="I49" s="2579"/>
      <c r="J49" s="2579"/>
      <c r="K49" s="2579"/>
      <c r="L49" s="2579"/>
      <c r="M49" s="2579"/>
      <c r="N49" s="2579"/>
      <c r="O49" s="2579"/>
      <c r="P49" s="2579"/>
      <c r="Q49" s="2580"/>
      <c r="R49" s="1224" t="str">
        <f>IF(A47="","",SUM(F49:Q49))</f>
        <v/>
      </c>
      <c r="S49" s="1225" t="str">
        <f>IF(A47="","",IF(R49="","",S$7))</f>
        <v/>
      </c>
      <c r="T49" s="1226" t="str">
        <f>IF(A47="","",(AE48*AL47))</f>
        <v/>
      </c>
      <c r="U49" s="1225" t="str">
        <f>IF(A47="","",IF(T49="","",U$7))</f>
        <v/>
      </c>
      <c r="V49" s="201" t="str">
        <f>IF(A47="","",SUM(V47:V48,R49,T49))</f>
        <v/>
      </c>
      <c r="W49" s="959" t="str">
        <f>IF(A47="","",IF(V49="","",W$7))</f>
        <v/>
      </c>
      <c r="X49" s="3716"/>
      <c r="Y49" s="920">
        <f t="shared" si="30"/>
        <v>0</v>
      </c>
      <c r="Z49" s="1587"/>
      <c r="AA49" s="1587"/>
      <c r="AB49" s="1587"/>
      <c r="AC49" s="1587"/>
      <c r="AD49" s="1587"/>
      <c r="AE49" s="1587"/>
      <c r="AF49" s="1587"/>
      <c r="AG49" s="1587"/>
      <c r="AH49" s="1587"/>
      <c r="AI49" s="1587"/>
      <c r="AJ49" s="1587"/>
      <c r="AK49" s="1587"/>
      <c r="AL49" s="920"/>
    </row>
    <row r="50" spans="1:38" s="76" customFormat="1" ht="24" customHeight="1">
      <c r="A50" s="939" t="str">
        <f>IF('5 Eingabe Organisationskräfte'!A22="","",'5 Eingabe Organisationskräfte'!A22)</f>
        <v/>
      </c>
      <c r="B50" s="898" t="str">
        <f>IF(B51="","",AA$7)</f>
        <v/>
      </c>
      <c r="C50" s="898" t="str">
        <f>IF(C51="","",AB$7)</f>
        <v/>
      </c>
      <c r="E50" s="207">
        <f ca="1">IF('1 Erklärung'!$AA$2="","",'5 Eingabe Organisationskräfte'!AP22)</f>
        <v>0</v>
      </c>
      <c r="F50" s="3234" t="str">
        <f t="shared" ref="F50:Q50" si="31">IF(SUM(F51,F52)=0,Z50,SUM(F51,F52,Z50))</f>
        <v/>
      </c>
      <c r="G50" s="3234" t="str">
        <f t="shared" si="31"/>
        <v/>
      </c>
      <c r="H50" s="3234" t="str">
        <f t="shared" si="31"/>
        <v/>
      </c>
      <c r="I50" s="3234" t="str">
        <f t="shared" si="31"/>
        <v/>
      </c>
      <c r="J50" s="3234" t="str">
        <f t="shared" si="31"/>
        <v/>
      </c>
      <c r="K50" s="3234" t="str">
        <f t="shared" si="31"/>
        <v/>
      </c>
      <c r="L50" s="3234" t="str">
        <f t="shared" si="31"/>
        <v/>
      </c>
      <c r="M50" s="3234" t="str">
        <f t="shared" si="31"/>
        <v/>
      </c>
      <c r="N50" s="3234" t="str">
        <f t="shared" si="31"/>
        <v/>
      </c>
      <c r="O50" s="3234" t="str">
        <f t="shared" si="31"/>
        <v/>
      </c>
      <c r="P50" s="3234" t="str">
        <f t="shared" si="31"/>
        <v/>
      </c>
      <c r="Q50" s="3234" t="str">
        <f t="shared" si="31"/>
        <v/>
      </c>
      <c r="R50" s="894" t="str">
        <f ca="1">IF('1 Erklärung'!AA$2="","",IF(A50="","",SUM(F50:Q50)))</f>
        <v/>
      </c>
      <c r="S50" s="895"/>
      <c r="T50" s="1269" t="str">
        <f>IF(A50="","",SUM(R50,-R52,-R51))</f>
        <v/>
      </c>
      <c r="U50" s="1228" t="str">
        <f>IF(A50="","",IF(T50="","",$U$5))</f>
        <v/>
      </c>
      <c r="V50" s="1227" t="str">
        <f>IF(A50="","",SUM(T50,R51,T51))</f>
        <v/>
      </c>
      <c r="W50" s="1229" t="str">
        <f>IF(A50="","",IF(V50="","",$W$5))</f>
        <v/>
      </c>
      <c r="X50" s="206" t="str">
        <f>IF(A50="","",R50/COUNTIF(F50:Q50,"&gt;0"))</f>
        <v/>
      </c>
      <c r="Y50" s="920"/>
      <c r="Z50" s="1587" t="str">
        <f>IF('5 Eingabe Organisationskräfte'!AQ22&gt;0.4,'5 Eingabe Organisationskräfte'!$AP22*'5 Eingabe Organisationskräfte'!AQ22,"")</f>
        <v/>
      </c>
      <c r="AA50" s="1587" t="str">
        <f>IF('5 Eingabe Organisationskräfte'!AR22&gt;0.4,'5 Eingabe Organisationskräfte'!$AP22*'5 Eingabe Organisationskräfte'!AR22,"")</f>
        <v/>
      </c>
      <c r="AB50" s="1587" t="str">
        <f>IF('5 Eingabe Organisationskräfte'!AS22&gt;0.4,'5 Eingabe Organisationskräfte'!$AP22*'5 Eingabe Organisationskräfte'!AS22,"")</f>
        <v/>
      </c>
      <c r="AC50" s="1587" t="str">
        <f>IF('5 Eingabe Organisationskräfte'!AT22&gt;0.4,'5 Eingabe Organisationskräfte'!$AP22*'5 Eingabe Organisationskräfte'!AT22,"")</f>
        <v/>
      </c>
      <c r="AD50" s="1587" t="str">
        <f>IF('5 Eingabe Organisationskräfte'!AU22&gt;0.4,'5 Eingabe Organisationskräfte'!$AP22*'5 Eingabe Organisationskräfte'!AU22,"")</f>
        <v/>
      </c>
      <c r="AE50" s="1587" t="str">
        <f>IF('5 Eingabe Organisationskräfte'!AV22&gt;0.4,'5 Eingabe Organisationskräfte'!$AP22*'5 Eingabe Organisationskräfte'!AV22,"")</f>
        <v/>
      </c>
      <c r="AF50" s="1587" t="str">
        <f>IF('5 Eingabe Organisationskräfte'!AW22&gt;0.4,'5 Eingabe Organisationskräfte'!$AP22*'5 Eingabe Organisationskräfte'!AW22,"")</f>
        <v/>
      </c>
      <c r="AG50" s="1587" t="str">
        <f>IF('5 Eingabe Organisationskräfte'!AX22&gt;0.4,'5 Eingabe Organisationskräfte'!$AP22*'5 Eingabe Organisationskräfte'!AX22,"")</f>
        <v/>
      </c>
      <c r="AH50" s="1587" t="str">
        <f>IF('5 Eingabe Organisationskräfte'!AY22&gt;0.4,'5 Eingabe Organisationskräfte'!$AP22*'5 Eingabe Organisationskräfte'!AY22,"")</f>
        <v/>
      </c>
      <c r="AI50" s="1587" t="str">
        <f>IF('5 Eingabe Organisationskräfte'!AZ22&gt;0.4,'5 Eingabe Organisationskräfte'!$AP22*'5 Eingabe Organisationskräfte'!AZ22,"")</f>
        <v/>
      </c>
      <c r="AJ50" s="1587" t="str">
        <f>IF('5 Eingabe Organisationskräfte'!BA22&gt;0.4,'5 Eingabe Organisationskräfte'!$AP22*'5 Eingabe Organisationskräfte'!BA22,"")</f>
        <v/>
      </c>
      <c r="AK50" s="1587" t="str">
        <f>IF('5 Eingabe Organisationskräfte'!BB22&gt;0.4,'5 Eingabe Organisationskräfte'!$AP22*'5 Eingabe Organisationskräfte'!BB22,"")</f>
        <v/>
      </c>
      <c r="AL50" s="920" t="str">
        <f>'5 Eingabe Organisationskräfte'!AK22</f>
        <v/>
      </c>
    </row>
    <row r="51" spans="1:38" s="76" customFormat="1" ht="24" customHeight="1">
      <c r="A51" s="937" t="str">
        <f>IF(SUM(AA51:AB51)=0,"",A$4)</f>
        <v/>
      </c>
      <c r="B51" s="1687" t="str">
        <f>IF(AA51=0,"",AA51)</f>
        <v/>
      </c>
      <c r="C51" s="1688" t="str">
        <f>IF(AB51=0,"",AB51)</f>
        <v/>
      </c>
      <c r="D51" s="3711" t="str">
        <f>IF(A50="","",$A$1)</f>
        <v/>
      </c>
      <c r="E51" s="3712"/>
      <c r="F51" s="2578"/>
      <c r="G51" s="2578"/>
      <c r="H51" s="2578"/>
      <c r="I51" s="2578"/>
      <c r="J51" s="2578"/>
      <c r="K51" s="2578"/>
      <c r="L51" s="2578"/>
      <c r="M51" s="2578"/>
      <c r="N51" s="2578"/>
      <c r="O51" s="2578"/>
      <c r="P51" s="2578"/>
      <c r="Q51" s="2578"/>
      <c r="R51" s="1221" t="str">
        <f>IF(A50="","",SUM(F51:Q51))</f>
        <v/>
      </c>
      <c r="S51" s="1222" t="str">
        <f>IF(D49="","",IF(R51="","",S$6))</f>
        <v/>
      </c>
      <c r="T51" s="1221" t="str">
        <f>IF(A50="","",(AL50*AC51))</f>
        <v/>
      </c>
      <c r="U51" s="1223" t="str">
        <f>IF(A50="","",IF(T51="","",U$6))</f>
        <v/>
      </c>
      <c r="V51" s="203" t="str">
        <f>IF(A50="","",SUM(V50)*IF(T50/COUNTIF(F50:Q50,"&gt;0")&lt;$X$4,$W$4,$V$4))</f>
        <v/>
      </c>
      <c r="W51" s="204" t="str">
        <f>IF(A50="","",IF(V51="","",W$6))</f>
        <v/>
      </c>
      <c r="X51" s="3715" t="str">
        <f>IF(A50="","",IF(X50="","",X$6))</f>
        <v/>
      </c>
      <c r="Y51" s="920">
        <f t="shared" ref="Y51:Y52" si="32">SUM(F51:Q51)</f>
        <v>0</v>
      </c>
      <c r="Z51" s="1587"/>
      <c r="AA51" s="1587">
        <f>'5 Eingabe Organisationskräfte'!C23</f>
        <v>0</v>
      </c>
      <c r="AB51" s="1587">
        <f>'5 Eingabe Organisationskräfte'!D23</f>
        <v>0</v>
      </c>
      <c r="AC51" s="1587">
        <f>'5 Eingabe Organisationskräfte'!E23</f>
        <v>0</v>
      </c>
      <c r="AD51" s="1587">
        <f>'5 Eingabe Organisationskräfte'!F23</f>
        <v>0</v>
      </c>
      <c r="AE51" s="1587">
        <f>'5 Eingabe Organisationskräfte'!G23</f>
        <v>0</v>
      </c>
      <c r="AF51" s="1587"/>
      <c r="AG51" s="1587"/>
      <c r="AH51" s="1587"/>
      <c r="AI51" s="1587"/>
      <c r="AJ51" s="1587"/>
      <c r="AK51" s="1587"/>
      <c r="AL51" s="920"/>
    </row>
    <row r="52" spans="1:38" s="76" customFormat="1" ht="24" customHeight="1" thickBot="1">
      <c r="A52" s="938" t="str">
        <f>IF(SUM(AD51)=0,"",A$4)</f>
        <v/>
      </c>
      <c r="B52" s="1691"/>
      <c r="C52" s="1690" t="str">
        <f>IF(AD51=0,"",AD51)</f>
        <v/>
      </c>
      <c r="D52" s="3729" t="str">
        <f>IF(C52="","",$A$2)</f>
        <v/>
      </c>
      <c r="E52" s="3730"/>
      <c r="F52" s="2579"/>
      <c r="G52" s="2579"/>
      <c r="H52" s="2579"/>
      <c r="I52" s="2579"/>
      <c r="J52" s="2579"/>
      <c r="K52" s="2579"/>
      <c r="L52" s="2579"/>
      <c r="M52" s="2579"/>
      <c r="N52" s="2579"/>
      <c r="O52" s="2579"/>
      <c r="P52" s="2579"/>
      <c r="Q52" s="2580"/>
      <c r="R52" s="1224" t="str">
        <f>IF(A50="","",SUM(F52:Q52))</f>
        <v/>
      </c>
      <c r="S52" s="1225" t="str">
        <f>IF(A50="","",IF(R52="","",S$7))</f>
        <v/>
      </c>
      <c r="T52" s="1226" t="str">
        <f>IF(A50="","",(AE51*AL50))</f>
        <v/>
      </c>
      <c r="U52" s="1225" t="str">
        <f>IF(A50="","",IF(T52="","",U$7))</f>
        <v/>
      </c>
      <c r="V52" s="201" t="str">
        <f>IF(A50="","",SUM(V50:V51,R52,T52))</f>
        <v/>
      </c>
      <c r="W52" s="959" t="str">
        <f>IF(A50="","",IF(V52="","",W$7))</f>
        <v/>
      </c>
      <c r="X52" s="3716"/>
      <c r="Y52" s="920">
        <f t="shared" si="32"/>
        <v>0</v>
      </c>
      <c r="Z52" s="1587"/>
      <c r="AA52" s="1587"/>
      <c r="AB52" s="1587"/>
      <c r="AC52" s="1587"/>
      <c r="AD52" s="1587"/>
      <c r="AE52" s="1587"/>
      <c r="AF52" s="1587"/>
      <c r="AG52" s="1587"/>
      <c r="AH52" s="1587"/>
      <c r="AI52" s="1587"/>
      <c r="AJ52" s="1587"/>
      <c r="AK52" s="1587"/>
      <c r="AL52" s="920"/>
    </row>
    <row r="53" spans="1:38" s="76" customFormat="1" ht="16.5" customHeight="1">
      <c r="A53" s="920"/>
      <c r="B53" s="920"/>
      <c r="C53" s="920"/>
      <c r="D53" s="920"/>
      <c r="E53" s="920"/>
      <c r="F53" s="920"/>
      <c r="G53" s="920"/>
      <c r="H53" s="920"/>
      <c r="I53" s="920"/>
      <c r="J53" s="920"/>
      <c r="K53" s="920"/>
      <c r="L53" s="920"/>
      <c r="M53" s="920"/>
      <c r="N53" s="920"/>
      <c r="O53" s="920"/>
      <c r="P53" s="920"/>
      <c r="Q53" s="920"/>
      <c r="R53" s="920"/>
      <c r="S53" s="920"/>
      <c r="T53" s="920"/>
      <c r="U53" s="920"/>
      <c r="V53" s="920"/>
      <c r="W53" s="920"/>
      <c r="X53" s="920"/>
      <c r="Z53" s="199"/>
      <c r="AJ53" s="920"/>
      <c r="AK53" s="920"/>
      <c r="AL53" s="920"/>
    </row>
    <row r="54" spans="1:38" s="76" customFormat="1">
      <c r="A54" s="920"/>
      <c r="B54" s="920"/>
      <c r="C54" s="920"/>
      <c r="D54" s="920"/>
      <c r="E54" s="920"/>
      <c r="F54" s="920">
        <f t="shared" ref="F54:P54" ca="1" si="33">F55/$V55*100</f>
        <v>8.3333333333333321</v>
      </c>
      <c r="G54" s="920">
        <f t="shared" ca="1" si="33"/>
        <v>8.3333333333333321</v>
      </c>
      <c r="H54" s="920">
        <f t="shared" ca="1" si="33"/>
        <v>8.3333333333333321</v>
      </c>
      <c r="I54" s="920">
        <f t="shared" ca="1" si="33"/>
        <v>8.3333333333333321</v>
      </c>
      <c r="J54" s="920">
        <f t="shared" ca="1" si="33"/>
        <v>8.3333333333333321</v>
      </c>
      <c r="K54" s="920">
        <f t="shared" ca="1" si="33"/>
        <v>8.3333333333333321</v>
      </c>
      <c r="L54" s="920">
        <f t="shared" ca="1" si="33"/>
        <v>8.3333333333333321</v>
      </c>
      <c r="M54" s="920">
        <f t="shared" ca="1" si="33"/>
        <v>8.3333333333333321</v>
      </c>
      <c r="N54" s="920">
        <f t="shared" ca="1" si="33"/>
        <v>8.3333333333333321</v>
      </c>
      <c r="O54" s="920">
        <f t="shared" ca="1" si="33"/>
        <v>8.3333333333333321</v>
      </c>
      <c r="P54" s="920">
        <f t="shared" ca="1" si="33"/>
        <v>8.3333333333333321</v>
      </c>
      <c r="Q54" s="920">
        <f ca="1">Q55/$V55*100</f>
        <v>8.3333333333333321</v>
      </c>
      <c r="R54" s="920"/>
      <c r="S54" s="920"/>
      <c r="T54" s="920"/>
      <c r="U54" s="920"/>
      <c r="V54" s="920"/>
      <c r="W54" s="920"/>
      <c r="X54" s="920"/>
      <c r="Z54" s="199"/>
      <c r="AJ54" s="920"/>
      <c r="AK54" s="920"/>
      <c r="AL54" s="920"/>
    </row>
    <row r="55" spans="1:38" s="76" customFormat="1" ht="26.25" customHeight="1">
      <c r="A55" s="920"/>
      <c r="B55" s="1593">
        <f>SUM(F5,F8,F11,F14,F17,F20,F23,F26,F29,F32,F35,F38,F41,F44,F47,F50,)</f>
        <v>1600</v>
      </c>
      <c r="C55" s="1593">
        <f>COUNTIF('5 Eingabe Organisationskräfte'!B7:B23,"&gt;0")</f>
        <v>1</v>
      </c>
      <c r="D55" s="920"/>
      <c r="E55" s="1576" t="s">
        <v>267</v>
      </c>
      <c r="F55" s="1593">
        <f>SUM(F5,F8,F11,F14,F17,F20,F23,F26,F29,F32,F35,F38,F41,F44,F47,F50,)</f>
        <v>1600</v>
      </c>
      <c r="G55" s="1593">
        <f t="shared" ref="G55:R55" si="34">SUM(G5,G8,G11,G14,G17,G20,G23,G26,G29,G32,G35,G38,G41,G44,G47,G50,)</f>
        <v>1600</v>
      </c>
      <c r="H55" s="1593">
        <f t="shared" si="34"/>
        <v>1600</v>
      </c>
      <c r="I55" s="1593">
        <f t="shared" si="34"/>
        <v>1600</v>
      </c>
      <c r="J55" s="1593">
        <f t="shared" si="34"/>
        <v>1600</v>
      </c>
      <c r="K55" s="1593">
        <f t="shared" si="34"/>
        <v>1600</v>
      </c>
      <c r="L55" s="1593">
        <f t="shared" si="34"/>
        <v>1600</v>
      </c>
      <c r="M55" s="1593">
        <f t="shared" si="34"/>
        <v>1600</v>
      </c>
      <c r="N55" s="1593">
        <f t="shared" si="34"/>
        <v>1600</v>
      </c>
      <c r="O55" s="1593">
        <f t="shared" si="34"/>
        <v>1600</v>
      </c>
      <c r="P55" s="1593">
        <f t="shared" si="34"/>
        <v>1600</v>
      </c>
      <c r="Q55" s="1593">
        <f t="shared" si="34"/>
        <v>1600</v>
      </c>
      <c r="R55" s="1594">
        <f t="shared" ca="1" si="34"/>
        <v>19200</v>
      </c>
      <c r="S55" s="1595"/>
      <c r="T55" s="1594">
        <f ca="1">SUM(T5,T8,T11,T14,T17,T20,T23,T26,T29,T32,T35,T38,T41,T44,T47,T50,)</f>
        <v>19200</v>
      </c>
      <c r="U55" s="1595" t="str">
        <f>U5</f>
        <v>Bruttolohn ohne Zusatzzahlung</v>
      </c>
      <c r="V55" s="1594">
        <f ca="1">SUM(V5,V8,V11,V14,V17,V20,V23,V26,V29,V32,V35,V38,V41,V44,V47,V50,)</f>
        <v>19200</v>
      </c>
      <c r="W55" s="1595" t="str">
        <f>W5</f>
        <v>St.-pfl. Bruttolohn mit st-pfl. Zusatzz.</v>
      </c>
      <c r="X55" s="920"/>
      <c r="Z55" s="199"/>
      <c r="AJ55" s="920"/>
      <c r="AK55" s="920"/>
      <c r="AL55" s="920"/>
    </row>
    <row r="56" spans="1:38" s="76" customFormat="1" ht="26.25" customHeight="1">
      <c r="A56" s="920"/>
      <c r="B56" s="920"/>
      <c r="C56" s="920"/>
      <c r="D56" s="920"/>
      <c r="E56" s="1576" t="s">
        <v>269</v>
      </c>
      <c r="F56" s="1593">
        <f t="shared" ref="F56:P56" si="35">IF(F64=0,0,$R$56/$R$64)</f>
        <v>0</v>
      </c>
      <c r="G56" s="1593">
        <f t="shared" si="35"/>
        <v>0</v>
      </c>
      <c r="H56" s="1593">
        <f t="shared" si="35"/>
        <v>0</v>
      </c>
      <c r="I56" s="1593">
        <f t="shared" si="35"/>
        <v>0</v>
      </c>
      <c r="J56" s="1593">
        <f t="shared" si="35"/>
        <v>0</v>
      </c>
      <c r="K56" s="1593">
        <f t="shared" si="35"/>
        <v>0</v>
      </c>
      <c r="L56" s="1593">
        <f t="shared" si="35"/>
        <v>0</v>
      </c>
      <c r="M56" s="1593">
        <f t="shared" si="35"/>
        <v>0</v>
      </c>
      <c r="N56" s="1593">
        <f t="shared" si="35"/>
        <v>0</v>
      </c>
      <c r="O56" s="1593">
        <f t="shared" si="35"/>
        <v>0</v>
      </c>
      <c r="P56" s="1593">
        <f t="shared" si="35"/>
        <v>0</v>
      </c>
      <c r="Q56" s="1593">
        <f>IF(Q64=0,0,$R$56/$R$64)</f>
        <v>0</v>
      </c>
      <c r="R56" s="1594">
        <f>SUM(R6,R9,R12,R15,R18,R21,R24,R27,R30,R33,R36,R39,R42,R45,R48,R51,)</f>
        <v>0</v>
      </c>
      <c r="S56" s="1595" t="str">
        <f>S6</f>
        <v>Erhöhung steuerpfl. Nicht regelmäßig</v>
      </c>
      <c r="T56" s="1594">
        <f>SUM(T6,T9,T12,T15,T18,T21,T24,T27,T30,T33,T36,T39,T42,T45,T48,T51,)</f>
        <v>0</v>
      </c>
      <c r="U56" s="1595" t="str">
        <f>U6</f>
        <v>Monatl. steuerpfl.
Sonderzahl.</v>
      </c>
      <c r="V56" s="1594">
        <f ca="1">SUM(V6,V9,V12,V15,V18,V21,V24,V27,V30,V33,V36,V39,V42,V45,V48,V51,)</f>
        <v>4800</v>
      </c>
      <c r="W56" s="1595" t="str">
        <f>W6</f>
        <v>AG-anteil</v>
      </c>
      <c r="X56" s="920"/>
      <c r="AJ56" s="920"/>
      <c r="AK56" s="920"/>
      <c r="AL56" s="920"/>
    </row>
    <row r="57" spans="1:38" s="76" customFormat="1" ht="26.25" customHeight="1">
      <c r="A57" s="920"/>
      <c r="B57" s="920"/>
      <c r="C57" s="920"/>
      <c r="D57" s="920"/>
      <c r="E57" s="1576" t="s">
        <v>268</v>
      </c>
      <c r="F57" s="1593">
        <f t="shared" ref="F57:P57" si="36">IF(F64=0,0,F55-F56+($T56/$R$64))</f>
        <v>1600</v>
      </c>
      <c r="G57" s="1593">
        <f t="shared" si="36"/>
        <v>1600</v>
      </c>
      <c r="H57" s="1593">
        <f t="shared" si="36"/>
        <v>1600</v>
      </c>
      <c r="I57" s="1593">
        <f t="shared" si="36"/>
        <v>1600</v>
      </c>
      <c r="J57" s="1593">
        <f t="shared" si="36"/>
        <v>1600</v>
      </c>
      <c r="K57" s="1593">
        <f t="shared" si="36"/>
        <v>1600</v>
      </c>
      <c r="L57" s="1593">
        <f t="shared" si="36"/>
        <v>1600</v>
      </c>
      <c r="M57" s="1593">
        <f t="shared" si="36"/>
        <v>1600</v>
      </c>
      <c r="N57" s="1593">
        <f t="shared" si="36"/>
        <v>1600</v>
      </c>
      <c r="O57" s="1593">
        <f t="shared" si="36"/>
        <v>1600</v>
      </c>
      <c r="P57" s="1593">
        <f t="shared" si="36"/>
        <v>1600</v>
      </c>
      <c r="Q57" s="1593">
        <f>IF(Q64=0,0,Q55-Q56+($T56/$R$64))</f>
        <v>1600</v>
      </c>
      <c r="R57" s="1594">
        <f>SUM(R7,R10,R13,R16,R19,R22,R25,R28,R31,R34,R37,R40,R43,R46,R49,R52,)</f>
        <v>0</v>
      </c>
      <c r="S57" s="1595" t="str">
        <f>S7</f>
        <v>Erhöhung steuerfrei nicht regelmäßig</v>
      </c>
      <c r="T57" s="1594">
        <f>SUM(T7,T10,T13,T16,T19,T22,T25,T28,T31,T34,T37,T40,T43,T46,T49,T52,)</f>
        <v>0</v>
      </c>
      <c r="U57" s="1595" t="str">
        <f>U7</f>
        <v>Monatl. steuerfreie
Sonderzahl.</v>
      </c>
      <c r="V57" s="1594">
        <f ca="1">SUM(V7,V10,V13,V16,V19,V22,V25,V28,V31,V34,V37,V40,V43,V46,V49,V52,)</f>
        <v>24000</v>
      </c>
      <c r="W57" s="1595" t="str">
        <f>W7</f>
        <v>Summe PK incl. 
st-freien Zusatzz.</v>
      </c>
      <c r="X57" s="920"/>
      <c r="AJ57" s="920"/>
      <c r="AK57" s="920"/>
      <c r="AL57" s="920"/>
    </row>
    <row r="58" spans="1:38" s="76" customFormat="1" ht="20.25" customHeight="1">
      <c r="A58" s="920"/>
      <c r="B58" s="920"/>
      <c r="C58" s="920"/>
      <c r="D58" s="920"/>
      <c r="E58" s="920" t="s">
        <v>270</v>
      </c>
      <c r="F58" s="1538">
        <f t="shared" ref="F58:O58" ca="1" si="37">IF(F64=0,0,$V56/$R$64)</f>
        <v>400</v>
      </c>
      <c r="G58" s="1538">
        <f t="shared" ca="1" si="37"/>
        <v>400</v>
      </c>
      <c r="H58" s="1538">
        <f t="shared" ca="1" si="37"/>
        <v>400</v>
      </c>
      <c r="I58" s="1538">
        <f t="shared" ca="1" si="37"/>
        <v>400</v>
      </c>
      <c r="J58" s="1538">
        <f t="shared" ca="1" si="37"/>
        <v>400</v>
      </c>
      <c r="K58" s="1538">
        <f t="shared" ca="1" si="37"/>
        <v>400</v>
      </c>
      <c r="L58" s="1538">
        <f t="shared" ca="1" si="37"/>
        <v>400</v>
      </c>
      <c r="M58" s="1538">
        <f t="shared" ca="1" si="37"/>
        <v>400</v>
      </c>
      <c r="N58" s="1538">
        <f t="shared" ca="1" si="37"/>
        <v>400</v>
      </c>
      <c r="O58" s="1538">
        <f t="shared" ca="1" si="37"/>
        <v>400</v>
      </c>
      <c r="P58" s="1538">
        <f ca="1">IF(P64=0,0,$V56/$R$64)</f>
        <v>400</v>
      </c>
      <c r="Q58" s="1538">
        <f ca="1">IF(Q64=0,0,$V56/$R$64)</f>
        <v>400</v>
      </c>
      <c r="R58" s="1587">
        <f ca="1">SUM(F58:Q58)</f>
        <v>4800</v>
      </c>
      <c r="S58" s="920"/>
      <c r="T58" s="1587">
        <f>SUM(F57:Q57)</f>
        <v>19200</v>
      </c>
      <c r="U58" s="920"/>
      <c r="V58" s="920"/>
      <c r="W58" s="920"/>
      <c r="X58" s="920"/>
      <c r="AJ58" s="920"/>
      <c r="AK58" s="920"/>
      <c r="AL58" s="920"/>
    </row>
    <row r="59" spans="1:38" s="76" customFormat="1" ht="20.25" customHeight="1">
      <c r="A59" s="920"/>
      <c r="B59" s="920"/>
      <c r="C59" s="920"/>
      <c r="D59" s="920"/>
      <c r="E59" s="920" t="s">
        <v>271</v>
      </c>
      <c r="F59" s="1538">
        <f t="shared" ref="F59:N59" ca="1" si="38">IF(F64=0,0,SUM(F56:F58)+(($T57+$R57)/$R$64))</f>
        <v>2000</v>
      </c>
      <c r="G59" s="1538">
        <f t="shared" ca="1" si="38"/>
        <v>2000</v>
      </c>
      <c r="H59" s="1538">
        <f t="shared" ca="1" si="38"/>
        <v>2000</v>
      </c>
      <c r="I59" s="1538">
        <f t="shared" ca="1" si="38"/>
        <v>2000</v>
      </c>
      <c r="J59" s="1538">
        <f t="shared" ca="1" si="38"/>
        <v>2000</v>
      </c>
      <c r="K59" s="1538">
        <f t="shared" ca="1" si="38"/>
        <v>2000</v>
      </c>
      <c r="L59" s="1538">
        <f t="shared" ca="1" si="38"/>
        <v>2000</v>
      </c>
      <c r="M59" s="1538">
        <f t="shared" ca="1" si="38"/>
        <v>2000</v>
      </c>
      <c r="N59" s="1538">
        <f t="shared" ca="1" si="38"/>
        <v>2000</v>
      </c>
      <c r="O59" s="1538">
        <f ca="1">IF(O64=0,0,SUM(O56:O58)+(($T57+$R57)/$R$64))</f>
        <v>2000</v>
      </c>
      <c r="P59" s="1538">
        <f ca="1">IF(P64=0,0,SUM(P56:P58)+(($T57+$R57)/$R$64))</f>
        <v>2000</v>
      </c>
      <c r="Q59" s="1538">
        <f ca="1">IF(Q64=0,0,SUM(Q56:Q58)+(($T57+$R57)/$R$64))</f>
        <v>2000</v>
      </c>
      <c r="R59" s="1596">
        <f ca="1">SUM(F59:Q59)</f>
        <v>24000</v>
      </c>
      <c r="S59" s="1597" t="s">
        <v>167</v>
      </c>
      <c r="T59" s="920"/>
      <c r="U59" s="920"/>
      <c r="V59" s="920"/>
      <c r="W59" s="920"/>
      <c r="X59" s="920"/>
      <c r="AJ59" s="920"/>
      <c r="AK59" s="920"/>
      <c r="AL59" s="920"/>
    </row>
    <row r="60" spans="1:38" s="76" customFormat="1">
      <c r="A60" s="920"/>
      <c r="B60" s="920"/>
      <c r="C60" s="920"/>
      <c r="D60" s="920"/>
      <c r="E60" s="920"/>
      <c r="F60" s="920"/>
      <c r="G60" s="920"/>
      <c r="H60" s="920"/>
      <c r="I60" s="920"/>
      <c r="J60" s="920"/>
      <c r="K60" s="920"/>
      <c r="L60" s="920"/>
      <c r="M60" s="920"/>
      <c r="N60" s="920"/>
      <c r="O60" s="920"/>
      <c r="P60" s="920"/>
      <c r="Q60" s="920"/>
      <c r="R60" s="920"/>
      <c r="S60" s="920"/>
      <c r="T60" s="920"/>
      <c r="U60" s="920"/>
      <c r="V60" s="920"/>
      <c r="W60" s="920"/>
      <c r="X60" s="920"/>
      <c r="AJ60" s="920"/>
      <c r="AK60" s="920"/>
      <c r="AL60" s="920"/>
    </row>
    <row r="61" spans="1:38" s="76" customFormat="1">
      <c r="A61" s="920"/>
      <c r="B61" s="920"/>
      <c r="C61" s="920"/>
      <c r="D61" s="1598">
        <f>'7 Verteil. auf Monate Friseure'!C132</f>
        <v>0.99199999999999999</v>
      </c>
      <c r="E61" s="920" t="s">
        <v>451</v>
      </c>
      <c r="F61" s="1587">
        <f>(F57/$D61)*(1-$D61)</f>
        <v>12.903225806451625</v>
      </c>
      <c r="G61" s="1587">
        <f t="shared" ref="G61:Q61" si="39">(G57/$D61)*(1-$D61)</f>
        <v>12.903225806451625</v>
      </c>
      <c r="H61" s="1587">
        <f t="shared" si="39"/>
        <v>12.903225806451625</v>
      </c>
      <c r="I61" s="1587">
        <f t="shared" si="39"/>
        <v>12.903225806451625</v>
      </c>
      <c r="J61" s="1587">
        <f t="shared" si="39"/>
        <v>12.903225806451625</v>
      </c>
      <c r="K61" s="1587">
        <f t="shared" si="39"/>
        <v>12.903225806451625</v>
      </c>
      <c r="L61" s="1587">
        <f t="shared" si="39"/>
        <v>12.903225806451625</v>
      </c>
      <c r="M61" s="1587">
        <f t="shared" si="39"/>
        <v>12.903225806451625</v>
      </c>
      <c r="N61" s="1587">
        <f t="shared" si="39"/>
        <v>12.903225806451625</v>
      </c>
      <c r="O61" s="1587">
        <f t="shared" si="39"/>
        <v>12.903225806451625</v>
      </c>
      <c r="P61" s="1587">
        <f t="shared" si="39"/>
        <v>12.903225806451625</v>
      </c>
      <c r="Q61" s="1587">
        <f t="shared" si="39"/>
        <v>12.903225806451625</v>
      </c>
      <c r="R61" s="1587">
        <f>SUM(F61:Q61)</f>
        <v>154.8387096774195</v>
      </c>
      <c r="S61" s="920"/>
      <c r="T61" s="920"/>
      <c r="U61" s="920"/>
      <c r="V61" s="920"/>
      <c r="W61" s="920"/>
      <c r="X61" s="920"/>
    </row>
    <row r="62" spans="1:38" s="76" customFormat="1">
      <c r="A62" s="920"/>
      <c r="B62" s="920"/>
      <c r="C62" s="920"/>
      <c r="D62" s="920"/>
      <c r="E62" s="920"/>
      <c r="F62" s="920"/>
      <c r="G62" s="920"/>
      <c r="H62" s="920"/>
      <c r="I62" s="920"/>
      <c r="J62" s="920"/>
      <c r="K62" s="920"/>
      <c r="L62" s="920"/>
      <c r="M62" s="920"/>
      <c r="N62" s="920"/>
      <c r="O62" s="920"/>
      <c r="P62" s="920"/>
      <c r="Q62" s="920"/>
      <c r="R62" s="920"/>
      <c r="S62" s="920"/>
      <c r="T62" s="920"/>
      <c r="U62" s="920"/>
      <c r="V62" s="920"/>
      <c r="W62" s="920"/>
      <c r="X62" s="920"/>
    </row>
    <row r="63" spans="1:38" s="76" customFormat="1">
      <c r="A63" s="920"/>
      <c r="B63" s="920"/>
      <c r="C63" s="920"/>
      <c r="D63" s="920"/>
      <c r="E63" s="920"/>
      <c r="F63" s="920"/>
      <c r="G63" s="920"/>
      <c r="H63" s="920"/>
      <c r="I63" s="920"/>
      <c r="J63" s="920"/>
      <c r="K63" s="920"/>
      <c r="L63" s="920"/>
      <c r="M63" s="920"/>
      <c r="N63" s="920"/>
      <c r="O63" s="920"/>
      <c r="P63" s="920"/>
      <c r="Q63" s="920"/>
      <c r="R63" s="920"/>
      <c r="S63" s="920"/>
      <c r="T63" s="920"/>
      <c r="U63" s="920"/>
      <c r="V63" s="920"/>
      <c r="W63" s="920"/>
      <c r="X63" s="920"/>
    </row>
    <row r="64" spans="1:38" s="76" customFormat="1">
      <c r="A64" s="920"/>
      <c r="B64" s="920"/>
      <c r="C64" s="920"/>
      <c r="D64" s="920"/>
      <c r="E64" s="920"/>
      <c r="F64" s="920">
        <f>'2 Unternehmensdaten'!B26</f>
        <v>1</v>
      </c>
      <c r="G64" s="920">
        <f>'2 Unternehmensdaten'!C26</f>
        <v>1</v>
      </c>
      <c r="H64" s="920">
        <f>'2 Unternehmensdaten'!D26</f>
        <v>1</v>
      </c>
      <c r="I64" s="920">
        <f>'2 Unternehmensdaten'!E26</f>
        <v>1</v>
      </c>
      <c r="J64" s="920">
        <f>'2 Unternehmensdaten'!F26</f>
        <v>1</v>
      </c>
      <c r="K64" s="920">
        <f>'2 Unternehmensdaten'!G26</f>
        <v>1</v>
      </c>
      <c r="L64" s="920">
        <f>'2 Unternehmensdaten'!B28</f>
        <v>1</v>
      </c>
      <c r="M64" s="920">
        <f>'2 Unternehmensdaten'!C28</f>
        <v>1</v>
      </c>
      <c r="N64" s="920">
        <f>'2 Unternehmensdaten'!D28</f>
        <v>1</v>
      </c>
      <c r="O64" s="920">
        <f>'2 Unternehmensdaten'!E28</f>
        <v>1</v>
      </c>
      <c r="P64" s="920">
        <f>'2 Unternehmensdaten'!F28</f>
        <v>1</v>
      </c>
      <c r="Q64" s="920">
        <f>'2 Unternehmensdaten'!G28</f>
        <v>1</v>
      </c>
      <c r="R64" s="920">
        <f>SUM(F64:Q64)</f>
        <v>12</v>
      </c>
      <c r="S64" s="920"/>
      <c r="T64" s="920"/>
      <c r="U64" s="920"/>
      <c r="V64" s="920"/>
      <c r="W64" s="920"/>
      <c r="X64" s="920"/>
    </row>
    <row r="65" s="76" customFormat="1"/>
    <row r="66" s="76" customFormat="1"/>
    <row r="67" s="76" customFormat="1" ht="24" customHeight="1"/>
    <row r="68" s="76" customFormat="1" ht="24" customHeight="1"/>
    <row r="69" s="76" customFormat="1" ht="24" customHeight="1"/>
    <row r="70" s="76" customFormat="1" ht="24" customHeight="1"/>
    <row r="71" s="76" customFormat="1" ht="24" customHeight="1"/>
    <row r="72" s="76" customFormat="1" ht="24" customHeight="1"/>
    <row r="73" s="76" customFormat="1" ht="24" customHeight="1"/>
    <row r="74" s="76" customFormat="1" ht="24" customHeight="1"/>
    <row r="75" s="76" customFormat="1" ht="24" customHeight="1"/>
    <row r="76" s="76" customFormat="1" ht="24" customHeight="1"/>
    <row r="77" s="76" customFormat="1" ht="24" customHeight="1"/>
    <row r="78" s="76" customFormat="1" ht="24" customHeight="1"/>
    <row r="79" s="76" customFormat="1" ht="24" customHeight="1"/>
    <row r="80" s="76" customFormat="1" ht="24" customHeight="1"/>
    <row r="81" spans="25:28" s="76" customFormat="1" ht="24" customHeight="1"/>
    <row r="82" spans="25:28" s="76" customFormat="1" ht="24" customHeight="1"/>
    <row r="83" spans="25:28" s="76" customFormat="1" ht="24" customHeight="1"/>
    <row r="84" spans="25:28">
      <c r="Y84" s="76"/>
      <c r="Z84" s="76"/>
      <c r="AA84" s="76"/>
      <c r="AB84" s="76"/>
    </row>
    <row r="85" spans="25:28">
      <c r="Y85" s="76"/>
      <c r="Z85" s="76"/>
      <c r="AA85" s="76"/>
      <c r="AB85" s="76"/>
    </row>
    <row r="86" spans="25:28">
      <c r="Y86" s="76"/>
      <c r="Z86" s="76"/>
      <c r="AA86" s="76"/>
      <c r="AB86" s="76"/>
    </row>
    <row r="87" spans="25:28">
      <c r="Y87" s="76"/>
      <c r="Z87" s="76"/>
      <c r="AA87" s="76"/>
      <c r="AB87" s="76"/>
    </row>
    <row r="88" spans="25:28">
      <c r="Y88" s="76"/>
      <c r="Z88" s="76"/>
      <c r="AA88" s="76"/>
      <c r="AB88" s="76"/>
    </row>
    <row r="89" spans="25:28">
      <c r="Y89" s="76"/>
      <c r="Z89" s="76"/>
      <c r="AA89" s="76"/>
      <c r="AB89" s="76"/>
    </row>
    <row r="90" spans="25:28">
      <c r="Y90" s="76"/>
      <c r="Z90" s="76"/>
      <c r="AA90" s="76"/>
      <c r="AB90" s="76"/>
    </row>
    <row r="91" spans="25:28">
      <c r="Y91" s="76"/>
      <c r="Z91" s="76"/>
      <c r="AA91" s="76"/>
      <c r="AB91" s="76"/>
    </row>
    <row r="92" spans="25:28">
      <c r="Y92" s="76"/>
      <c r="Z92" s="76"/>
      <c r="AA92" s="76"/>
      <c r="AB92" s="76"/>
    </row>
    <row r="93" spans="25:28">
      <c r="Y93" s="76"/>
      <c r="Z93" s="76"/>
      <c r="AA93" s="76"/>
      <c r="AB93" s="76"/>
    </row>
    <row r="94" spans="25:28">
      <c r="Y94" s="76"/>
      <c r="Z94" s="76"/>
      <c r="AA94" s="76"/>
      <c r="AB94" s="76"/>
    </row>
    <row r="95" spans="25:28">
      <c r="Y95" s="76"/>
      <c r="Z95" s="76"/>
      <c r="AA95" s="76"/>
      <c r="AB95" s="76"/>
    </row>
    <row r="96" spans="25:28">
      <c r="Y96" s="76"/>
      <c r="Z96" s="76"/>
      <c r="AA96" s="76"/>
      <c r="AB96" s="76"/>
    </row>
    <row r="97" spans="25:28">
      <c r="Y97" s="76"/>
      <c r="Z97" s="76"/>
      <c r="AA97" s="76"/>
      <c r="AB97" s="76"/>
    </row>
    <row r="98" spans="25:28">
      <c r="Y98" s="76"/>
      <c r="Z98" s="76"/>
      <c r="AA98" s="76"/>
      <c r="AB98" s="76"/>
    </row>
    <row r="99" spans="25:28">
      <c r="Y99" s="76"/>
      <c r="Z99" s="76"/>
      <c r="AA99" s="76"/>
      <c r="AB99" s="76"/>
    </row>
    <row r="100" spans="25:28">
      <c r="Y100" s="76"/>
      <c r="Z100" s="76"/>
      <c r="AA100" s="76"/>
      <c r="AB100" s="76"/>
    </row>
    <row r="101" spans="25:28">
      <c r="Y101" s="76"/>
      <c r="Z101" s="76"/>
      <c r="AA101" s="76"/>
      <c r="AB101" s="76"/>
    </row>
    <row r="102" spans="25:28">
      <c r="Y102" s="76"/>
      <c r="Z102" s="76"/>
      <c r="AA102" s="76"/>
      <c r="AB102" s="76"/>
    </row>
  </sheetData>
  <sheetProtection algorithmName="SHA-512" hashValue="m4ysUQ8SpBE7ivzxPFNJhGEOvSTmsSjOaVYPKh9cXyzfv04HjFIL45j2Ku8OawEAzxXEeSCeQnRbrnbSItxLtw==" saltValue="BYug1vrtXAR3nprAtjO2Iw==" spinCount="100000" sheet="1" objects="1" scenarios="1"/>
  <customSheetViews>
    <customSheetView guid="{91EE9386-9500-473B-B86C-27DB8DF0BA46}" showGridLines="0">
      <selection activeCell="B5" sqref="B5"/>
      <pageMargins left="0.25" right="0.25" top="0.75" bottom="0.75" header="0.3" footer="0.3"/>
      <pageSetup paperSize="9" scale="65" orientation="landscape" r:id="rId1"/>
    </customSheetView>
    <customSheetView guid="{B8019777-F14C-4393-8CE3-CE0081D0CD28}" showGridLines="0" topLeftCell="A7">
      <selection activeCell="B5" sqref="B5"/>
      <pageMargins left="0.25" right="0.25" top="0.75" bottom="0.75" header="0.3" footer="0.3"/>
      <pageSetup paperSize="9" scale="65" orientation="landscape" r:id="rId2"/>
    </customSheetView>
  </customSheetViews>
  <mergeCells count="56">
    <mergeCell ref="D52:E52"/>
    <mergeCell ref="D31:E31"/>
    <mergeCell ref="D34:E34"/>
    <mergeCell ref="D37:E37"/>
    <mergeCell ref="D40:E40"/>
    <mergeCell ref="D43:E43"/>
    <mergeCell ref="D51:E51"/>
    <mergeCell ref="D49:E49"/>
    <mergeCell ref="D48:E48"/>
    <mergeCell ref="D33:E33"/>
    <mergeCell ref="D36:E36"/>
    <mergeCell ref="D39:E39"/>
    <mergeCell ref="D42:E42"/>
    <mergeCell ref="D45:E45"/>
    <mergeCell ref="D46:E46"/>
    <mergeCell ref="D18:E18"/>
    <mergeCell ref="D21:E21"/>
    <mergeCell ref="D24:E24"/>
    <mergeCell ref="D27:E27"/>
    <mergeCell ref="D30:E30"/>
    <mergeCell ref="D19:E19"/>
    <mergeCell ref="D22:E22"/>
    <mergeCell ref="D25:E25"/>
    <mergeCell ref="D28:E28"/>
    <mergeCell ref="X18:X19"/>
    <mergeCell ref="X21:X22"/>
    <mergeCell ref="X24:X25"/>
    <mergeCell ref="X27:X28"/>
    <mergeCell ref="X30:X31"/>
    <mergeCell ref="X51:X52"/>
    <mergeCell ref="X33:X34"/>
    <mergeCell ref="X36:X37"/>
    <mergeCell ref="X39:X40"/>
    <mergeCell ref="X42:X43"/>
    <mergeCell ref="X45:X46"/>
    <mergeCell ref="X48:X49"/>
    <mergeCell ref="X6:X7"/>
    <mergeCell ref="X9:X10"/>
    <mergeCell ref="X12:X13"/>
    <mergeCell ref="X15:X16"/>
    <mergeCell ref="F3:I3"/>
    <mergeCell ref="M3:R3"/>
    <mergeCell ref="O1:P2"/>
    <mergeCell ref="Q1:U2"/>
    <mergeCell ref="B2:M2"/>
    <mergeCell ref="B4:C4"/>
    <mergeCell ref="D16:E16"/>
    <mergeCell ref="D6:E6"/>
    <mergeCell ref="D9:E9"/>
    <mergeCell ref="D12:E12"/>
    <mergeCell ref="D15:E15"/>
    <mergeCell ref="D10:E10"/>
    <mergeCell ref="D13:E13"/>
    <mergeCell ref="B1:M1"/>
    <mergeCell ref="B3:C3"/>
    <mergeCell ref="D7:E7"/>
  </mergeCells>
  <pageMargins left="0.25" right="0.25" top="0.75" bottom="0.75" header="0.3" footer="0.3"/>
  <pageSetup paperSize="9" scale="65"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100"/>
  <sheetViews>
    <sheetView showGridLines="0" zoomScaleNormal="100" workbookViewId="0">
      <selection activeCell="F4" sqref="F4"/>
    </sheetView>
  </sheetViews>
  <sheetFormatPr baseColWidth="10" defaultRowHeight="13.2"/>
  <cols>
    <col min="1" max="1" width="12.77734375" style="76" customWidth="1"/>
    <col min="2" max="5" width="12.44140625" style="76" customWidth="1"/>
    <col min="6" max="17" width="8.44140625" style="76" customWidth="1"/>
    <col min="18" max="18" width="10" style="76" customWidth="1"/>
    <col min="19" max="19" width="11.44140625" style="76"/>
    <col min="20" max="20" width="12.44140625" style="76" bestFit="1" customWidth="1"/>
    <col min="21" max="23" width="11.44140625" style="76"/>
    <col min="24" max="24" width="18.44140625" style="76" customWidth="1"/>
  </cols>
  <sheetData>
    <row r="1" spans="1:42" s="76" customFormat="1" ht="35.549999999999997" customHeight="1">
      <c r="A1" s="229" t="s">
        <v>948</v>
      </c>
      <c r="B1" s="3724" t="s">
        <v>957</v>
      </c>
      <c r="C1" s="3724"/>
      <c r="D1" s="3724"/>
      <c r="E1" s="3724"/>
      <c r="F1" s="3724"/>
      <c r="G1" s="3724"/>
      <c r="H1" s="3724"/>
      <c r="I1" s="3724"/>
      <c r="J1" s="3724"/>
      <c r="K1" s="3724"/>
      <c r="L1" s="3724"/>
      <c r="M1" s="3724"/>
      <c r="N1" s="1584" t="s">
        <v>957</v>
      </c>
      <c r="O1" s="3707" t="s">
        <v>1002</v>
      </c>
      <c r="P1" s="3708"/>
      <c r="Q1" s="3687"/>
      <c r="R1" s="3688"/>
      <c r="S1" s="3688"/>
      <c r="T1" s="3688"/>
      <c r="U1" s="3689"/>
      <c r="V1" s="888"/>
      <c r="W1" s="888"/>
      <c r="X1" s="888"/>
      <c r="Y1" s="1584"/>
      <c r="Z1" s="229"/>
      <c r="AA1" s="229"/>
      <c r="AB1" s="229"/>
      <c r="AC1" s="229"/>
      <c r="AD1" s="229"/>
      <c r="AE1" s="229"/>
      <c r="AF1" s="229"/>
      <c r="AG1" s="229"/>
      <c r="AH1" s="229"/>
      <c r="AI1" s="229"/>
      <c r="AJ1" s="229"/>
      <c r="AK1" s="229"/>
      <c r="AL1" s="229"/>
      <c r="AM1" s="920"/>
      <c r="AN1" s="920"/>
      <c r="AO1" s="920"/>
      <c r="AP1" s="920"/>
    </row>
    <row r="2" spans="1:42" s="76" customFormat="1" ht="21.6" customHeight="1">
      <c r="A2" s="229" t="s">
        <v>672</v>
      </c>
      <c r="B2" s="3725" t="str">
        <f>IF(F3="","Sie zahlen keine Einmalzahlungen, die Sie verteilen könnten.","Tragen Sie die Einmalzahlungen in den Monat ein, in denen sie gezahlt werden.")</f>
        <v>Sie zahlen keine Einmalzahlungen, die Sie verteilen könnten.</v>
      </c>
      <c r="C2" s="3725"/>
      <c r="D2" s="3725"/>
      <c r="E2" s="3725"/>
      <c r="F2" s="3725"/>
      <c r="G2" s="3725"/>
      <c r="H2" s="3725"/>
      <c r="I2" s="3725"/>
      <c r="J2" s="3725"/>
      <c r="K2" s="3725"/>
      <c r="L2" s="3725"/>
      <c r="M2" s="3725"/>
      <c r="N2" s="1583"/>
      <c r="O2" s="3709"/>
      <c r="P2" s="3710"/>
      <c r="Q2" s="3690"/>
      <c r="R2" s="3691"/>
      <c r="S2" s="3691"/>
      <c r="T2" s="3691"/>
      <c r="U2" s="3692"/>
      <c r="V2" s="888"/>
      <c r="W2" s="888"/>
      <c r="X2" s="888"/>
      <c r="Y2" s="1584"/>
      <c r="Z2" s="229"/>
      <c r="AA2" s="229"/>
      <c r="AB2" s="229"/>
      <c r="AC2" s="229"/>
      <c r="AD2" s="229"/>
      <c r="AE2" s="229"/>
      <c r="AF2" s="229"/>
      <c r="AG2" s="229"/>
      <c r="AH2" s="229"/>
      <c r="AI2" s="229"/>
      <c r="AJ2" s="229"/>
      <c r="AK2" s="229"/>
      <c r="AL2" s="229"/>
      <c r="AM2" s="920"/>
      <c r="AN2" s="920"/>
      <c r="AO2" s="920"/>
      <c r="AP2" s="920"/>
    </row>
    <row r="3" spans="1:42" s="76" customFormat="1" ht="38.25" customHeight="1">
      <c r="A3" s="254" t="s">
        <v>3</v>
      </c>
      <c r="B3" s="3717" t="s">
        <v>674</v>
      </c>
      <c r="C3" s="3718"/>
      <c r="D3" s="945"/>
      <c r="F3" s="3719" t="str">
        <f>IF(SUM(J3,K3)=0,"","Einmalzahlungen wie z.B. Weihnachts-und Urlaubsgeld in:")</f>
        <v/>
      </c>
      <c r="G3" s="3719"/>
      <c r="H3" s="3719"/>
      <c r="I3" s="3719"/>
      <c r="J3" s="524" t="str">
        <f>'6 Eingabe Azubis'!C6</f>
        <v/>
      </c>
      <c r="K3" s="524" t="str">
        <f>'6 Eingabe Azubis'!D6</f>
        <v/>
      </c>
      <c r="L3" s="230"/>
      <c r="M3" s="3726" t="str">
        <f>IF(F3="","","In die grauen Felder können Sie die zusätzlichen Einmalzahlungen eintragen.")</f>
        <v/>
      </c>
      <c r="N3" s="3726"/>
      <c r="O3" s="3726"/>
      <c r="P3" s="3726"/>
      <c r="Q3" s="3726"/>
      <c r="R3" s="3726"/>
      <c r="S3" s="3233" t="str">
        <f>IF(Y4=0,"","Werte vorhanden")</f>
        <v/>
      </c>
      <c r="T3" s="888"/>
      <c r="U3" s="230"/>
      <c r="V3" s="230"/>
      <c r="W3" s="230"/>
      <c r="X3" s="230"/>
      <c r="Y3" s="229"/>
      <c r="Z3" s="229"/>
      <c r="AA3" s="229"/>
      <c r="AB3" s="229"/>
      <c r="AC3" s="229"/>
      <c r="AD3" s="1585">
        <f>SUM(AD6:AD103)</f>
        <v>545</v>
      </c>
      <c r="AE3" s="229"/>
      <c r="AF3" s="229"/>
      <c r="AG3" s="229"/>
      <c r="AH3" s="229"/>
      <c r="AI3" s="229"/>
      <c r="AJ3" s="229"/>
      <c r="AK3" s="229"/>
      <c r="AL3" s="229"/>
      <c r="AM3" s="920"/>
      <c r="AN3" s="920"/>
      <c r="AO3" s="920"/>
      <c r="AP3" s="920"/>
    </row>
    <row r="4" spans="1:42" s="76" customFormat="1" ht="26.25" customHeight="1" thickBot="1">
      <c r="A4" s="229" t="s">
        <v>683</v>
      </c>
      <c r="B4" s="3727" t="s">
        <v>673</v>
      </c>
      <c r="C4" s="3728"/>
      <c r="D4" s="197"/>
      <c r="E4" s="200" t="s">
        <v>162</v>
      </c>
      <c r="F4" s="198">
        <f>'8 Verteil. auf Monate Orga'!F4</f>
        <v>44927</v>
      </c>
      <c r="G4" s="198">
        <f t="shared" ref="G4:Q4" si="0">F4+32</f>
        <v>44959</v>
      </c>
      <c r="H4" s="198">
        <f t="shared" si="0"/>
        <v>44991</v>
      </c>
      <c r="I4" s="198">
        <f t="shared" si="0"/>
        <v>45023</v>
      </c>
      <c r="J4" s="198">
        <f t="shared" si="0"/>
        <v>45055</v>
      </c>
      <c r="K4" s="198">
        <f t="shared" si="0"/>
        <v>45087</v>
      </c>
      <c r="L4" s="198">
        <f t="shared" si="0"/>
        <v>45119</v>
      </c>
      <c r="M4" s="198">
        <f t="shared" si="0"/>
        <v>45151</v>
      </c>
      <c r="N4" s="198">
        <f t="shared" si="0"/>
        <v>45183</v>
      </c>
      <c r="O4" s="198">
        <f t="shared" si="0"/>
        <v>45215</v>
      </c>
      <c r="P4" s="198">
        <f t="shared" si="0"/>
        <v>45247</v>
      </c>
      <c r="Q4" s="198">
        <f t="shared" si="0"/>
        <v>45279</v>
      </c>
      <c r="T4" s="888"/>
      <c r="U4" s="243"/>
      <c r="V4" s="1820">
        <f>IF('2 Unternehmensdaten'!F10="x",'2 Unternehmensdaten'!E14,'2 Unternehmensdaten'!D15)</f>
        <v>0.25</v>
      </c>
      <c r="W4" s="1820">
        <f>IF('2 Unternehmensdaten'!F10="x",'2 Unternehmensdaten'!E14,'2 Unternehmensdaten'!D15)</f>
        <v>0.25</v>
      </c>
      <c r="X4" s="1822">
        <f>IF('2 Unternehmensdaten'!F10="x",'2 Unternehmensdaten'!F14,'2 Unternehmensdaten'!F15+1)</f>
        <v>521</v>
      </c>
      <c r="Y4" s="229">
        <f>SUM(Y6:Y6:Y52)</f>
        <v>0</v>
      </c>
      <c r="Z4" s="1586">
        <f>F4</f>
        <v>44927</v>
      </c>
      <c r="AA4" s="1586">
        <f t="shared" ref="AA4:AK4" si="1">G4</f>
        <v>44959</v>
      </c>
      <c r="AB4" s="1586">
        <f t="shared" si="1"/>
        <v>44991</v>
      </c>
      <c r="AC4" s="1586">
        <f t="shared" si="1"/>
        <v>45023</v>
      </c>
      <c r="AD4" s="1586">
        <f t="shared" si="1"/>
        <v>45055</v>
      </c>
      <c r="AE4" s="1586">
        <f t="shared" si="1"/>
        <v>45087</v>
      </c>
      <c r="AF4" s="1586">
        <f t="shared" si="1"/>
        <v>45119</v>
      </c>
      <c r="AG4" s="1586">
        <f t="shared" si="1"/>
        <v>45151</v>
      </c>
      <c r="AH4" s="1586">
        <f t="shared" si="1"/>
        <v>45183</v>
      </c>
      <c r="AI4" s="1586">
        <f t="shared" si="1"/>
        <v>45215</v>
      </c>
      <c r="AJ4" s="1586">
        <f t="shared" si="1"/>
        <v>45247</v>
      </c>
      <c r="AK4" s="1586">
        <f t="shared" si="1"/>
        <v>45279</v>
      </c>
      <c r="AL4" s="920"/>
      <c r="AM4" s="920"/>
      <c r="AN4" s="920"/>
      <c r="AO4" s="920"/>
      <c r="AP4" s="920"/>
    </row>
    <row r="5" spans="1:42" s="76" customFormat="1" ht="24" customHeight="1">
      <c r="A5" s="940" t="str">
        <f>IF('6 Eingabe Azubis'!A7="","",'6 Eingabe Azubis'!A7)</f>
        <v>Lena</v>
      </c>
      <c r="B5" s="936" t="str">
        <f>IF(B6="","",AA$7)</f>
        <v/>
      </c>
      <c r="C5" s="936" t="str">
        <f>IF(C6="","",AB$7)</f>
        <v/>
      </c>
      <c r="D5" s="940"/>
      <c r="E5" s="207">
        <f ca="1">IF('1 Erklärung'!AA2="","",'6 Eingabe Azubis'!AP7)</f>
        <v>649</v>
      </c>
      <c r="F5" s="3234">
        <f t="shared" ref="F5:Q5" si="2">IF(SUM(F6,F7)=0,Z5,SUM(F6,F7,Z5))</f>
        <v>649</v>
      </c>
      <c r="G5" s="3234">
        <f t="shared" si="2"/>
        <v>649</v>
      </c>
      <c r="H5" s="3234">
        <f t="shared" si="2"/>
        <v>649</v>
      </c>
      <c r="I5" s="3234">
        <f t="shared" si="2"/>
        <v>649</v>
      </c>
      <c r="J5" s="3234">
        <f t="shared" si="2"/>
        <v>649</v>
      </c>
      <c r="K5" s="3234">
        <f t="shared" si="2"/>
        <v>649</v>
      </c>
      <c r="L5" s="3234">
        <f t="shared" si="2"/>
        <v>649</v>
      </c>
      <c r="M5" s="3234" t="str">
        <f t="shared" si="2"/>
        <v/>
      </c>
      <c r="N5" s="3234" t="str">
        <f t="shared" si="2"/>
        <v/>
      </c>
      <c r="O5" s="3234" t="str">
        <f t="shared" si="2"/>
        <v/>
      </c>
      <c r="P5" s="3234" t="str">
        <f t="shared" si="2"/>
        <v/>
      </c>
      <c r="Q5" s="3234" t="str">
        <f t="shared" si="2"/>
        <v/>
      </c>
      <c r="R5" s="894">
        <f ca="1">IF('1 Erklärung'!AA$2="","",IF(A5="","",SUM(F5:Q5)))</f>
        <v>4543</v>
      </c>
      <c r="S5" s="895"/>
      <c r="T5" s="1269">
        <f ca="1">IF(A5="","",SUM(R5,-R7,-R6))</f>
        <v>4543</v>
      </c>
      <c r="U5" s="1270" t="s">
        <v>801</v>
      </c>
      <c r="V5" s="1361">
        <f ca="1">IF(A5="","",SUM(T5,R6,T6))</f>
        <v>4543</v>
      </c>
      <c r="W5" s="1223" t="s">
        <v>166</v>
      </c>
      <c r="X5" s="1362">
        <f ca="1">IF(A5="","",R5/COUNTIF(F5:Q5,"&gt;0"))</f>
        <v>649</v>
      </c>
      <c r="Y5" s="920"/>
      <c r="Z5" s="1587">
        <f>IF('6 Eingabe Azubis'!K7&gt;0.4,'6 Eingabe Azubis'!$AP7*'6 Eingabe Azubis'!K7,"")</f>
        <v>649</v>
      </c>
      <c r="AA5" s="1587">
        <f>IF('6 Eingabe Azubis'!L7&gt;0.4,'6 Eingabe Azubis'!$AP7*'6 Eingabe Azubis'!L7,"")</f>
        <v>649</v>
      </c>
      <c r="AB5" s="1587">
        <f>IF('6 Eingabe Azubis'!M7&gt;0.4,'6 Eingabe Azubis'!$AP7*'6 Eingabe Azubis'!M7,"")</f>
        <v>649</v>
      </c>
      <c r="AC5" s="1587">
        <f>IF('6 Eingabe Azubis'!N7&gt;0.4,'6 Eingabe Azubis'!$AP7*'6 Eingabe Azubis'!N7,"")</f>
        <v>649</v>
      </c>
      <c r="AD5" s="1587">
        <f>IF('6 Eingabe Azubis'!O7&gt;0.4,'6 Eingabe Azubis'!$AP7*'6 Eingabe Azubis'!O7,"")</f>
        <v>649</v>
      </c>
      <c r="AE5" s="1587">
        <f>IF('6 Eingabe Azubis'!P7&gt;0.4,'6 Eingabe Azubis'!$AP7*'6 Eingabe Azubis'!P7,"")</f>
        <v>649</v>
      </c>
      <c r="AF5" s="1587">
        <f>IF('6 Eingabe Azubis'!Q7&gt;0.4,'6 Eingabe Azubis'!$AP7*'6 Eingabe Azubis'!Q7,"")</f>
        <v>649</v>
      </c>
      <c r="AG5" s="1587" t="str">
        <f>IF('6 Eingabe Azubis'!R7&gt;0.4,'6 Eingabe Azubis'!$AP7*'6 Eingabe Azubis'!R7,"")</f>
        <v/>
      </c>
      <c r="AH5" s="1587" t="str">
        <f>IF('6 Eingabe Azubis'!S7&gt;0.4,'6 Eingabe Azubis'!$AP7*'6 Eingabe Azubis'!S7,"")</f>
        <v/>
      </c>
      <c r="AI5" s="1587" t="str">
        <f>IF('6 Eingabe Azubis'!T7&gt;0.4,'6 Eingabe Azubis'!$AP7*'6 Eingabe Azubis'!T7,"")</f>
        <v/>
      </c>
      <c r="AJ5" s="1587" t="str">
        <f>IF('6 Eingabe Azubis'!U7&gt;0.4,'6 Eingabe Azubis'!$AP7*'6 Eingabe Azubis'!U7,"")</f>
        <v/>
      </c>
      <c r="AK5" s="1587" t="str">
        <f>IF('6 Eingabe Azubis'!V7&gt;0.4,'6 Eingabe Azubis'!$AP7*'6 Eingabe Azubis'!V7,"")</f>
        <v/>
      </c>
      <c r="AL5" s="920">
        <f>'6 Eingabe Azubis'!AK7</f>
        <v>7</v>
      </c>
      <c r="AM5" s="920"/>
      <c r="AN5" s="920"/>
      <c r="AO5" s="920"/>
      <c r="AP5" s="920"/>
    </row>
    <row r="6" spans="1:42" s="76" customFormat="1" ht="24" customHeight="1">
      <c r="A6" s="937" t="str">
        <f>IF(SUM(AA6:AB6)=0,"",A$4)</f>
        <v/>
      </c>
      <c r="B6" s="1687" t="str">
        <f>IF(AA6=0,"",AA6)</f>
        <v/>
      </c>
      <c r="C6" s="1688" t="str">
        <f>IF(AB6=0,"",AB6)</f>
        <v/>
      </c>
      <c r="D6" s="3711" t="str">
        <f>IF(A5="","",$A$1)</f>
        <v>Weihnachts- + Urlaubsgeld ==&gt;</v>
      </c>
      <c r="E6" s="3712"/>
      <c r="F6" s="2578"/>
      <c r="G6" s="2578"/>
      <c r="H6" s="2578"/>
      <c r="I6" s="2578"/>
      <c r="J6" s="2578"/>
      <c r="K6" s="2578"/>
      <c r="L6" s="2578"/>
      <c r="M6" s="2578"/>
      <c r="N6" s="2578"/>
      <c r="O6" s="2578"/>
      <c r="P6" s="2578"/>
      <c r="Q6" s="2578"/>
      <c r="R6" s="1221">
        <f>IF(A5="","",SUM(F6:Q6))</f>
        <v>0</v>
      </c>
      <c r="S6" s="1222" t="s">
        <v>799</v>
      </c>
      <c r="T6" s="1221">
        <f>IF(A5="","",(AL5*AC6))</f>
        <v>0</v>
      </c>
      <c r="U6" s="1223" t="s">
        <v>707</v>
      </c>
      <c r="V6" s="203">
        <f ca="1">IF(A5="","",SUM(V5)*IF(T5/COUNTIF(F5:Q5,"&gt;0")&lt;$X$4,$W$4,$V$4))</f>
        <v>1135.75</v>
      </c>
      <c r="W6" s="204" t="s">
        <v>158</v>
      </c>
      <c r="X6" s="3715" t="str">
        <f>'7 Verteil. auf Monate Friseure'!X6:X7</f>
        <v>Bruttolohn p. Mon. incl. st-freien und st-pfl. Monats-sonderzahlungen und jährl. Einmalzahlungen</v>
      </c>
      <c r="Y6" s="920">
        <f>SUM(F6:Q6)</f>
        <v>0</v>
      </c>
      <c r="Z6" s="920"/>
      <c r="AA6" s="1587">
        <f>'6 Eingabe Azubis'!C7</f>
        <v>0</v>
      </c>
      <c r="AB6" s="1587">
        <f>'6 Eingabe Azubis'!D7</f>
        <v>0</v>
      </c>
      <c r="AC6" s="1587">
        <f>'6 Eingabe Azubis'!E7</f>
        <v>0</v>
      </c>
      <c r="AD6" s="1587">
        <f>'6 Eingabe Azubis'!F7</f>
        <v>0</v>
      </c>
      <c r="AE6" s="1587">
        <f>'6 Eingabe Azubis'!G7</f>
        <v>0</v>
      </c>
      <c r="AF6" s="920"/>
      <c r="AG6" s="920"/>
      <c r="AH6" s="920"/>
      <c r="AI6" s="920"/>
      <c r="AJ6" s="920"/>
      <c r="AK6" s="920"/>
      <c r="AL6" s="920"/>
      <c r="AM6" s="920"/>
      <c r="AN6" s="920"/>
      <c r="AO6" s="920"/>
      <c r="AP6" s="920"/>
    </row>
    <row r="7" spans="1:42" s="76" customFormat="1" ht="24" customHeight="1" thickBot="1">
      <c r="A7" s="938" t="str">
        <f>IF(SUM(AD6)=0,"",A$4)</f>
        <v/>
      </c>
      <c r="B7" s="1689"/>
      <c r="C7" s="1690" t="str">
        <f>IF(AD6=0,"",AD6)</f>
        <v/>
      </c>
      <c r="D7" s="3713" t="str">
        <f>IF(C7="","",$A$2)</f>
        <v/>
      </c>
      <c r="E7" s="3714"/>
      <c r="F7" s="2579"/>
      <c r="G7" s="2579"/>
      <c r="H7" s="2579"/>
      <c r="I7" s="2579"/>
      <c r="J7" s="2579"/>
      <c r="K7" s="2579"/>
      <c r="L7" s="2579"/>
      <c r="M7" s="2579"/>
      <c r="N7" s="2579"/>
      <c r="O7" s="2579"/>
      <c r="P7" s="2579"/>
      <c r="Q7" s="2580"/>
      <c r="R7" s="1224">
        <f>IF(A5="","",SUM(F7:Q7))</f>
        <v>0</v>
      </c>
      <c r="S7" s="1225" t="s">
        <v>800</v>
      </c>
      <c r="T7" s="1226">
        <f>IF(A5="","",(AE6*AL5))</f>
        <v>0</v>
      </c>
      <c r="U7" s="1225" t="s">
        <v>708</v>
      </c>
      <c r="V7" s="201">
        <f ca="1">IF(A5="","",SUM(V5:V6,R7,T7))</f>
        <v>5678.75</v>
      </c>
      <c r="W7" s="959" t="s">
        <v>167</v>
      </c>
      <c r="X7" s="3716"/>
      <c r="Y7" s="920">
        <f>SUM(F7:Q7)</f>
        <v>0</v>
      </c>
      <c r="Z7" s="920"/>
      <c r="AA7" s="1590" t="str">
        <f>'7 Verteil. auf Monate Friseure'!AA7</f>
        <v>einmal Sonderzahl. z.B.Weihn.-geld</v>
      </c>
      <c r="AB7" s="1590" t="str">
        <f>'7 Verteil. auf Monate Friseure'!AB7</f>
        <v xml:space="preserve">einmal Sonderzahl. z.B. Urlaubsgeld </v>
      </c>
      <c r="AC7" s="1590" t="str">
        <f>'7 Verteil. auf Monate Friseure'!AC7</f>
        <v>regelmäßige monatl. Sonder-zahlung (z.B.Werkzeuggeld, VWL usw.)</v>
      </c>
      <c r="AD7" s="1590" t="str">
        <f>'7 Verteil. auf Monate Friseure'!AD7</f>
        <v>einmal steuerfreie Sonderzahlung ==&gt;</v>
      </c>
      <c r="AE7" s="1590" t="str">
        <f>'7 Verteil. auf Monate Friseure'!AE7</f>
        <v>regelmäßige monatl. Sonder-zahlung steuerfrei</v>
      </c>
      <c r="AF7" s="920"/>
      <c r="AG7" s="920"/>
      <c r="AH7" s="920"/>
      <c r="AI7" s="920"/>
      <c r="AJ7" s="920"/>
      <c r="AK7" s="920"/>
      <c r="AL7" s="920"/>
      <c r="AM7" s="920"/>
      <c r="AN7" s="920"/>
      <c r="AO7" s="920"/>
      <c r="AP7" s="920"/>
    </row>
    <row r="8" spans="1:42" s="76" customFormat="1" ht="24" customHeight="1">
      <c r="A8" s="208" t="str">
        <f>IF('6 Eingabe Azubis'!A8="","",'6 Eingabe Azubis'!A8)</f>
        <v>Lena</v>
      </c>
      <c r="B8" s="936" t="str">
        <f>IF(B9="","",AA$7)</f>
        <v/>
      </c>
      <c r="C8" s="936" t="str">
        <f>IF(C9="","",AB$7)</f>
        <v/>
      </c>
      <c r="D8" s="208"/>
      <c r="E8" s="207">
        <f ca="1">IF('1 Erklärung'!AA2="","",'6 Eingabe Azubis'!AP8)</f>
        <v>742.5</v>
      </c>
      <c r="F8" s="3234" t="str">
        <f t="shared" ref="F8:Q8" si="3">IF(SUM(F9,F10)=0,Z8,SUM(F9,F10,Z8))</f>
        <v/>
      </c>
      <c r="G8" s="3234" t="str">
        <f t="shared" si="3"/>
        <v/>
      </c>
      <c r="H8" s="3234" t="str">
        <f t="shared" si="3"/>
        <v/>
      </c>
      <c r="I8" s="3234" t="str">
        <f t="shared" si="3"/>
        <v/>
      </c>
      <c r="J8" s="3234" t="str">
        <f t="shared" si="3"/>
        <v/>
      </c>
      <c r="K8" s="3234" t="str">
        <f t="shared" si="3"/>
        <v/>
      </c>
      <c r="L8" s="3234" t="str">
        <f t="shared" si="3"/>
        <v/>
      </c>
      <c r="M8" s="3234">
        <f t="shared" si="3"/>
        <v>742.5</v>
      </c>
      <c r="N8" s="3234">
        <f t="shared" si="3"/>
        <v>742.5</v>
      </c>
      <c r="O8" s="3234">
        <f t="shared" si="3"/>
        <v>742.5</v>
      </c>
      <c r="P8" s="3234">
        <f t="shared" si="3"/>
        <v>742.5</v>
      </c>
      <c r="Q8" s="3234">
        <f t="shared" si="3"/>
        <v>742.5</v>
      </c>
      <c r="R8" s="894">
        <f ca="1">IF('1 Erklärung'!AA$2="","",IF(A8="","",SUM(F8:Q8)))</f>
        <v>3712.5</v>
      </c>
      <c r="S8" s="895"/>
      <c r="T8" s="1269">
        <f ca="1">IF(A8="","",SUM(R8,-R10,-R9))</f>
        <v>3712.5</v>
      </c>
      <c r="U8" s="1228" t="str">
        <f ca="1">IF(A8="","",IF(T8="","",$U$5))</f>
        <v>Bruttolohn ohne Zusatzzahlung</v>
      </c>
      <c r="V8" s="1227">
        <f ca="1">IF(A8="","",SUM(T8,R9,T9))</f>
        <v>3712.5</v>
      </c>
      <c r="W8" s="1229" t="str">
        <f ca="1">IF(A8="","",IF(V8="","",$W$5))</f>
        <v>St.-pfl. Bruttolohn mit st-pfl. Zusatzz.</v>
      </c>
      <c r="X8" s="206">
        <f ca="1">IF(A8="","",R8/COUNTIF(F8:Q8,"&gt;0"))</f>
        <v>742.5</v>
      </c>
      <c r="Y8" s="920"/>
      <c r="Z8" s="1587" t="str">
        <f>IF('6 Eingabe Azubis'!K8&gt;0.4,'6 Eingabe Azubis'!$AP8*'6 Eingabe Azubis'!K8,"")</f>
        <v/>
      </c>
      <c r="AA8" s="1587" t="str">
        <f>IF('6 Eingabe Azubis'!L8&gt;0.4,'6 Eingabe Azubis'!$AP8*'6 Eingabe Azubis'!L8,"")</f>
        <v/>
      </c>
      <c r="AB8" s="1587" t="str">
        <f>IF('6 Eingabe Azubis'!M8&gt;0.4,'6 Eingabe Azubis'!$AP8*'6 Eingabe Azubis'!M8,"")</f>
        <v/>
      </c>
      <c r="AC8" s="1587" t="str">
        <f>IF('6 Eingabe Azubis'!N8&gt;0.4,'6 Eingabe Azubis'!$AP8*'6 Eingabe Azubis'!N8,"")</f>
        <v/>
      </c>
      <c r="AD8" s="1587" t="str">
        <f>IF('6 Eingabe Azubis'!O8&gt;0.4,'6 Eingabe Azubis'!$AP8*'6 Eingabe Azubis'!O8,"")</f>
        <v/>
      </c>
      <c r="AE8" s="1587" t="str">
        <f>IF('6 Eingabe Azubis'!P8&gt;0.4,'6 Eingabe Azubis'!$AP8*'6 Eingabe Azubis'!P8,"")</f>
        <v/>
      </c>
      <c r="AF8" s="1587" t="str">
        <f>IF('6 Eingabe Azubis'!Q8&gt;0.4,'6 Eingabe Azubis'!$AP8*'6 Eingabe Azubis'!Q8,"")</f>
        <v/>
      </c>
      <c r="AG8" s="1587">
        <f>IF('6 Eingabe Azubis'!R8&gt;0.4,'6 Eingabe Azubis'!$AP8*'6 Eingabe Azubis'!R8,"")</f>
        <v>742.5</v>
      </c>
      <c r="AH8" s="1587">
        <f>IF('6 Eingabe Azubis'!S8&gt;0.4,'6 Eingabe Azubis'!$AP8*'6 Eingabe Azubis'!S8,"")</f>
        <v>742.5</v>
      </c>
      <c r="AI8" s="1587">
        <f>IF('6 Eingabe Azubis'!T8&gt;0.4,'6 Eingabe Azubis'!$AP8*'6 Eingabe Azubis'!T8,"")</f>
        <v>742.5</v>
      </c>
      <c r="AJ8" s="1587">
        <f>IF('6 Eingabe Azubis'!U8&gt;0.4,'6 Eingabe Azubis'!$AP8*'6 Eingabe Azubis'!U8,"")</f>
        <v>742.5</v>
      </c>
      <c r="AK8" s="1587">
        <f>IF('6 Eingabe Azubis'!V8&gt;0.4,'6 Eingabe Azubis'!$AP8*'6 Eingabe Azubis'!V8,"")</f>
        <v>742.5</v>
      </c>
      <c r="AL8" s="920">
        <f>'6 Eingabe Azubis'!AK8</f>
        <v>5</v>
      </c>
      <c r="AM8" s="920"/>
      <c r="AN8" s="920"/>
      <c r="AO8" s="920"/>
      <c r="AP8" s="920"/>
    </row>
    <row r="9" spans="1:42" s="76" customFormat="1" ht="24" customHeight="1">
      <c r="A9" s="937" t="str">
        <f>IF(SUM(AA9:AB9)=0,"",A$4)</f>
        <v/>
      </c>
      <c r="B9" s="1687" t="str">
        <f>IF(AA9=0,"",AA9)</f>
        <v/>
      </c>
      <c r="C9" s="1688" t="str">
        <f>IF(AB9=0,"",AB9)</f>
        <v/>
      </c>
      <c r="D9" s="3711" t="str">
        <f>IF(A8="","",$A$1)</f>
        <v>Weihnachts- + Urlaubsgeld ==&gt;</v>
      </c>
      <c r="E9" s="3712"/>
      <c r="F9" s="2578"/>
      <c r="G9" s="2578"/>
      <c r="H9" s="2578"/>
      <c r="I9" s="2578"/>
      <c r="J9" s="2578"/>
      <c r="K9" s="2578"/>
      <c r="L9" s="2578"/>
      <c r="M9" s="2578"/>
      <c r="N9" s="2578"/>
      <c r="O9" s="2578"/>
      <c r="P9" s="2578"/>
      <c r="Q9" s="2578"/>
      <c r="R9" s="1221">
        <f>IF(A8="","",SUM(F9:Q9))</f>
        <v>0</v>
      </c>
      <c r="S9" s="1222" t="str">
        <f>IF(A7="","",IF(R9="","",S$6))</f>
        <v/>
      </c>
      <c r="T9" s="1221">
        <f>IF(A8="","",(AL8*AC9))</f>
        <v>0</v>
      </c>
      <c r="U9" s="1223" t="str">
        <f>IF(A8="","",IF(T9="","",U$6))</f>
        <v>Monatl. steuerpfl.
Sonderzahl.</v>
      </c>
      <c r="V9" s="203">
        <f ca="1">IF(A8="","",SUM(V8)*IF(T8/COUNTIF(F8:Q8,"&gt;0")&lt;$X$4,$W$4,$V$4))</f>
        <v>928.125</v>
      </c>
      <c r="W9" s="204" t="str">
        <f ca="1">IF(A8="","",IF(V9="","",W$6))</f>
        <v>AG-anteil</v>
      </c>
      <c r="X9" s="3715" t="str">
        <f ca="1">IF(A8="","",IF(X8="","",X$6))</f>
        <v>Bruttolohn p. Mon. incl. st-freien und st-pfl. Monats-sonderzahlungen und jährl. Einmalzahlungen</v>
      </c>
      <c r="Y9" s="920">
        <f>SUM(F9:Q9)</f>
        <v>0</v>
      </c>
      <c r="Z9" s="920"/>
      <c r="AA9" s="1587">
        <f>'6 Eingabe Azubis'!C8</f>
        <v>0</v>
      </c>
      <c r="AB9" s="1587">
        <f>'6 Eingabe Azubis'!D8</f>
        <v>0</v>
      </c>
      <c r="AC9" s="1587">
        <f>'6 Eingabe Azubis'!E8</f>
        <v>0</v>
      </c>
      <c r="AD9" s="1587">
        <f>'6 Eingabe Azubis'!F8</f>
        <v>0</v>
      </c>
      <c r="AE9" s="1587">
        <f>'6 Eingabe Azubis'!G8</f>
        <v>0</v>
      </c>
      <c r="AF9" s="920"/>
      <c r="AG9" s="920"/>
      <c r="AH9" s="920"/>
      <c r="AI9" s="920"/>
      <c r="AJ9" s="920"/>
      <c r="AK9" s="920"/>
      <c r="AL9" s="920"/>
      <c r="AM9" s="920"/>
      <c r="AN9" s="920"/>
      <c r="AO9" s="920"/>
      <c r="AP9" s="920"/>
    </row>
    <row r="10" spans="1:42" s="76" customFormat="1" ht="24" customHeight="1" thickBot="1">
      <c r="A10" s="938" t="str">
        <f>IF(SUM(AD9)=0,"",A$4)</f>
        <v/>
      </c>
      <c r="B10" s="1689"/>
      <c r="C10" s="1690" t="str">
        <f>IF(AD9=0,"",AD9)</f>
        <v/>
      </c>
      <c r="D10" s="3713" t="str">
        <f>IF(C10="","",$A$2)</f>
        <v/>
      </c>
      <c r="E10" s="3714"/>
      <c r="F10" s="2579"/>
      <c r="G10" s="2579"/>
      <c r="H10" s="2579"/>
      <c r="I10" s="2579"/>
      <c r="J10" s="2579"/>
      <c r="K10" s="2579"/>
      <c r="L10" s="2579"/>
      <c r="M10" s="2579"/>
      <c r="N10" s="2579"/>
      <c r="O10" s="2579"/>
      <c r="P10" s="2579"/>
      <c r="Q10" s="2580"/>
      <c r="R10" s="1224">
        <f>IF(A8="","",SUM(F10:Q10))</f>
        <v>0</v>
      </c>
      <c r="S10" s="1225" t="str">
        <f>IF(A8="","",IF(R10="","",S$7))</f>
        <v>Erhöhung steuerfrei nicht regelmäßig</v>
      </c>
      <c r="T10" s="1226">
        <f>IF(A8="","",(AE9*AL8))</f>
        <v>0</v>
      </c>
      <c r="U10" s="1225" t="str">
        <f>IF(A8="","",IF(T10="","",U$7))</f>
        <v>Monatl. steuerfreie
Sonderzahl.</v>
      </c>
      <c r="V10" s="201">
        <f ca="1">IF(A8="","",SUM(V8:V9,R10,T10))</f>
        <v>4640.625</v>
      </c>
      <c r="W10" s="959" t="str">
        <f ca="1">IF(A8="","",IF(V10="","",W$7))</f>
        <v>Summe PK incl. 
st-freien Zusatzz.</v>
      </c>
      <c r="X10" s="3716"/>
      <c r="Y10" s="920">
        <f>SUM(F10:Q10)</f>
        <v>0</v>
      </c>
      <c r="Z10" s="920"/>
      <c r="AA10" s="920"/>
      <c r="AB10" s="920"/>
      <c r="AC10" s="920"/>
      <c r="AD10" s="920"/>
      <c r="AE10" s="920"/>
      <c r="AF10" s="920"/>
      <c r="AG10" s="920"/>
      <c r="AH10" s="920"/>
      <c r="AI10" s="920"/>
      <c r="AJ10" s="920"/>
      <c r="AK10" s="920"/>
      <c r="AL10" s="920"/>
      <c r="AM10" s="920"/>
      <c r="AN10" s="920"/>
      <c r="AO10" s="920"/>
      <c r="AP10" s="920"/>
    </row>
    <row r="11" spans="1:42" s="76" customFormat="1" ht="24" customHeight="1">
      <c r="A11" s="208" t="str">
        <f>IF('6 Eingabe Azubis'!A9="","",'6 Eingabe Azubis'!A9)</f>
        <v>Sten</v>
      </c>
      <c r="B11" s="936" t="str">
        <f>IF(B12="","",AA$7)</f>
        <v/>
      </c>
      <c r="C11" s="936" t="str">
        <f>IF(C12="","",AB$7)</f>
        <v/>
      </c>
      <c r="D11" s="208"/>
      <c r="E11" s="207">
        <f ca="1">IF('1 Erklärung'!AA2="","",'6 Eingabe Azubis'!AP9)</f>
        <v>545</v>
      </c>
      <c r="F11" s="3234">
        <f t="shared" ref="F11:Q11" si="4">IF(SUM(F12,F13)=0,Z11,SUM(F12,F13,Z11))</f>
        <v>545</v>
      </c>
      <c r="G11" s="3234">
        <f t="shared" si="4"/>
        <v>545</v>
      </c>
      <c r="H11" s="3234">
        <f t="shared" si="4"/>
        <v>545</v>
      </c>
      <c r="I11" s="3234">
        <f t="shared" si="4"/>
        <v>545</v>
      </c>
      <c r="J11" s="3234">
        <f t="shared" si="4"/>
        <v>545</v>
      </c>
      <c r="K11" s="3234">
        <f t="shared" si="4"/>
        <v>545</v>
      </c>
      <c r="L11" s="3234">
        <f t="shared" si="4"/>
        <v>545</v>
      </c>
      <c r="M11" s="3234" t="str">
        <f t="shared" si="4"/>
        <v/>
      </c>
      <c r="N11" s="3234" t="str">
        <f t="shared" si="4"/>
        <v/>
      </c>
      <c r="O11" s="3234" t="str">
        <f t="shared" si="4"/>
        <v/>
      </c>
      <c r="P11" s="3234" t="str">
        <f t="shared" si="4"/>
        <v/>
      </c>
      <c r="Q11" s="3234" t="str">
        <f t="shared" si="4"/>
        <v/>
      </c>
      <c r="R11" s="894">
        <f ca="1">IF('1 Erklärung'!AA$2="","",IF(A11="","",SUM(F11:Q11)))</f>
        <v>3815</v>
      </c>
      <c r="S11" s="895"/>
      <c r="T11" s="1269">
        <f ca="1">IF(A11="","",SUM(R11,-R13,-R12))</f>
        <v>3815</v>
      </c>
      <c r="U11" s="1228" t="str">
        <f ca="1">IF(A11="","",IF(T11="","",$U$5))</f>
        <v>Bruttolohn ohne Zusatzzahlung</v>
      </c>
      <c r="V11" s="1227">
        <f ca="1">IF(A11="","",SUM(T11,R12,T12))</f>
        <v>3815</v>
      </c>
      <c r="W11" s="1229" t="str">
        <f ca="1">IF(A11="","",IF(V11="","",$W$5))</f>
        <v>St.-pfl. Bruttolohn mit st-pfl. Zusatzz.</v>
      </c>
      <c r="X11" s="206">
        <f ca="1">IF(A11="","",R11/COUNTIF(F11:Q11,"&gt;0"))</f>
        <v>545</v>
      </c>
      <c r="Y11" s="920"/>
      <c r="Z11" s="1587">
        <f>IF('6 Eingabe Azubis'!K9&gt;0.4,'6 Eingabe Azubis'!$AP9*'6 Eingabe Azubis'!K9,"")</f>
        <v>545</v>
      </c>
      <c r="AA11" s="1587">
        <f>IF('6 Eingabe Azubis'!L9&gt;0.4,'6 Eingabe Azubis'!$AP9*'6 Eingabe Azubis'!L9,"")</f>
        <v>545</v>
      </c>
      <c r="AB11" s="1587">
        <f>IF('6 Eingabe Azubis'!M9&gt;0.4,'6 Eingabe Azubis'!$AP9*'6 Eingabe Azubis'!M9,"")</f>
        <v>545</v>
      </c>
      <c r="AC11" s="1587">
        <f>IF('6 Eingabe Azubis'!N9&gt;0.4,'6 Eingabe Azubis'!$AP9*'6 Eingabe Azubis'!N9,"")</f>
        <v>545</v>
      </c>
      <c r="AD11" s="1587">
        <f>IF('6 Eingabe Azubis'!O9&gt;0.4,'6 Eingabe Azubis'!$AP9*'6 Eingabe Azubis'!O9,"")</f>
        <v>545</v>
      </c>
      <c r="AE11" s="1587">
        <f>IF('6 Eingabe Azubis'!P9&gt;0.4,'6 Eingabe Azubis'!$AP9*'6 Eingabe Azubis'!P9,"")</f>
        <v>545</v>
      </c>
      <c r="AF11" s="1587">
        <f>IF('6 Eingabe Azubis'!Q9&gt;0.4,'6 Eingabe Azubis'!$AP9*'6 Eingabe Azubis'!Q9,"")</f>
        <v>545</v>
      </c>
      <c r="AG11" s="1587" t="str">
        <f>IF('6 Eingabe Azubis'!R9&gt;0.4,'6 Eingabe Azubis'!$AP9*'6 Eingabe Azubis'!R9,"")</f>
        <v/>
      </c>
      <c r="AH11" s="1587" t="str">
        <f>IF('6 Eingabe Azubis'!S9&gt;0.4,'6 Eingabe Azubis'!$AP9*'6 Eingabe Azubis'!S9,"")</f>
        <v/>
      </c>
      <c r="AI11" s="1587" t="str">
        <f>IF('6 Eingabe Azubis'!T9&gt;0.4,'6 Eingabe Azubis'!$AP9*'6 Eingabe Azubis'!T9,"")</f>
        <v/>
      </c>
      <c r="AJ11" s="1587" t="str">
        <f>IF('6 Eingabe Azubis'!U9&gt;0.4,'6 Eingabe Azubis'!$AP9*'6 Eingabe Azubis'!U9,"")</f>
        <v/>
      </c>
      <c r="AK11" s="1587" t="str">
        <f>IF('6 Eingabe Azubis'!V9&gt;0.4,'6 Eingabe Azubis'!$AP9*'6 Eingabe Azubis'!V9,"")</f>
        <v/>
      </c>
      <c r="AL11" s="920">
        <f>'6 Eingabe Azubis'!AK9</f>
        <v>7</v>
      </c>
      <c r="AM11" s="920"/>
      <c r="AN11" s="920"/>
      <c r="AO11" s="920"/>
      <c r="AP11" s="920"/>
    </row>
    <row r="12" spans="1:42" s="76" customFormat="1" ht="24" customHeight="1">
      <c r="A12" s="937" t="str">
        <f>IF(SUM(AA12:AB12)=0,"",A$4)</f>
        <v/>
      </c>
      <c r="B12" s="1687" t="str">
        <f>IF(AA12=0,"",AA12)</f>
        <v/>
      </c>
      <c r="C12" s="1688" t="str">
        <f>IF(AB12=0,"",AB12)</f>
        <v/>
      </c>
      <c r="D12" s="3711" t="str">
        <f>IF(A11="","",$A$1)</f>
        <v>Weihnachts- + Urlaubsgeld ==&gt;</v>
      </c>
      <c r="E12" s="3712"/>
      <c r="F12" s="2578"/>
      <c r="G12" s="2578"/>
      <c r="H12" s="2578"/>
      <c r="I12" s="2578"/>
      <c r="J12" s="2578"/>
      <c r="K12" s="2578"/>
      <c r="L12" s="2578"/>
      <c r="M12" s="2578"/>
      <c r="N12" s="2578"/>
      <c r="O12" s="2578"/>
      <c r="P12" s="2578"/>
      <c r="Q12" s="2578"/>
      <c r="R12" s="1221">
        <f>IF(A11="","",SUM(F12:Q12))</f>
        <v>0</v>
      </c>
      <c r="S12" s="1222" t="str">
        <f>IF(A10="","",IF(R12="","",S$6))</f>
        <v/>
      </c>
      <c r="T12" s="1221">
        <f>IF(A11="","",(AL11*AC12))</f>
        <v>0</v>
      </c>
      <c r="U12" s="1223" t="str">
        <f>IF(A11="","",IF(T12="","",U$6))</f>
        <v>Monatl. steuerpfl.
Sonderzahl.</v>
      </c>
      <c r="V12" s="203">
        <f ca="1">IF(A11="","",SUM(V11)*IF(T11/COUNTIF(F11:Q11,"&gt;0")&lt;$X$4,$W$4,$V$4))</f>
        <v>953.75</v>
      </c>
      <c r="W12" s="204" t="str">
        <f ca="1">IF(A11="","",IF(V12="","",W$6))</f>
        <v>AG-anteil</v>
      </c>
      <c r="X12" s="3715" t="str">
        <f ca="1">IF(A11="","",IF(X11="","",X$6))</f>
        <v>Bruttolohn p. Mon. incl. st-freien und st-pfl. Monats-sonderzahlungen und jährl. Einmalzahlungen</v>
      </c>
      <c r="Y12" s="920">
        <f>SUM(F12:Q12)</f>
        <v>0</v>
      </c>
      <c r="Z12" s="920"/>
      <c r="AA12" s="1587">
        <f>'6 Eingabe Azubis'!C9</f>
        <v>0</v>
      </c>
      <c r="AB12" s="1587">
        <f>'6 Eingabe Azubis'!D9</f>
        <v>0</v>
      </c>
      <c r="AC12" s="1587">
        <f>'6 Eingabe Azubis'!E9</f>
        <v>0</v>
      </c>
      <c r="AD12" s="1587">
        <f>'6 Eingabe Azubis'!F9</f>
        <v>0</v>
      </c>
      <c r="AE12" s="1587">
        <f>'6 Eingabe Azubis'!G9</f>
        <v>0</v>
      </c>
      <c r="AF12" s="920"/>
      <c r="AG12" s="920"/>
      <c r="AH12" s="920"/>
      <c r="AI12" s="920"/>
      <c r="AJ12" s="920"/>
      <c r="AK12" s="920"/>
      <c r="AL12" s="920"/>
      <c r="AM12" s="920"/>
      <c r="AN12" s="920"/>
      <c r="AO12" s="920"/>
      <c r="AP12" s="920"/>
    </row>
    <row r="13" spans="1:42" s="76" customFormat="1" ht="24" customHeight="1" thickBot="1">
      <c r="A13" s="938" t="str">
        <f>IF(SUM(AD12)=0,"",A$4)</f>
        <v/>
      </c>
      <c r="B13" s="1689"/>
      <c r="C13" s="1690" t="str">
        <f>IF(AD12=0,"",AD12)</f>
        <v/>
      </c>
      <c r="D13" s="3713" t="str">
        <f>IF(C13="","",$A$2)</f>
        <v/>
      </c>
      <c r="E13" s="3714"/>
      <c r="F13" s="2579"/>
      <c r="G13" s="2579"/>
      <c r="H13" s="2579"/>
      <c r="I13" s="2579"/>
      <c r="J13" s="2579"/>
      <c r="K13" s="2579"/>
      <c r="L13" s="2579"/>
      <c r="M13" s="2579"/>
      <c r="N13" s="2579"/>
      <c r="O13" s="2579"/>
      <c r="P13" s="2579"/>
      <c r="Q13" s="2580"/>
      <c r="R13" s="1224">
        <f>IF(A11="","",SUM(F13:Q13))</f>
        <v>0</v>
      </c>
      <c r="S13" s="1225" t="str">
        <f>IF(A11="","",IF(R13="","",S$7))</f>
        <v>Erhöhung steuerfrei nicht regelmäßig</v>
      </c>
      <c r="T13" s="1226">
        <f>IF(A11="","",(AE12*AL11))</f>
        <v>0</v>
      </c>
      <c r="U13" s="1225" t="str">
        <f>IF(A11="","",IF(T13="","",U$7))</f>
        <v>Monatl. steuerfreie
Sonderzahl.</v>
      </c>
      <c r="V13" s="201">
        <f ca="1">IF(A11="","",SUM(V11:V12,R13,T13))</f>
        <v>4768.75</v>
      </c>
      <c r="W13" s="959" t="str">
        <f ca="1">IF(A11="","",IF(V13="","",W$7))</f>
        <v>Summe PK incl. 
st-freien Zusatzz.</v>
      </c>
      <c r="X13" s="3716"/>
      <c r="Y13" s="920">
        <f>SUM(F13:Q13)</f>
        <v>0</v>
      </c>
      <c r="Z13" s="920"/>
      <c r="AA13" s="920"/>
      <c r="AB13" s="920"/>
      <c r="AC13" s="920"/>
      <c r="AD13" s="920"/>
      <c r="AE13" s="920"/>
      <c r="AF13" s="920"/>
      <c r="AG13" s="920"/>
      <c r="AH13" s="920"/>
      <c r="AI13" s="920"/>
      <c r="AJ13" s="920"/>
      <c r="AK13" s="920"/>
      <c r="AL13" s="920"/>
      <c r="AM13" s="920"/>
      <c r="AN13" s="920"/>
      <c r="AO13" s="920"/>
      <c r="AP13" s="920"/>
    </row>
    <row r="14" spans="1:42" s="76" customFormat="1" ht="24" customHeight="1">
      <c r="A14" s="208" t="str">
        <f>IF('6 Eingabe Azubis'!A10="","",'6 Eingabe Azubis'!A10)</f>
        <v>Sten</v>
      </c>
      <c r="B14" s="936" t="str">
        <f>IF(B15="","",AA$7)</f>
        <v/>
      </c>
      <c r="C14" s="936" t="str">
        <f>IF(C15="","",AB$7)</f>
        <v/>
      </c>
      <c r="D14" s="208"/>
      <c r="E14" s="207">
        <f ca="1">IF('1 Erklärung'!AA2="","",'6 Eingabe Azubis'!AP10)</f>
        <v>649</v>
      </c>
      <c r="F14" s="3234" t="str">
        <f t="shared" ref="F14:Q14" si="5">IF(SUM(F15,F16)=0,Z14,SUM(F15,F16,Z14))</f>
        <v/>
      </c>
      <c r="G14" s="3234" t="str">
        <f t="shared" si="5"/>
        <v/>
      </c>
      <c r="H14" s="3234" t="str">
        <f t="shared" si="5"/>
        <v/>
      </c>
      <c r="I14" s="3234" t="str">
        <f t="shared" si="5"/>
        <v/>
      </c>
      <c r="J14" s="3234" t="str">
        <f t="shared" si="5"/>
        <v/>
      </c>
      <c r="K14" s="3234" t="str">
        <f t="shared" si="5"/>
        <v/>
      </c>
      <c r="L14" s="3234" t="str">
        <f t="shared" si="5"/>
        <v/>
      </c>
      <c r="M14" s="3234">
        <f t="shared" si="5"/>
        <v>649</v>
      </c>
      <c r="N14" s="3234">
        <f t="shared" si="5"/>
        <v>649</v>
      </c>
      <c r="O14" s="3234">
        <f t="shared" si="5"/>
        <v>649</v>
      </c>
      <c r="P14" s="3234">
        <f t="shared" si="5"/>
        <v>649</v>
      </c>
      <c r="Q14" s="3234">
        <f t="shared" si="5"/>
        <v>649</v>
      </c>
      <c r="R14" s="894">
        <f ca="1">IF('1 Erklärung'!AA$2="","",IF(A14="","",SUM(F14:Q14)))</f>
        <v>3245</v>
      </c>
      <c r="S14" s="895"/>
      <c r="T14" s="1269">
        <f ca="1">IF(A14="","",SUM(R14,-R16,-R15))</f>
        <v>3245</v>
      </c>
      <c r="U14" s="1228" t="str">
        <f ca="1">IF(A14="","",IF(T14="","",$U$5))</f>
        <v>Bruttolohn ohne Zusatzzahlung</v>
      </c>
      <c r="V14" s="1227">
        <f ca="1">IF(A14="","",SUM(T14,R15,T15))</f>
        <v>3245</v>
      </c>
      <c r="W14" s="1229" t="str">
        <f ca="1">IF(A14="","",IF(V14="","",$W$5))</f>
        <v>St.-pfl. Bruttolohn mit st-pfl. Zusatzz.</v>
      </c>
      <c r="X14" s="206">
        <f ca="1">IF(A14="","",R14/COUNTIF(F14:Q14,"&gt;0"))</f>
        <v>649</v>
      </c>
      <c r="Y14" s="920"/>
      <c r="Z14" s="1587" t="str">
        <f>IF('6 Eingabe Azubis'!K10&gt;0.4,'6 Eingabe Azubis'!$AP10*'6 Eingabe Azubis'!K10,"")</f>
        <v/>
      </c>
      <c r="AA14" s="1587" t="str">
        <f>IF('6 Eingabe Azubis'!L10&gt;0.4,'6 Eingabe Azubis'!$AP10*'6 Eingabe Azubis'!L10,"")</f>
        <v/>
      </c>
      <c r="AB14" s="1587" t="str">
        <f>IF('6 Eingabe Azubis'!M10&gt;0.4,'6 Eingabe Azubis'!$AP10*'6 Eingabe Azubis'!M10,"")</f>
        <v/>
      </c>
      <c r="AC14" s="1587" t="str">
        <f>IF('6 Eingabe Azubis'!N10&gt;0.4,'6 Eingabe Azubis'!$AP10*'6 Eingabe Azubis'!N10,"")</f>
        <v/>
      </c>
      <c r="AD14" s="1587" t="str">
        <f>IF('6 Eingabe Azubis'!O10&gt;0.4,'6 Eingabe Azubis'!$AP10*'6 Eingabe Azubis'!O10,"")</f>
        <v/>
      </c>
      <c r="AE14" s="1587" t="str">
        <f>IF('6 Eingabe Azubis'!P10&gt;0.4,'6 Eingabe Azubis'!$AP10*'6 Eingabe Azubis'!P10,"")</f>
        <v/>
      </c>
      <c r="AF14" s="1587" t="str">
        <f>IF('6 Eingabe Azubis'!Q10&gt;0.4,'6 Eingabe Azubis'!$AP10*'6 Eingabe Azubis'!Q10,"")</f>
        <v/>
      </c>
      <c r="AG14" s="1587">
        <f>IF('6 Eingabe Azubis'!R10&gt;0.4,'6 Eingabe Azubis'!$AP10*'6 Eingabe Azubis'!R10,"")</f>
        <v>649</v>
      </c>
      <c r="AH14" s="1587">
        <f>IF('6 Eingabe Azubis'!S10&gt;0.4,'6 Eingabe Azubis'!$AP10*'6 Eingabe Azubis'!S10,"")</f>
        <v>649</v>
      </c>
      <c r="AI14" s="1587">
        <f>IF('6 Eingabe Azubis'!T10&gt;0.4,'6 Eingabe Azubis'!$AP10*'6 Eingabe Azubis'!T10,"")</f>
        <v>649</v>
      </c>
      <c r="AJ14" s="1587">
        <f>IF('6 Eingabe Azubis'!U10&gt;0.4,'6 Eingabe Azubis'!$AP10*'6 Eingabe Azubis'!U10,"")</f>
        <v>649</v>
      </c>
      <c r="AK14" s="1587">
        <f>IF('6 Eingabe Azubis'!V10&gt;0.4,'6 Eingabe Azubis'!$AP10*'6 Eingabe Azubis'!V10,"")</f>
        <v>649</v>
      </c>
      <c r="AL14" s="920">
        <f>'6 Eingabe Azubis'!AK10</f>
        <v>5</v>
      </c>
      <c r="AM14" s="920"/>
      <c r="AN14" s="920"/>
      <c r="AO14" s="920"/>
      <c r="AP14" s="920"/>
    </row>
    <row r="15" spans="1:42" s="76" customFormat="1" ht="24" customHeight="1">
      <c r="A15" s="937" t="str">
        <f>IF(SUM(AA15:AB15)=0,"",A$4)</f>
        <v/>
      </c>
      <c r="B15" s="1687" t="str">
        <f>IF(AA15=0,"",AA15)</f>
        <v/>
      </c>
      <c r="C15" s="1688" t="str">
        <f>IF(AB15=0,"",AB15)</f>
        <v/>
      </c>
      <c r="D15" s="3711" t="str">
        <f>IF(A14="","",$A$1)</f>
        <v>Weihnachts- + Urlaubsgeld ==&gt;</v>
      </c>
      <c r="E15" s="3712"/>
      <c r="F15" s="2578"/>
      <c r="G15" s="2578"/>
      <c r="H15" s="2578"/>
      <c r="I15" s="2578"/>
      <c r="J15" s="2578"/>
      <c r="K15" s="2578"/>
      <c r="L15" s="2578"/>
      <c r="M15" s="2578"/>
      <c r="N15" s="2578"/>
      <c r="O15" s="2578"/>
      <c r="P15" s="2578"/>
      <c r="Q15" s="2578"/>
      <c r="R15" s="1221">
        <f>IF(A14="","",SUM(F15:Q15))</f>
        <v>0</v>
      </c>
      <c r="S15" s="1222" t="str">
        <f>IF(A13="","",IF(R15="","",S$6))</f>
        <v/>
      </c>
      <c r="T15" s="1221">
        <f>IF(A14="","",(AL14*AC15))</f>
        <v>0</v>
      </c>
      <c r="U15" s="1223" t="str">
        <f>IF(A14="","",IF(T15="","",U$6))</f>
        <v>Monatl. steuerpfl.
Sonderzahl.</v>
      </c>
      <c r="V15" s="203">
        <f ca="1">IF(A14="","",SUM(V14)*IF(T14/COUNTIF(F14:Q14,"&gt;0")&lt;$X$4,$W$4,$V$4))</f>
        <v>811.25</v>
      </c>
      <c r="W15" s="204" t="str">
        <f ca="1">IF(A14="","",IF(V15="","",W$6))</f>
        <v>AG-anteil</v>
      </c>
      <c r="X15" s="3715" t="str">
        <f ca="1">IF(A14="","",IF(X14="","",X$6))</f>
        <v>Bruttolohn p. Mon. incl. st-freien und st-pfl. Monats-sonderzahlungen und jährl. Einmalzahlungen</v>
      </c>
      <c r="Y15" s="920">
        <f>SUM(F15:Q15)</f>
        <v>0</v>
      </c>
      <c r="Z15" s="920"/>
      <c r="AA15" s="1587">
        <f>'6 Eingabe Azubis'!C10</f>
        <v>0</v>
      </c>
      <c r="AB15" s="1587">
        <f>'6 Eingabe Azubis'!D10</f>
        <v>0</v>
      </c>
      <c r="AC15" s="1587">
        <f>'6 Eingabe Azubis'!E10</f>
        <v>0</v>
      </c>
      <c r="AD15" s="1587">
        <f>'6 Eingabe Azubis'!F10</f>
        <v>0</v>
      </c>
      <c r="AE15" s="1587">
        <f>'6 Eingabe Azubis'!G10</f>
        <v>0</v>
      </c>
      <c r="AF15" s="920"/>
      <c r="AG15" s="920"/>
      <c r="AH15" s="920"/>
      <c r="AI15" s="920"/>
      <c r="AJ15" s="920"/>
      <c r="AK15" s="920"/>
      <c r="AL15" s="920"/>
      <c r="AM15" s="920"/>
      <c r="AN15" s="920"/>
      <c r="AO15" s="920"/>
      <c r="AP15" s="920"/>
    </row>
    <row r="16" spans="1:42" s="76" customFormat="1" ht="24" customHeight="1" thickBot="1">
      <c r="A16" s="938" t="str">
        <f>IF(SUM(AD15)=0,"",A$4)</f>
        <v/>
      </c>
      <c r="B16" s="1689"/>
      <c r="C16" s="1690" t="str">
        <f>IF(AD15=0,"",AD15)</f>
        <v/>
      </c>
      <c r="D16" s="3713" t="str">
        <f>IF(C16="","",$A$2)</f>
        <v/>
      </c>
      <c r="E16" s="3714"/>
      <c r="F16" s="2579"/>
      <c r="G16" s="2579"/>
      <c r="H16" s="2579"/>
      <c r="I16" s="2579"/>
      <c r="J16" s="2579"/>
      <c r="K16" s="2579"/>
      <c r="L16" s="2579"/>
      <c r="M16" s="2579"/>
      <c r="N16" s="2579"/>
      <c r="O16" s="2579"/>
      <c r="P16" s="2579"/>
      <c r="Q16" s="2580"/>
      <c r="R16" s="1224">
        <f>IF(A14="","",SUM(F16:Q16))</f>
        <v>0</v>
      </c>
      <c r="S16" s="1225" t="str">
        <f>IF(A14="","",IF(R16="","",S$7))</f>
        <v>Erhöhung steuerfrei nicht regelmäßig</v>
      </c>
      <c r="T16" s="1226">
        <f>IF(A14="","",(AE15*AL14))</f>
        <v>0</v>
      </c>
      <c r="U16" s="1225" t="str">
        <f>IF(A14="","",IF(T16="","",U$7))</f>
        <v>Monatl. steuerfreie
Sonderzahl.</v>
      </c>
      <c r="V16" s="201">
        <f ca="1">IF(A14="","",SUM(V14:V15,R16,T16))</f>
        <v>4056.25</v>
      </c>
      <c r="W16" s="959" t="str">
        <f ca="1">IF(A14="","",IF(V16="","",W$7))</f>
        <v>Summe PK incl. 
st-freien Zusatzz.</v>
      </c>
      <c r="X16" s="3716"/>
      <c r="Y16" s="920">
        <f>SUM(F16:Q16)</f>
        <v>0</v>
      </c>
      <c r="Z16" s="920"/>
      <c r="AA16" s="920"/>
      <c r="AB16" s="920"/>
      <c r="AC16" s="920"/>
      <c r="AD16" s="920"/>
      <c r="AE16" s="920"/>
      <c r="AF16" s="920"/>
      <c r="AG16" s="920"/>
      <c r="AH16" s="920"/>
      <c r="AI16" s="920"/>
      <c r="AJ16" s="920"/>
      <c r="AK16" s="920"/>
      <c r="AL16" s="920"/>
      <c r="AM16" s="920"/>
      <c r="AN16" s="920"/>
      <c r="AO16" s="920"/>
      <c r="AP16" s="920"/>
    </row>
    <row r="17" spans="1:42" s="76" customFormat="1" ht="24" customHeight="1">
      <c r="A17" s="208" t="str">
        <f>IF('6 Eingabe Azubis'!A11="","",'6 Eingabe Azubis'!A11)</f>
        <v/>
      </c>
      <c r="B17" s="936" t="str">
        <f>IF(B18="","",AA$7)</f>
        <v/>
      </c>
      <c r="C17" s="936" t="str">
        <f>IF(C18="","",AB$7)</f>
        <v/>
      </c>
      <c r="D17" s="208"/>
      <c r="E17" s="207" t="str">
        <f ca="1">IF('1 Erklärung'!AA2="","",'6 Eingabe Azubis'!AP11)</f>
        <v/>
      </c>
      <c r="F17" s="3234" t="str">
        <f t="shared" ref="F17:Q17" si="6">IF(SUM(F18,F19)=0,Z17,SUM(F18,F19,Z17))</f>
        <v/>
      </c>
      <c r="G17" s="3234" t="str">
        <f t="shared" si="6"/>
        <v/>
      </c>
      <c r="H17" s="3234" t="str">
        <f t="shared" si="6"/>
        <v/>
      </c>
      <c r="I17" s="3234" t="str">
        <f t="shared" si="6"/>
        <v/>
      </c>
      <c r="J17" s="3234" t="str">
        <f t="shared" si="6"/>
        <v/>
      </c>
      <c r="K17" s="3234" t="str">
        <f t="shared" si="6"/>
        <v/>
      </c>
      <c r="L17" s="3234" t="str">
        <f t="shared" si="6"/>
        <v/>
      </c>
      <c r="M17" s="3234" t="str">
        <f t="shared" si="6"/>
        <v/>
      </c>
      <c r="N17" s="3234" t="str">
        <f t="shared" si="6"/>
        <v/>
      </c>
      <c r="O17" s="3234" t="str">
        <f t="shared" si="6"/>
        <v/>
      </c>
      <c r="P17" s="3234" t="str">
        <f t="shared" si="6"/>
        <v/>
      </c>
      <c r="Q17" s="3234" t="str">
        <f t="shared" si="6"/>
        <v/>
      </c>
      <c r="R17" s="894" t="str">
        <f ca="1">IF('1 Erklärung'!AA$2="","",IF(A17="","",SUM(F17:Q17)))</f>
        <v/>
      </c>
      <c r="S17" s="895"/>
      <c r="T17" s="1269" t="str">
        <f>IF(A17="","",SUM(R17,-R19,-R18))</f>
        <v/>
      </c>
      <c r="U17" s="1228" t="str">
        <f>IF(A17="","",IF(T17="","",$U$5))</f>
        <v/>
      </c>
      <c r="V17" s="1227" t="str">
        <f>IF(A17="","",SUM(T17,R18,T18))</f>
        <v/>
      </c>
      <c r="W17" s="1229" t="str">
        <f>IF(A17="","",IF(V17="","",$W$5))</f>
        <v/>
      </c>
      <c r="X17" s="206" t="str">
        <f>IF(A17="","",R17/COUNTIF(F17:Q17,"&gt;0"))</f>
        <v/>
      </c>
      <c r="Y17" s="920"/>
      <c r="Z17" s="1587" t="str">
        <f>IF('6 Eingabe Azubis'!K11&gt;0.4,'6 Eingabe Azubis'!$AP11*'6 Eingabe Azubis'!K11,"")</f>
        <v/>
      </c>
      <c r="AA17" s="1587" t="str">
        <f>IF('6 Eingabe Azubis'!L11&gt;0.4,'6 Eingabe Azubis'!$AP11*'6 Eingabe Azubis'!L11,"")</f>
        <v/>
      </c>
      <c r="AB17" s="1587" t="str">
        <f>IF('6 Eingabe Azubis'!M11&gt;0.4,'6 Eingabe Azubis'!$AP11*'6 Eingabe Azubis'!M11,"")</f>
        <v/>
      </c>
      <c r="AC17" s="1587" t="str">
        <f>IF('6 Eingabe Azubis'!N11&gt;0.4,'6 Eingabe Azubis'!$AP11*'6 Eingabe Azubis'!N11,"")</f>
        <v/>
      </c>
      <c r="AD17" s="1587" t="str">
        <f>IF('6 Eingabe Azubis'!O11&gt;0.4,'6 Eingabe Azubis'!$AP11*'6 Eingabe Azubis'!O11,"")</f>
        <v/>
      </c>
      <c r="AE17" s="1587" t="str">
        <f>IF('6 Eingabe Azubis'!P11&gt;0.4,'6 Eingabe Azubis'!$AP11*'6 Eingabe Azubis'!P11,"")</f>
        <v/>
      </c>
      <c r="AF17" s="1587" t="str">
        <f>IF('6 Eingabe Azubis'!Q11&gt;0.4,'6 Eingabe Azubis'!$AP11*'6 Eingabe Azubis'!Q11,"")</f>
        <v/>
      </c>
      <c r="AG17" s="1587" t="str">
        <f>IF('6 Eingabe Azubis'!R11&gt;0.4,'6 Eingabe Azubis'!$AP11*'6 Eingabe Azubis'!R11,"")</f>
        <v/>
      </c>
      <c r="AH17" s="1587" t="str">
        <f>IF('6 Eingabe Azubis'!S11&gt;0.4,'6 Eingabe Azubis'!$AP11*'6 Eingabe Azubis'!S11,"")</f>
        <v/>
      </c>
      <c r="AI17" s="1587" t="str">
        <f>IF('6 Eingabe Azubis'!T11&gt;0.4,'6 Eingabe Azubis'!$AP11*'6 Eingabe Azubis'!T11,"")</f>
        <v/>
      </c>
      <c r="AJ17" s="1587" t="str">
        <f>IF('6 Eingabe Azubis'!U11&gt;0.4,'6 Eingabe Azubis'!$AP11*'6 Eingabe Azubis'!U11,"")</f>
        <v/>
      </c>
      <c r="AK17" s="1587" t="str">
        <f>IF('6 Eingabe Azubis'!V11&gt;0.4,'6 Eingabe Azubis'!$AP11*'6 Eingabe Azubis'!V11,"")</f>
        <v/>
      </c>
      <c r="AL17" s="920" t="str">
        <f>'6 Eingabe Azubis'!AK11</f>
        <v/>
      </c>
      <c r="AM17" s="920"/>
      <c r="AN17" s="920"/>
      <c r="AO17" s="920"/>
      <c r="AP17" s="920"/>
    </row>
    <row r="18" spans="1:42" s="76" customFormat="1" ht="24" customHeight="1">
      <c r="A18" s="937" t="str">
        <f>IF(SUM(AA18:AB18)=0,"",A$4)</f>
        <v/>
      </c>
      <c r="B18" s="1687" t="str">
        <f>IF(AA18=0,"",AA18)</f>
        <v/>
      </c>
      <c r="C18" s="1688" t="str">
        <f>IF(AB18=0,"",AB18)</f>
        <v/>
      </c>
      <c r="D18" s="3711" t="str">
        <f>IF(A17="","",$A$1)</f>
        <v/>
      </c>
      <c r="E18" s="3712"/>
      <c r="F18" s="2578"/>
      <c r="G18" s="2578"/>
      <c r="H18" s="2578"/>
      <c r="I18" s="2578"/>
      <c r="J18" s="2578"/>
      <c r="K18" s="2578"/>
      <c r="L18" s="2578"/>
      <c r="M18" s="2578"/>
      <c r="N18" s="2578"/>
      <c r="O18" s="2578"/>
      <c r="P18" s="2578"/>
      <c r="Q18" s="2578"/>
      <c r="R18" s="1221" t="str">
        <f>IF(A17="","",SUM(F18:Q18))</f>
        <v/>
      </c>
      <c r="S18" s="1222" t="str">
        <f>IF(A16="","",IF(R18="","",S$6))</f>
        <v/>
      </c>
      <c r="T18" s="1221" t="str">
        <f>IF(A17="","",(AL17*AC18))</f>
        <v/>
      </c>
      <c r="U18" s="1223" t="str">
        <f>IF(A17="","",IF(T18="","",U$6))</f>
        <v/>
      </c>
      <c r="V18" s="203" t="str">
        <f>IF(A17="","",SUM(V17)*IF(T17/COUNTIF(F17:Q17,"&gt;0")&lt;$X$4,$W$4,$V$4))</f>
        <v/>
      </c>
      <c r="W18" s="204" t="str">
        <f>IF(A17="","",IF(V18="","",W$6))</f>
        <v/>
      </c>
      <c r="X18" s="3715" t="str">
        <f>IF(A17="","",IF(X17="","",X$6))</f>
        <v/>
      </c>
      <c r="Y18" s="920">
        <f>SUM(F18:Q18)</f>
        <v>0</v>
      </c>
      <c r="Z18" s="920"/>
      <c r="AA18" s="1587">
        <f>'6 Eingabe Azubis'!C11</f>
        <v>0</v>
      </c>
      <c r="AB18" s="1587">
        <f>'6 Eingabe Azubis'!D11</f>
        <v>0</v>
      </c>
      <c r="AC18" s="1587">
        <f>'6 Eingabe Azubis'!E11</f>
        <v>0</v>
      </c>
      <c r="AD18" s="1587">
        <f>'6 Eingabe Azubis'!F11</f>
        <v>0</v>
      </c>
      <c r="AE18" s="1587">
        <f>'6 Eingabe Azubis'!G11</f>
        <v>0</v>
      </c>
      <c r="AF18" s="920"/>
      <c r="AG18" s="920"/>
      <c r="AH18" s="920"/>
      <c r="AI18" s="920"/>
      <c r="AJ18" s="920"/>
      <c r="AK18" s="920"/>
      <c r="AL18" s="920"/>
      <c r="AM18" s="920"/>
      <c r="AN18" s="920"/>
      <c r="AO18" s="920"/>
      <c r="AP18" s="920"/>
    </row>
    <row r="19" spans="1:42" s="76" customFormat="1" ht="24" customHeight="1" thickBot="1">
      <c r="A19" s="938" t="str">
        <f>IF(SUM(AD18)=0,"",A$4)</f>
        <v/>
      </c>
      <c r="B19" s="1689"/>
      <c r="C19" s="1690" t="str">
        <f>IF(AD18=0,"",AD18)</f>
        <v/>
      </c>
      <c r="D19" s="3713" t="str">
        <f>IF(C19="","",$A$2)</f>
        <v/>
      </c>
      <c r="E19" s="3714"/>
      <c r="F19" s="2579"/>
      <c r="G19" s="2579"/>
      <c r="H19" s="2579"/>
      <c r="I19" s="2579"/>
      <c r="J19" s="2579"/>
      <c r="K19" s="2579"/>
      <c r="L19" s="2579"/>
      <c r="M19" s="2579"/>
      <c r="N19" s="2579"/>
      <c r="O19" s="2579"/>
      <c r="P19" s="2579"/>
      <c r="Q19" s="2580"/>
      <c r="R19" s="1224" t="str">
        <f>IF(A17="","",SUM(F19:Q19))</f>
        <v/>
      </c>
      <c r="S19" s="1225" t="str">
        <f>IF(A17="","",IF(R19="","",S$7))</f>
        <v/>
      </c>
      <c r="T19" s="1226" t="str">
        <f>IF(A17="","",(AE18*AL17))</f>
        <v/>
      </c>
      <c r="U19" s="1225" t="str">
        <f>IF(A17="","",IF(T19="","",U$7))</f>
        <v/>
      </c>
      <c r="V19" s="201" t="str">
        <f>IF(A17="","",SUM(V17:V18,R19,T19))</f>
        <v/>
      </c>
      <c r="W19" s="959" t="str">
        <f>IF(A17="","",IF(V19="","",W$7))</f>
        <v/>
      </c>
      <c r="X19" s="3716"/>
      <c r="Y19" s="920">
        <f>SUM(F19:Q19)</f>
        <v>0</v>
      </c>
      <c r="Z19" s="920"/>
      <c r="AA19" s="920"/>
      <c r="AB19" s="920"/>
      <c r="AC19" s="920"/>
      <c r="AD19" s="920"/>
      <c r="AE19" s="920"/>
      <c r="AF19" s="920"/>
      <c r="AG19" s="920"/>
      <c r="AH19" s="920"/>
      <c r="AI19" s="920"/>
      <c r="AJ19" s="920"/>
      <c r="AK19" s="920"/>
      <c r="AL19" s="920"/>
      <c r="AM19" s="920"/>
      <c r="AN19" s="920"/>
      <c r="AO19" s="920"/>
      <c r="AP19" s="920"/>
    </row>
    <row r="20" spans="1:42" s="76" customFormat="1" ht="24" customHeight="1">
      <c r="A20" s="208" t="str">
        <f>IF('6 Eingabe Azubis'!A12="","",'6 Eingabe Azubis'!A12)</f>
        <v/>
      </c>
      <c r="B20" s="936" t="str">
        <f>IF(B21="","",AA$7)</f>
        <v/>
      </c>
      <c r="C20" s="936" t="str">
        <f>IF(C21="","",AB$7)</f>
        <v/>
      </c>
      <c r="D20" s="208"/>
      <c r="E20" s="207" t="str">
        <f ca="1">IF('1 Erklärung'!AA2="","",'6 Eingabe Azubis'!AP12)</f>
        <v/>
      </c>
      <c r="F20" s="3234" t="str">
        <f t="shared" ref="F20:Q20" si="7">IF(SUM(F21,F22)=0,Z20,SUM(F21,F22,Z20))</f>
        <v/>
      </c>
      <c r="G20" s="3234" t="str">
        <f t="shared" si="7"/>
        <v/>
      </c>
      <c r="H20" s="3234" t="str">
        <f t="shared" si="7"/>
        <v/>
      </c>
      <c r="I20" s="3234" t="str">
        <f t="shared" si="7"/>
        <v/>
      </c>
      <c r="J20" s="3234" t="str">
        <f t="shared" si="7"/>
        <v/>
      </c>
      <c r="K20" s="3234" t="str">
        <f t="shared" si="7"/>
        <v/>
      </c>
      <c r="L20" s="3234" t="str">
        <f t="shared" si="7"/>
        <v/>
      </c>
      <c r="M20" s="3234" t="str">
        <f t="shared" si="7"/>
        <v/>
      </c>
      <c r="N20" s="3234" t="str">
        <f t="shared" si="7"/>
        <v/>
      </c>
      <c r="O20" s="3234" t="str">
        <f t="shared" si="7"/>
        <v/>
      </c>
      <c r="P20" s="3234" t="str">
        <f t="shared" si="7"/>
        <v/>
      </c>
      <c r="Q20" s="3234" t="str">
        <f t="shared" si="7"/>
        <v/>
      </c>
      <c r="R20" s="894" t="str">
        <f ca="1">IF('1 Erklärung'!AA$2="","",IF(A20="","",SUM(F20:Q20)))</f>
        <v/>
      </c>
      <c r="S20" s="895"/>
      <c r="T20" s="1269" t="str">
        <f>IF(A20="","",SUM(R20,-R22,-R21))</f>
        <v/>
      </c>
      <c r="U20" s="1228" t="str">
        <f>IF(A20="","",IF(T20="","",$U$5))</f>
        <v/>
      </c>
      <c r="V20" s="1227" t="str">
        <f>IF(A20="","",SUM(T20,R21,T21))</f>
        <v/>
      </c>
      <c r="W20" s="1229" t="str">
        <f>IF(A20="","",IF(V20="","",$W$5))</f>
        <v/>
      </c>
      <c r="X20" s="206" t="str">
        <f>IF(A20="","",R20/COUNTIF(F20:Q20,"&gt;0"))</f>
        <v/>
      </c>
      <c r="Y20" s="920"/>
      <c r="Z20" s="1587" t="str">
        <f>IF('6 Eingabe Azubis'!K12&gt;0.4,'6 Eingabe Azubis'!$AP12*'6 Eingabe Azubis'!K12,"")</f>
        <v/>
      </c>
      <c r="AA20" s="1587" t="str">
        <f>IF('6 Eingabe Azubis'!L12&gt;0.4,'6 Eingabe Azubis'!$AP12*'6 Eingabe Azubis'!L12,"")</f>
        <v/>
      </c>
      <c r="AB20" s="1587" t="str">
        <f>IF('6 Eingabe Azubis'!M12&gt;0.4,'6 Eingabe Azubis'!$AP12*'6 Eingabe Azubis'!M12,"")</f>
        <v/>
      </c>
      <c r="AC20" s="1587" t="str">
        <f>IF('6 Eingabe Azubis'!N12&gt;0.4,'6 Eingabe Azubis'!$AP12*'6 Eingabe Azubis'!N12,"")</f>
        <v/>
      </c>
      <c r="AD20" s="1587" t="str">
        <f>IF('6 Eingabe Azubis'!O12&gt;0.4,'6 Eingabe Azubis'!$AP12*'6 Eingabe Azubis'!O12,"")</f>
        <v/>
      </c>
      <c r="AE20" s="1587" t="str">
        <f>IF('6 Eingabe Azubis'!P12&gt;0.4,'6 Eingabe Azubis'!$AP12*'6 Eingabe Azubis'!P12,"")</f>
        <v/>
      </c>
      <c r="AF20" s="1587" t="str">
        <f>IF('6 Eingabe Azubis'!Q12&gt;0.4,'6 Eingabe Azubis'!$AP12*'6 Eingabe Azubis'!Q12,"")</f>
        <v/>
      </c>
      <c r="AG20" s="1587" t="str">
        <f>IF('6 Eingabe Azubis'!R12&gt;0.4,'6 Eingabe Azubis'!$AP12*'6 Eingabe Azubis'!R12,"")</f>
        <v/>
      </c>
      <c r="AH20" s="1587" t="str">
        <f>IF('6 Eingabe Azubis'!S12&gt;0.4,'6 Eingabe Azubis'!$AP12*'6 Eingabe Azubis'!S12,"")</f>
        <v/>
      </c>
      <c r="AI20" s="1587" t="str">
        <f>IF('6 Eingabe Azubis'!T12&gt;0.4,'6 Eingabe Azubis'!$AP12*'6 Eingabe Azubis'!T12,"")</f>
        <v/>
      </c>
      <c r="AJ20" s="1587" t="str">
        <f>IF('6 Eingabe Azubis'!U12&gt;0.4,'6 Eingabe Azubis'!$AP12*'6 Eingabe Azubis'!U12,"")</f>
        <v/>
      </c>
      <c r="AK20" s="1587" t="str">
        <f>IF('6 Eingabe Azubis'!V12&gt;0.4,'6 Eingabe Azubis'!$AP12*'6 Eingabe Azubis'!V12,"")</f>
        <v/>
      </c>
      <c r="AL20" s="920" t="str">
        <f>'6 Eingabe Azubis'!AK12</f>
        <v/>
      </c>
      <c r="AM20" s="920"/>
      <c r="AN20" s="920"/>
      <c r="AO20" s="920"/>
      <c r="AP20" s="920"/>
    </row>
    <row r="21" spans="1:42" s="76" customFormat="1" ht="24" customHeight="1">
      <c r="A21" s="937" t="str">
        <f>IF(SUM(AA21:AB21)=0,"",A$4)</f>
        <v/>
      </c>
      <c r="B21" s="1687" t="str">
        <f>IF(AA21=0,"",AA21)</f>
        <v/>
      </c>
      <c r="C21" s="1688" t="str">
        <f>IF(AB21=0,"",AB21)</f>
        <v/>
      </c>
      <c r="D21" s="3711" t="str">
        <f>IF(A20="","",$A$1)</f>
        <v/>
      </c>
      <c r="E21" s="3712"/>
      <c r="F21" s="2578"/>
      <c r="G21" s="2578"/>
      <c r="H21" s="2578"/>
      <c r="I21" s="2578"/>
      <c r="J21" s="2578"/>
      <c r="K21" s="2578"/>
      <c r="L21" s="2578"/>
      <c r="M21" s="2578"/>
      <c r="N21" s="2578"/>
      <c r="O21" s="2578"/>
      <c r="P21" s="2578"/>
      <c r="Q21" s="2578"/>
      <c r="R21" s="1221" t="str">
        <f>IF(A20="","",SUM(F21:Q21))</f>
        <v/>
      </c>
      <c r="S21" s="1222" t="str">
        <f>IF(A19="","",IF(R21="","",S$6))</f>
        <v/>
      </c>
      <c r="T21" s="1221" t="str">
        <f>IF(A20="","",(AL20*AC21))</f>
        <v/>
      </c>
      <c r="U21" s="1223" t="str">
        <f>IF(A20="","",IF(T21="","",U$6))</f>
        <v/>
      </c>
      <c r="V21" s="203" t="str">
        <f>IF(A20="","",SUM(V20)*IF(T20/COUNTIF(F20:Q20,"&gt;0")&lt;$X$4,$W$4,$V$4))</f>
        <v/>
      </c>
      <c r="W21" s="204" t="str">
        <f>IF(A20="","",IF(V21="","",W$6))</f>
        <v/>
      </c>
      <c r="X21" s="3715" t="str">
        <f>IF(A20="","",IF(X20="","",X$6))</f>
        <v/>
      </c>
      <c r="Y21" s="920">
        <f>SUM(F21:Q21)</f>
        <v>0</v>
      </c>
      <c r="Z21" s="920"/>
      <c r="AA21" s="1587">
        <f>'6 Eingabe Azubis'!C12</f>
        <v>0</v>
      </c>
      <c r="AB21" s="1587">
        <f>'6 Eingabe Azubis'!D12</f>
        <v>0</v>
      </c>
      <c r="AC21" s="1587">
        <f>'6 Eingabe Azubis'!E12</f>
        <v>0</v>
      </c>
      <c r="AD21" s="1587">
        <f>'6 Eingabe Azubis'!F12</f>
        <v>0</v>
      </c>
      <c r="AE21" s="1587">
        <f>'6 Eingabe Azubis'!G12</f>
        <v>0</v>
      </c>
      <c r="AF21" s="920"/>
      <c r="AG21" s="920"/>
      <c r="AH21" s="920"/>
      <c r="AI21" s="920"/>
      <c r="AJ21" s="920"/>
      <c r="AK21" s="920"/>
      <c r="AL21" s="920"/>
      <c r="AM21" s="920"/>
      <c r="AN21" s="920"/>
      <c r="AO21" s="920"/>
      <c r="AP21" s="920"/>
    </row>
    <row r="22" spans="1:42" s="76" customFormat="1" ht="24" customHeight="1" thickBot="1">
      <c r="A22" s="938" t="str">
        <f>IF(SUM(AD21)=0,"",A$4)</f>
        <v/>
      </c>
      <c r="B22" s="1689"/>
      <c r="C22" s="1690" t="str">
        <f>IF(AD21=0,"",AD21)</f>
        <v/>
      </c>
      <c r="D22" s="3713" t="str">
        <f>IF(C22="","",$A$2)</f>
        <v/>
      </c>
      <c r="E22" s="3714"/>
      <c r="F22" s="2579"/>
      <c r="G22" s="2579"/>
      <c r="H22" s="2579"/>
      <c r="I22" s="2579"/>
      <c r="J22" s="2579"/>
      <c r="K22" s="2579"/>
      <c r="L22" s="2579"/>
      <c r="M22" s="2579"/>
      <c r="N22" s="2579"/>
      <c r="O22" s="2579"/>
      <c r="P22" s="2579"/>
      <c r="Q22" s="2580"/>
      <c r="R22" s="1224" t="str">
        <f>IF(A20="","",SUM(F22:Q22))</f>
        <v/>
      </c>
      <c r="S22" s="1225" t="str">
        <f>IF(A20="","",IF(R22="","",S$7))</f>
        <v/>
      </c>
      <c r="T22" s="1226" t="str">
        <f>IF(A20="","",(AE21*AL20))</f>
        <v/>
      </c>
      <c r="U22" s="1225" t="str">
        <f>IF(A20="","",IF(T22="","",U$7))</f>
        <v/>
      </c>
      <c r="V22" s="201" t="str">
        <f>IF(A20="","",SUM(V20:V21,R22,T22))</f>
        <v/>
      </c>
      <c r="W22" s="959" t="str">
        <f>IF(A20="","",IF(V22="","",W$7))</f>
        <v/>
      </c>
      <c r="X22" s="3716"/>
      <c r="Y22" s="920">
        <f>SUM(F22:Q22)</f>
        <v>0</v>
      </c>
      <c r="Z22" s="920"/>
      <c r="AA22" s="920"/>
      <c r="AB22" s="920"/>
      <c r="AC22" s="920"/>
      <c r="AD22" s="920"/>
      <c r="AE22" s="920"/>
      <c r="AF22" s="920"/>
      <c r="AG22" s="920"/>
      <c r="AH22" s="920"/>
      <c r="AI22" s="920"/>
      <c r="AJ22" s="920"/>
      <c r="AK22" s="920"/>
      <c r="AL22" s="920"/>
      <c r="AM22" s="920"/>
      <c r="AN22" s="920"/>
      <c r="AO22" s="920"/>
      <c r="AP22" s="920"/>
    </row>
    <row r="23" spans="1:42" s="76" customFormat="1" ht="24" customHeight="1">
      <c r="A23" s="208" t="str">
        <f>IF('6 Eingabe Azubis'!A13="","",'6 Eingabe Azubis'!A13)</f>
        <v/>
      </c>
      <c r="B23" s="936" t="str">
        <f>IF(B24="","",AA$7)</f>
        <v/>
      </c>
      <c r="C23" s="936" t="str">
        <f>IF(C24="","",AB$7)</f>
        <v/>
      </c>
      <c r="D23" s="208"/>
      <c r="E23" s="207" t="str">
        <f ca="1">IF('1 Erklärung'!AA2="","",'6 Eingabe Azubis'!AP13)</f>
        <v/>
      </c>
      <c r="F23" s="3234" t="str">
        <f t="shared" ref="F23:Q23" si="8">IF(SUM(F24,F25)=0,Z23,SUM(F24,F25,Z23))</f>
        <v/>
      </c>
      <c r="G23" s="3234" t="str">
        <f t="shared" si="8"/>
        <v/>
      </c>
      <c r="H23" s="3234" t="str">
        <f t="shared" si="8"/>
        <v/>
      </c>
      <c r="I23" s="3234" t="str">
        <f t="shared" si="8"/>
        <v/>
      </c>
      <c r="J23" s="3234" t="str">
        <f t="shared" si="8"/>
        <v/>
      </c>
      <c r="K23" s="3234" t="str">
        <f t="shared" si="8"/>
        <v/>
      </c>
      <c r="L23" s="3234" t="str">
        <f t="shared" si="8"/>
        <v/>
      </c>
      <c r="M23" s="3234" t="str">
        <f t="shared" si="8"/>
        <v/>
      </c>
      <c r="N23" s="3234" t="str">
        <f t="shared" si="8"/>
        <v/>
      </c>
      <c r="O23" s="3234" t="str">
        <f t="shared" si="8"/>
        <v/>
      </c>
      <c r="P23" s="3234" t="str">
        <f t="shared" si="8"/>
        <v/>
      </c>
      <c r="Q23" s="3234" t="str">
        <f t="shared" si="8"/>
        <v/>
      </c>
      <c r="R23" s="894" t="str">
        <f ca="1">IF('1 Erklärung'!AA$2="","",IF(A23="","",SUM(F23:Q23)))</f>
        <v/>
      </c>
      <c r="S23" s="895"/>
      <c r="T23" s="1269" t="str">
        <f>IF(A23="","",SUM(R23,-R25,-R24))</f>
        <v/>
      </c>
      <c r="U23" s="1228" t="str">
        <f>IF(A23="","",IF(T23="","",$U$5))</f>
        <v/>
      </c>
      <c r="V23" s="1227" t="str">
        <f>IF(A23="","",SUM(T23,R24,T24))</f>
        <v/>
      </c>
      <c r="W23" s="1229" t="str">
        <f>IF(A23="","",IF(V23="","",$W$5))</f>
        <v/>
      </c>
      <c r="X23" s="206" t="str">
        <f>IF(A23="","",R23/COUNTIF(F23:Q23,"&gt;0"))</f>
        <v/>
      </c>
      <c r="Y23" s="920"/>
      <c r="Z23" s="1587" t="str">
        <f>IF('6 Eingabe Azubis'!K13&gt;0.4,'6 Eingabe Azubis'!$AP13*'6 Eingabe Azubis'!K13,"")</f>
        <v/>
      </c>
      <c r="AA23" s="1587" t="str">
        <f>IF('6 Eingabe Azubis'!L13&gt;0.4,'6 Eingabe Azubis'!$AP13*'6 Eingabe Azubis'!L13,"")</f>
        <v/>
      </c>
      <c r="AB23" s="1587" t="str">
        <f>IF('6 Eingabe Azubis'!M13&gt;0.4,'6 Eingabe Azubis'!$AP13*'6 Eingabe Azubis'!M13,"")</f>
        <v/>
      </c>
      <c r="AC23" s="1587" t="str">
        <f>IF('6 Eingabe Azubis'!N13&gt;0.4,'6 Eingabe Azubis'!$AP13*'6 Eingabe Azubis'!N13,"")</f>
        <v/>
      </c>
      <c r="AD23" s="1587" t="str">
        <f>IF('6 Eingabe Azubis'!O13&gt;0.4,'6 Eingabe Azubis'!$AP13*'6 Eingabe Azubis'!O13,"")</f>
        <v/>
      </c>
      <c r="AE23" s="1587" t="str">
        <f>IF('6 Eingabe Azubis'!P13&gt;0.4,'6 Eingabe Azubis'!$AP13*'6 Eingabe Azubis'!P13,"")</f>
        <v/>
      </c>
      <c r="AF23" s="1587" t="str">
        <f>IF('6 Eingabe Azubis'!Q13&gt;0.4,'6 Eingabe Azubis'!$AP13*'6 Eingabe Azubis'!Q13,"")</f>
        <v/>
      </c>
      <c r="AG23" s="1587" t="str">
        <f>IF('6 Eingabe Azubis'!R13&gt;0.4,'6 Eingabe Azubis'!$AP13*'6 Eingabe Azubis'!R13,"")</f>
        <v/>
      </c>
      <c r="AH23" s="1587" t="str">
        <f>IF('6 Eingabe Azubis'!S13&gt;0.4,'6 Eingabe Azubis'!$AP13*'6 Eingabe Azubis'!S13,"")</f>
        <v/>
      </c>
      <c r="AI23" s="1587" t="str">
        <f>IF('6 Eingabe Azubis'!T13&gt;0.4,'6 Eingabe Azubis'!$AP13*'6 Eingabe Azubis'!T13,"")</f>
        <v/>
      </c>
      <c r="AJ23" s="1587" t="str">
        <f>IF('6 Eingabe Azubis'!U13&gt;0.4,'6 Eingabe Azubis'!$AP13*'6 Eingabe Azubis'!U13,"")</f>
        <v/>
      </c>
      <c r="AK23" s="1587" t="str">
        <f>IF('6 Eingabe Azubis'!V13&gt;0.4,'6 Eingabe Azubis'!$AP13*'6 Eingabe Azubis'!V13,"")</f>
        <v/>
      </c>
      <c r="AL23" s="920" t="str">
        <f>'6 Eingabe Azubis'!AK13</f>
        <v/>
      </c>
      <c r="AM23" s="920"/>
      <c r="AN23" s="920"/>
      <c r="AO23" s="920"/>
      <c r="AP23" s="920"/>
    </row>
    <row r="24" spans="1:42" s="76" customFormat="1" ht="24" customHeight="1">
      <c r="A24" s="937" t="str">
        <f>IF(SUM(AA24:AB24)=0,"",A$4)</f>
        <v/>
      </c>
      <c r="B24" s="1687" t="str">
        <f>IF(AA24=0,"",AA24)</f>
        <v/>
      </c>
      <c r="C24" s="1688" t="str">
        <f>IF(AB24=0,"",AB24)</f>
        <v/>
      </c>
      <c r="D24" s="3711" t="str">
        <f>IF(A23="","",$A$1)</f>
        <v/>
      </c>
      <c r="E24" s="3712"/>
      <c r="F24" s="2578"/>
      <c r="G24" s="2578"/>
      <c r="H24" s="2578"/>
      <c r="I24" s="2578"/>
      <c r="J24" s="2578"/>
      <c r="K24" s="2578"/>
      <c r="L24" s="2578"/>
      <c r="M24" s="2578"/>
      <c r="N24" s="2578"/>
      <c r="O24" s="2578"/>
      <c r="P24" s="2578"/>
      <c r="Q24" s="2578"/>
      <c r="R24" s="1221" t="str">
        <f>IF(A23="","",SUM(F24:Q24))</f>
        <v/>
      </c>
      <c r="S24" s="1222" t="str">
        <f>IF(A22="","",IF(R24="","",S$6))</f>
        <v/>
      </c>
      <c r="T24" s="1221" t="str">
        <f>IF(A23="","",(AL23*AC24))</f>
        <v/>
      </c>
      <c r="U24" s="1223" t="str">
        <f>IF(A23="","",IF(T24="","",U$6))</f>
        <v/>
      </c>
      <c r="V24" s="203" t="str">
        <f>IF(A23="","",SUM(V23)*IF(T23/COUNTIF(F23:Q23,"&gt;0")&lt;$X$4,$W$4,$V$4))</f>
        <v/>
      </c>
      <c r="W24" s="204" t="str">
        <f>IF(A23="","",IF(V24="","",W$6))</f>
        <v/>
      </c>
      <c r="X24" s="3715" t="str">
        <f>IF(A23="","",IF(X23="","",X$6))</f>
        <v/>
      </c>
      <c r="Y24" s="920">
        <f>SUM(F24:Q24)</f>
        <v>0</v>
      </c>
      <c r="Z24" s="920"/>
      <c r="AA24" s="1587">
        <f>'6 Eingabe Azubis'!C13</f>
        <v>0</v>
      </c>
      <c r="AB24" s="1587">
        <f>'6 Eingabe Azubis'!D13</f>
        <v>0</v>
      </c>
      <c r="AC24" s="1587">
        <f>'6 Eingabe Azubis'!E13</f>
        <v>0</v>
      </c>
      <c r="AD24" s="1587">
        <f>'6 Eingabe Azubis'!F13</f>
        <v>0</v>
      </c>
      <c r="AE24" s="1587">
        <f>'6 Eingabe Azubis'!G13</f>
        <v>0</v>
      </c>
      <c r="AF24" s="920"/>
      <c r="AG24" s="920"/>
      <c r="AH24" s="920"/>
      <c r="AI24" s="920"/>
      <c r="AJ24" s="920"/>
      <c r="AK24" s="920"/>
      <c r="AL24" s="920"/>
      <c r="AM24" s="920"/>
      <c r="AN24" s="920"/>
      <c r="AO24" s="920"/>
      <c r="AP24" s="920"/>
    </row>
    <row r="25" spans="1:42" s="76" customFormat="1" ht="24" customHeight="1" thickBot="1">
      <c r="A25" s="938" t="str">
        <f>IF(SUM(AD24)=0,"",A$4)</f>
        <v/>
      </c>
      <c r="B25" s="1689"/>
      <c r="C25" s="1690" t="str">
        <f>IF(AD24=0,"",AD24)</f>
        <v/>
      </c>
      <c r="D25" s="3713" t="str">
        <f>IF(C25="","",$A$2)</f>
        <v/>
      </c>
      <c r="E25" s="3714"/>
      <c r="F25" s="2579"/>
      <c r="G25" s="2579"/>
      <c r="H25" s="2579"/>
      <c r="I25" s="2579"/>
      <c r="J25" s="2579"/>
      <c r="K25" s="2579"/>
      <c r="L25" s="2579"/>
      <c r="M25" s="2579"/>
      <c r="N25" s="2579"/>
      <c r="O25" s="2579"/>
      <c r="P25" s="2579"/>
      <c r="Q25" s="2580"/>
      <c r="R25" s="1224" t="str">
        <f>IF(A23="","",SUM(F25:Q25))</f>
        <v/>
      </c>
      <c r="S25" s="1225" t="str">
        <f>IF(A23="","",IF(R25="","",S$7))</f>
        <v/>
      </c>
      <c r="T25" s="1226" t="str">
        <f>IF(A23="","",(AE24*AL23))</f>
        <v/>
      </c>
      <c r="U25" s="1225" t="str">
        <f>IF(A23="","",IF(T25="","",U$7))</f>
        <v/>
      </c>
      <c r="V25" s="201" t="str">
        <f>IF(A23="","",SUM(V23:V24,R25,T25))</f>
        <v/>
      </c>
      <c r="W25" s="959" t="str">
        <f>IF(A23="","",IF(V25="","",W$7))</f>
        <v/>
      </c>
      <c r="X25" s="3716"/>
      <c r="Y25" s="920">
        <f>SUM(F25:Q25)</f>
        <v>0</v>
      </c>
      <c r="Z25" s="920"/>
      <c r="AA25" s="920"/>
      <c r="AB25" s="920"/>
      <c r="AC25" s="920"/>
      <c r="AD25" s="920"/>
      <c r="AE25" s="920"/>
      <c r="AF25" s="920"/>
      <c r="AG25" s="920"/>
      <c r="AH25" s="920"/>
      <c r="AI25" s="920"/>
      <c r="AJ25" s="920"/>
      <c r="AK25" s="920"/>
      <c r="AL25" s="920"/>
      <c r="AM25" s="920"/>
      <c r="AN25" s="920"/>
      <c r="AO25" s="920"/>
      <c r="AP25" s="920"/>
    </row>
    <row r="26" spans="1:42" s="76" customFormat="1" ht="24" customHeight="1">
      <c r="A26" s="208" t="str">
        <f>IF('6 Eingabe Azubis'!A14="","",'6 Eingabe Azubis'!A14)</f>
        <v/>
      </c>
      <c r="B26" s="936" t="str">
        <f>IF(B27="","",AA$7)</f>
        <v/>
      </c>
      <c r="C26" s="936" t="str">
        <f>IF(C27="","",AB$7)</f>
        <v/>
      </c>
      <c r="D26" s="208"/>
      <c r="E26" s="207" t="str">
        <f ca="1">IF('1 Erklärung'!AA2="","",'6 Eingabe Azubis'!AP14)</f>
        <v/>
      </c>
      <c r="F26" s="3234" t="str">
        <f t="shared" ref="F26:Q26" si="9">IF(SUM(F27,F28)=0,Z26,SUM(F27,F28,Z26))</f>
        <v/>
      </c>
      <c r="G26" s="3234" t="str">
        <f t="shared" si="9"/>
        <v/>
      </c>
      <c r="H26" s="3234" t="str">
        <f t="shared" si="9"/>
        <v/>
      </c>
      <c r="I26" s="3234" t="str">
        <f t="shared" si="9"/>
        <v/>
      </c>
      <c r="J26" s="3234" t="str">
        <f t="shared" si="9"/>
        <v/>
      </c>
      <c r="K26" s="3234" t="str">
        <f t="shared" si="9"/>
        <v/>
      </c>
      <c r="L26" s="3234" t="str">
        <f t="shared" si="9"/>
        <v/>
      </c>
      <c r="M26" s="3234" t="str">
        <f t="shared" si="9"/>
        <v/>
      </c>
      <c r="N26" s="3234" t="str">
        <f t="shared" si="9"/>
        <v/>
      </c>
      <c r="O26" s="3234" t="str">
        <f t="shared" si="9"/>
        <v/>
      </c>
      <c r="P26" s="3234" t="str">
        <f t="shared" si="9"/>
        <v/>
      </c>
      <c r="Q26" s="3234" t="str">
        <f t="shared" si="9"/>
        <v/>
      </c>
      <c r="R26" s="894" t="str">
        <f ca="1">IF('1 Erklärung'!AA$2="","",IF(A26="","",SUM(F26:Q26)))</f>
        <v/>
      </c>
      <c r="S26" s="895"/>
      <c r="T26" s="1269" t="str">
        <f>IF(A26="","",SUM(R26,-R28,-R27))</f>
        <v/>
      </c>
      <c r="U26" s="1228" t="str">
        <f>IF(A26="","",IF(T26="","",$U$5))</f>
        <v/>
      </c>
      <c r="V26" s="1227" t="str">
        <f>IF(A26="","",SUM(T26,R27,T27))</f>
        <v/>
      </c>
      <c r="W26" s="1229" t="str">
        <f>IF(A26="","",IF(V26="","",$W$5))</f>
        <v/>
      </c>
      <c r="X26" s="206" t="str">
        <f>IF(A26="","",R26/COUNTIF(F26:Q26,"&gt;0"))</f>
        <v/>
      </c>
      <c r="Y26" s="920"/>
      <c r="Z26" s="1587" t="str">
        <f>IF('6 Eingabe Azubis'!K14&gt;0.4,'6 Eingabe Azubis'!$AP14*'6 Eingabe Azubis'!K14,"")</f>
        <v/>
      </c>
      <c r="AA26" s="1587" t="str">
        <f>IF('6 Eingabe Azubis'!L14&gt;0.4,'6 Eingabe Azubis'!$AP14*'6 Eingabe Azubis'!L14,"")</f>
        <v/>
      </c>
      <c r="AB26" s="1587" t="str">
        <f>IF('6 Eingabe Azubis'!M14&gt;0.4,'6 Eingabe Azubis'!$AP14*'6 Eingabe Azubis'!M14,"")</f>
        <v/>
      </c>
      <c r="AC26" s="1587" t="str">
        <f>IF('6 Eingabe Azubis'!N14&gt;0.4,'6 Eingabe Azubis'!$AP14*'6 Eingabe Azubis'!N14,"")</f>
        <v/>
      </c>
      <c r="AD26" s="1587" t="str">
        <f>IF('6 Eingabe Azubis'!O14&gt;0.4,'6 Eingabe Azubis'!$AP14*'6 Eingabe Azubis'!O14,"")</f>
        <v/>
      </c>
      <c r="AE26" s="1587" t="str">
        <f>IF('6 Eingabe Azubis'!P14&gt;0.4,'6 Eingabe Azubis'!$AP14*'6 Eingabe Azubis'!P14,"")</f>
        <v/>
      </c>
      <c r="AF26" s="1587" t="str">
        <f>IF('6 Eingabe Azubis'!Q14&gt;0.4,'6 Eingabe Azubis'!$AP14*'6 Eingabe Azubis'!Q14,"")</f>
        <v/>
      </c>
      <c r="AG26" s="1587" t="str">
        <f>IF('6 Eingabe Azubis'!R14&gt;0.4,'6 Eingabe Azubis'!$AP14*'6 Eingabe Azubis'!R14,"")</f>
        <v/>
      </c>
      <c r="AH26" s="1587" t="str">
        <f>IF('6 Eingabe Azubis'!S14&gt;0.4,'6 Eingabe Azubis'!$AP14*'6 Eingabe Azubis'!S14,"")</f>
        <v/>
      </c>
      <c r="AI26" s="1587" t="str">
        <f>IF('6 Eingabe Azubis'!T14&gt;0.4,'6 Eingabe Azubis'!$AP14*'6 Eingabe Azubis'!T14,"")</f>
        <v/>
      </c>
      <c r="AJ26" s="1587" t="str">
        <f>IF('6 Eingabe Azubis'!U14&gt;0.4,'6 Eingabe Azubis'!$AP14*'6 Eingabe Azubis'!U14,"")</f>
        <v/>
      </c>
      <c r="AK26" s="1587" t="str">
        <f>IF('6 Eingabe Azubis'!V14&gt;0.4,'6 Eingabe Azubis'!$AP14*'6 Eingabe Azubis'!V14,"")</f>
        <v/>
      </c>
      <c r="AL26" s="920" t="str">
        <f>'6 Eingabe Azubis'!AK14</f>
        <v/>
      </c>
      <c r="AM26" s="920"/>
      <c r="AN26" s="920"/>
      <c r="AO26" s="920"/>
      <c r="AP26" s="920"/>
    </row>
    <row r="27" spans="1:42" s="76" customFormat="1" ht="24" customHeight="1">
      <c r="A27" s="937" t="str">
        <f>IF(SUM(AA27:AB27)=0,"",A$4)</f>
        <v/>
      </c>
      <c r="B27" s="1687" t="str">
        <f>IF(AA27=0,"",AA27)</f>
        <v/>
      </c>
      <c r="C27" s="1688" t="str">
        <f>IF(AB27=0,"",AB27)</f>
        <v/>
      </c>
      <c r="D27" s="3711" t="str">
        <f>IF(A26="","",$A$1)</f>
        <v/>
      </c>
      <c r="E27" s="3712"/>
      <c r="F27" s="2578"/>
      <c r="G27" s="2578"/>
      <c r="H27" s="2578"/>
      <c r="I27" s="2578"/>
      <c r="J27" s="2578"/>
      <c r="K27" s="2578"/>
      <c r="L27" s="2578"/>
      <c r="M27" s="2578"/>
      <c r="N27" s="2578"/>
      <c r="O27" s="2578"/>
      <c r="P27" s="2578"/>
      <c r="Q27" s="2578"/>
      <c r="R27" s="1221" t="str">
        <f>IF(A26="","",SUM(F27:Q27))</f>
        <v/>
      </c>
      <c r="S27" s="1222" t="str">
        <f>IF(A25="","",IF(R27="","",S$6))</f>
        <v/>
      </c>
      <c r="T27" s="1221" t="str">
        <f>IF(A26="","",(AL26*AC27))</f>
        <v/>
      </c>
      <c r="U27" s="1223" t="str">
        <f>IF(A26="","",IF(T27="","",U$6))</f>
        <v/>
      </c>
      <c r="V27" s="203" t="str">
        <f>IF(A26="","",SUM(V26)*IF(T26/COUNTIF(F26:Q26,"&gt;0")&lt;$X$4,$W$4,$V$4))</f>
        <v/>
      </c>
      <c r="W27" s="204" t="str">
        <f>IF(A26="","",IF(V27="","",W$6))</f>
        <v/>
      </c>
      <c r="X27" s="3715" t="str">
        <f>IF(A26="","",IF(X26="","",X$6))</f>
        <v/>
      </c>
      <c r="Y27" s="920">
        <f>SUM(F27:Q27)</f>
        <v>0</v>
      </c>
      <c r="Z27" s="920"/>
      <c r="AA27" s="1587">
        <f>'6 Eingabe Azubis'!C14</f>
        <v>0</v>
      </c>
      <c r="AB27" s="1587">
        <f>'6 Eingabe Azubis'!D14</f>
        <v>0</v>
      </c>
      <c r="AC27" s="1587">
        <f>'6 Eingabe Azubis'!E14</f>
        <v>0</v>
      </c>
      <c r="AD27" s="1587">
        <f>'6 Eingabe Azubis'!F14</f>
        <v>0</v>
      </c>
      <c r="AE27" s="1587">
        <f>'6 Eingabe Azubis'!G14</f>
        <v>0</v>
      </c>
      <c r="AF27" s="920"/>
      <c r="AG27" s="920"/>
      <c r="AH27" s="920"/>
      <c r="AI27" s="920"/>
      <c r="AJ27" s="920"/>
      <c r="AK27" s="920"/>
      <c r="AL27" s="920"/>
      <c r="AM27" s="920"/>
      <c r="AN27" s="920"/>
      <c r="AO27" s="920"/>
      <c r="AP27" s="920"/>
    </row>
    <row r="28" spans="1:42" s="76" customFormat="1" ht="24" customHeight="1" thickBot="1">
      <c r="A28" s="938" t="str">
        <f>IF(SUM(AD27)=0,"",A$4)</f>
        <v/>
      </c>
      <c r="B28" s="1689"/>
      <c r="C28" s="1690" t="str">
        <f>IF(AD27=0,"",AD27)</f>
        <v/>
      </c>
      <c r="D28" s="3713" t="str">
        <f>IF(C28="","",$A$2)</f>
        <v/>
      </c>
      <c r="E28" s="3714"/>
      <c r="F28" s="2579"/>
      <c r="G28" s="2579"/>
      <c r="H28" s="2579"/>
      <c r="I28" s="2579"/>
      <c r="J28" s="2579"/>
      <c r="K28" s="2579"/>
      <c r="L28" s="2579"/>
      <c r="M28" s="2579"/>
      <c r="N28" s="2579"/>
      <c r="O28" s="2579"/>
      <c r="P28" s="2579"/>
      <c r="Q28" s="2580"/>
      <c r="R28" s="1224" t="str">
        <f>IF(A26="","",SUM(F28:Q28))</f>
        <v/>
      </c>
      <c r="S28" s="1225" t="str">
        <f>IF(A26="","",IF(R28="","",S$7))</f>
        <v/>
      </c>
      <c r="T28" s="1226" t="str">
        <f>IF(A26="","",(AE27*AL26))</f>
        <v/>
      </c>
      <c r="U28" s="1225" t="str">
        <f>IF(A26="","",IF(T28="","",U$7))</f>
        <v/>
      </c>
      <c r="V28" s="201" t="str">
        <f>IF(A26="","",SUM(V26:V27,R28,T28))</f>
        <v/>
      </c>
      <c r="W28" s="959" t="str">
        <f>IF(A26="","",IF(V28="","",W$7))</f>
        <v/>
      </c>
      <c r="X28" s="3716"/>
      <c r="Y28" s="920">
        <f>SUM(F28:Q28)</f>
        <v>0</v>
      </c>
      <c r="Z28" s="920"/>
      <c r="AA28" s="920"/>
      <c r="AB28" s="920"/>
      <c r="AC28" s="920"/>
      <c r="AD28" s="920"/>
      <c r="AE28" s="920"/>
      <c r="AF28" s="920"/>
      <c r="AG28" s="920"/>
      <c r="AH28" s="920"/>
      <c r="AI28" s="920"/>
      <c r="AJ28" s="920"/>
      <c r="AK28" s="920"/>
      <c r="AL28" s="920"/>
      <c r="AM28" s="920"/>
      <c r="AN28" s="920"/>
      <c r="AO28" s="920"/>
      <c r="AP28" s="920"/>
    </row>
    <row r="29" spans="1:42" s="76" customFormat="1" ht="24" customHeight="1">
      <c r="A29" s="208" t="str">
        <f>IF('6 Eingabe Azubis'!A15="","",'6 Eingabe Azubis'!A15)</f>
        <v/>
      </c>
      <c r="B29" s="936" t="str">
        <f>IF(B30="","",AA$7)</f>
        <v/>
      </c>
      <c r="C29" s="936" t="str">
        <f>IF(C30="","",AB$7)</f>
        <v/>
      </c>
      <c r="D29" s="208"/>
      <c r="E29" s="207" t="str">
        <f ca="1">IF('1 Erklärung'!AA2="","",'6 Eingabe Azubis'!AP15)</f>
        <v/>
      </c>
      <c r="F29" s="3234" t="str">
        <f t="shared" ref="F29:Q29" si="10">IF(SUM(F30,F31)=0,Z29,SUM(F30,F31,Z29))</f>
        <v/>
      </c>
      <c r="G29" s="3234" t="str">
        <f t="shared" si="10"/>
        <v/>
      </c>
      <c r="H29" s="3234" t="str">
        <f t="shared" si="10"/>
        <v/>
      </c>
      <c r="I29" s="3234" t="str">
        <f t="shared" si="10"/>
        <v/>
      </c>
      <c r="J29" s="3234" t="str">
        <f t="shared" si="10"/>
        <v/>
      </c>
      <c r="K29" s="3234" t="str">
        <f t="shared" si="10"/>
        <v/>
      </c>
      <c r="L29" s="3234" t="str">
        <f t="shared" si="10"/>
        <v/>
      </c>
      <c r="M29" s="3234" t="str">
        <f t="shared" si="10"/>
        <v/>
      </c>
      <c r="N29" s="3234" t="str">
        <f t="shared" si="10"/>
        <v/>
      </c>
      <c r="O29" s="3234" t="str">
        <f t="shared" si="10"/>
        <v/>
      </c>
      <c r="P29" s="3234" t="str">
        <f t="shared" si="10"/>
        <v/>
      </c>
      <c r="Q29" s="3234" t="str">
        <f t="shared" si="10"/>
        <v/>
      </c>
      <c r="R29" s="894" t="str">
        <f ca="1">IF('1 Erklärung'!AA$2="","",IF(A29="","",SUM(F29:Q29)))</f>
        <v/>
      </c>
      <c r="S29" s="895"/>
      <c r="T29" s="1269" t="str">
        <f>IF(A29="","",SUM(R29,-R31,-R30))</f>
        <v/>
      </c>
      <c r="U29" s="1228" t="str">
        <f>IF(A29="","",IF(T29="","",$U$5))</f>
        <v/>
      </c>
      <c r="V29" s="1227" t="str">
        <f>IF(A29="","",SUM(T29,R30,T30))</f>
        <v/>
      </c>
      <c r="W29" s="1229" t="str">
        <f>IF(A29="","",IF(V29="","",$W$5))</f>
        <v/>
      </c>
      <c r="X29" s="206" t="str">
        <f>IF(A29="","",R29/COUNTIF(F29:Q29,"&gt;0"))</f>
        <v/>
      </c>
      <c r="Y29" s="920"/>
      <c r="Z29" s="1587" t="str">
        <f>IF('6 Eingabe Azubis'!K15&gt;0.4,'6 Eingabe Azubis'!$AP15*'6 Eingabe Azubis'!K15,"")</f>
        <v/>
      </c>
      <c r="AA29" s="1587" t="str">
        <f>IF('6 Eingabe Azubis'!L15&gt;0.4,'6 Eingabe Azubis'!$AP15*'6 Eingabe Azubis'!L15,"")</f>
        <v/>
      </c>
      <c r="AB29" s="1587" t="str">
        <f>IF('6 Eingabe Azubis'!M15&gt;0.4,'6 Eingabe Azubis'!$AP15*'6 Eingabe Azubis'!M15,"")</f>
        <v/>
      </c>
      <c r="AC29" s="1587" t="str">
        <f>IF('6 Eingabe Azubis'!N15&gt;0.4,'6 Eingabe Azubis'!$AP15*'6 Eingabe Azubis'!N15,"")</f>
        <v/>
      </c>
      <c r="AD29" s="1587" t="str">
        <f>IF('6 Eingabe Azubis'!O15&gt;0.4,'6 Eingabe Azubis'!$AP15*'6 Eingabe Azubis'!O15,"")</f>
        <v/>
      </c>
      <c r="AE29" s="1587" t="str">
        <f>IF('6 Eingabe Azubis'!P15&gt;0.4,'6 Eingabe Azubis'!$AP15*'6 Eingabe Azubis'!P15,"")</f>
        <v/>
      </c>
      <c r="AF29" s="1587" t="str">
        <f>IF('6 Eingabe Azubis'!Q15&gt;0.4,'6 Eingabe Azubis'!$AP15*'6 Eingabe Azubis'!Q15,"")</f>
        <v/>
      </c>
      <c r="AG29" s="1587" t="str">
        <f>IF('6 Eingabe Azubis'!R15&gt;0.4,'6 Eingabe Azubis'!$AP15*'6 Eingabe Azubis'!R15,"")</f>
        <v/>
      </c>
      <c r="AH29" s="1587" t="str">
        <f>IF('6 Eingabe Azubis'!S15&gt;0.4,'6 Eingabe Azubis'!$AP15*'6 Eingabe Azubis'!S15,"")</f>
        <v/>
      </c>
      <c r="AI29" s="1587" t="str">
        <f>IF('6 Eingabe Azubis'!T15&gt;0.4,'6 Eingabe Azubis'!$AP15*'6 Eingabe Azubis'!T15,"")</f>
        <v/>
      </c>
      <c r="AJ29" s="1587" t="str">
        <f>IF('6 Eingabe Azubis'!U15&gt;0.4,'6 Eingabe Azubis'!$AP15*'6 Eingabe Azubis'!U15,"")</f>
        <v/>
      </c>
      <c r="AK29" s="1587" t="str">
        <f>IF('6 Eingabe Azubis'!V15&gt;0.4,'6 Eingabe Azubis'!$AP15*'6 Eingabe Azubis'!V15,"")</f>
        <v/>
      </c>
      <c r="AL29" s="920" t="str">
        <f>'6 Eingabe Azubis'!AK15</f>
        <v/>
      </c>
      <c r="AM29" s="920"/>
      <c r="AN29" s="920"/>
      <c r="AO29" s="920"/>
      <c r="AP29" s="920"/>
    </row>
    <row r="30" spans="1:42" s="76" customFormat="1" ht="24" customHeight="1">
      <c r="A30" s="937" t="str">
        <f>IF(SUM(AA30:AB30)=0,"",A$4)</f>
        <v/>
      </c>
      <c r="B30" s="1687" t="str">
        <f>IF(AA30=0,"",AA30)</f>
        <v/>
      </c>
      <c r="C30" s="1688" t="str">
        <f>IF(AB30=0,"",AB30)</f>
        <v/>
      </c>
      <c r="D30" s="3711" t="str">
        <f>IF(A29="","",$A$1)</f>
        <v/>
      </c>
      <c r="E30" s="3712"/>
      <c r="F30" s="2578"/>
      <c r="G30" s="2578"/>
      <c r="H30" s="2578"/>
      <c r="I30" s="2578"/>
      <c r="J30" s="2578"/>
      <c r="K30" s="2578"/>
      <c r="L30" s="2578"/>
      <c r="M30" s="2578"/>
      <c r="N30" s="2578"/>
      <c r="O30" s="2578"/>
      <c r="P30" s="2578"/>
      <c r="Q30" s="2578"/>
      <c r="R30" s="1221" t="str">
        <f>IF(A29="","",SUM(F30:Q30))</f>
        <v/>
      </c>
      <c r="S30" s="1222" t="str">
        <f>IF(A28="","",IF(R30="","",S$6))</f>
        <v/>
      </c>
      <c r="T30" s="1221" t="str">
        <f>IF(A29="","",(AL29*AC30))</f>
        <v/>
      </c>
      <c r="U30" s="1223" t="str">
        <f>IF(A29="","",IF(T30="","",U$6))</f>
        <v/>
      </c>
      <c r="V30" s="203" t="str">
        <f>IF(A29="","",SUM(V29)*IF(T29/COUNTIF(F29:Q29,"&gt;0")&lt;$X$4,$W$4,$V$4))</f>
        <v/>
      </c>
      <c r="W30" s="204" t="str">
        <f>IF(A29="","",IF(V30="","",W$6))</f>
        <v/>
      </c>
      <c r="X30" s="3715" t="str">
        <f>IF(A29="","",IF(X29="","",X$6))</f>
        <v/>
      </c>
      <c r="Y30" s="920">
        <f>SUM(F30:Q30)</f>
        <v>0</v>
      </c>
      <c r="Z30" s="920"/>
      <c r="AA30" s="1587">
        <f>'6 Eingabe Azubis'!C15</f>
        <v>0</v>
      </c>
      <c r="AB30" s="1587">
        <f>'6 Eingabe Azubis'!D15</f>
        <v>0</v>
      </c>
      <c r="AC30" s="1587">
        <f>'6 Eingabe Azubis'!E15</f>
        <v>0</v>
      </c>
      <c r="AD30" s="1587">
        <f>'6 Eingabe Azubis'!F15</f>
        <v>0</v>
      </c>
      <c r="AE30" s="1587">
        <f>'6 Eingabe Azubis'!G15</f>
        <v>0</v>
      </c>
      <c r="AF30" s="920"/>
      <c r="AG30" s="920"/>
      <c r="AH30" s="920"/>
      <c r="AI30" s="920"/>
      <c r="AJ30" s="920"/>
      <c r="AK30" s="920"/>
      <c r="AL30" s="920"/>
      <c r="AM30" s="920"/>
      <c r="AN30" s="920"/>
      <c r="AO30" s="920"/>
      <c r="AP30" s="920"/>
    </row>
    <row r="31" spans="1:42" s="76" customFormat="1" ht="24" customHeight="1" thickBot="1">
      <c r="A31" s="938" t="str">
        <f>IF(SUM(AD30)=0,"",A$4)</f>
        <v/>
      </c>
      <c r="B31" s="1689"/>
      <c r="C31" s="1690" t="str">
        <f>IF(AD30=0,"",AD30)</f>
        <v/>
      </c>
      <c r="D31" s="3713" t="str">
        <f>IF(C31="","",$A$2)</f>
        <v/>
      </c>
      <c r="E31" s="3714"/>
      <c r="F31" s="2579"/>
      <c r="G31" s="2579"/>
      <c r="H31" s="2579"/>
      <c r="I31" s="2579"/>
      <c r="J31" s="2579"/>
      <c r="K31" s="2579"/>
      <c r="L31" s="2579"/>
      <c r="M31" s="2579"/>
      <c r="N31" s="2579"/>
      <c r="O31" s="2579"/>
      <c r="P31" s="2579"/>
      <c r="Q31" s="2580"/>
      <c r="R31" s="1224" t="str">
        <f>IF(A29="","",SUM(F31:Q31))</f>
        <v/>
      </c>
      <c r="S31" s="1225" t="str">
        <f>IF(A29="","",IF(R31="","",S$7))</f>
        <v/>
      </c>
      <c r="T31" s="1226" t="str">
        <f>IF(A29="","",(AE30*AL29))</f>
        <v/>
      </c>
      <c r="U31" s="1225" t="str">
        <f>IF(A29="","",IF(T31="","",U$7))</f>
        <v/>
      </c>
      <c r="V31" s="201" t="str">
        <f>IF(A29="","",SUM(V29:V30,R31,T31))</f>
        <v/>
      </c>
      <c r="W31" s="959" t="str">
        <f>IF(A29="","",IF(V31="","",W$7))</f>
        <v/>
      </c>
      <c r="X31" s="3716"/>
      <c r="Y31" s="920">
        <f>SUM(F31:Q31)</f>
        <v>0</v>
      </c>
      <c r="Z31" s="920"/>
      <c r="AA31" s="920"/>
      <c r="AB31" s="920"/>
      <c r="AC31" s="920"/>
      <c r="AD31" s="920"/>
      <c r="AE31" s="920"/>
      <c r="AF31" s="920"/>
      <c r="AG31" s="920"/>
      <c r="AH31" s="920"/>
      <c r="AI31" s="920"/>
      <c r="AJ31" s="920"/>
      <c r="AK31" s="920"/>
      <c r="AL31" s="920"/>
      <c r="AM31" s="920"/>
      <c r="AN31" s="920"/>
      <c r="AO31" s="920"/>
      <c r="AP31" s="920"/>
    </row>
    <row r="32" spans="1:42" s="76" customFormat="1" ht="24" customHeight="1">
      <c r="A32" s="208" t="str">
        <f>IF('6 Eingabe Azubis'!A16="","",'6 Eingabe Azubis'!A16)</f>
        <v/>
      </c>
      <c r="B32" s="936" t="str">
        <f>IF(B33="","",AA$7)</f>
        <v/>
      </c>
      <c r="C32" s="936" t="str">
        <f>IF(C33="","",AB$7)</f>
        <v/>
      </c>
      <c r="D32" s="208"/>
      <c r="E32" s="207" t="str">
        <f ca="1">IF('1 Erklärung'!AA2="","",'6 Eingabe Azubis'!AP16)</f>
        <v/>
      </c>
      <c r="F32" s="3234" t="str">
        <f t="shared" ref="F32:Q32" si="11">IF(SUM(F33,F34)=0,Z32,SUM(F33,F34,Z32))</f>
        <v/>
      </c>
      <c r="G32" s="3234" t="str">
        <f t="shared" si="11"/>
        <v/>
      </c>
      <c r="H32" s="3234" t="str">
        <f t="shared" si="11"/>
        <v/>
      </c>
      <c r="I32" s="3234" t="str">
        <f t="shared" si="11"/>
        <v/>
      </c>
      <c r="J32" s="3234" t="str">
        <f t="shared" si="11"/>
        <v/>
      </c>
      <c r="K32" s="3234" t="str">
        <f t="shared" si="11"/>
        <v/>
      </c>
      <c r="L32" s="3234" t="str">
        <f t="shared" si="11"/>
        <v/>
      </c>
      <c r="M32" s="3234" t="str">
        <f t="shared" si="11"/>
        <v/>
      </c>
      <c r="N32" s="3234" t="str">
        <f t="shared" si="11"/>
        <v/>
      </c>
      <c r="O32" s="3234" t="str">
        <f t="shared" si="11"/>
        <v/>
      </c>
      <c r="P32" s="3234" t="str">
        <f t="shared" si="11"/>
        <v/>
      </c>
      <c r="Q32" s="3234" t="str">
        <f t="shared" si="11"/>
        <v/>
      </c>
      <c r="R32" s="894" t="str">
        <f ca="1">IF('1 Erklärung'!AA$2="","",IF(A32="","",SUM(F32:Q32)))</f>
        <v/>
      </c>
      <c r="S32" s="895"/>
      <c r="T32" s="1269" t="str">
        <f>IF(A32="","",SUM(R32,-R34,-R33))</f>
        <v/>
      </c>
      <c r="U32" s="1228" t="str">
        <f>IF(A32="","",IF(T32="","",$U$5))</f>
        <v/>
      </c>
      <c r="V32" s="1227" t="str">
        <f>IF(A32="","",SUM(T32,R33,T33))</f>
        <v/>
      </c>
      <c r="W32" s="1229" t="str">
        <f>IF(A32="","",IF(V32="","",$W$5))</f>
        <v/>
      </c>
      <c r="X32" s="206" t="str">
        <f>IF(A32="","",R32/COUNTIF(F32:Q32,"&gt;0"))</f>
        <v/>
      </c>
      <c r="Y32" s="920"/>
      <c r="Z32" s="1587" t="str">
        <f>IF('6 Eingabe Azubis'!K16&gt;0.4,'6 Eingabe Azubis'!$AP16*'6 Eingabe Azubis'!K16,"")</f>
        <v/>
      </c>
      <c r="AA32" s="1587" t="str">
        <f>IF('6 Eingabe Azubis'!L16&gt;0.4,'6 Eingabe Azubis'!$AP16*'6 Eingabe Azubis'!L16,"")</f>
        <v/>
      </c>
      <c r="AB32" s="1587" t="str">
        <f>IF('6 Eingabe Azubis'!M16&gt;0.4,'6 Eingabe Azubis'!$AP16*'6 Eingabe Azubis'!M16,"")</f>
        <v/>
      </c>
      <c r="AC32" s="1587" t="str">
        <f>IF('6 Eingabe Azubis'!N16&gt;0.4,'6 Eingabe Azubis'!$AP16*'6 Eingabe Azubis'!N16,"")</f>
        <v/>
      </c>
      <c r="AD32" s="1587" t="str">
        <f>IF('6 Eingabe Azubis'!O16&gt;0.4,'6 Eingabe Azubis'!$AP16*'6 Eingabe Azubis'!O16,"")</f>
        <v/>
      </c>
      <c r="AE32" s="1587" t="str">
        <f>IF('6 Eingabe Azubis'!P16&gt;0.4,'6 Eingabe Azubis'!$AP16*'6 Eingabe Azubis'!P16,"")</f>
        <v/>
      </c>
      <c r="AF32" s="1587" t="str">
        <f>IF('6 Eingabe Azubis'!Q16&gt;0.4,'6 Eingabe Azubis'!$AP16*'6 Eingabe Azubis'!Q16,"")</f>
        <v/>
      </c>
      <c r="AG32" s="1587" t="str">
        <f>IF('6 Eingabe Azubis'!R16&gt;0.4,'6 Eingabe Azubis'!$AP16*'6 Eingabe Azubis'!R16,"")</f>
        <v/>
      </c>
      <c r="AH32" s="1587" t="str">
        <f>IF('6 Eingabe Azubis'!S16&gt;0.4,'6 Eingabe Azubis'!$AP16*'6 Eingabe Azubis'!S16,"")</f>
        <v/>
      </c>
      <c r="AI32" s="1587" t="str">
        <f>IF('6 Eingabe Azubis'!T16&gt;0.4,'6 Eingabe Azubis'!$AP16*'6 Eingabe Azubis'!T16,"")</f>
        <v/>
      </c>
      <c r="AJ32" s="1587" t="str">
        <f>IF('6 Eingabe Azubis'!U16&gt;0.4,'6 Eingabe Azubis'!$AP16*'6 Eingabe Azubis'!U16,"")</f>
        <v/>
      </c>
      <c r="AK32" s="1587" t="str">
        <f>IF('6 Eingabe Azubis'!V16&gt;0.4,'6 Eingabe Azubis'!$AP16*'6 Eingabe Azubis'!V16,"")</f>
        <v/>
      </c>
      <c r="AL32" s="920" t="str">
        <f>'6 Eingabe Azubis'!AK16</f>
        <v/>
      </c>
      <c r="AM32" s="920"/>
      <c r="AN32" s="920"/>
      <c r="AO32" s="920"/>
      <c r="AP32" s="920"/>
    </row>
    <row r="33" spans="1:42" s="76" customFormat="1" ht="24" customHeight="1">
      <c r="A33" s="937" t="str">
        <f>IF(SUM(AA33:AB33)=0,"",A$4)</f>
        <v/>
      </c>
      <c r="B33" s="1687" t="str">
        <f>IF(AA33=0,"",AA33)</f>
        <v/>
      </c>
      <c r="C33" s="1688" t="str">
        <f>IF(AB33=0,"",AB33)</f>
        <v/>
      </c>
      <c r="D33" s="3711" t="str">
        <f>IF(A32="","",$A$1)</f>
        <v/>
      </c>
      <c r="E33" s="3712"/>
      <c r="F33" s="2578"/>
      <c r="G33" s="2578"/>
      <c r="H33" s="2578"/>
      <c r="I33" s="2578"/>
      <c r="J33" s="2578"/>
      <c r="K33" s="2578"/>
      <c r="L33" s="2578"/>
      <c r="M33" s="2578"/>
      <c r="N33" s="2578"/>
      <c r="O33" s="2578"/>
      <c r="P33" s="2578"/>
      <c r="Q33" s="2578"/>
      <c r="R33" s="1221" t="str">
        <f>IF(A32="","",SUM(F33:Q33))</f>
        <v/>
      </c>
      <c r="S33" s="1222" t="str">
        <f>IF(A31="","",IF(R33="","",S$6))</f>
        <v/>
      </c>
      <c r="T33" s="1221" t="str">
        <f>IF(A32="","",(AL32*AC33))</f>
        <v/>
      </c>
      <c r="U33" s="1223" t="str">
        <f>IF(A32="","",IF(T33="","",U$6))</f>
        <v/>
      </c>
      <c r="V33" s="203" t="str">
        <f>IF(A32="","",SUM(V32)*IF(T32/COUNTIF(F32:Q32,"&gt;0")&lt;$X$4,$W$4,$V$4))</f>
        <v/>
      </c>
      <c r="W33" s="204" t="str">
        <f>IF(A32="","",IF(V33="","",W$6))</f>
        <v/>
      </c>
      <c r="X33" s="3715" t="str">
        <f>IF(A32="","",IF(X32="","",X$6))</f>
        <v/>
      </c>
      <c r="Y33" s="920">
        <f>SUM(F33:Q33)</f>
        <v>0</v>
      </c>
      <c r="Z33" s="920"/>
      <c r="AA33" s="1587">
        <f>'6 Eingabe Azubis'!C16</f>
        <v>0</v>
      </c>
      <c r="AB33" s="1587">
        <f>'6 Eingabe Azubis'!D16</f>
        <v>0</v>
      </c>
      <c r="AC33" s="1587">
        <f>'6 Eingabe Azubis'!E16</f>
        <v>0</v>
      </c>
      <c r="AD33" s="1587">
        <f>'6 Eingabe Azubis'!F16</f>
        <v>0</v>
      </c>
      <c r="AE33" s="1587">
        <f>'6 Eingabe Azubis'!G16</f>
        <v>0</v>
      </c>
      <c r="AF33" s="920"/>
      <c r="AG33" s="920"/>
      <c r="AH33" s="920"/>
      <c r="AI33" s="920"/>
      <c r="AJ33" s="920"/>
      <c r="AK33" s="920"/>
      <c r="AL33" s="920"/>
      <c r="AM33" s="920"/>
      <c r="AN33" s="920"/>
      <c r="AO33" s="920"/>
      <c r="AP33" s="920"/>
    </row>
    <row r="34" spans="1:42" s="76" customFormat="1" ht="24" customHeight="1" thickBot="1">
      <c r="A34" s="938" t="str">
        <f>IF(SUM(AD33)=0,"",A$4)</f>
        <v/>
      </c>
      <c r="B34" s="1689"/>
      <c r="C34" s="1690" t="str">
        <f>IF(AD33=0,"",AD33)</f>
        <v/>
      </c>
      <c r="D34" s="3713" t="str">
        <f>IF(C34="","",$A$2)</f>
        <v/>
      </c>
      <c r="E34" s="3714"/>
      <c r="F34" s="2579"/>
      <c r="G34" s="2579"/>
      <c r="H34" s="2579"/>
      <c r="I34" s="2579"/>
      <c r="J34" s="2579"/>
      <c r="K34" s="2579"/>
      <c r="L34" s="2579"/>
      <c r="M34" s="2579"/>
      <c r="N34" s="2579"/>
      <c r="O34" s="2579"/>
      <c r="P34" s="2579"/>
      <c r="Q34" s="2580"/>
      <c r="R34" s="1224" t="str">
        <f>IF(A32="","",SUM(F34:Q34))</f>
        <v/>
      </c>
      <c r="S34" s="1225" t="str">
        <f>IF(A32="","",IF(R34="","",S$7))</f>
        <v/>
      </c>
      <c r="T34" s="1226" t="str">
        <f>IF(A32="","",(AE33*AL32))</f>
        <v/>
      </c>
      <c r="U34" s="1225" t="str">
        <f>IF(A32="","",IF(T34="","",U$7))</f>
        <v/>
      </c>
      <c r="V34" s="201" t="str">
        <f>IF(A32="","",SUM(V32:V33,R34,T34))</f>
        <v/>
      </c>
      <c r="W34" s="959" t="str">
        <f>IF(A32="","",IF(V34="","",W$7))</f>
        <v/>
      </c>
      <c r="X34" s="3716"/>
      <c r="Y34" s="920">
        <f>SUM(F34:Q34)</f>
        <v>0</v>
      </c>
      <c r="Z34" s="920"/>
      <c r="AA34" s="920"/>
      <c r="AB34" s="920"/>
      <c r="AC34" s="920"/>
      <c r="AD34" s="920"/>
      <c r="AE34" s="920"/>
      <c r="AF34" s="920"/>
      <c r="AG34" s="920"/>
      <c r="AH34" s="920"/>
      <c r="AI34" s="920"/>
      <c r="AJ34" s="920"/>
      <c r="AK34" s="920"/>
      <c r="AL34" s="920"/>
      <c r="AM34" s="920"/>
      <c r="AN34" s="920"/>
      <c r="AO34" s="920"/>
      <c r="AP34" s="920"/>
    </row>
    <row r="35" spans="1:42" s="76" customFormat="1" ht="24" customHeight="1">
      <c r="A35" s="208" t="str">
        <f>IF('6 Eingabe Azubis'!A17="","",'6 Eingabe Azubis'!A17)</f>
        <v/>
      </c>
      <c r="B35" s="936" t="str">
        <f>IF(B36="","",AA$7)</f>
        <v/>
      </c>
      <c r="C35" s="936" t="str">
        <f>IF(C36="","",AB$7)</f>
        <v/>
      </c>
      <c r="D35" s="208"/>
      <c r="E35" s="207" t="str">
        <f ca="1">IF('1 Erklärung'!AA2="","",'6 Eingabe Azubis'!AP17)</f>
        <v/>
      </c>
      <c r="F35" s="3234" t="str">
        <f t="shared" ref="F35:Q35" si="12">IF(SUM(F36,F37)=0,Z35,SUM(F36,F37,Z35))</f>
        <v/>
      </c>
      <c r="G35" s="3234" t="str">
        <f t="shared" si="12"/>
        <v/>
      </c>
      <c r="H35" s="3234" t="str">
        <f t="shared" si="12"/>
        <v/>
      </c>
      <c r="I35" s="3234" t="str">
        <f t="shared" si="12"/>
        <v/>
      </c>
      <c r="J35" s="3234" t="str">
        <f t="shared" si="12"/>
        <v/>
      </c>
      <c r="K35" s="3234" t="str">
        <f t="shared" si="12"/>
        <v/>
      </c>
      <c r="L35" s="3234" t="str">
        <f t="shared" si="12"/>
        <v/>
      </c>
      <c r="M35" s="3234" t="str">
        <f t="shared" si="12"/>
        <v/>
      </c>
      <c r="N35" s="3234" t="str">
        <f t="shared" si="12"/>
        <v/>
      </c>
      <c r="O35" s="3234" t="str">
        <f t="shared" si="12"/>
        <v/>
      </c>
      <c r="P35" s="3234" t="str">
        <f t="shared" si="12"/>
        <v/>
      </c>
      <c r="Q35" s="3234" t="str">
        <f t="shared" si="12"/>
        <v/>
      </c>
      <c r="R35" s="894" t="str">
        <f ca="1">IF('1 Erklärung'!AA$2="","",IF(A35="","",SUM(F35:Q35)))</f>
        <v/>
      </c>
      <c r="S35" s="895"/>
      <c r="T35" s="1269" t="str">
        <f>IF(A35="","",SUM(R35,-R37,-R36))</f>
        <v/>
      </c>
      <c r="U35" s="1228" t="str">
        <f>IF(A35="","",IF(T35="","",$U$5))</f>
        <v/>
      </c>
      <c r="V35" s="1227" t="str">
        <f>IF(A35="","",SUM(T35,R36,T36))</f>
        <v/>
      </c>
      <c r="W35" s="1229" t="str">
        <f>IF(A35="","",IF(V35="","",$W$5))</f>
        <v/>
      </c>
      <c r="X35" s="206" t="str">
        <f>IF(A35="","",R35/COUNTIF(F35:Q35,"&gt;0"))</f>
        <v/>
      </c>
      <c r="Y35" s="920"/>
      <c r="Z35" s="1587" t="str">
        <f>IF('6 Eingabe Azubis'!K17&gt;0.4,'6 Eingabe Azubis'!$AP17*'6 Eingabe Azubis'!K17,"")</f>
        <v/>
      </c>
      <c r="AA35" s="1587" t="str">
        <f>IF('6 Eingabe Azubis'!L17&gt;0.4,'6 Eingabe Azubis'!$AP17*'6 Eingabe Azubis'!L17,"")</f>
        <v/>
      </c>
      <c r="AB35" s="1587" t="str">
        <f>IF('6 Eingabe Azubis'!M17&gt;0.4,'6 Eingabe Azubis'!$AP17*'6 Eingabe Azubis'!M17,"")</f>
        <v/>
      </c>
      <c r="AC35" s="1587" t="str">
        <f>IF('6 Eingabe Azubis'!N17&gt;0.4,'6 Eingabe Azubis'!$AP17*'6 Eingabe Azubis'!N17,"")</f>
        <v/>
      </c>
      <c r="AD35" s="1587" t="str">
        <f>IF('6 Eingabe Azubis'!O17&gt;0.4,'6 Eingabe Azubis'!$AP17*'6 Eingabe Azubis'!O17,"")</f>
        <v/>
      </c>
      <c r="AE35" s="1587" t="str">
        <f>IF('6 Eingabe Azubis'!P17&gt;0.4,'6 Eingabe Azubis'!$AP17*'6 Eingabe Azubis'!P17,"")</f>
        <v/>
      </c>
      <c r="AF35" s="1587" t="str">
        <f>IF('6 Eingabe Azubis'!Q17&gt;0.4,'6 Eingabe Azubis'!$AP17*'6 Eingabe Azubis'!Q17,"")</f>
        <v/>
      </c>
      <c r="AG35" s="1587" t="str">
        <f>IF('6 Eingabe Azubis'!R17&gt;0.4,'6 Eingabe Azubis'!$AP17*'6 Eingabe Azubis'!R17,"")</f>
        <v/>
      </c>
      <c r="AH35" s="1587" t="str">
        <f>IF('6 Eingabe Azubis'!S17&gt;0.4,'6 Eingabe Azubis'!$AP17*'6 Eingabe Azubis'!S17,"")</f>
        <v/>
      </c>
      <c r="AI35" s="1587" t="str">
        <f>IF('6 Eingabe Azubis'!T17&gt;0.4,'6 Eingabe Azubis'!$AP17*'6 Eingabe Azubis'!T17,"")</f>
        <v/>
      </c>
      <c r="AJ35" s="1587" t="str">
        <f>IF('6 Eingabe Azubis'!U17&gt;0.4,'6 Eingabe Azubis'!$AP17*'6 Eingabe Azubis'!U17,"")</f>
        <v/>
      </c>
      <c r="AK35" s="1587" t="str">
        <f>IF('6 Eingabe Azubis'!V17&gt;0.4,'6 Eingabe Azubis'!$AP17*'6 Eingabe Azubis'!V17,"")</f>
        <v/>
      </c>
      <c r="AL35" s="920" t="str">
        <f>'6 Eingabe Azubis'!AK17</f>
        <v/>
      </c>
      <c r="AM35" s="920"/>
      <c r="AN35" s="920"/>
      <c r="AO35" s="920"/>
      <c r="AP35" s="920"/>
    </row>
    <row r="36" spans="1:42" s="76" customFormat="1" ht="24.75" customHeight="1">
      <c r="A36" s="937" t="str">
        <f>IF(SUM(AA36:AB36)=0,"",A$4)</f>
        <v/>
      </c>
      <c r="B36" s="1687" t="str">
        <f>IF(AA36=0,"",AA36)</f>
        <v/>
      </c>
      <c r="C36" s="1688" t="str">
        <f>IF(AB36=0,"",AB36)</f>
        <v/>
      </c>
      <c r="D36" s="3711" t="str">
        <f>IF(A35="","",$A$1)</f>
        <v/>
      </c>
      <c r="E36" s="3712"/>
      <c r="F36" s="2578"/>
      <c r="G36" s="2578"/>
      <c r="H36" s="2578"/>
      <c r="I36" s="2578"/>
      <c r="J36" s="2578"/>
      <c r="K36" s="2578"/>
      <c r="L36" s="2578"/>
      <c r="M36" s="2578"/>
      <c r="N36" s="2578"/>
      <c r="O36" s="2578"/>
      <c r="P36" s="2578"/>
      <c r="Q36" s="2578"/>
      <c r="R36" s="1221" t="str">
        <f>IF(A35="","",SUM(F36:Q36))</f>
        <v/>
      </c>
      <c r="S36" s="1222" t="str">
        <f>IF(A34="","",IF(R36="","",S$6))</f>
        <v/>
      </c>
      <c r="T36" s="1221" t="str">
        <f>IF(A35="","",(AL35*AC36))</f>
        <v/>
      </c>
      <c r="U36" s="1223" t="str">
        <f>IF(A35="","",IF(T36="","",U$6))</f>
        <v/>
      </c>
      <c r="V36" s="203" t="str">
        <f>IF(A35="","",SUM(V35)*IF(T35/COUNTIF(F35:Q35,"&gt;0")&lt;$X$4,$W$4,$V$4))</f>
        <v/>
      </c>
      <c r="W36" s="204" t="str">
        <f>IF(A35="","",IF(V36="","",W$6))</f>
        <v/>
      </c>
      <c r="X36" s="3715" t="str">
        <f>IF(A35="","",IF(X35="","",X$6))</f>
        <v/>
      </c>
      <c r="Y36" s="920">
        <f>SUM(F36:Q36)</f>
        <v>0</v>
      </c>
      <c r="Z36" s="920"/>
      <c r="AA36" s="1587">
        <f>'6 Eingabe Azubis'!C17</f>
        <v>0</v>
      </c>
      <c r="AB36" s="1587">
        <f>'6 Eingabe Azubis'!D17</f>
        <v>0</v>
      </c>
      <c r="AC36" s="1587">
        <f>'6 Eingabe Azubis'!E17</f>
        <v>0</v>
      </c>
      <c r="AD36" s="1587">
        <f>'6 Eingabe Azubis'!F17</f>
        <v>0</v>
      </c>
      <c r="AE36" s="1587">
        <f>'6 Eingabe Azubis'!G17</f>
        <v>0</v>
      </c>
      <c r="AF36" s="920"/>
      <c r="AG36" s="920"/>
      <c r="AH36" s="920"/>
      <c r="AI36" s="920"/>
      <c r="AJ36" s="920"/>
      <c r="AK36" s="920"/>
      <c r="AL36" s="920"/>
      <c r="AM36" s="920"/>
      <c r="AN36" s="920"/>
      <c r="AO36" s="920"/>
      <c r="AP36" s="920"/>
    </row>
    <row r="37" spans="1:42" s="76" customFormat="1" ht="24" customHeight="1" thickBot="1">
      <c r="A37" s="938" t="str">
        <f>IF(SUM(AD36)=0,"",A$4)</f>
        <v/>
      </c>
      <c r="B37" s="1689"/>
      <c r="C37" s="1690" t="str">
        <f>IF(AD36=0,"",AD36)</f>
        <v/>
      </c>
      <c r="D37" s="3713" t="str">
        <f>IF(C37="","",$A$2)</f>
        <v/>
      </c>
      <c r="E37" s="3714"/>
      <c r="F37" s="2579"/>
      <c r="G37" s="2579"/>
      <c r="H37" s="2579"/>
      <c r="I37" s="2579"/>
      <c r="J37" s="2579"/>
      <c r="K37" s="2579"/>
      <c r="L37" s="2579"/>
      <c r="M37" s="2579"/>
      <c r="N37" s="2579"/>
      <c r="O37" s="2579"/>
      <c r="P37" s="2579"/>
      <c r="Q37" s="2580"/>
      <c r="R37" s="1224" t="str">
        <f>IF(A35="","",SUM(F37:Q37))</f>
        <v/>
      </c>
      <c r="S37" s="1225" t="str">
        <f>IF(A35="","",IF(R37="","",S$7))</f>
        <v/>
      </c>
      <c r="T37" s="1226" t="str">
        <f>IF(A35="","",(AE36*AL35))</f>
        <v/>
      </c>
      <c r="U37" s="1225" t="str">
        <f>IF(A35="","",IF(T37="","",U$7))</f>
        <v/>
      </c>
      <c r="V37" s="201" t="str">
        <f>IF(A35="","",SUM(V35:V36,R37,T37))</f>
        <v/>
      </c>
      <c r="W37" s="959" t="str">
        <f>IF(A35="","",IF(V37="","",W$7))</f>
        <v/>
      </c>
      <c r="X37" s="3716"/>
      <c r="Y37" s="920">
        <f>SUM(F37:Q37)</f>
        <v>0</v>
      </c>
      <c r="Z37" s="920"/>
      <c r="AA37" s="920"/>
      <c r="AB37" s="920"/>
      <c r="AC37" s="920"/>
      <c r="AD37" s="920"/>
      <c r="AE37" s="920"/>
      <c r="AF37" s="920"/>
      <c r="AG37" s="920"/>
      <c r="AH37" s="920"/>
      <c r="AI37" s="920"/>
      <c r="AJ37" s="920"/>
      <c r="AK37" s="920"/>
      <c r="AL37" s="920"/>
      <c r="AM37" s="920"/>
      <c r="AN37" s="920"/>
      <c r="AO37" s="920"/>
      <c r="AP37" s="920"/>
    </row>
    <row r="38" spans="1:42" s="76" customFormat="1" ht="23.25" customHeight="1">
      <c r="A38" s="208" t="str">
        <f>IF('6 Eingabe Azubis'!A18="","",'6 Eingabe Azubis'!A18)</f>
        <v/>
      </c>
      <c r="B38" s="936" t="str">
        <f>IF(B39="","",AA$7)</f>
        <v/>
      </c>
      <c r="C38" s="936" t="str">
        <f>IF(C39="","",AB$7)</f>
        <v/>
      </c>
      <c r="D38" s="208"/>
      <c r="E38" s="207" t="str">
        <f ca="1">IF('1 Erklärung'!AA2="","",'6 Eingabe Azubis'!AP18)</f>
        <v/>
      </c>
      <c r="F38" s="3234" t="str">
        <f t="shared" ref="F38:Q38" si="13">IF(SUM(F39,F40)=0,Z38,SUM(F39,F40,Z38))</f>
        <v/>
      </c>
      <c r="G38" s="3234" t="str">
        <f t="shared" si="13"/>
        <v/>
      </c>
      <c r="H38" s="3234" t="str">
        <f t="shared" si="13"/>
        <v/>
      </c>
      <c r="I38" s="3234" t="str">
        <f t="shared" si="13"/>
        <v/>
      </c>
      <c r="J38" s="3234" t="str">
        <f t="shared" si="13"/>
        <v/>
      </c>
      <c r="K38" s="3234" t="str">
        <f t="shared" si="13"/>
        <v/>
      </c>
      <c r="L38" s="3234" t="str">
        <f t="shared" si="13"/>
        <v/>
      </c>
      <c r="M38" s="3234" t="str">
        <f t="shared" si="13"/>
        <v/>
      </c>
      <c r="N38" s="3234" t="str">
        <f t="shared" si="13"/>
        <v/>
      </c>
      <c r="O38" s="3234" t="str">
        <f t="shared" si="13"/>
        <v/>
      </c>
      <c r="P38" s="3234" t="str">
        <f t="shared" si="13"/>
        <v/>
      </c>
      <c r="Q38" s="3234" t="str">
        <f t="shared" si="13"/>
        <v/>
      </c>
      <c r="R38" s="894" t="str">
        <f ca="1">IF('1 Erklärung'!AA$2="","",IF(A38="","",SUM(F38:Q38)))</f>
        <v/>
      </c>
      <c r="S38" s="895"/>
      <c r="T38" s="1269" t="str">
        <f>IF(A38="","",SUM(R38,-R40,-R39))</f>
        <v/>
      </c>
      <c r="U38" s="1228" t="str">
        <f>IF(A38="","",IF(T38="","",$U$5))</f>
        <v/>
      </c>
      <c r="V38" s="1227" t="str">
        <f>IF(A38="","",SUM(T38,R39,T39))</f>
        <v/>
      </c>
      <c r="W38" s="1229" t="str">
        <f>IF(A38="","",IF(V38="","",$W$5))</f>
        <v/>
      </c>
      <c r="X38" s="206" t="str">
        <f>IF(A38="","",R38/COUNTIF(F38:Q38,"&gt;0"))</f>
        <v/>
      </c>
      <c r="Y38" s="920"/>
      <c r="Z38" s="1587" t="str">
        <f>IF('6 Eingabe Azubis'!K18&gt;0.4,'6 Eingabe Azubis'!$AP18*'6 Eingabe Azubis'!K18,"")</f>
        <v/>
      </c>
      <c r="AA38" s="1587" t="str">
        <f>IF('6 Eingabe Azubis'!L18&gt;0.4,'6 Eingabe Azubis'!$AP18*'6 Eingabe Azubis'!L18,"")</f>
        <v/>
      </c>
      <c r="AB38" s="1587" t="str">
        <f>IF('6 Eingabe Azubis'!M18&gt;0.4,'6 Eingabe Azubis'!$AP18*'6 Eingabe Azubis'!M18,"")</f>
        <v/>
      </c>
      <c r="AC38" s="1587" t="str">
        <f>IF('6 Eingabe Azubis'!N18&gt;0.4,'6 Eingabe Azubis'!$AP18*'6 Eingabe Azubis'!N18,"")</f>
        <v/>
      </c>
      <c r="AD38" s="1587" t="str">
        <f>IF('6 Eingabe Azubis'!O18&gt;0.4,'6 Eingabe Azubis'!$AP18*'6 Eingabe Azubis'!O18,"")</f>
        <v/>
      </c>
      <c r="AE38" s="1587" t="str">
        <f>IF('6 Eingabe Azubis'!P18&gt;0.4,'6 Eingabe Azubis'!$AP18*'6 Eingabe Azubis'!P18,"")</f>
        <v/>
      </c>
      <c r="AF38" s="1587" t="str">
        <f>IF('6 Eingabe Azubis'!Q18&gt;0.4,'6 Eingabe Azubis'!$AP18*'6 Eingabe Azubis'!Q18,"")</f>
        <v/>
      </c>
      <c r="AG38" s="1587" t="str">
        <f>IF('6 Eingabe Azubis'!R18&gt;0.4,'6 Eingabe Azubis'!$AP18*'6 Eingabe Azubis'!R18,"")</f>
        <v/>
      </c>
      <c r="AH38" s="1587" t="str">
        <f>IF('6 Eingabe Azubis'!S18&gt;0.4,'6 Eingabe Azubis'!$AP18*'6 Eingabe Azubis'!S18,"")</f>
        <v/>
      </c>
      <c r="AI38" s="1587" t="str">
        <f>IF('6 Eingabe Azubis'!T18&gt;0.4,'6 Eingabe Azubis'!$AP18*'6 Eingabe Azubis'!T18,"")</f>
        <v/>
      </c>
      <c r="AJ38" s="1587" t="str">
        <f>IF('6 Eingabe Azubis'!U18&gt;0.4,'6 Eingabe Azubis'!$AP18*'6 Eingabe Azubis'!U18,"")</f>
        <v/>
      </c>
      <c r="AK38" s="1587" t="str">
        <f>IF('6 Eingabe Azubis'!V18&gt;0.4,'6 Eingabe Azubis'!$AP18*'6 Eingabe Azubis'!V18,"")</f>
        <v/>
      </c>
      <c r="AL38" s="920" t="str">
        <f>'6 Eingabe Azubis'!AK18</f>
        <v/>
      </c>
      <c r="AM38" s="920"/>
      <c r="AN38" s="920"/>
      <c r="AO38" s="920"/>
      <c r="AP38" s="920"/>
    </row>
    <row r="39" spans="1:42" ht="24" customHeight="1">
      <c r="A39" s="937" t="str">
        <f>IF(SUM(AA39:AB39)=0,"",A$4)</f>
        <v/>
      </c>
      <c r="B39" s="1687" t="str">
        <f>IF(AA39=0,"",AA39)</f>
        <v/>
      </c>
      <c r="C39" s="1688" t="str">
        <f>IF(AB39=0,"",AB39)</f>
        <v/>
      </c>
      <c r="D39" s="3711" t="str">
        <f>IF(A38="","",$A$1)</f>
        <v/>
      </c>
      <c r="E39" s="3712"/>
      <c r="F39" s="2578"/>
      <c r="G39" s="2578"/>
      <c r="H39" s="2578"/>
      <c r="I39" s="2578"/>
      <c r="J39" s="2578"/>
      <c r="K39" s="2578"/>
      <c r="L39" s="2578"/>
      <c r="M39" s="2578"/>
      <c r="N39" s="2578"/>
      <c r="O39" s="2578"/>
      <c r="P39" s="2578"/>
      <c r="Q39" s="2578"/>
      <c r="R39" s="1221" t="str">
        <f>IF(A38="","",SUM(F39:Q39))</f>
        <v/>
      </c>
      <c r="S39" s="1222" t="str">
        <f>IF(A37="","",IF(R39="","",S$6))</f>
        <v/>
      </c>
      <c r="T39" s="1221" t="str">
        <f>IF(A38="","",(AL38*AC39))</f>
        <v/>
      </c>
      <c r="U39" s="1223" t="str">
        <f>IF(A38="","",IF(T39="","",U$6))</f>
        <v/>
      </c>
      <c r="V39" s="203" t="str">
        <f>IF(A38="","",SUM(V38)*IF(T38/COUNTIF(F38:Q38,"&gt;0")&lt;$X$4,$W$4,$V$4))</f>
        <v/>
      </c>
      <c r="W39" s="204" t="str">
        <f>IF(A38="","",IF(V39="","",W$6))</f>
        <v/>
      </c>
      <c r="X39" s="3715" t="str">
        <f>IF(A38="","",IF(X38="","",X$6))</f>
        <v/>
      </c>
      <c r="Y39" s="920">
        <f>SUM(F39:Q39)</f>
        <v>0</v>
      </c>
      <c r="Z39" s="920"/>
      <c r="AA39" s="1587">
        <f>'6 Eingabe Azubis'!C18</f>
        <v>0</v>
      </c>
      <c r="AB39" s="1587">
        <f>'6 Eingabe Azubis'!D18</f>
        <v>0</v>
      </c>
      <c r="AC39" s="1587">
        <f>'6 Eingabe Azubis'!E18</f>
        <v>0</v>
      </c>
      <c r="AD39" s="1587">
        <f>'6 Eingabe Azubis'!F18</f>
        <v>0</v>
      </c>
      <c r="AE39" s="1587">
        <f>'6 Eingabe Azubis'!G18</f>
        <v>0</v>
      </c>
      <c r="AF39" s="920"/>
      <c r="AG39" s="920"/>
      <c r="AH39" s="920"/>
      <c r="AI39" s="920"/>
      <c r="AJ39" s="920"/>
      <c r="AK39" s="920"/>
      <c r="AL39" s="1592"/>
      <c r="AM39" s="1592"/>
      <c r="AN39" s="1592"/>
      <c r="AO39" s="1592"/>
      <c r="AP39" s="1592"/>
    </row>
    <row r="40" spans="1:42" ht="24" customHeight="1" thickBot="1">
      <c r="A40" s="938" t="str">
        <f>IF(SUM(AD39)=0,"",A$4)</f>
        <v/>
      </c>
      <c r="B40" s="1689"/>
      <c r="C40" s="1690" t="str">
        <f>IF(AD39=0,"",AD39)</f>
        <v/>
      </c>
      <c r="D40" s="3713" t="str">
        <f>IF(C40="","",$A$2)</f>
        <v/>
      </c>
      <c r="E40" s="3714"/>
      <c r="F40" s="2579"/>
      <c r="G40" s="2579"/>
      <c r="H40" s="2579"/>
      <c r="I40" s="2579"/>
      <c r="J40" s="2579"/>
      <c r="K40" s="2579"/>
      <c r="L40" s="2579"/>
      <c r="M40" s="2579"/>
      <c r="N40" s="2579"/>
      <c r="O40" s="2579"/>
      <c r="P40" s="2579"/>
      <c r="Q40" s="2580"/>
      <c r="R40" s="1224" t="str">
        <f>IF(A38="","",SUM(F40:Q40))</f>
        <v/>
      </c>
      <c r="S40" s="1225" t="str">
        <f>IF(A38="","",IF(R40="","",S$7))</f>
        <v/>
      </c>
      <c r="T40" s="1226" t="str">
        <f>IF(A38="","",(AE39*AL38))</f>
        <v/>
      </c>
      <c r="U40" s="1225" t="str">
        <f>IF(A38="","",IF(T40="","",U$7))</f>
        <v/>
      </c>
      <c r="V40" s="201" t="str">
        <f>IF(A38="","",SUM(V38:V39,R40,T40))</f>
        <v/>
      </c>
      <c r="W40" s="959" t="str">
        <f>IF(A38="","",IF(V40="","",W$7))</f>
        <v/>
      </c>
      <c r="X40" s="3716"/>
      <c r="Y40" s="920">
        <f>SUM(F40:Q40)</f>
        <v>0</v>
      </c>
      <c r="Z40" s="920"/>
      <c r="AA40" s="920"/>
      <c r="AB40" s="920"/>
      <c r="AC40" s="920"/>
      <c r="AD40" s="920"/>
      <c r="AE40" s="920"/>
      <c r="AF40" s="920"/>
      <c r="AG40" s="920"/>
      <c r="AH40" s="920"/>
      <c r="AI40" s="920"/>
      <c r="AJ40" s="920"/>
      <c r="AK40" s="920"/>
      <c r="AL40" s="1592"/>
      <c r="AM40" s="1592"/>
      <c r="AN40" s="1592"/>
      <c r="AO40" s="1592"/>
      <c r="AP40" s="1592"/>
    </row>
    <row r="41" spans="1:42" s="76" customFormat="1" ht="23.25" customHeight="1">
      <c r="A41" s="208" t="str">
        <f>IF('6 Eingabe Azubis'!A19="","",'6 Eingabe Azubis'!A19)</f>
        <v/>
      </c>
      <c r="B41" s="936" t="str">
        <f>IF(B42="","",AA$7)</f>
        <v/>
      </c>
      <c r="C41" s="936" t="str">
        <f>IF(C42="","",AB$7)</f>
        <v/>
      </c>
      <c r="D41" s="208"/>
      <c r="E41" s="207" t="str">
        <f ca="1">IF('1 Erklärung'!AA2="","",'6 Eingabe Azubis'!AP19)</f>
        <v/>
      </c>
      <c r="F41" s="3234" t="str">
        <f t="shared" ref="F41:Q41" si="14">IF(SUM(F42,F43)=0,Z41,SUM(F42,F43,Z41))</f>
        <v/>
      </c>
      <c r="G41" s="3234" t="str">
        <f t="shared" si="14"/>
        <v/>
      </c>
      <c r="H41" s="3234" t="str">
        <f t="shared" si="14"/>
        <v/>
      </c>
      <c r="I41" s="3234" t="str">
        <f t="shared" si="14"/>
        <v/>
      </c>
      <c r="J41" s="3234" t="str">
        <f t="shared" si="14"/>
        <v/>
      </c>
      <c r="K41" s="3234" t="str">
        <f t="shared" si="14"/>
        <v/>
      </c>
      <c r="L41" s="3234" t="str">
        <f t="shared" si="14"/>
        <v/>
      </c>
      <c r="M41" s="3234" t="str">
        <f t="shared" si="14"/>
        <v/>
      </c>
      <c r="N41" s="3234" t="str">
        <f t="shared" si="14"/>
        <v/>
      </c>
      <c r="O41" s="3234" t="str">
        <f t="shared" si="14"/>
        <v/>
      </c>
      <c r="P41" s="3234" t="str">
        <f t="shared" si="14"/>
        <v/>
      </c>
      <c r="Q41" s="3234" t="str">
        <f t="shared" si="14"/>
        <v/>
      </c>
      <c r="R41" s="894" t="str">
        <f ca="1">IF('1 Erklärung'!AA$2="","",IF(A41="","",SUM(F41:Q41)))</f>
        <v/>
      </c>
      <c r="S41" s="895"/>
      <c r="T41" s="1269" t="str">
        <f>IF(A41="","",SUM(R41,-R43,-R42))</f>
        <v/>
      </c>
      <c r="U41" s="1228" t="str">
        <f>IF(A41="","",IF(T41="","",$U$5))</f>
        <v/>
      </c>
      <c r="V41" s="1227" t="str">
        <f>IF(A41="","",SUM(T41,R42,T42))</f>
        <v/>
      </c>
      <c r="W41" s="1229" t="str">
        <f>IF(A41="","",IF(V41="","",$W$5))</f>
        <v/>
      </c>
      <c r="X41" s="206" t="str">
        <f>IF(A41="","",R41/COUNTIF(F41:Q41,"&gt;0"))</f>
        <v/>
      </c>
      <c r="Y41" s="920"/>
      <c r="Z41" s="1587" t="str">
        <f>IF('6 Eingabe Azubis'!K19&gt;0.4,'6 Eingabe Azubis'!$AP19*'6 Eingabe Azubis'!K19,"")</f>
        <v/>
      </c>
      <c r="AA41" s="1587" t="str">
        <f>IF('6 Eingabe Azubis'!L19&gt;0.4,'6 Eingabe Azubis'!$AP19*'6 Eingabe Azubis'!L19,"")</f>
        <v/>
      </c>
      <c r="AB41" s="1587" t="str">
        <f>IF('6 Eingabe Azubis'!M19&gt;0.4,'6 Eingabe Azubis'!$AP19*'6 Eingabe Azubis'!M19,"")</f>
        <v/>
      </c>
      <c r="AC41" s="1587" t="str">
        <f>IF('6 Eingabe Azubis'!N19&gt;0.4,'6 Eingabe Azubis'!$AP19*'6 Eingabe Azubis'!N19,"")</f>
        <v/>
      </c>
      <c r="AD41" s="1587" t="str">
        <f>IF('6 Eingabe Azubis'!O19&gt;0.4,'6 Eingabe Azubis'!$AP19*'6 Eingabe Azubis'!O19,"")</f>
        <v/>
      </c>
      <c r="AE41" s="1587" t="str">
        <f>IF('6 Eingabe Azubis'!P19&gt;0.4,'6 Eingabe Azubis'!$AP19*'6 Eingabe Azubis'!P19,"")</f>
        <v/>
      </c>
      <c r="AF41" s="1587" t="str">
        <f>IF('6 Eingabe Azubis'!Q19&gt;0.4,'6 Eingabe Azubis'!$AP19*'6 Eingabe Azubis'!Q19,"")</f>
        <v/>
      </c>
      <c r="AG41" s="1587" t="str">
        <f>IF('6 Eingabe Azubis'!R19&gt;0.4,'6 Eingabe Azubis'!$AP19*'6 Eingabe Azubis'!R19,"")</f>
        <v/>
      </c>
      <c r="AH41" s="1587" t="str">
        <f>IF('6 Eingabe Azubis'!S19&gt;0.4,'6 Eingabe Azubis'!$AP19*'6 Eingabe Azubis'!S19,"")</f>
        <v/>
      </c>
      <c r="AI41" s="1587" t="str">
        <f>IF('6 Eingabe Azubis'!T19&gt;0.4,'6 Eingabe Azubis'!$AP19*'6 Eingabe Azubis'!T19,"")</f>
        <v/>
      </c>
      <c r="AJ41" s="1587" t="str">
        <f>IF('6 Eingabe Azubis'!U19&gt;0.4,'6 Eingabe Azubis'!$AP19*'6 Eingabe Azubis'!U19,"")</f>
        <v/>
      </c>
      <c r="AK41" s="1587" t="str">
        <f>IF('6 Eingabe Azubis'!V19&gt;0.4,'6 Eingabe Azubis'!$AP19*'6 Eingabe Azubis'!V19,"")</f>
        <v/>
      </c>
      <c r="AL41" s="1592"/>
      <c r="AM41" s="1592"/>
      <c r="AN41" s="920"/>
      <c r="AO41" s="920"/>
      <c r="AP41" s="920"/>
    </row>
    <row r="42" spans="1:42" ht="24" customHeight="1">
      <c r="A42" s="937" t="str">
        <f>IF(SUM(AA42:AB42)=0,"",A$4)</f>
        <v/>
      </c>
      <c r="B42" s="1687" t="str">
        <f>IF(AA42=0,"",AA42)</f>
        <v/>
      </c>
      <c r="C42" s="1688" t="str">
        <f>IF(AB42=0,"",AB42)</f>
        <v/>
      </c>
      <c r="D42" s="3711" t="str">
        <f>IF(A41="","",$A$1)</f>
        <v/>
      </c>
      <c r="E42" s="3712"/>
      <c r="F42" s="2578"/>
      <c r="G42" s="2578"/>
      <c r="H42" s="2578"/>
      <c r="I42" s="2578"/>
      <c r="J42" s="2578"/>
      <c r="K42" s="2578"/>
      <c r="L42" s="2578"/>
      <c r="M42" s="2578"/>
      <c r="N42" s="2578"/>
      <c r="O42" s="2578"/>
      <c r="P42" s="2578"/>
      <c r="Q42" s="2578"/>
      <c r="R42" s="1221" t="str">
        <f>IF(A41="","",SUM(F42:Q42))</f>
        <v/>
      </c>
      <c r="S42" s="1222" t="str">
        <f>IF(A40="","",IF(R42="","",S$6))</f>
        <v/>
      </c>
      <c r="T42" s="1221" t="str">
        <f>IF(A41="","",(AL41*AC42))</f>
        <v/>
      </c>
      <c r="U42" s="1223" t="str">
        <f>IF(A41="","",IF(T42="","",U$6))</f>
        <v/>
      </c>
      <c r="V42" s="203" t="str">
        <f>IF(A41="","",SUM(V41)*IF(T41/COUNTIF(F41:Q41,"&gt;0")&lt;$X$4,$W$4,$V$4))</f>
        <v/>
      </c>
      <c r="W42" s="204" t="str">
        <f>IF(A41="","",IF(V42="","",W$6))</f>
        <v/>
      </c>
      <c r="X42" s="3715" t="str">
        <f>IF(A41="","",IF(X41="","",X$6))</f>
        <v/>
      </c>
      <c r="Y42" s="920">
        <f>SUM(F42:Q42)</f>
        <v>0</v>
      </c>
      <c r="Z42" s="920"/>
      <c r="AA42" s="1587">
        <f>'6 Eingabe Azubis'!C19</f>
        <v>0</v>
      </c>
      <c r="AB42" s="1587">
        <f>'6 Eingabe Azubis'!D19</f>
        <v>0</v>
      </c>
      <c r="AC42" s="1587">
        <f>'6 Eingabe Azubis'!E19</f>
        <v>0</v>
      </c>
      <c r="AD42" s="1587">
        <f>'6 Eingabe Azubis'!F19</f>
        <v>0</v>
      </c>
      <c r="AE42" s="1587">
        <f>'6 Eingabe Azubis'!G19</f>
        <v>0</v>
      </c>
      <c r="AF42" s="920"/>
      <c r="AG42" s="920"/>
      <c r="AH42" s="920"/>
      <c r="AI42" s="920"/>
      <c r="AJ42" s="920"/>
      <c r="AK42" s="920"/>
      <c r="AL42" s="1607" t="str">
        <f>'6 Eingabe Azubis'!AH20</f>
        <v/>
      </c>
      <c r="AM42" s="920"/>
      <c r="AN42" s="1592"/>
      <c r="AO42" s="1592"/>
      <c r="AP42" s="1592"/>
    </row>
    <row r="43" spans="1:42" ht="24" customHeight="1" thickBot="1">
      <c r="A43" s="938" t="str">
        <f>IF(SUM(AD42)=0,"",A$4)</f>
        <v/>
      </c>
      <c r="B43" s="1689"/>
      <c r="C43" s="1690" t="str">
        <f>IF(AD42=0,"",AD42)</f>
        <v/>
      </c>
      <c r="D43" s="3713" t="str">
        <f>IF(C43="","",$A$2)</f>
        <v/>
      </c>
      <c r="E43" s="3714"/>
      <c r="F43" s="2579"/>
      <c r="G43" s="2579"/>
      <c r="H43" s="2579"/>
      <c r="I43" s="2579"/>
      <c r="J43" s="2579"/>
      <c r="K43" s="2579"/>
      <c r="L43" s="2579"/>
      <c r="M43" s="2579"/>
      <c r="N43" s="2579"/>
      <c r="O43" s="2579"/>
      <c r="P43" s="2579"/>
      <c r="Q43" s="2580"/>
      <c r="R43" s="1224" t="str">
        <f>IF(A41="","",SUM(F43:Q43))</f>
        <v/>
      </c>
      <c r="S43" s="1225" t="str">
        <f>IF(A41="","",IF(R43="","",S$7))</f>
        <v/>
      </c>
      <c r="T43" s="1226" t="str">
        <f>IF(A41="","",(AE42*AL41))</f>
        <v/>
      </c>
      <c r="U43" s="1225" t="str">
        <f>IF(A41="","",IF(T43="","",U$7))</f>
        <v/>
      </c>
      <c r="V43" s="201" t="str">
        <f>IF(A41="","",SUM(V41:V42,R43,T43))</f>
        <v/>
      </c>
      <c r="W43" s="959" t="str">
        <f>IF(A41="","",IF(V43="","",W$7))</f>
        <v/>
      </c>
      <c r="X43" s="3716"/>
      <c r="Y43" s="920">
        <f>SUM(F43:Q43)</f>
        <v>0</v>
      </c>
      <c r="Z43" s="920"/>
      <c r="AA43" s="920"/>
      <c r="AB43" s="920"/>
      <c r="AC43" s="920"/>
      <c r="AD43" s="920"/>
      <c r="AE43" s="920"/>
      <c r="AF43" s="920"/>
      <c r="AG43" s="920"/>
      <c r="AH43" s="920"/>
      <c r="AI43" s="920"/>
      <c r="AJ43" s="920"/>
      <c r="AK43" s="920"/>
      <c r="AL43" s="1592"/>
      <c r="AM43" s="1592"/>
      <c r="AN43" s="1592"/>
      <c r="AO43" s="1592"/>
      <c r="AP43" s="1592"/>
    </row>
    <row r="44" spans="1:42" s="76" customFormat="1" ht="23.25" customHeight="1">
      <c r="A44" s="208" t="str">
        <f>IF('6 Eingabe Azubis'!A20="","",'6 Eingabe Azubis'!A20)</f>
        <v/>
      </c>
      <c r="B44" s="936" t="str">
        <f>IF(B45="","",AA$7)</f>
        <v/>
      </c>
      <c r="C44" s="936" t="str">
        <f>IF(C45="","",AB$7)</f>
        <v/>
      </c>
      <c r="D44" s="208"/>
      <c r="E44" s="207" t="str">
        <f ca="1">IF('1 Erklärung'!AA2="","",'6 Eingabe Azubis'!AP20)</f>
        <v/>
      </c>
      <c r="F44" s="3234" t="str">
        <f t="shared" ref="F44:Q44" si="15">IF(SUM(F45,F46)=0,Z44,SUM(F45,F46,Z44))</f>
        <v/>
      </c>
      <c r="G44" s="3234" t="str">
        <f t="shared" si="15"/>
        <v/>
      </c>
      <c r="H44" s="3234" t="str">
        <f t="shared" si="15"/>
        <v/>
      </c>
      <c r="I44" s="3234" t="str">
        <f t="shared" si="15"/>
        <v/>
      </c>
      <c r="J44" s="3234" t="str">
        <f t="shared" si="15"/>
        <v/>
      </c>
      <c r="K44" s="3234" t="str">
        <f t="shared" si="15"/>
        <v/>
      </c>
      <c r="L44" s="3234" t="str">
        <f t="shared" si="15"/>
        <v/>
      </c>
      <c r="M44" s="3234" t="str">
        <f t="shared" si="15"/>
        <v/>
      </c>
      <c r="N44" s="3234" t="str">
        <f t="shared" si="15"/>
        <v/>
      </c>
      <c r="O44" s="3234" t="str">
        <f t="shared" si="15"/>
        <v/>
      </c>
      <c r="P44" s="3234" t="str">
        <f t="shared" si="15"/>
        <v/>
      </c>
      <c r="Q44" s="3234" t="str">
        <f t="shared" si="15"/>
        <v/>
      </c>
      <c r="R44" s="894" t="str">
        <f ca="1">IF('1 Erklärung'!AA$2="","",IF(A44="","",SUM(F44:Q44)))</f>
        <v/>
      </c>
      <c r="S44" s="895"/>
      <c r="T44" s="1269" t="str">
        <f>IF(A44="","",SUM(R44,-R46,-R45))</f>
        <v/>
      </c>
      <c r="U44" s="1228" t="str">
        <f>IF(A44="","",IF(T44="","",$U$5))</f>
        <v/>
      </c>
      <c r="V44" s="1227" t="str">
        <f>IF(A44="","",SUM(T44,R45,T45))</f>
        <v/>
      </c>
      <c r="W44" s="1229" t="str">
        <f>IF(A44="","",IF(V44="","",$W$5))</f>
        <v/>
      </c>
      <c r="X44" s="206" t="str">
        <f>IF(A44="","",R44/COUNTIF(F44:Q44,"&gt;0"))</f>
        <v/>
      </c>
      <c r="Y44" s="920"/>
      <c r="Z44" s="1587" t="str">
        <f>IF('6 Eingabe Azubis'!K20&gt;0.4,'6 Eingabe Azubis'!$AP20*'6 Eingabe Azubis'!K20,"")</f>
        <v/>
      </c>
      <c r="AA44" s="1587" t="str">
        <f>IF('6 Eingabe Azubis'!L20&gt;0.4,'6 Eingabe Azubis'!$AP20*'6 Eingabe Azubis'!L20,"")</f>
        <v/>
      </c>
      <c r="AB44" s="1587" t="str">
        <f>IF('6 Eingabe Azubis'!M20&gt;0.4,'6 Eingabe Azubis'!$AP20*'6 Eingabe Azubis'!M20,"")</f>
        <v/>
      </c>
      <c r="AC44" s="1587" t="str">
        <f>IF('6 Eingabe Azubis'!N20&gt;0.4,'6 Eingabe Azubis'!$AP20*'6 Eingabe Azubis'!N20,"")</f>
        <v/>
      </c>
      <c r="AD44" s="1587" t="str">
        <f>IF('6 Eingabe Azubis'!O20&gt;0.4,'6 Eingabe Azubis'!$AP20*'6 Eingabe Azubis'!O20,"")</f>
        <v/>
      </c>
      <c r="AE44" s="1587" t="str">
        <f>IF('6 Eingabe Azubis'!P20&gt;0.4,'6 Eingabe Azubis'!$AP20*'6 Eingabe Azubis'!P20,"")</f>
        <v/>
      </c>
      <c r="AF44" s="1587" t="str">
        <f>IF('6 Eingabe Azubis'!Q20&gt;0.4,'6 Eingabe Azubis'!$AP20*'6 Eingabe Azubis'!Q20,"")</f>
        <v/>
      </c>
      <c r="AG44" s="1587" t="str">
        <f>IF('6 Eingabe Azubis'!R20&gt;0.4,'6 Eingabe Azubis'!$AP20*'6 Eingabe Azubis'!R20,"")</f>
        <v/>
      </c>
      <c r="AH44" s="1587" t="str">
        <f>IF('6 Eingabe Azubis'!S20&gt;0.4,'6 Eingabe Azubis'!$AP20*'6 Eingabe Azubis'!S20,"")</f>
        <v/>
      </c>
      <c r="AI44" s="1587" t="str">
        <f>IF('6 Eingabe Azubis'!T20&gt;0.4,'6 Eingabe Azubis'!$AP20*'6 Eingabe Azubis'!T20,"")</f>
        <v/>
      </c>
      <c r="AJ44" s="1587" t="str">
        <f>IF('6 Eingabe Azubis'!U20&gt;0.4,'6 Eingabe Azubis'!$AP20*'6 Eingabe Azubis'!U20,"")</f>
        <v/>
      </c>
      <c r="AK44" s="1587" t="str">
        <f>IF('6 Eingabe Azubis'!V20&gt;0.4,'6 Eingabe Azubis'!$AP20*'6 Eingabe Azubis'!V20,"")</f>
        <v/>
      </c>
      <c r="AL44" s="1592"/>
      <c r="AM44" s="1592"/>
      <c r="AN44" s="920"/>
      <c r="AO44" s="920"/>
      <c r="AP44" s="920"/>
    </row>
    <row r="45" spans="1:42" ht="24" customHeight="1">
      <c r="A45" s="937" t="str">
        <f>IF(SUM(AA45:AB45)=0,"",A$4)</f>
        <v/>
      </c>
      <c r="B45" s="1687" t="str">
        <f>IF(AA45=0,"",AA45)</f>
        <v/>
      </c>
      <c r="C45" s="1688" t="str">
        <f>IF(AB45=0,"",AB45)</f>
        <v/>
      </c>
      <c r="D45" s="3711" t="str">
        <f>IF(A44="","",$A$1)</f>
        <v/>
      </c>
      <c r="E45" s="3712"/>
      <c r="F45" s="2578"/>
      <c r="G45" s="2578"/>
      <c r="H45" s="2578"/>
      <c r="I45" s="2578"/>
      <c r="J45" s="2578"/>
      <c r="K45" s="2578"/>
      <c r="L45" s="2578"/>
      <c r="M45" s="2578"/>
      <c r="N45" s="2578"/>
      <c r="O45" s="2578"/>
      <c r="P45" s="2578"/>
      <c r="Q45" s="2578"/>
      <c r="R45" s="1221" t="str">
        <f>IF(A44="","",SUM(F45:Q45))</f>
        <v/>
      </c>
      <c r="S45" s="1222" t="str">
        <f>IF(A43="","",IF(R45="","",S$6))</f>
        <v/>
      </c>
      <c r="T45" s="1221" t="str">
        <f>IF(A44="","",(AL44*AC45))</f>
        <v/>
      </c>
      <c r="U45" s="1223" t="str">
        <f>IF(A44="","",IF(T45="","",U$6))</f>
        <v/>
      </c>
      <c r="V45" s="203" t="str">
        <f>IF(A44="","",SUM(V44)*IF(T44/COUNTIF(F44:Q44,"&gt;0")&lt;$X$4,$W$4,$V$4))</f>
        <v/>
      </c>
      <c r="W45" s="204" t="str">
        <f>IF(A44="","",IF(V45="","",W$6))</f>
        <v/>
      </c>
      <c r="X45" s="3715" t="str">
        <f>IF(A44="","",IF(X44="","",X$6))</f>
        <v/>
      </c>
      <c r="Y45" s="920">
        <f>SUM(F45:Q45)</f>
        <v>0</v>
      </c>
      <c r="Z45" s="920"/>
      <c r="AA45" s="1587">
        <f>'6 Eingabe Azubis'!C20</f>
        <v>0</v>
      </c>
      <c r="AB45" s="1587">
        <f>'6 Eingabe Azubis'!D20</f>
        <v>0</v>
      </c>
      <c r="AC45" s="1587">
        <f>'6 Eingabe Azubis'!E20</f>
        <v>0</v>
      </c>
      <c r="AD45" s="1587">
        <f>'6 Eingabe Azubis'!F20</f>
        <v>0</v>
      </c>
      <c r="AE45" s="1587">
        <f>'6 Eingabe Azubis'!G20</f>
        <v>0</v>
      </c>
      <c r="AF45" s="920"/>
      <c r="AG45" s="920"/>
      <c r="AH45" s="920"/>
      <c r="AI45" s="920"/>
      <c r="AJ45" s="920"/>
      <c r="AK45" s="920"/>
      <c r="AL45" s="1607" t="str">
        <f>'6 Eingabe Azubis'!AH21</f>
        <v/>
      </c>
      <c r="AM45" s="920"/>
      <c r="AN45" s="1592"/>
      <c r="AO45" s="1592"/>
      <c r="AP45" s="1592"/>
    </row>
    <row r="46" spans="1:42" ht="24" customHeight="1" thickBot="1">
      <c r="A46" s="938" t="str">
        <f>IF(SUM(AD45)=0,"",A$4)</f>
        <v/>
      </c>
      <c r="B46" s="1689"/>
      <c r="C46" s="1690" t="str">
        <f>IF(AD45=0,"",AD45)</f>
        <v/>
      </c>
      <c r="D46" s="3713" t="str">
        <f>IF(C46="","",$A$2)</f>
        <v/>
      </c>
      <c r="E46" s="3714"/>
      <c r="F46" s="2579"/>
      <c r="G46" s="2579"/>
      <c r="H46" s="2579"/>
      <c r="I46" s="2579"/>
      <c r="J46" s="2579"/>
      <c r="K46" s="2579"/>
      <c r="L46" s="2579"/>
      <c r="M46" s="2579"/>
      <c r="N46" s="2579"/>
      <c r="O46" s="2579"/>
      <c r="P46" s="2579"/>
      <c r="Q46" s="2580"/>
      <c r="R46" s="1224" t="str">
        <f>IF(A44="","",SUM(F46:Q46))</f>
        <v/>
      </c>
      <c r="S46" s="1225" t="str">
        <f>IF(A44="","",IF(R46="","",S$7))</f>
        <v/>
      </c>
      <c r="T46" s="1226" t="str">
        <f>IF(A44="","",(AE45*AL44))</f>
        <v/>
      </c>
      <c r="U46" s="1225" t="str">
        <f>IF(A44="","",IF(T46="","",U$7))</f>
        <v/>
      </c>
      <c r="V46" s="201" t="str">
        <f>IF(A44="","",SUM(V44:V45,R46,T46))</f>
        <v/>
      </c>
      <c r="W46" s="959" t="str">
        <f>IF(A44="","",IF(V46="","",W$7))</f>
        <v/>
      </c>
      <c r="X46" s="3716"/>
      <c r="Y46" s="920">
        <f>SUM(F46:Q46)</f>
        <v>0</v>
      </c>
      <c r="Z46" s="920"/>
      <c r="AA46" s="920"/>
      <c r="AB46" s="920"/>
      <c r="AC46" s="920"/>
      <c r="AD46" s="920"/>
      <c r="AE46" s="920"/>
      <c r="AF46" s="920"/>
      <c r="AG46" s="920"/>
      <c r="AH46" s="920"/>
      <c r="AI46" s="920"/>
      <c r="AJ46" s="920"/>
      <c r="AK46" s="920"/>
      <c r="AL46" s="1592"/>
      <c r="AM46" s="1592"/>
      <c r="AN46" s="1592"/>
      <c r="AO46" s="1592"/>
      <c r="AP46" s="1592"/>
    </row>
    <row r="47" spans="1:42" s="76" customFormat="1" ht="23.25" customHeight="1">
      <c r="A47" s="208" t="str">
        <f>IF('6 Eingabe Azubis'!A21="","",'6 Eingabe Azubis'!A21)</f>
        <v/>
      </c>
      <c r="B47" s="936" t="str">
        <f>IF(B48="","",AA$7)</f>
        <v/>
      </c>
      <c r="C47" s="936" t="str">
        <f>IF(C48="","",AB$7)</f>
        <v/>
      </c>
      <c r="D47" s="208"/>
      <c r="E47" s="207" t="str">
        <f ca="1">IF('1 Erklärung'!AA2="","",'6 Eingabe Azubis'!AP21)</f>
        <v/>
      </c>
      <c r="F47" s="3234" t="str">
        <f t="shared" ref="F47:Q47" si="16">IF(SUM(F48,F49)=0,Z47,SUM(F48,F49,Z47))</f>
        <v/>
      </c>
      <c r="G47" s="3234" t="str">
        <f t="shared" si="16"/>
        <v/>
      </c>
      <c r="H47" s="3234" t="str">
        <f t="shared" si="16"/>
        <v/>
      </c>
      <c r="I47" s="3234" t="str">
        <f t="shared" si="16"/>
        <v/>
      </c>
      <c r="J47" s="3234" t="str">
        <f t="shared" si="16"/>
        <v/>
      </c>
      <c r="K47" s="3234" t="str">
        <f t="shared" si="16"/>
        <v/>
      </c>
      <c r="L47" s="3234" t="str">
        <f t="shared" si="16"/>
        <v/>
      </c>
      <c r="M47" s="3234" t="str">
        <f t="shared" si="16"/>
        <v/>
      </c>
      <c r="N47" s="3234" t="str">
        <f t="shared" si="16"/>
        <v/>
      </c>
      <c r="O47" s="3234" t="str">
        <f t="shared" si="16"/>
        <v/>
      </c>
      <c r="P47" s="3234" t="str">
        <f t="shared" si="16"/>
        <v/>
      </c>
      <c r="Q47" s="3234" t="str">
        <f t="shared" si="16"/>
        <v/>
      </c>
      <c r="R47" s="894" t="str">
        <f ca="1">IF('1 Erklärung'!AA$2="","",IF(A47="","",SUM(F47:Q47)))</f>
        <v/>
      </c>
      <c r="S47" s="895"/>
      <c r="T47" s="1269" t="str">
        <f>IF(A47="","",SUM(R47,-R49,-R48))</f>
        <v/>
      </c>
      <c r="U47" s="1228" t="str">
        <f>IF(A47="","",IF(T47="","",$U$5))</f>
        <v/>
      </c>
      <c r="V47" s="1227" t="str">
        <f>IF(A47="","",SUM(T47,R48,T48))</f>
        <v/>
      </c>
      <c r="W47" s="1229" t="str">
        <f>IF(A47="","",IF(V47="","",$W$5))</f>
        <v/>
      </c>
      <c r="X47" s="206" t="str">
        <f>IF(A47="","",R47/COUNTIF(F47:Q47,"&gt;0"))</f>
        <v/>
      </c>
      <c r="Y47" s="920"/>
      <c r="Z47" s="1587" t="str">
        <f>IF('6 Eingabe Azubis'!K21&gt;0.4,'6 Eingabe Azubis'!$AP21*'6 Eingabe Azubis'!K21,"")</f>
        <v/>
      </c>
      <c r="AA47" s="1587" t="str">
        <f>IF('6 Eingabe Azubis'!L21&gt;0.4,'6 Eingabe Azubis'!$AP21*'6 Eingabe Azubis'!L21,"")</f>
        <v/>
      </c>
      <c r="AB47" s="1587" t="str">
        <f>IF('6 Eingabe Azubis'!M21&gt;0.4,'6 Eingabe Azubis'!$AP21*'6 Eingabe Azubis'!M21,"")</f>
        <v/>
      </c>
      <c r="AC47" s="1587" t="str">
        <f>IF('6 Eingabe Azubis'!N21&gt;0.4,'6 Eingabe Azubis'!$AP21*'6 Eingabe Azubis'!N21,"")</f>
        <v/>
      </c>
      <c r="AD47" s="1587" t="str">
        <f>IF('6 Eingabe Azubis'!O21&gt;0.4,'6 Eingabe Azubis'!$AP21*'6 Eingabe Azubis'!O21,"")</f>
        <v/>
      </c>
      <c r="AE47" s="1587" t="str">
        <f>IF('6 Eingabe Azubis'!P21&gt;0.4,'6 Eingabe Azubis'!$AP21*'6 Eingabe Azubis'!P21,"")</f>
        <v/>
      </c>
      <c r="AF47" s="1587" t="str">
        <f>IF('6 Eingabe Azubis'!Q21&gt;0.4,'6 Eingabe Azubis'!$AP21*'6 Eingabe Azubis'!Q21,"")</f>
        <v/>
      </c>
      <c r="AG47" s="1587" t="str">
        <f>IF('6 Eingabe Azubis'!R21&gt;0.4,'6 Eingabe Azubis'!$AP21*'6 Eingabe Azubis'!R21,"")</f>
        <v/>
      </c>
      <c r="AH47" s="1587" t="str">
        <f>IF('6 Eingabe Azubis'!S21&gt;0.4,'6 Eingabe Azubis'!$AP21*'6 Eingabe Azubis'!S21,"")</f>
        <v/>
      </c>
      <c r="AI47" s="1587" t="str">
        <f>IF('6 Eingabe Azubis'!T21&gt;0.4,'6 Eingabe Azubis'!$AP21*'6 Eingabe Azubis'!T21,"")</f>
        <v/>
      </c>
      <c r="AJ47" s="1587" t="str">
        <f>IF('6 Eingabe Azubis'!U21&gt;0.4,'6 Eingabe Azubis'!$AP21*'6 Eingabe Azubis'!U21,"")</f>
        <v/>
      </c>
      <c r="AK47" s="1587" t="str">
        <f>IF('6 Eingabe Azubis'!V21&gt;0.4,'6 Eingabe Azubis'!$AP21*'6 Eingabe Azubis'!V21,"")</f>
        <v/>
      </c>
      <c r="AL47" s="1592"/>
      <c r="AM47" s="1592"/>
      <c r="AN47" s="920"/>
      <c r="AO47" s="920"/>
      <c r="AP47" s="920"/>
    </row>
    <row r="48" spans="1:42" ht="24" customHeight="1">
      <c r="A48" s="937" t="str">
        <f>IF(SUM(AA48:AB48)=0,"",A$4)</f>
        <v/>
      </c>
      <c r="B48" s="1687" t="str">
        <f>IF(AA48=0,"",AA48)</f>
        <v/>
      </c>
      <c r="C48" s="1688" t="str">
        <f>IF(AB48=0,"",AB48)</f>
        <v/>
      </c>
      <c r="D48" s="3711" t="str">
        <f>IF(A47="","",$A$1)</f>
        <v/>
      </c>
      <c r="E48" s="3712"/>
      <c r="F48" s="2578"/>
      <c r="G48" s="2578"/>
      <c r="H48" s="2578"/>
      <c r="I48" s="2578"/>
      <c r="J48" s="2578"/>
      <c r="K48" s="2578"/>
      <c r="L48" s="2578"/>
      <c r="M48" s="2578"/>
      <c r="N48" s="2578"/>
      <c r="O48" s="2578"/>
      <c r="P48" s="2578"/>
      <c r="Q48" s="2578"/>
      <c r="R48" s="1221" t="str">
        <f>IF(A47="","",SUM(F48:Q48))</f>
        <v/>
      </c>
      <c r="S48" s="1222" t="str">
        <f>IF(A46="","",IF(R48="","",S$6))</f>
        <v/>
      </c>
      <c r="T48" s="1221" t="str">
        <f>IF(A47="","",(AL47*AC48))</f>
        <v/>
      </c>
      <c r="U48" s="1223" t="str">
        <f>IF(A47="","",IF(T48="","",U$6))</f>
        <v/>
      </c>
      <c r="V48" s="203" t="str">
        <f>IF(A47="","",SUM(V47)*IF(T47/COUNTIF(F47:Q47,"&gt;0")&lt;$X$4,$W$4,$V$4))</f>
        <v/>
      </c>
      <c r="W48" s="204" t="str">
        <f>IF(A47="","",IF(V48="","",W$6))</f>
        <v/>
      </c>
      <c r="X48" s="3715" t="str">
        <f>IF(A47="","",IF(X47="","",X$6))</f>
        <v/>
      </c>
      <c r="Y48" s="920">
        <f>SUM(F48:Q48)</f>
        <v>0</v>
      </c>
      <c r="Z48" s="920"/>
      <c r="AA48" s="1587">
        <f>'6 Eingabe Azubis'!C21</f>
        <v>0</v>
      </c>
      <c r="AB48" s="1587">
        <f>'6 Eingabe Azubis'!D21</f>
        <v>0</v>
      </c>
      <c r="AC48" s="1587">
        <f>'6 Eingabe Azubis'!E21</f>
        <v>0</v>
      </c>
      <c r="AD48" s="1587">
        <f>'6 Eingabe Azubis'!F21</f>
        <v>0</v>
      </c>
      <c r="AE48" s="1587">
        <f>'6 Eingabe Azubis'!G21</f>
        <v>0</v>
      </c>
      <c r="AF48" s="920"/>
      <c r="AG48" s="920"/>
      <c r="AH48" s="920"/>
      <c r="AI48" s="920"/>
      <c r="AJ48" s="920"/>
      <c r="AK48" s="920"/>
      <c r="AL48" s="1607" t="str">
        <f>'6 Eingabe Azubis'!AH22</f>
        <v/>
      </c>
      <c r="AM48" s="920"/>
      <c r="AN48" s="1592"/>
      <c r="AO48" s="1592"/>
      <c r="AP48" s="1592"/>
    </row>
    <row r="49" spans="1:42" ht="24" customHeight="1" thickBot="1">
      <c r="A49" s="938" t="str">
        <f>IF(SUM(AD48)=0,"",A$4)</f>
        <v/>
      </c>
      <c r="B49" s="1689"/>
      <c r="C49" s="1690" t="str">
        <f>IF(AD48=0,"",AD48)</f>
        <v/>
      </c>
      <c r="D49" s="3713" t="str">
        <f>IF(C49="","",$A$2)</f>
        <v/>
      </c>
      <c r="E49" s="3714"/>
      <c r="F49" s="2579"/>
      <c r="G49" s="2579"/>
      <c r="H49" s="2579"/>
      <c r="I49" s="2579"/>
      <c r="J49" s="2579"/>
      <c r="K49" s="2579"/>
      <c r="L49" s="2579"/>
      <c r="M49" s="2579"/>
      <c r="N49" s="2579"/>
      <c r="O49" s="2579"/>
      <c r="P49" s="2579"/>
      <c r="Q49" s="2580"/>
      <c r="R49" s="1224" t="str">
        <f>IF(A47="","",SUM(F49:Q49))</f>
        <v/>
      </c>
      <c r="S49" s="1225" t="str">
        <f>IF(A47="","",IF(R49="","",S$7))</f>
        <v/>
      </c>
      <c r="T49" s="1226" t="str">
        <f>IF(A47="","",(AE48*AL47))</f>
        <v/>
      </c>
      <c r="U49" s="1225" t="str">
        <f>IF(A47="","",IF(T49="","",U$7))</f>
        <v/>
      </c>
      <c r="V49" s="201" t="str">
        <f>IF(A47="","",SUM(V47:V48,R49,T49))</f>
        <v/>
      </c>
      <c r="W49" s="959" t="str">
        <f>IF(A47="","",IF(V49="","",W$7))</f>
        <v/>
      </c>
      <c r="X49" s="3716"/>
      <c r="Y49" s="920">
        <f>SUM(F49:Q49)</f>
        <v>0</v>
      </c>
      <c r="Z49" s="920"/>
      <c r="AA49" s="920"/>
      <c r="AB49" s="920"/>
      <c r="AC49" s="920"/>
      <c r="AD49" s="920"/>
      <c r="AE49" s="920"/>
      <c r="AF49" s="920"/>
      <c r="AG49" s="920"/>
      <c r="AH49" s="920"/>
      <c r="AI49" s="920"/>
      <c r="AJ49" s="920"/>
      <c r="AK49" s="920"/>
      <c r="AL49" s="1592"/>
      <c r="AM49" s="1592"/>
      <c r="AN49" s="1592"/>
      <c r="AO49" s="1592"/>
      <c r="AP49" s="1592"/>
    </row>
    <row r="50" spans="1:42" s="76" customFormat="1" ht="23.25" customHeight="1">
      <c r="A50" s="208" t="str">
        <f>IF('6 Eingabe Azubis'!A22="","",'6 Eingabe Azubis'!A22)</f>
        <v/>
      </c>
      <c r="B50" s="936" t="str">
        <f>IF(B51="","",AA$7)</f>
        <v/>
      </c>
      <c r="C50" s="936" t="str">
        <f>IF(C51="","",AB$7)</f>
        <v/>
      </c>
      <c r="D50" s="208"/>
      <c r="E50" s="207" t="str">
        <f ca="1">IF('1 Erklärung'!AA2="","",'6 Eingabe Azubis'!AP22)</f>
        <v/>
      </c>
      <c r="F50" s="3234" t="str">
        <f t="shared" ref="F50:Q50" si="17">IF(SUM(F51,F52)=0,Z50,SUM(F51,F52,Z50))</f>
        <v/>
      </c>
      <c r="G50" s="3234" t="str">
        <f t="shared" si="17"/>
        <v/>
      </c>
      <c r="H50" s="3234" t="str">
        <f t="shared" si="17"/>
        <v/>
      </c>
      <c r="I50" s="3234" t="str">
        <f t="shared" si="17"/>
        <v/>
      </c>
      <c r="J50" s="3234" t="str">
        <f t="shared" si="17"/>
        <v/>
      </c>
      <c r="K50" s="3234" t="str">
        <f t="shared" si="17"/>
        <v/>
      </c>
      <c r="L50" s="3234" t="str">
        <f t="shared" si="17"/>
        <v/>
      </c>
      <c r="M50" s="3234" t="str">
        <f t="shared" si="17"/>
        <v/>
      </c>
      <c r="N50" s="3234" t="str">
        <f t="shared" si="17"/>
        <v/>
      </c>
      <c r="O50" s="3234" t="str">
        <f t="shared" si="17"/>
        <v/>
      </c>
      <c r="P50" s="3234" t="str">
        <f t="shared" si="17"/>
        <v/>
      </c>
      <c r="Q50" s="3234" t="str">
        <f t="shared" si="17"/>
        <v/>
      </c>
      <c r="R50" s="894" t="str">
        <f ca="1">IF('1 Erklärung'!AA$2="","",IF(A50="","",SUM(F50:Q50)))</f>
        <v/>
      </c>
      <c r="S50" s="895"/>
      <c r="T50" s="1269" t="str">
        <f>IF(A50="","",SUM(R50,-R52,-R51))</f>
        <v/>
      </c>
      <c r="U50" s="1228" t="str">
        <f>IF(A50="","",IF(T50="","",$U$5))</f>
        <v/>
      </c>
      <c r="V50" s="1227" t="str">
        <f>IF(A50="","",SUM(T50,R51,T51))</f>
        <v/>
      </c>
      <c r="W50" s="1229" t="str">
        <f>IF(A50="","",IF(V50="","",$W$5))</f>
        <v/>
      </c>
      <c r="X50" s="206" t="str">
        <f>IF(A50="","",R50/COUNTIF(F50:Q50,"&gt;0"))</f>
        <v/>
      </c>
      <c r="Y50" s="920"/>
      <c r="Z50" s="1587" t="str">
        <f>IF('6 Eingabe Azubis'!K22&gt;0.4,'6 Eingabe Azubis'!$AP22*'6 Eingabe Azubis'!K22,"")</f>
        <v/>
      </c>
      <c r="AA50" s="1587" t="str">
        <f>IF('6 Eingabe Azubis'!L22&gt;0.4,'6 Eingabe Azubis'!$AP22*'6 Eingabe Azubis'!L22,"")</f>
        <v/>
      </c>
      <c r="AB50" s="1587" t="str">
        <f>IF('6 Eingabe Azubis'!M22&gt;0.4,'6 Eingabe Azubis'!$AP22*'6 Eingabe Azubis'!M22,"")</f>
        <v/>
      </c>
      <c r="AC50" s="1587" t="str">
        <f>IF('6 Eingabe Azubis'!N22&gt;0.4,'6 Eingabe Azubis'!$AP22*'6 Eingabe Azubis'!N22,"")</f>
        <v/>
      </c>
      <c r="AD50" s="1587" t="str">
        <f>IF('6 Eingabe Azubis'!O22&gt;0.4,'6 Eingabe Azubis'!$AP22*'6 Eingabe Azubis'!O22,"")</f>
        <v/>
      </c>
      <c r="AE50" s="1587" t="str">
        <f>IF('6 Eingabe Azubis'!P22&gt;0.4,'6 Eingabe Azubis'!$AP22*'6 Eingabe Azubis'!P22,"")</f>
        <v/>
      </c>
      <c r="AF50" s="1587" t="str">
        <f>IF('6 Eingabe Azubis'!Q22&gt;0.4,'6 Eingabe Azubis'!$AP22*'6 Eingabe Azubis'!Q22,"")</f>
        <v/>
      </c>
      <c r="AG50" s="1587" t="str">
        <f>IF('6 Eingabe Azubis'!R22&gt;0.4,'6 Eingabe Azubis'!$AP22*'6 Eingabe Azubis'!R22,"")</f>
        <v/>
      </c>
      <c r="AH50" s="1587" t="str">
        <f>IF('6 Eingabe Azubis'!S22&gt;0.4,'6 Eingabe Azubis'!$AP22*'6 Eingabe Azubis'!S22,"")</f>
        <v/>
      </c>
      <c r="AI50" s="1587" t="str">
        <f>IF('6 Eingabe Azubis'!T22&gt;0.4,'6 Eingabe Azubis'!$AP22*'6 Eingabe Azubis'!T22,"")</f>
        <v/>
      </c>
      <c r="AJ50" s="1587" t="str">
        <f>IF('6 Eingabe Azubis'!U22&gt;0.4,'6 Eingabe Azubis'!$AP22*'6 Eingabe Azubis'!U22,"")</f>
        <v/>
      </c>
      <c r="AK50" s="1587" t="str">
        <f>IF('6 Eingabe Azubis'!V22&gt;0.4,'6 Eingabe Azubis'!$AP22*'6 Eingabe Azubis'!V22,"")</f>
        <v/>
      </c>
      <c r="AL50" s="1592"/>
      <c r="AM50" s="1592"/>
      <c r="AN50" s="920"/>
      <c r="AO50" s="920"/>
      <c r="AP50" s="920"/>
    </row>
    <row r="51" spans="1:42" ht="24" customHeight="1">
      <c r="A51" s="937" t="str">
        <f>IF(SUM(AA51:AB51)=0,"",A$4)</f>
        <v/>
      </c>
      <c r="B51" s="1687" t="str">
        <f>IF(AA51=0,"",AA51)</f>
        <v/>
      </c>
      <c r="C51" s="1688" t="str">
        <f>IF(AB51=0,"",AB51)</f>
        <v/>
      </c>
      <c r="D51" s="3711" t="str">
        <f>IF(A50="","",$A$1)</f>
        <v/>
      </c>
      <c r="E51" s="3712"/>
      <c r="F51" s="2578"/>
      <c r="G51" s="2578"/>
      <c r="H51" s="2578"/>
      <c r="I51" s="2578"/>
      <c r="J51" s="2578"/>
      <c r="K51" s="2578"/>
      <c r="L51" s="2578"/>
      <c r="M51" s="2578"/>
      <c r="N51" s="2578"/>
      <c r="O51" s="2578"/>
      <c r="P51" s="2578"/>
      <c r="Q51" s="2578"/>
      <c r="R51" s="1221" t="str">
        <f>IF(A50="","",SUM(F51:Q51))</f>
        <v/>
      </c>
      <c r="S51" s="1222" t="str">
        <f>IF(A49="","",IF(R51="","",S$6))</f>
        <v/>
      </c>
      <c r="T51" s="1221" t="str">
        <f>IF(A50="","",(AL50*AC51))</f>
        <v/>
      </c>
      <c r="U51" s="1223" t="str">
        <f>IF(A50="","",IF(T51="","",U$6))</f>
        <v/>
      </c>
      <c r="V51" s="203" t="str">
        <f>IF(A50="","",SUM(V50)*IF(T50/COUNTIF(F50:Q50,"&gt;0")&lt;$X$4,$W$4,$V$4))</f>
        <v/>
      </c>
      <c r="W51" s="204" t="str">
        <f>IF(A50="","",IF(V51="","",W$6))</f>
        <v/>
      </c>
      <c r="X51" s="3715" t="str">
        <f>IF(A50="","",IF(X50="","",X$6))</f>
        <v/>
      </c>
      <c r="Y51" s="920">
        <f>SUM(F51:Q51)</f>
        <v>0</v>
      </c>
      <c r="Z51" s="920"/>
      <c r="AA51" s="1587">
        <f>'6 Eingabe Azubis'!C22</f>
        <v>0</v>
      </c>
      <c r="AB51" s="1587">
        <f>'6 Eingabe Azubis'!D22</f>
        <v>0</v>
      </c>
      <c r="AC51" s="1587">
        <f>'6 Eingabe Azubis'!E22</f>
        <v>0</v>
      </c>
      <c r="AD51" s="1587">
        <f>'6 Eingabe Azubis'!F22</f>
        <v>0</v>
      </c>
      <c r="AE51" s="1587">
        <f>'6 Eingabe Azubis'!G22</f>
        <v>0</v>
      </c>
      <c r="AF51" s="920"/>
      <c r="AG51" s="920"/>
      <c r="AH51" s="920"/>
      <c r="AI51" s="920"/>
      <c r="AJ51" s="920"/>
      <c r="AK51" s="920"/>
      <c r="AL51" s="1607" t="str">
        <f>'6 Eingabe Azubis'!AH23</f>
        <v/>
      </c>
      <c r="AM51" s="920"/>
      <c r="AN51" s="1592"/>
      <c r="AO51" s="1592"/>
      <c r="AP51" s="1592"/>
    </row>
    <row r="52" spans="1:42" ht="24" customHeight="1" thickBot="1">
      <c r="A52" s="938" t="str">
        <f>IF(SUM(AD51)=0,"",A$4)</f>
        <v/>
      </c>
      <c r="B52" s="1689"/>
      <c r="C52" s="1690" t="str">
        <f>IF(AD51=0,"",AD51)</f>
        <v/>
      </c>
      <c r="D52" s="3713" t="str">
        <f>IF(C52="","",$A$2)</f>
        <v/>
      </c>
      <c r="E52" s="3714"/>
      <c r="F52" s="2579"/>
      <c r="G52" s="2579"/>
      <c r="H52" s="2579"/>
      <c r="I52" s="2579"/>
      <c r="J52" s="2579"/>
      <c r="K52" s="2579"/>
      <c r="L52" s="2579"/>
      <c r="M52" s="2579"/>
      <c r="N52" s="2579"/>
      <c r="O52" s="2579"/>
      <c r="P52" s="2579"/>
      <c r="Q52" s="2580"/>
      <c r="R52" s="1224" t="str">
        <f>IF(A50="","",SUM(F52:Q52))</f>
        <v/>
      </c>
      <c r="S52" s="1225" t="str">
        <f>IF(A50="","",IF(R52="","",S$7))</f>
        <v/>
      </c>
      <c r="T52" s="1226" t="str">
        <f>IF(A50="","",(AE51*AL50))</f>
        <v/>
      </c>
      <c r="U52" s="1225" t="str">
        <f>IF(A50="","",IF(T52="","",U$7))</f>
        <v/>
      </c>
      <c r="V52" s="201" t="str">
        <f>IF(A50="","",SUM(V50:V51,R52,T52))</f>
        <v/>
      </c>
      <c r="W52" s="959" t="str">
        <f>IF(A50="","",IF(V52="","",W$7))</f>
        <v/>
      </c>
      <c r="X52" s="3716"/>
      <c r="Y52" s="920">
        <f>SUM(F52:Q52)</f>
        <v>0</v>
      </c>
      <c r="Z52" s="920"/>
      <c r="AA52" s="920"/>
      <c r="AB52" s="920"/>
      <c r="AC52" s="920"/>
      <c r="AD52" s="920"/>
      <c r="AE52" s="920"/>
      <c r="AF52" s="920"/>
      <c r="AG52" s="920"/>
      <c r="AH52" s="920"/>
      <c r="AI52" s="920"/>
      <c r="AJ52" s="920"/>
      <c r="AK52" s="920"/>
      <c r="AL52" s="1592"/>
      <c r="AM52" s="1592"/>
      <c r="AN52" s="1592"/>
      <c r="AO52" s="1592"/>
      <c r="AP52" s="1592"/>
    </row>
    <row r="53" spans="1:42">
      <c r="A53" s="615"/>
      <c r="B53" s="615"/>
      <c r="C53" s="615"/>
      <c r="D53" s="615"/>
      <c r="E53" s="615"/>
      <c r="F53" s="615"/>
      <c r="G53" s="615"/>
      <c r="H53" s="615"/>
      <c r="I53" s="615"/>
      <c r="J53" s="615"/>
      <c r="K53" s="615"/>
      <c r="L53" s="615"/>
      <c r="M53" s="615"/>
      <c r="N53" s="615"/>
      <c r="O53" s="615"/>
      <c r="P53" s="615"/>
      <c r="Q53" s="615"/>
      <c r="R53" s="615"/>
      <c r="S53" s="615"/>
      <c r="T53" s="615"/>
      <c r="U53" s="615"/>
      <c r="V53" s="615"/>
      <c r="W53" s="615"/>
      <c r="X53" s="615"/>
      <c r="Y53" s="615"/>
      <c r="Z53" s="615"/>
      <c r="AA53" s="615"/>
      <c r="AB53" s="34"/>
      <c r="AC53" s="34"/>
      <c r="AD53" s="34"/>
      <c r="AE53" s="1592"/>
      <c r="AF53" s="1592"/>
      <c r="AG53" s="1592"/>
      <c r="AH53" s="1592"/>
      <c r="AI53" s="1592"/>
      <c r="AJ53" s="1592"/>
      <c r="AK53" s="1592"/>
      <c r="AL53" s="1592"/>
      <c r="AM53" s="1592"/>
      <c r="AN53" s="1592"/>
      <c r="AO53" s="1592"/>
      <c r="AP53" s="1592"/>
    </row>
    <row r="54" spans="1:42">
      <c r="A54" s="615"/>
      <c r="B54" s="615"/>
      <c r="C54" s="615"/>
      <c r="D54" s="615"/>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4"/>
      <c r="AC54" s="34"/>
      <c r="AD54" s="34"/>
      <c r="AE54" s="1592"/>
      <c r="AF54" s="1592"/>
      <c r="AG54" s="1592"/>
      <c r="AH54" s="1592"/>
      <c r="AI54" s="1592"/>
      <c r="AJ54" s="1592"/>
      <c r="AK54" s="1592"/>
      <c r="AL54" s="1592"/>
      <c r="AM54" s="1592"/>
      <c r="AN54" s="1592"/>
      <c r="AO54" s="1592"/>
      <c r="AP54" s="1592"/>
    </row>
    <row r="55" spans="1:42" s="76" customFormat="1" ht="26.25" customHeight="1">
      <c r="A55" s="920"/>
      <c r="B55" s="920"/>
      <c r="C55" s="920"/>
      <c r="D55" s="920"/>
      <c r="E55" s="1576" t="s">
        <v>267</v>
      </c>
      <c r="F55" s="1593">
        <f t="shared" ref="F55:Q55" si="18">SUM(F5,F8,F11,F14,F17,F20,F23,F26,F29,F32,F35,F38,F41,F44,F47,F50,)</f>
        <v>1194</v>
      </c>
      <c r="G55" s="1593">
        <f t="shared" si="18"/>
        <v>1194</v>
      </c>
      <c r="H55" s="1593">
        <f t="shared" si="18"/>
        <v>1194</v>
      </c>
      <c r="I55" s="1593">
        <f t="shared" si="18"/>
        <v>1194</v>
      </c>
      <c r="J55" s="1593">
        <f t="shared" si="18"/>
        <v>1194</v>
      </c>
      <c r="K55" s="1593">
        <f t="shared" si="18"/>
        <v>1194</v>
      </c>
      <c r="L55" s="1593">
        <f t="shared" si="18"/>
        <v>1194</v>
      </c>
      <c r="M55" s="1593">
        <f t="shared" si="18"/>
        <v>1391.5</v>
      </c>
      <c r="N55" s="1593">
        <f t="shared" si="18"/>
        <v>1391.5</v>
      </c>
      <c r="O55" s="1593">
        <f t="shared" si="18"/>
        <v>1391.5</v>
      </c>
      <c r="P55" s="1593">
        <f t="shared" si="18"/>
        <v>1391.5</v>
      </c>
      <c r="Q55" s="1593">
        <f t="shared" si="18"/>
        <v>1391.5</v>
      </c>
      <c r="R55" s="1594">
        <f t="shared" ref="R55" ca="1" si="19">SUM(R5,R8,R11,R14,R17,R20,R23,R26,R29,R32,R35,R38,R41,R44,R47,R50,)</f>
        <v>15315.5</v>
      </c>
      <c r="S55" s="1595" t="s">
        <v>160</v>
      </c>
      <c r="T55" s="1594">
        <f ca="1">SUM(T5,T8,T11,T14,T17,T20,T23,T26,T29,T32,T35,T38,T41,T44,T47,T50,)</f>
        <v>15315.5</v>
      </c>
      <c r="U55" s="1595" t="s">
        <v>161</v>
      </c>
      <c r="V55" s="1594">
        <f ca="1">SUM(V5,V8,V11,V14,V17,V20,V23,V26,V29,V32,V35,V38,V41,V44,V47,V50,)</f>
        <v>15315.5</v>
      </c>
      <c r="W55" s="1595" t="s">
        <v>166</v>
      </c>
      <c r="X55" s="920"/>
      <c r="Y55" s="920"/>
      <c r="Z55" s="1587"/>
      <c r="AA55" s="920"/>
      <c r="AE55" s="920"/>
      <c r="AF55" s="920"/>
      <c r="AG55" s="920"/>
      <c r="AH55" s="920"/>
      <c r="AI55" s="920"/>
      <c r="AJ55" s="920"/>
      <c r="AK55" s="920"/>
      <c r="AL55" s="920"/>
      <c r="AM55" s="920"/>
      <c r="AN55" s="920"/>
      <c r="AO55" s="920"/>
      <c r="AP55" s="920"/>
    </row>
    <row r="56" spans="1:42" s="76" customFormat="1" ht="26.25" customHeight="1">
      <c r="A56" s="920"/>
      <c r="B56" s="920"/>
      <c r="C56" s="920"/>
      <c r="D56" s="920"/>
      <c r="E56" s="1576" t="s">
        <v>269</v>
      </c>
      <c r="F56" s="1593">
        <f t="shared" ref="F56:Q56" si="20">IF(F64=0,0,$R$56/$R$64)</f>
        <v>0</v>
      </c>
      <c r="G56" s="1593">
        <f t="shared" si="20"/>
        <v>0</v>
      </c>
      <c r="H56" s="1593">
        <f t="shared" si="20"/>
        <v>0</v>
      </c>
      <c r="I56" s="1593">
        <f t="shared" si="20"/>
        <v>0</v>
      </c>
      <c r="J56" s="1593">
        <f t="shared" si="20"/>
        <v>0</v>
      </c>
      <c r="K56" s="1593">
        <f t="shared" si="20"/>
        <v>0</v>
      </c>
      <c r="L56" s="1593">
        <f t="shared" si="20"/>
        <v>0</v>
      </c>
      <c r="M56" s="1593">
        <f t="shared" si="20"/>
        <v>0</v>
      </c>
      <c r="N56" s="1593">
        <f t="shared" si="20"/>
        <v>0</v>
      </c>
      <c r="O56" s="1593">
        <f t="shared" si="20"/>
        <v>0</v>
      </c>
      <c r="P56" s="1593">
        <f t="shared" si="20"/>
        <v>0</v>
      </c>
      <c r="Q56" s="1593">
        <f t="shared" si="20"/>
        <v>0</v>
      </c>
      <c r="R56" s="1594">
        <f>SUM(R6,R9,R12,R15,R18,R21,R24,R27,R30,R33,R36,R39,R42,R45,R48,R51,)</f>
        <v>0</v>
      </c>
      <c r="S56" s="1595" t="s">
        <v>164</v>
      </c>
      <c r="T56" s="1594">
        <f>SUM(T6,T9,T12,T15,T18,T21,T24,T27,T30,T33,T36,T39,T42,T45,T48,T51,)</f>
        <v>0</v>
      </c>
      <c r="U56" s="1604" t="s">
        <v>165</v>
      </c>
      <c r="V56" s="1594">
        <f ca="1">SUM(V6,V9,V12,V15,V18,V21,V24,V27,V30,V33,V36,V39,V42,V45,V48,V51,)</f>
        <v>3828.875</v>
      </c>
      <c r="W56" s="1595" t="s">
        <v>158</v>
      </c>
      <c r="X56" s="920"/>
      <c r="Y56" s="920"/>
      <c r="Z56" s="920"/>
      <c r="AA56" s="920"/>
    </row>
    <row r="57" spans="1:42" s="76" customFormat="1" ht="26.25" customHeight="1" thickBot="1">
      <c r="A57" s="920"/>
      <c r="B57" s="920"/>
      <c r="C57" s="920"/>
      <c r="D57" s="920"/>
      <c r="E57" s="1576" t="s">
        <v>268</v>
      </c>
      <c r="F57" s="1593">
        <f t="shared" ref="F57:Q57" si="21">IF(F64=0,0,F55-F56+($T56/$R$64))</f>
        <v>1194</v>
      </c>
      <c r="G57" s="1593">
        <f t="shared" si="21"/>
        <v>1194</v>
      </c>
      <c r="H57" s="1593">
        <f t="shared" si="21"/>
        <v>1194</v>
      </c>
      <c r="I57" s="1593">
        <f t="shared" si="21"/>
        <v>1194</v>
      </c>
      <c r="J57" s="1593">
        <f t="shared" si="21"/>
        <v>1194</v>
      </c>
      <c r="K57" s="1593">
        <f t="shared" si="21"/>
        <v>1194</v>
      </c>
      <c r="L57" s="1593">
        <f t="shared" si="21"/>
        <v>1194</v>
      </c>
      <c r="M57" s="1593">
        <f t="shared" si="21"/>
        <v>1391.5</v>
      </c>
      <c r="N57" s="1593">
        <f t="shared" si="21"/>
        <v>1391.5</v>
      </c>
      <c r="O57" s="1593">
        <f t="shared" si="21"/>
        <v>1391.5</v>
      </c>
      <c r="P57" s="1593">
        <f t="shared" si="21"/>
        <v>1391.5</v>
      </c>
      <c r="Q57" s="1593">
        <f t="shared" si="21"/>
        <v>1391.5</v>
      </c>
      <c r="R57" s="1594">
        <f>SUM(R7,R10,R13,R16,R19,R22,R25,R28,R31,R34,R37,R40,R43,R46,R49,R52,)</f>
        <v>0</v>
      </c>
      <c r="S57" s="1605" t="s">
        <v>163</v>
      </c>
      <c r="T57" s="1594">
        <f>SUM(T7,T10,T13,T16,T19,T22,T25,T28,T31,T34,T37,T40,T43,T46,T49,T52,)</f>
        <v>0</v>
      </c>
      <c r="U57" s="1605" t="s">
        <v>159</v>
      </c>
      <c r="V57" s="1594">
        <f ca="1">SUM(V7,V10,V13,V16,V19,V22,V25,V28,V31,V34,V37,V40,V43,V46,V49,V52,)</f>
        <v>19144.375</v>
      </c>
      <c r="W57" s="1605" t="s">
        <v>167</v>
      </c>
      <c r="X57" s="920"/>
      <c r="Y57" s="920"/>
      <c r="Z57" s="920"/>
      <c r="AA57" s="920"/>
    </row>
    <row r="58" spans="1:42" s="76" customFormat="1" ht="20.25" customHeight="1">
      <c r="A58" s="920"/>
      <c r="B58" s="920"/>
      <c r="C58" s="920"/>
      <c r="D58" s="920"/>
      <c r="E58" s="920" t="s">
        <v>270</v>
      </c>
      <c r="F58" s="1538">
        <f t="shared" ref="F58:Q58" ca="1" si="22">IF(F64=0,0,$V56/$R$64)</f>
        <v>319.07291666666669</v>
      </c>
      <c r="G58" s="1538">
        <f t="shared" ca="1" si="22"/>
        <v>319.07291666666669</v>
      </c>
      <c r="H58" s="1538">
        <f t="shared" ca="1" si="22"/>
        <v>319.07291666666669</v>
      </c>
      <c r="I58" s="1538">
        <f t="shared" ca="1" si="22"/>
        <v>319.07291666666669</v>
      </c>
      <c r="J58" s="1538">
        <f t="shared" ca="1" si="22"/>
        <v>319.07291666666669</v>
      </c>
      <c r="K58" s="1538">
        <f t="shared" ca="1" si="22"/>
        <v>319.07291666666669</v>
      </c>
      <c r="L58" s="1538">
        <f t="shared" ca="1" si="22"/>
        <v>319.07291666666669</v>
      </c>
      <c r="M58" s="1538">
        <f t="shared" ca="1" si="22"/>
        <v>319.07291666666669</v>
      </c>
      <c r="N58" s="1538">
        <f t="shared" ca="1" si="22"/>
        <v>319.07291666666669</v>
      </c>
      <c r="O58" s="1538">
        <f t="shared" ca="1" si="22"/>
        <v>319.07291666666669</v>
      </c>
      <c r="P58" s="1538">
        <f t="shared" ca="1" si="22"/>
        <v>319.07291666666669</v>
      </c>
      <c r="Q58" s="1538">
        <f t="shared" ca="1" si="22"/>
        <v>319.07291666666669</v>
      </c>
      <c r="R58" s="920"/>
      <c r="S58" s="920"/>
      <c r="T58" s="920"/>
      <c r="U58" s="920"/>
      <c r="V58" s="920"/>
      <c r="W58" s="920"/>
      <c r="X58" s="920"/>
      <c r="Y58" s="920"/>
      <c r="Z58" s="920"/>
      <c r="AA58" s="920"/>
    </row>
    <row r="59" spans="1:42" s="76" customFormat="1" ht="20.25" customHeight="1">
      <c r="A59" s="920"/>
      <c r="B59" s="920"/>
      <c r="C59" s="920"/>
      <c r="D59" s="920"/>
      <c r="E59" s="920" t="s">
        <v>271</v>
      </c>
      <c r="F59" s="1538">
        <f t="shared" ref="F59:Q59" ca="1" si="23">IF(F64=0,0,SUM(F56:F58)+(($T57+$R57)/$R$64))</f>
        <v>1513.0729166666667</v>
      </c>
      <c r="G59" s="1538">
        <f t="shared" ca="1" si="23"/>
        <v>1513.0729166666667</v>
      </c>
      <c r="H59" s="1538">
        <f t="shared" ca="1" si="23"/>
        <v>1513.0729166666667</v>
      </c>
      <c r="I59" s="1538">
        <f t="shared" ca="1" si="23"/>
        <v>1513.0729166666667</v>
      </c>
      <c r="J59" s="1538">
        <f t="shared" ca="1" si="23"/>
        <v>1513.0729166666667</v>
      </c>
      <c r="K59" s="1538">
        <f t="shared" ca="1" si="23"/>
        <v>1513.0729166666667</v>
      </c>
      <c r="L59" s="1538">
        <f t="shared" ca="1" si="23"/>
        <v>1513.0729166666667</v>
      </c>
      <c r="M59" s="1538">
        <f t="shared" ca="1" si="23"/>
        <v>1710.5729166666667</v>
      </c>
      <c r="N59" s="1538">
        <f t="shared" ca="1" si="23"/>
        <v>1710.5729166666667</v>
      </c>
      <c r="O59" s="1538">
        <f t="shared" ca="1" si="23"/>
        <v>1710.5729166666667</v>
      </c>
      <c r="P59" s="1538">
        <f t="shared" ca="1" si="23"/>
        <v>1710.5729166666667</v>
      </c>
      <c r="Q59" s="1538">
        <f t="shared" ca="1" si="23"/>
        <v>1710.5729166666667</v>
      </c>
      <c r="R59" s="1596">
        <f ca="1">SUM(F59:Q59)</f>
        <v>19144.375</v>
      </c>
      <c r="S59" s="1597" t="s">
        <v>167</v>
      </c>
      <c r="T59" s="920"/>
      <c r="U59" s="920"/>
      <c r="V59" s="920"/>
      <c r="W59" s="920"/>
      <c r="X59" s="920"/>
      <c r="Y59" s="920"/>
      <c r="Z59" s="920"/>
      <c r="AA59" s="920"/>
    </row>
    <row r="60" spans="1:42">
      <c r="A60" s="615"/>
      <c r="B60" s="615"/>
      <c r="C60" s="615"/>
      <c r="D60" s="615"/>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34"/>
      <c r="AC60" s="34"/>
      <c r="AD60" s="34"/>
    </row>
    <row r="61" spans="1:42">
      <c r="A61" s="920"/>
      <c r="B61" s="1606"/>
      <c r="C61" s="1606"/>
      <c r="D61" s="1598">
        <f>'7 Verteil. auf Monate Friseure'!C132</f>
        <v>0.99199999999999999</v>
      </c>
      <c r="E61" s="920" t="s">
        <v>452</v>
      </c>
      <c r="F61" s="1587">
        <f t="shared" ref="F61:Q61" si="24">(F57/$D61)*(1-$D61)</f>
        <v>9.6290322580645249</v>
      </c>
      <c r="G61" s="1587">
        <f t="shared" si="24"/>
        <v>9.6290322580645249</v>
      </c>
      <c r="H61" s="1587">
        <f t="shared" si="24"/>
        <v>9.6290322580645249</v>
      </c>
      <c r="I61" s="1587">
        <f t="shared" si="24"/>
        <v>9.6290322580645249</v>
      </c>
      <c r="J61" s="1587">
        <f t="shared" si="24"/>
        <v>9.6290322580645249</v>
      </c>
      <c r="K61" s="1587">
        <f t="shared" si="24"/>
        <v>9.6290322580645249</v>
      </c>
      <c r="L61" s="1587">
        <f t="shared" si="24"/>
        <v>9.6290322580645249</v>
      </c>
      <c r="M61" s="1587">
        <f t="shared" si="24"/>
        <v>11.221774193548397</v>
      </c>
      <c r="N61" s="1587">
        <f t="shared" si="24"/>
        <v>11.221774193548397</v>
      </c>
      <c r="O61" s="1587">
        <f t="shared" si="24"/>
        <v>11.221774193548397</v>
      </c>
      <c r="P61" s="1587">
        <f t="shared" si="24"/>
        <v>11.221774193548397</v>
      </c>
      <c r="Q61" s="1587">
        <f t="shared" si="24"/>
        <v>11.221774193548397</v>
      </c>
      <c r="R61" s="1587">
        <f>SUM(F61:Q61)</f>
        <v>123.51209677419367</v>
      </c>
      <c r="S61" s="615"/>
      <c r="T61" s="615"/>
      <c r="U61" s="615"/>
      <c r="V61" s="615"/>
      <c r="W61" s="615"/>
      <c r="X61" s="615"/>
      <c r="Y61" s="615"/>
      <c r="Z61" s="615"/>
      <c r="AA61" s="615"/>
      <c r="AB61" s="34"/>
      <c r="AC61" s="34"/>
      <c r="AD61" s="34"/>
    </row>
    <row r="62" spans="1:42" ht="18" customHeight="1">
      <c r="A62" s="615"/>
      <c r="B62" s="615"/>
      <c r="C62" s="615"/>
      <c r="D62" s="615"/>
      <c r="E62" s="615"/>
      <c r="F62" s="615"/>
      <c r="G62" s="615"/>
      <c r="H62" s="615"/>
      <c r="I62" s="615"/>
      <c r="J62" s="615"/>
      <c r="K62" s="615"/>
      <c r="L62" s="615"/>
      <c r="M62" s="615"/>
      <c r="N62" s="615"/>
      <c r="O62" s="615"/>
      <c r="P62" s="615"/>
      <c r="Q62" s="615"/>
      <c r="R62" s="615"/>
      <c r="S62" s="615"/>
      <c r="T62" s="615"/>
      <c r="U62" s="615"/>
      <c r="V62" s="615"/>
      <c r="W62" s="615"/>
      <c r="X62" s="615"/>
      <c r="Y62" s="615"/>
      <c r="Z62" s="615"/>
      <c r="AA62" s="615"/>
      <c r="AB62" s="34"/>
      <c r="AC62" s="34"/>
      <c r="AD62" s="34"/>
    </row>
    <row r="63" spans="1:42">
      <c r="A63" s="615"/>
      <c r="B63" s="615"/>
      <c r="C63" s="615"/>
      <c r="D63" s="615"/>
      <c r="E63" s="615"/>
      <c r="F63" s="615"/>
      <c r="G63" s="615"/>
      <c r="H63" s="615"/>
      <c r="I63" s="615"/>
      <c r="J63" s="615"/>
      <c r="K63" s="615"/>
      <c r="L63" s="615"/>
      <c r="M63" s="615"/>
      <c r="N63" s="615"/>
      <c r="O63" s="615"/>
      <c r="P63" s="615"/>
      <c r="Q63" s="615"/>
      <c r="R63" s="615"/>
      <c r="S63" s="615"/>
      <c r="T63" s="615"/>
      <c r="U63" s="615"/>
      <c r="V63" s="615"/>
      <c r="W63" s="615"/>
      <c r="X63" s="615"/>
      <c r="Y63" s="615"/>
      <c r="Z63" s="615"/>
      <c r="AA63" s="615"/>
      <c r="AB63" s="34"/>
      <c r="AC63" s="34"/>
      <c r="AD63" s="34"/>
    </row>
    <row r="64" spans="1:42">
      <c r="A64" s="615"/>
      <c r="B64" s="615"/>
      <c r="C64" s="615"/>
      <c r="D64" s="615"/>
      <c r="E64" s="615"/>
      <c r="F64" s="920">
        <f>'2 Unternehmensdaten'!B26</f>
        <v>1</v>
      </c>
      <c r="G64" s="920">
        <f>'2 Unternehmensdaten'!C26</f>
        <v>1</v>
      </c>
      <c r="H64" s="920">
        <f>'2 Unternehmensdaten'!D26</f>
        <v>1</v>
      </c>
      <c r="I64" s="920">
        <f>'2 Unternehmensdaten'!E26</f>
        <v>1</v>
      </c>
      <c r="J64" s="920">
        <f>'2 Unternehmensdaten'!F26</f>
        <v>1</v>
      </c>
      <c r="K64" s="920">
        <f>'2 Unternehmensdaten'!G26</f>
        <v>1</v>
      </c>
      <c r="L64" s="920">
        <f>'2 Unternehmensdaten'!B28</f>
        <v>1</v>
      </c>
      <c r="M64" s="920">
        <f>'2 Unternehmensdaten'!C28</f>
        <v>1</v>
      </c>
      <c r="N64" s="920">
        <f>'2 Unternehmensdaten'!D28</f>
        <v>1</v>
      </c>
      <c r="O64" s="920">
        <f>'2 Unternehmensdaten'!E28</f>
        <v>1</v>
      </c>
      <c r="P64" s="920">
        <f>'2 Unternehmensdaten'!F28</f>
        <v>1</v>
      </c>
      <c r="Q64" s="920">
        <f>'2 Unternehmensdaten'!G28</f>
        <v>1</v>
      </c>
      <c r="R64" s="920">
        <f>SUM(F64:Q64)</f>
        <v>12</v>
      </c>
      <c r="S64" s="615"/>
      <c r="T64" s="615"/>
      <c r="U64" s="615"/>
      <c r="V64" s="615"/>
      <c r="W64" s="615"/>
      <c r="X64" s="615"/>
      <c r="Y64" s="615"/>
      <c r="Z64" s="615"/>
      <c r="AA64" s="615"/>
      <c r="AB64" s="34"/>
      <c r="AC64" s="34"/>
      <c r="AD64" s="34"/>
    </row>
    <row r="65" spans="1:30">
      <c r="A65" s="615"/>
      <c r="B65" s="615"/>
      <c r="C65" s="615"/>
      <c r="D65" s="615"/>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34"/>
      <c r="AC65" s="34"/>
      <c r="AD65" s="34"/>
    </row>
    <row r="66" spans="1:30">
      <c r="A66" s="615"/>
      <c r="B66" s="615"/>
      <c r="C66" s="615"/>
      <c r="D66" s="615"/>
      <c r="E66" s="615"/>
      <c r="F66" s="615"/>
      <c r="G66" s="615"/>
      <c r="H66" s="615"/>
      <c r="I66" s="615"/>
      <c r="J66" s="615"/>
      <c r="K66" s="615"/>
      <c r="L66" s="615"/>
      <c r="M66" s="615"/>
      <c r="N66" s="615"/>
      <c r="O66" s="615"/>
      <c r="P66" s="615"/>
      <c r="Q66" s="615"/>
      <c r="R66" s="615"/>
      <c r="S66" s="615"/>
      <c r="T66" s="615"/>
      <c r="U66" s="615"/>
      <c r="V66" s="615"/>
      <c r="W66" s="615"/>
      <c r="X66" s="615"/>
      <c r="Y66" s="615"/>
      <c r="Z66" s="615"/>
      <c r="AA66" s="615"/>
      <c r="AB66" s="34"/>
      <c r="AC66" s="34"/>
      <c r="AD66" s="34"/>
    </row>
    <row r="67" spans="1:30">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c r="A76"/>
      <c r="B76"/>
      <c r="C76"/>
      <c r="D76"/>
      <c r="E76"/>
      <c r="F76"/>
      <c r="G76"/>
      <c r="H76"/>
      <c r="I76"/>
      <c r="J76"/>
      <c r="K76"/>
      <c r="L76"/>
      <c r="M76"/>
      <c r="N76"/>
      <c r="O76"/>
      <c r="P76"/>
      <c r="Q76"/>
      <c r="R76"/>
      <c r="S76"/>
      <c r="T76"/>
      <c r="U76"/>
      <c r="V76"/>
      <c r="W76"/>
      <c r="X76"/>
    </row>
    <row r="77" spans="1:30">
      <c r="A77"/>
      <c r="B77"/>
      <c r="C77"/>
      <c r="D77"/>
      <c r="E77"/>
      <c r="F77"/>
      <c r="G77"/>
      <c r="H77"/>
      <c r="I77"/>
      <c r="J77"/>
      <c r="K77"/>
      <c r="L77"/>
      <c r="M77"/>
      <c r="N77"/>
      <c r="O77"/>
      <c r="P77"/>
      <c r="Q77"/>
      <c r="R77"/>
      <c r="S77"/>
      <c r="T77"/>
      <c r="U77"/>
      <c r="V77"/>
      <c r="W77"/>
      <c r="X77"/>
    </row>
    <row r="78" spans="1:30">
      <c r="A78"/>
      <c r="B78"/>
      <c r="C78"/>
      <c r="D78"/>
      <c r="E78"/>
      <c r="F78"/>
      <c r="G78"/>
      <c r="H78"/>
      <c r="I78"/>
      <c r="J78"/>
      <c r="K78"/>
      <c r="L78"/>
      <c r="M78"/>
      <c r="N78"/>
      <c r="O78"/>
      <c r="P78"/>
      <c r="Q78"/>
      <c r="R78"/>
      <c r="S78"/>
      <c r="T78"/>
      <c r="U78"/>
      <c r="V78"/>
      <c r="W78"/>
      <c r="X78"/>
    </row>
    <row r="79" spans="1:30">
      <c r="A79"/>
      <c r="B79"/>
      <c r="C79"/>
      <c r="D79"/>
      <c r="E79"/>
      <c r="F79"/>
      <c r="G79"/>
      <c r="H79"/>
      <c r="I79"/>
      <c r="J79"/>
      <c r="K79"/>
      <c r="L79"/>
      <c r="M79"/>
      <c r="N79"/>
      <c r="O79"/>
      <c r="P79"/>
      <c r="Q79"/>
      <c r="R79"/>
      <c r="S79"/>
      <c r="T79"/>
      <c r="U79"/>
      <c r="V79"/>
      <c r="W79"/>
      <c r="X79"/>
    </row>
    <row r="80" spans="1:30">
      <c r="A80"/>
      <c r="B80"/>
      <c r="C80"/>
      <c r="D80"/>
      <c r="E80"/>
      <c r="F80"/>
      <c r="G80"/>
      <c r="H80"/>
      <c r="I80"/>
      <c r="J80"/>
      <c r="K80"/>
      <c r="L80"/>
      <c r="M80"/>
      <c r="N80"/>
      <c r="O80"/>
      <c r="P80"/>
      <c r="Q80"/>
      <c r="R80"/>
      <c r="S80"/>
      <c r="T80"/>
      <c r="U80"/>
      <c r="V80"/>
      <c r="W80"/>
      <c r="X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sheetData>
  <sheetProtection algorithmName="SHA-512" hashValue="YqlgnVcvo+SJgvh4gOebWQEA823DMB5L7iWmtzXG0Q124Pnb/W1RE/D21wbf5x1/Ru0Sakn5pZE4XHdWLXOTrw==" saltValue="nLzH2Nfzpt0MPw8t82+bPg==" spinCount="100000" sheet="1" objects="1" scenarios="1"/>
  <customSheetViews>
    <customSheetView guid="{91EE9386-9500-473B-B86C-27DB8DF0BA46}" showGridLines="0">
      <pageMargins left="0.25" right="0.25" top="0.75" bottom="0.75" header="0.3" footer="0.3"/>
      <pageSetup paperSize="9" scale="50" orientation="landscape" r:id="rId1"/>
    </customSheetView>
    <customSheetView guid="{B8019777-F14C-4393-8CE3-CE0081D0CD28}" showGridLines="0">
      <selection activeCell="B1" sqref="B1:R2"/>
      <pageMargins left="0.25" right="0.25" top="0.75" bottom="0.75" header="0.3" footer="0.3"/>
      <pageSetup paperSize="9" scale="50" orientation="landscape" horizontalDpi="4294967293" r:id="rId2"/>
    </customSheetView>
  </customSheetViews>
  <mergeCells count="56">
    <mergeCell ref="D52:E52"/>
    <mergeCell ref="D28:E28"/>
    <mergeCell ref="D30:E30"/>
    <mergeCell ref="D31:E31"/>
    <mergeCell ref="D33:E33"/>
    <mergeCell ref="D34:E34"/>
    <mergeCell ref="D37:E37"/>
    <mergeCell ref="D39:E39"/>
    <mergeCell ref="D40:E40"/>
    <mergeCell ref="D42:E42"/>
    <mergeCell ref="D43:E43"/>
    <mergeCell ref="D45:E45"/>
    <mergeCell ref="D51:E51"/>
    <mergeCell ref="D46:E46"/>
    <mergeCell ref="D7:E7"/>
    <mergeCell ref="D36:E36"/>
    <mergeCell ref="D16:E16"/>
    <mergeCell ref="D18:E18"/>
    <mergeCell ref="D19:E19"/>
    <mergeCell ref="D21:E21"/>
    <mergeCell ref="D22:E22"/>
    <mergeCell ref="D24:E24"/>
    <mergeCell ref="D25:E25"/>
    <mergeCell ref="D27:E27"/>
    <mergeCell ref="X51:X52"/>
    <mergeCell ref="X39:X40"/>
    <mergeCell ref="F3:I3"/>
    <mergeCell ref="B3:C3"/>
    <mergeCell ref="B4:C4"/>
    <mergeCell ref="D6:E6"/>
    <mergeCell ref="X42:X43"/>
    <mergeCell ref="X33:X34"/>
    <mergeCell ref="X36:X37"/>
    <mergeCell ref="X6:X7"/>
    <mergeCell ref="X9:X10"/>
    <mergeCell ref="X12:X13"/>
    <mergeCell ref="X15:X16"/>
    <mergeCell ref="X18:X19"/>
    <mergeCell ref="X21:X22"/>
    <mergeCell ref="X24:X25"/>
    <mergeCell ref="O1:P2"/>
    <mergeCell ref="Q1:U2"/>
    <mergeCell ref="B2:M2"/>
    <mergeCell ref="X45:X46"/>
    <mergeCell ref="X48:X49"/>
    <mergeCell ref="X27:X28"/>
    <mergeCell ref="X30:X31"/>
    <mergeCell ref="D9:E9"/>
    <mergeCell ref="D10:E10"/>
    <mergeCell ref="D12:E12"/>
    <mergeCell ref="D13:E13"/>
    <mergeCell ref="D15:E15"/>
    <mergeCell ref="B1:M1"/>
    <mergeCell ref="D48:E48"/>
    <mergeCell ref="D49:E49"/>
    <mergeCell ref="M3:R3"/>
  </mergeCells>
  <pageMargins left="0.25" right="0.25" top="0.75" bottom="0.75" header="0.3" footer="0.3"/>
  <pageSetup paperSize="9" scale="65" orientation="landscape" horizontalDpi="4294967293"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49"/>
  <sheetViews>
    <sheetView showGridLines="0" showWhiteSpace="0" zoomScale="70" zoomScaleNormal="70" workbookViewId="0">
      <selection activeCell="B13" sqref="B13"/>
    </sheetView>
  </sheetViews>
  <sheetFormatPr baseColWidth="10" defaultColWidth="11" defaultRowHeight="15"/>
  <cols>
    <col min="1" max="1" width="22.5546875" style="3" customWidth="1"/>
    <col min="2" max="13" width="10.44140625" style="3" customWidth="1"/>
    <col min="14" max="15" width="12.44140625" style="3" customWidth="1"/>
    <col min="16" max="16" width="6.44140625" style="3" customWidth="1"/>
    <col min="17" max="17" width="7.44140625" style="3" customWidth="1"/>
    <col min="18" max="18" width="10" style="3" customWidth="1"/>
    <col min="21" max="24" width="11" style="3"/>
    <col min="28" max="16384" width="11" style="3"/>
  </cols>
  <sheetData>
    <row r="1" spans="1:31" s="78" customFormat="1" ht="77.25" customHeight="1">
      <c r="A1" s="627"/>
      <c r="B1" s="3736" t="s">
        <v>458</v>
      </c>
      <c r="C1" s="3736"/>
      <c r="D1" s="3736"/>
      <c r="E1" s="3736"/>
      <c r="F1" s="3736"/>
      <c r="G1" s="3736"/>
      <c r="H1" s="3736"/>
      <c r="I1" s="3736"/>
      <c r="J1" s="3736"/>
      <c r="K1" s="3736"/>
      <c r="L1" s="3736"/>
      <c r="M1" s="3736"/>
      <c r="N1" s="3736"/>
      <c r="O1" s="3671" t="s">
        <v>802</v>
      </c>
      <c r="P1" s="3671"/>
      <c r="Q1" s="3671"/>
    </row>
    <row r="2" spans="1:31" s="78" customFormat="1" ht="30.75" customHeight="1">
      <c r="A2" s="627"/>
      <c r="B2" s="78" t="s">
        <v>497</v>
      </c>
      <c r="C2" s="672"/>
      <c r="D2" s="672"/>
      <c r="E2" s="672"/>
      <c r="F2" s="672"/>
      <c r="G2" s="672"/>
      <c r="H2" s="664"/>
      <c r="I2" s="664"/>
      <c r="J2" s="664"/>
      <c r="K2" s="664"/>
      <c r="L2" s="664"/>
      <c r="M2" s="664"/>
      <c r="N2" s="664"/>
      <c r="P2" s="3740"/>
      <c r="Q2" s="3741"/>
    </row>
    <row r="3" spans="1:31" s="78" customFormat="1" ht="42" customHeight="1">
      <c r="A3" s="627"/>
      <c r="B3" s="3731" t="s">
        <v>500</v>
      </c>
      <c r="C3" s="3732"/>
      <c r="D3" s="3732"/>
      <c r="E3" s="3732"/>
      <c r="F3" s="3732"/>
      <c r="G3" s="673"/>
      <c r="I3" s="3738" t="s">
        <v>498</v>
      </c>
      <c r="J3" s="3738"/>
      <c r="K3" s="3738"/>
      <c r="L3" s="3738"/>
      <c r="M3" s="3739"/>
      <c r="N3" s="674">
        <v>8.0000000000000002E-3</v>
      </c>
    </row>
    <row r="4" spans="1:31" s="78" customFormat="1" ht="42.75" customHeight="1">
      <c r="A4" s="627"/>
      <c r="B4" s="3733"/>
      <c r="C4" s="3734"/>
      <c r="D4" s="3734"/>
      <c r="E4" s="3734"/>
      <c r="F4" s="3734"/>
      <c r="G4" s="675">
        <f>194.75/25000</f>
        <v>7.79E-3</v>
      </c>
      <c r="J4" s="908"/>
      <c r="L4" s="909" t="s">
        <v>676</v>
      </c>
      <c r="M4" s="3735">
        <f>IF(Start!O20&gt;0,"",IF(P2="",ROUND('7 Verteil. auf Monate Friseure'!R135,2),P2))</f>
        <v>1360.23</v>
      </c>
      <c r="N4" s="3735"/>
      <c r="O4" s="3671" t="s">
        <v>677</v>
      </c>
      <c r="P4" s="3671"/>
      <c r="Q4" s="3671"/>
      <c r="R4" s="1354">
        <f>'4 Eingabe Friseure'!BD3</f>
        <v>45047</v>
      </c>
    </row>
    <row r="5" spans="1:31" s="78" customFormat="1" ht="15" customHeight="1">
      <c r="Q5" s="1"/>
      <c r="R5" s="1"/>
      <c r="S5" s="1"/>
      <c r="T5" s="1"/>
      <c r="U5" s="1"/>
    </row>
    <row r="6" spans="1:31" s="78" customFormat="1" ht="30.75" customHeight="1">
      <c r="A6" s="910"/>
      <c r="B6" s="910"/>
      <c r="C6" s="910"/>
      <c r="D6" s="910"/>
      <c r="E6" s="910"/>
      <c r="F6" s="910"/>
      <c r="G6" s="910"/>
      <c r="K6" s="906" t="s">
        <v>680</v>
      </c>
      <c r="L6" s="606"/>
      <c r="M6" s="3737">
        <f>IF(M4="","",ROUND(M4/4,2))</f>
        <v>340.06</v>
      </c>
      <c r="N6" s="3737"/>
      <c r="O6" s="153" t="s">
        <v>460</v>
      </c>
      <c r="P6" s="933">
        <f>IF(L6="ok",1,2)</f>
        <v>2</v>
      </c>
      <c r="Q6" s="1214">
        <f>IF(L6="ok",1,0)</f>
        <v>0</v>
      </c>
      <c r="R6" s="1"/>
      <c r="S6" s="1"/>
      <c r="T6" s="1"/>
      <c r="U6" s="1"/>
    </row>
    <row r="7" spans="1:31" ht="30.75" customHeight="1">
      <c r="A7" s="912"/>
      <c r="B7" s="912"/>
      <c r="C7" s="912"/>
      <c r="D7" s="912"/>
      <c r="E7" s="912"/>
      <c r="F7" s="912"/>
      <c r="G7" s="912"/>
      <c r="K7" s="906" t="s">
        <v>682</v>
      </c>
      <c r="L7" s="606"/>
      <c r="M7" s="3735">
        <f>IF(M4="","",ROUND(M4/12,2))</f>
        <v>113.35</v>
      </c>
      <c r="N7" s="3735"/>
      <c r="O7" s="153" t="s">
        <v>679</v>
      </c>
      <c r="P7" s="933">
        <f>IF(L7="ok",1,3)</f>
        <v>3</v>
      </c>
      <c r="Q7" s="1214">
        <f>IF(L7="ok",1,0)</f>
        <v>0</v>
      </c>
      <c r="R7" s="1"/>
      <c r="S7" s="1"/>
      <c r="T7" s="1"/>
      <c r="U7" s="1"/>
    </row>
    <row r="8" spans="1:31" ht="16.5" customHeight="1">
      <c r="A8" s="1213">
        <f>IF(A10&lt;$R4,2,1)</f>
        <v>2</v>
      </c>
      <c r="B8" s="1213">
        <f t="shared" ref="B8:M8" si="0">IF(B10&lt;$R4,2,1)</f>
        <v>2</v>
      </c>
      <c r="C8" s="1213">
        <f t="shared" si="0"/>
        <v>2</v>
      </c>
      <c r="D8" s="1213">
        <f t="shared" si="0"/>
        <v>2</v>
      </c>
      <c r="E8" s="1213">
        <f t="shared" si="0"/>
        <v>2</v>
      </c>
      <c r="F8" s="1213">
        <f t="shared" si="0"/>
        <v>1</v>
      </c>
      <c r="G8" s="1213">
        <f t="shared" si="0"/>
        <v>1</v>
      </c>
      <c r="H8" s="1213">
        <f t="shared" si="0"/>
        <v>1</v>
      </c>
      <c r="I8" s="1213">
        <f t="shared" si="0"/>
        <v>1</v>
      </c>
      <c r="J8" s="1213">
        <f t="shared" si="0"/>
        <v>1</v>
      </c>
      <c r="K8" s="1213">
        <f t="shared" si="0"/>
        <v>1</v>
      </c>
      <c r="L8" s="1213">
        <f t="shared" si="0"/>
        <v>1</v>
      </c>
      <c r="M8" s="1213">
        <f t="shared" si="0"/>
        <v>1</v>
      </c>
      <c r="N8" s="2542"/>
      <c r="O8" s="2543"/>
      <c r="P8" s="933"/>
      <c r="Q8" s="1214">
        <f>SUM(Q6:Q7)</f>
        <v>0</v>
      </c>
      <c r="R8" s="2539"/>
      <c r="S8" s="1"/>
      <c r="T8" s="1"/>
      <c r="U8" s="1"/>
      <c r="V8" s="1"/>
      <c r="W8" s="1"/>
      <c r="X8" s="1"/>
      <c r="Y8" s="1"/>
      <c r="Z8" s="1"/>
      <c r="AA8" s="1"/>
      <c r="AB8" s="1"/>
      <c r="AC8" s="1"/>
      <c r="AD8" s="1"/>
      <c r="AE8" s="1"/>
    </row>
    <row r="9" spans="1:31" ht="15.75" customHeight="1">
      <c r="A9" s="267"/>
      <c r="B9" s="1214" t="str">
        <f>IF(B8+A8=3,$M4,"")</f>
        <v/>
      </c>
      <c r="C9" s="1214" t="str">
        <f>IF(C8+B8=3,$M4,"")</f>
        <v/>
      </c>
      <c r="D9" s="1214" t="str">
        <f>IF(D8+C8=3,$M4,"")</f>
        <v/>
      </c>
      <c r="E9" s="1214" t="str">
        <f>IF(E8+D8=3,$M4,"")</f>
        <v/>
      </c>
      <c r="F9" s="1214">
        <f>IF(Q8&gt;0,"",IF(F8+E8=3,$M4,""))</f>
        <v>1360.23</v>
      </c>
      <c r="G9" s="1214" t="str">
        <f t="shared" ref="G9:M9" si="1">IF(G8+F8=3,$M4,"")</f>
        <v/>
      </c>
      <c r="H9" s="1214" t="str">
        <f t="shared" si="1"/>
        <v/>
      </c>
      <c r="I9" s="1214" t="str">
        <f t="shared" si="1"/>
        <v/>
      </c>
      <c r="J9" s="1214" t="str">
        <f t="shared" si="1"/>
        <v/>
      </c>
      <c r="K9" s="1214" t="str">
        <f t="shared" si="1"/>
        <v/>
      </c>
      <c r="L9" s="1214" t="str">
        <f t="shared" si="1"/>
        <v/>
      </c>
      <c r="M9" s="1214" t="str">
        <f t="shared" si="1"/>
        <v/>
      </c>
      <c r="N9" s="267"/>
      <c r="O9" s="267"/>
      <c r="P9" s="1214"/>
      <c r="Q9" s="1214"/>
      <c r="R9" s="2539"/>
      <c r="S9" s="1"/>
      <c r="T9" s="1"/>
      <c r="U9" s="1"/>
      <c r="V9" s="1"/>
      <c r="W9" s="1"/>
      <c r="X9" s="1"/>
      <c r="Y9" s="1"/>
      <c r="Z9" s="1"/>
      <c r="AA9" s="1"/>
      <c r="AB9" s="1"/>
      <c r="AC9" s="1"/>
      <c r="AD9" s="1"/>
      <c r="AE9" s="1"/>
    </row>
    <row r="10" spans="1:31" ht="23.55" customHeight="1">
      <c r="A10" s="745">
        <f>B10-30</f>
        <v>44897</v>
      </c>
      <c r="B10" s="745">
        <f>'7 Verteil. auf Monate Friseure'!F4</f>
        <v>44927</v>
      </c>
      <c r="C10" s="745">
        <f>'7 Verteil. auf Monate Friseure'!G4</f>
        <v>44959</v>
      </c>
      <c r="D10" s="745">
        <f>'7 Verteil. auf Monate Friseure'!H4</f>
        <v>44991</v>
      </c>
      <c r="E10" s="745">
        <f>'7 Verteil. auf Monate Friseure'!I4</f>
        <v>45023</v>
      </c>
      <c r="F10" s="745">
        <f>'7 Verteil. auf Monate Friseure'!J4</f>
        <v>45055</v>
      </c>
      <c r="G10" s="745">
        <f>'7 Verteil. auf Monate Friseure'!K4</f>
        <v>45087</v>
      </c>
      <c r="H10" s="745">
        <f>'7 Verteil. auf Monate Friseure'!L4</f>
        <v>45119</v>
      </c>
      <c r="I10" s="745">
        <f>'7 Verteil. auf Monate Friseure'!M4</f>
        <v>45151</v>
      </c>
      <c r="J10" s="745">
        <f>'7 Verteil. auf Monate Friseure'!N4</f>
        <v>45183</v>
      </c>
      <c r="K10" s="745">
        <f>'7 Verteil. auf Monate Friseure'!O4</f>
        <v>45215</v>
      </c>
      <c r="L10" s="745">
        <f>'7 Verteil. auf Monate Friseure'!P4</f>
        <v>45247</v>
      </c>
      <c r="M10" s="745">
        <f>'7 Verteil. auf Monate Friseure'!Q4</f>
        <v>45279</v>
      </c>
      <c r="N10" s="153" t="str">
        <f>IF('11 Gesamt PK'!D5&gt;0,"PK incl. Provisonsplanungen Seite 11","")</f>
        <v>PK incl. Provisonsplanungen Seite 11</v>
      </c>
      <c r="O10" s="153"/>
      <c r="P10" s="1"/>
      <c r="Q10" s="1"/>
      <c r="R10" s="1"/>
      <c r="S10" s="1"/>
      <c r="T10" s="1"/>
      <c r="U10" s="1"/>
      <c r="V10" s="1"/>
      <c r="W10" s="1"/>
      <c r="X10" s="1"/>
      <c r="Y10" s="1"/>
      <c r="Z10" s="1"/>
      <c r="AA10" s="1"/>
      <c r="AB10" s="1"/>
      <c r="AC10" s="1"/>
      <c r="AD10" s="1"/>
      <c r="AE10" s="1"/>
    </row>
    <row r="11" spans="1:31" ht="9" customHeight="1">
      <c r="A11" s="913"/>
      <c r="B11" s="913" t="str">
        <f>IF($L6="ok",$M6,IF($L7="ok",$M7,""))</f>
        <v/>
      </c>
      <c r="C11" s="913" t="str">
        <f>IF($L7="ok",$M7,"")</f>
        <v/>
      </c>
      <c r="D11" s="913" t="str">
        <f>IF($L7="ok",$M7,"")</f>
        <v/>
      </c>
      <c r="E11" s="913" t="str">
        <f t="shared" ref="E11:K11" si="2">IF($L6="ok",$M6,IF($L7="ok",$M7,""))</f>
        <v/>
      </c>
      <c r="F11" s="913" t="str">
        <f>IF($L7="ok",$M7,"")</f>
        <v/>
      </c>
      <c r="G11" s="913" t="str">
        <f>IF($L7="ok",$M7,"")</f>
        <v/>
      </c>
      <c r="H11" s="913" t="str">
        <f t="shared" si="2"/>
        <v/>
      </c>
      <c r="I11" s="913" t="str">
        <f>IF($L7="ok",$M7,"")</f>
        <v/>
      </c>
      <c r="J11" s="913" t="str">
        <f>IF($L7="ok",$M7,"")</f>
        <v/>
      </c>
      <c r="K11" s="913" t="str">
        <f t="shared" si="2"/>
        <v/>
      </c>
      <c r="L11" s="913" t="str">
        <f>IF($L7="ok",$M7,"")</f>
        <v/>
      </c>
      <c r="M11" s="913" t="str">
        <f>IF($L7="ok",$M7,"")</f>
        <v/>
      </c>
      <c r="N11" s="913"/>
      <c r="O11" s="1214"/>
      <c r="P11" s="1214"/>
      <c r="Q11" s="1"/>
      <c r="R11" s="1"/>
      <c r="S11" s="1"/>
      <c r="T11" s="1"/>
      <c r="U11" s="1"/>
      <c r="V11" s="1"/>
      <c r="W11" s="1"/>
      <c r="X11" s="1"/>
      <c r="Y11" s="1"/>
      <c r="Z11" s="1"/>
      <c r="AA11" s="1"/>
      <c r="AB11" s="1"/>
      <c r="AC11" s="1"/>
      <c r="AD11" s="1"/>
      <c r="AE11" s="1"/>
    </row>
    <row r="12" spans="1:31" ht="12.45" customHeight="1">
      <c r="A12" s="2539"/>
      <c r="B12" s="2540" t="str">
        <f>IF(B11="",B9,B11)</f>
        <v/>
      </c>
      <c r="C12" s="2540" t="str">
        <f>IF(C11="",C9,C11)</f>
        <v/>
      </c>
      <c r="D12" s="2540" t="str">
        <f>IF(D11="",D9,D11)</f>
        <v/>
      </c>
      <c r="E12" s="2540" t="str">
        <f>IF(E11="",E9,E11)</f>
        <v/>
      </c>
      <c r="F12" s="2540">
        <f>IF(F11="",F9,F11)</f>
        <v>1360.23</v>
      </c>
      <c r="G12" s="2540" t="str">
        <f t="shared" ref="G12:M12" si="3">IF(G11="",G9,G11)</f>
        <v/>
      </c>
      <c r="H12" s="2540" t="str">
        <f t="shared" si="3"/>
        <v/>
      </c>
      <c r="I12" s="2540" t="str">
        <f t="shared" si="3"/>
        <v/>
      </c>
      <c r="J12" s="2540" t="str">
        <f t="shared" si="3"/>
        <v/>
      </c>
      <c r="K12" s="2540" t="str">
        <f t="shared" si="3"/>
        <v/>
      </c>
      <c r="L12" s="2540" t="str">
        <f t="shared" si="3"/>
        <v/>
      </c>
      <c r="M12" s="2540" t="str">
        <f t="shared" si="3"/>
        <v/>
      </c>
      <c r="N12" s="911"/>
      <c r="O12" s="2539"/>
      <c r="P12" s="2539"/>
      <c r="Q12" s="1"/>
      <c r="R12" s="1"/>
      <c r="S12" s="1"/>
      <c r="T12" s="1"/>
      <c r="U12" s="1"/>
      <c r="V12" s="1"/>
      <c r="W12" s="1"/>
      <c r="X12" s="1"/>
      <c r="Y12" s="1"/>
      <c r="Z12" s="1"/>
      <c r="AA12" s="1"/>
      <c r="AB12" s="1"/>
      <c r="AC12" s="1"/>
      <c r="AD12" s="1"/>
      <c r="AE12" s="1"/>
    </row>
    <row r="13" spans="1:31" s="79" customFormat="1" ht="23.55" customHeight="1">
      <c r="A13" s="1818" t="s">
        <v>678</v>
      </c>
      <c r="B13" s="386">
        <f ca="1">IF($M4="","",SUM('7 Verteil. auf Monate Friseure'!F137,B12,'11 Gesamt PK'!A49))</f>
        <v>17249.107813709677</v>
      </c>
      <c r="C13" s="386">
        <f ca="1">IF($M4="","",SUM('7 Verteil. auf Monate Friseure'!G137,C12,'11 Gesamt PK'!B49))</f>
        <v>17249.107813709677</v>
      </c>
      <c r="D13" s="386">
        <f ca="1">IF($M4="","",SUM('7 Verteil. auf Monate Friseure'!H137,D12,'11 Gesamt PK'!C49))</f>
        <v>17249.107813709677</v>
      </c>
      <c r="E13" s="386">
        <f ca="1">IF($M4="","",SUM('7 Verteil. auf Monate Friseure'!I137,E12,'11 Gesamt PK'!D49))</f>
        <v>17249.107813709677</v>
      </c>
      <c r="F13" s="386">
        <f ca="1">IF($M4="","",SUM('7 Verteil. auf Monate Friseure'!J137,F12,'11 Gesamt PK'!E49))</f>
        <v>18609.337813709677</v>
      </c>
      <c r="G13" s="386">
        <f ca="1">IF($M4="","",SUM('7 Verteil. auf Monate Friseure'!K137,G12,'11 Gesamt PK'!F49))</f>
        <v>17249.107813709677</v>
      </c>
      <c r="H13" s="386">
        <f ca="1">IF($M4="","",SUM('7 Verteil. auf Monate Friseure'!L137,H12,'11 Gesamt PK'!G49))</f>
        <v>17559.59168467742</v>
      </c>
      <c r="I13" s="386">
        <f ca="1">IF($M4="","",SUM('7 Verteil. auf Monate Friseure'!M137,I12,'11 Gesamt PK'!H49))</f>
        <v>17784.206033064514</v>
      </c>
      <c r="J13" s="386">
        <f ca="1">IF($M4="","",SUM('7 Verteil. auf Monate Friseure'!N137,J12,'11 Gesamt PK'!I49))</f>
        <v>17784.206033064514</v>
      </c>
      <c r="K13" s="386">
        <f ca="1">IF($M4="","",SUM('7 Verteil. auf Monate Friseure'!O137,K12,'11 Gesamt PK'!J49))</f>
        <v>17784.206033064514</v>
      </c>
      <c r="L13" s="386">
        <f ca="1">IF($M4="","",SUM('7 Verteil. auf Monate Friseure'!P137,L12,'11 Gesamt PK'!K49))</f>
        <v>17784.206033064514</v>
      </c>
      <c r="M13" s="386">
        <f ca="1">IF($M4="","",SUM('7 Verteil. auf Monate Friseure'!Q137,M12,'11 Gesamt PK'!L49))</f>
        <v>17784.206033064514</v>
      </c>
      <c r="N13" s="367" t="s">
        <v>167</v>
      </c>
      <c r="O13" s="889">
        <f ca="1">IF(M4="","",SUM(B13:M13))</f>
        <v>211335.49873225807</v>
      </c>
      <c r="P13" s="1"/>
      <c r="Q13" s="1"/>
      <c r="R13" s="1"/>
      <c r="S13" s="1"/>
      <c r="T13" s="1"/>
      <c r="U13" s="1"/>
    </row>
    <row r="14" spans="1:31" ht="13.5" customHeight="1">
      <c r="A14" s="1"/>
      <c r="B14" s="1"/>
      <c r="C14" s="1"/>
      <c r="D14" s="1"/>
      <c r="E14" s="1"/>
      <c r="F14" s="1"/>
      <c r="G14" s="1"/>
      <c r="H14" s="1"/>
      <c r="I14" s="1"/>
      <c r="J14" s="1"/>
      <c r="K14" s="1"/>
      <c r="L14" s="1"/>
      <c r="M14" s="1"/>
      <c r="N14" s="1"/>
      <c r="O14" s="1"/>
      <c r="P14" s="1"/>
      <c r="Q14" s="1"/>
      <c r="R14" s="1"/>
      <c r="S14" s="1"/>
      <c r="T14" s="1"/>
      <c r="U14" s="1"/>
    </row>
    <row r="15" spans="1:31" ht="19.5" customHeight="1">
      <c r="A15" s="1"/>
      <c r="B15" s="1"/>
      <c r="C15" s="1"/>
      <c r="D15" s="1"/>
      <c r="E15" s="1"/>
      <c r="F15" s="1"/>
      <c r="G15" s="1"/>
      <c r="H15" s="1"/>
      <c r="I15" s="1"/>
      <c r="J15" s="1"/>
      <c r="K15" s="1"/>
      <c r="L15" s="1"/>
      <c r="M15" s="1"/>
      <c r="N15" s="1"/>
      <c r="O15" s="1"/>
      <c r="P15" s="1"/>
      <c r="Q15" s="1"/>
      <c r="R15" s="1"/>
      <c r="S15" s="1"/>
      <c r="T15" s="1"/>
      <c r="U15" s="1"/>
    </row>
    <row r="16" spans="1:31" ht="19.5" customHeight="1">
      <c r="A16" s="1"/>
      <c r="B16" s="1"/>
      <c r="C16" s="1"/>
      <c r="D16" s="1"/>
      <c r="E16" s="1"/>
      <c r="F16" s="1"/>
      <c r="G16" s="1"/>
      <c r="H16" s="1"/>
      <c r="I16" s="1"/>
      <c r="J16" s="1"/>
      <c r="K16" s="1"/>
      <c r="L16" s="1"/>
      <c r="M16" s="1"/>
      <c r="N16" s="1"/>
      <c r="O16" s="1"/>
      <c r="P16" s="1"/>
      <c r="Q16" s="1"/>
      <c r="R16" s="1"/>
      <c r="S16" s="1"/>
      <c r="T16" s="1"/>
      <c r="U16" s="1"/>
    </row>
    <row r="17" spans="1:22" ht="19.5" customHeight="1">
      <c r="A17" s="1"/>
      <c r="B17" s="1"/>
      <c r="C17" s="1"/>
      <c r="D17" s="1"/>
      <c r="E17" s="1"/>
      <c r="F17" s="1"/>
      <c r="G17" s="1"/>
      <c r="H17" s="1"/>
      <c r="I17" s="1"/>
      <c r="J17" s="1"/>
      <c r="K17" s="1"/>
      <c r="L17" s="1"/>
      <c r="M17" s="1"/>
      <c r="N17" s="1"/>
      <c r="O17" s="1"/>
      <c r="P17" s="1"/>
      <c r="Q17" s="1"/>
      <c r="R17" s="1"/>
      <c r="S17" s="1"/>
      <c r="T17" s="1"/>
      <c r="U17" s="1"/>
    </row>
    <row r="18" spans="1:22" ht="19.5" customHeight="1">
      <c r="A18" s="1"/>
      <c r="B18" s="1"/>
      <c r="C18" s="1"/>
      <c r="D18" s="1"/>
      <c r="E18" s="1"/>
      <c r="F18" s="1"/>
      <c r="G18" s="1"/>
      <c r="H18" s="1"/>
      <c r="I18" s="1"/>
      <c r="J18" s="1"/>
      <c r="K18" s="1"/>
      <c r="L18" s="1"/>
      <c r="M18" s="1"/>
      <c r="N18" s="1"/>
      <c r="O18" s="889"/>
      <c r="P18" s="1"/>
      <c r="Q18" s="1"/>
      <c r="R18" s="1"/>
      <c r="S18" s="1"/>
      <c r="T18" s="1"/>
      <c r="U18" s="1"/>
    </row>
    <row r="19" spans="1:22" ht="19.5" customHeight="1">
      <c r="A19" s="1"/>
      <c r="B19" s="1"/>
      <c r="C19" s="1"/>
      <c r="D19" s="1"/>
      <c r="E19" s="1"/>
      <c r="F19" s="1"/>
      <c r="G19" s="1"/>
      <c r="H19" s="1"/>
      <c r="I19" s="1"/>
      <c r="J19" s="1"/>
      <c r="K19" s="1"/>
      <c r="L19" s="1"/>
      <c r="M19" s="1"/>
      <c r="N19" s="1"/>
      <c r="O19" s="1"/>
      <c r="P19" s="1"/>
      <c r="Q19" s="1"/>
      <c r="R19" s="1"/>
      <c r="S19" s="1"/>
      <c r="T19" s="1"/>
      <c r="U19" s="1"/>
    </row>
    <row r="20" spans="1:22" ht="19.5" customHeight="1">
      <c r="A20" s="1"/>
      <c r="B20" s="1"/>
      <c r="C20" s="1"/>
      <c r="D20" s="1"/>
      <c r="E20" s="1"/>
      <c r="F20" s="1"/>
      <c r="G20" s="1"/>
      <c r="H20" s="1"/>
      <c r="I20" s="1"/>
      <c r="J20" s="1"/>
      <c r="K20" s="1"/>
      <c r="L20" s="1"/>
      <c r="M20" s="1"/>
      <c r="N20" s="1"/>
      <c r="O20" s="1"/>
      <c r="P20" s="1"/>
      <c r="Q20" s="1"/>
      <c r="R20" s="1"/>
      <c r="S20" s="1"/>
      <c r="T20" s="1"/>
      <c r="U20" s="1"/>
    </row>
    <row r="21" spans="1:22" ht="19.5" customHeight="1">
      <c r="A21" s="1"/>
      <c r="B21" s="1"/>
      <c r="C21" s="1"/>
      <c r="D21" s="1"/>
      <c r="E21" s="1"/>
      <c r="F21" s="1"/>
      <c r="G21" s="1"/>
      <c r="H21" s="1"/>
      <c r="I21" s="1"/>
      <c r="J21" s="1"/>
      <c r="K21" s="1"/>
      <c r="L21" s="1"/>
      <c r="M21" s="1"/>
      <c r="N21" s="1"/>
      <c r="O21" s="1"/>
      <c r="P21" s="1"/>
      <c r="Q21" s="1"/>
      <c r="R21" s="1"/>
      <c r="S21" s="1"/>
      <c r="T21" s="1"/>
      <c r="U21" s="1"/>
    </row>
    <row r="22" spans="1:22" ht="19.5" customHeight="1">
      <c r="A22" s="1"/>
      <c r="B22" s="1"/>
      <c r="C22" s="1"/>
      <c r="D22" s="1"/>
      <c r="E22" s="1"/>
      <c r="F22" s="1"/>
      <c r="G22" s="1"/>
      <c r="H22" s="1"/>
      <c r="I22" s="1"/>
      <c r="J22" s="1"/>
      <c r="K22" s="1"/>
      <c r="L22" s="1"/>
      <c r="M22" s="1"/>
      <c r="N22" s="1"/>
      <c r="O22" s="1"/>
      <c r="P22" s="1"/>
      <c r="Q22" s="1"/>
      <c r="R22" s="1"/>
      <c r="S22" s="1"/>
      <c r="T22" s="1"/>
      <c r="U22" s="1"/>
    </row>
    <row r="23" spans="1:22" ht="19.5" customHeight="1">
      <c r="A23" s="1"/>
      <c r="B23" s="1"/>
      <c r="C23" s="1"/>
      <c r="D23" s="1"/>
      <c r="E23" s="1"/>
      <c r="F23" s="1"/>
      <c r="G23" s="1"/>
      <c r="H23" s="1"/>
      <c r="I23" s="1"/>
      <c r="J23" s="1"/>
      <c r="K23" s="1"/>
      <c r="L23" s="1"/>
      <c r="M23" s="1"/>
      <c r="N23" s="1"/>
      <c r="O23" s="1"/>
      <c r="P23" s="1"/>
      <c r="Q23" s="1"/>
      <c r="R23" s="1"/>
      <c r="S23" s="1"/>
      <c r="T23" s="1"/>
      <c r="U23" s="1"/>
    </row>
    <row r="24" spans="1:22" ht="19.5" customHeight="1">
      <c r="A24" s="1"/>
      <c r="B24" s="1"/>
      <c r="C24" s="1"/>
      <c r="D24" s="1"/>
      <c r="E24" s="1"/>
      <c r="F24" s="1"/>
      <c r="G24" s="1"/>
      <c r="H24" s="1"/>
      <c r="I24" s="1"/>
      <c r="J24" s="1"/>
      <c r="K24" s="1"/>
      <c r="L24" s="1"/>
      <c r="M24" s="1"/>
      <c r="N24" s="1"/>
      <c r="O24" s="1"/>
      <c r="P24" s="1"/>
      <c r="Q24" s="1"/>
      <c r="R24" s="1"/>
      <c r="S24" s="1"/>
      <c r="T24" s="1"/>
      <c r="U24" s="1"/>
    </row>
    <row r="25" spans="1:22" ht="19.5" customHeight="1">
      <c r="A25" s="1"/>
      <c r="B25" s="1"/>
      <c r="C25" s="1"/>
      <c r="D25" s="1"/>
      <c r="E25" s="1"/>
      <c r="F25" s="1"/>
      <c r="G25" s="1"/>
      <c r="H25" s="1"/>
      <c r="I25" s="1"/>
      <c r="J25" s="1"/>
      <c r="K25" s="1"/>
      <c r="L25" s="1"/>
      <c r="M25" s="1"/>
      <c r="N25" s="1"/>
      <c r="O25" s="1"/>
      <c r="P25" s="1"/>
      <c r="Q25" s="1"/>
      <c r="R25" s="1"/>
      <c r="S25" s="1"/>
      <c r="T25" s="1"/>
      <c r="U25" s="1"/>
    </row>
    <row r="26" spans="1:22" ht="19.5" customHeight="1">
      <c r="A26" s="1"/>
      <c r="B26" s="1"/>
      <c r="C26" s="1"/>
      <c r="D26" s="1"/>
      <c r="E26" s="1"/>
      <c r="F26" s="1"/>
      <c r="G26" s="1"/>
      <c r="H26" s="1"/>
      <c r="I26" s="1"/>
      <c r="J26" s="1"/>
      <c r="K26" s="1"/>
      <c r="L26" s="1"/>
      <c r="M26" s="1"/>
      <c r="N26" s="1"/>
      <c r="O26" s="1"/>
      <c r="P26" s="1"/>
      <c r="Q26" s="1"/>
      <c r="R26" s="1"/>
      <c r="S26" s="1"/>
      <c r="T26" s="1"/>
      <c r="U26" s="1"/>
    </row>
    <row r="27" spans="1:22" ht="19.5" customHeight="1">
      <c r="A27" s="1"/>
      <c r="B27" s="1"/>
      <c r="C27" s="1"/>
      <c r="D27" s="1"/>
      <c r="E27" s="1"/>
      <c r="F27" s="1"/>
      <c r="G27" s="1"/>
      <c r="H27" s="1"/>
      <c r="I27" s="1"/>
      <c r="J27" s="1"/>
      <c r="K27" s="1"/>
      <c r="L27" s="1"/>
      <c r="M27" s="1"/>
      <c r="N27" s="1"/>
      <c r="O27" s="1"/>
      <c r="P27" s="1"/>
      <c r="Q27" s="1"/>
      <c r="R27" s="1"/>
      <c r="S27" s="1"/>
      <c r="T27" s="1"/>
      <c r="U27" s="1"/>
    </row>
    <row r="28" spans="1:22" ht="19.5" customHeight="1">
      <c r="A28" s="1"/>
      <c r="B28" s="1"/>
      <c r="C28" s="1"/>
      <c r="D28" s="1"/>
      <c r="E28" s="1"/>
      <c r="F28" s="1"/>
      <c r="G28" s="1"/>
      <c r="H28" s="1"/>
      <c r="I28" s="1"/>
      <c r="J28" s="1"/>
      <c r="K28" s="1"/>
      <c r="L28" s="1"/>
      <c r="M28" s="1"/>
      <c r="N28" s="1"/>
      <c r="O28" s="1"/>
      <c r="P28" s="1"/>
      <c r="Q28" s="1"/>
      <c r="R28" s="1"/>
      <c r="S28" s="1"/>
      <c r="T28" s="1"/>
      <c r="U28" s="1"/>
      <c r="V28"/>
    </row>
    <row r="29" spans="1:22" ht="19.5" customHeight="1">
      <c r="A29" s="1"/>
      <c r="B29" s="1"/>
      <c r="C29" s="1"/>
      <c r="D29" s="1"/>
      <c r="E29" s="1"/>
      <c r="F29" s="1"/>
      <c r="G29" s="1"/>
      <c r="H29" s="1"/>
      <c r="I29" s="1"/>
      <c r="J29" s="1"/>
      <c r="K29" s="1"/>
      <c r="L29" s="1"/>
      <c r="M29" s="1"/>
      <c r="N29" s="1"/>
      <c r="O29" s="1"/>
      <c r="P29" s="1"/>
      <c r="Q29" s="1"/>
      <c r="R29" s="1"/>
      <c r="S29" s="1"/>
      <c r="T29" s="1"/>
      <c r="U29" s="1"/>
      <c r="V29"/>
    </row>
    <row r="30" spans="1:22" ht="19.5" customHeight="1">
      <c r="A30" s="1"/>
      <c r="B30" s="1"/>
      <c r="C30" s="1"/>
      <c r="D30" s="1"/>
      <c r="E30" s="1"/>
      <c r="F30" s="1"/>
      <c r="G30" s="1"/>
      <c r="H30" s="1"/>
      <c r="I30" s="1"/>
      <c r="J30" s="1"/>
      <c r="K30" s="1"/>
      <c r="L30" s="1"/>
      <c r="M30" s="1"/>
      <c r="N30" s="1"/>
      <c r="O30" s="1"/>
      <c r="P30" s="1"/>
      <c r="Q30" s="1"/>
      <c r="R30" s="1"/>
      <c r="S30" s="1"/>
      <c r="T30" s="1"/>
      <c r="U30" s="1"/>
      <c r="V30"/>
    </row>
    <row r="31" spans="1:22" s="15" customFormat="1" ht="19.5" customHeight="1">
      <c r="A31" s="1"/>
      <c r="B31" s="1"/>
      <c r="C31" s="1"/>
      <c r="D31" s="1"/>
      <c r="E31" s="1"/>
      <c r="F31" s="1"/>
      <c r="G31" s="1"/>
      <c r="H31" s="1"/>
      <c r="I31" s="1"/>
      <c r="J31" s="1"/>
      <c r="K31" s="1"/>
      <c r="L31" s="1"/>
      <c r="M31" s="1"/>
      <c r="N31" s="1"/>
      <c r="O31" s="1"/>
      <c r="P31" s="1"/>
      <c r="Q31" s="1"/>
      <c r="R31" s="1"/>
      <c r="S31" s="1"/>
      <c r="T31" s="1"/>
      <c r="U31" s="1"/>
      <c r="V31"/>
    </row>
    <row r="32" spans="1:22" s="15" customFormat="1" ht="19.5" customHeight="1">
      <c r="A32" s="1"/>
      <c r="B32" s="1"/>
      <c r="C32" s="1"/>
      <c r="D32" s="1"/>
      <c r="E32" s="1"/>
      <c r="F32" s="1"/>
      <c r="G32" s="1"/>
      <c r="H32" s="1"/>
      <c r="I32" s="1"/>
      <c r="J32" s="1"/>
      <c r="K32" s="1"/>
      <c r="L32" s="1"/>
      <c r="M32" s="1"/>
      <c r="N32" s="1"/>
      <c r="O32" s="1"/>
      <c r="P32" s="1"/>
      <c r="Q32" s="1"/>
      <c r="R32" s="1"/>
      <c r="S32" s="1"/>
      <c r="T32" s="1"/>
      <c r="U32" s="1"/>
      <c r="V32"/>
    </row>
    <row r="33" spans="1:21" s="15" customFormat="1" ht="20.25" customHeight="1">
      <c r="A33" s="1"/>
      <c r="B33" s="1"/>
      <c r="C33" s="1"/>
      <c r="D33" s="1"/>
      <c r="E33" s="1"/>
      <c r="F33" s="1"/>
      <c r="G33" s="1"/>
      <c r="H33" s="1"/>
      <c r="I33" s="1"/>
      <c r="J33" s="1"/>
      <c r="K33" s="1"/>
      <c r="L33" s="1"/>
      <c r="M33" s="1"/>
      <c r="N33" s="1"/>
      <c r="O33" s="1"/>
      <c r="P33" s="1"/>
      <c r="Q33" s="1"/>
      <c r="R33" s="1"/>
      <c r="S33" s="1"/>
      <c r="T33" s="1"/>
      <c r="U33" s="1"/>
    </row>
    <row r="34" spans="1:21" s="15" customFormat="1" ht="19.5" customHeight="1">
      <c r="A34" s="1"/>
      <c r="B34" s="1"/>
      <c r="C34" s="1"/>
      <c r="D34" s="1"/>
      <c r="E34" s="1"/>
      <c r="F34" s="1"/>
      <c r="G34" s="1"/>
      <c r="H34" s="1"/>
      <c r="I34" s="1"/>
      <c r="J34" s="1"/>
      <c r="K34" s="1"/>
      <c r="L34" s="1"/>
      <c r="M34" s="1"/>
      <c r="N34" s="1"/>
      <c r="O34" s="1"/>
      <c r="P34" s="1"/>
      <c r="Q34" s="1"/>
      <c r="R34" s="1"/>
      <c r="S34" s="1"/>
      <c r="T34" s="1"/>
      <c r="U34" s="1"/>
    </row>
    <row r="35" spans="1:21" s="15" customFormat="1" ht="19.5" customHeight="1">
      <c r="A35" s="1"/>
      <c r="B35" s="1"/>
      <c r="C35" s="1"/>
      <c r="D35" s="1"/>
      <c r="E35" s="1"/>
      <c r="F35" s="1"/>
      <c r="G35" s="1"/>
      <c r="H35" s="1"/>
      <c r="I35" s="1"/>
      <c r="J35" s="1"/>
      <c r="K35" s="1"/>
      <c r="L35" s="1"/>
      <c r="M35" s="1"/>
      <c r="N35" s="1"/>
      <c r="O35" s="1"/>
      <c r="P35" s="1"/>
      <c r="Q35" s="1"/>
      <c r="R35" s="1"/>
      <c r="S35" s="1"/>
      <c r="T35" s="1"/>
      <c r="U35" s="1"/>
    </row>
    <row r="36" spans="1:21" s="15" customFormat="1" ht="19.5" customHeight="1">
      <c r="A36" s="1"/>
      <c r="B36" s="1"/>
      <c r="C36" s="1"/>
      <c r="D36" s="1"/>
      <c r="E36" s="1"/>
      <c r="F36" s="1"/>
      <c r="G36" s="1"/>
      <c r="H36" s="1"/>
      <c r="I36" s="1"/>
      <c r="J36" s="1"/>
      <c r="K36" s="1"/>
      <c r="L36" s="1"/>
      <c r="M36" s="1"/>
      <c r="N36" s="1"/>
      <c r="O36" s="1"/>
      <c r="P36" s="1"/>
      <c r="Q36" s="1"/>
      <c r="R36" s="1"/>
      <c r="S36" s="1"/>
      <c r="T36" s="1"/>
      <c r="U36" s="1"/>
    </row>
    <row r="37" spans="1:21" s="15" customFormat="1" ht="19.5" customHeight="1">
      <c r="A37" s="1"/>
      <c r="B37" s="1"/>
      <c r="C37" s="1"/>
      <c r="D37" s="1"/>
      <c r="E37" s="1"/>
      <c r="F37" s="1"/>
      <c r="G37" s="1"/>
      <c r="H37" s="1"/>
      <c r="I37" s="1"/>
      <c r="J37" s="1"/>
      <c r="K37" s="1"/>
      <c r="L37" s="1"/>
      <c r="M37" s="1"/>
      <c r="N37" s="1"/>
      <c r="O37" s="1"/>
      <c r="P37" s="1"/>
      <c r="Q37" s="1"/>
      <c r="R37" s="1"/>
      <c r="S37" s="1"/>
      <c r="T37" s="1"/>
      <c r="U37" s="1"/>
    </row>
    <row r="38" spans="1:21" s="15" customFormat="1" ht="19.5" customHeight="1">
      <c r="A38" s="1"/>
      <c r="B38" s="1"/>
      <c r="C38" s="1"/>
      <c r="D38" s="1"/>
      <c r="E38" s="1"/>
      <c r="F38" s="1"/>
      <c r="G38" s="1"/>
      <c r="H38" s="1"/>
      <c r="I38" s="1"/>
      <c r="J38" s="1"/>
      <c r="K38" s="1"/>
      <c r="L38" s="1"/>
      <c r="M38" s="1"/>
      <c r="N38" s="1"/>
      <c r="O38" s="1"/>
      <c r="P38" s="1"/>
      <c r="Q38" s="1"/>
      <c r="R38" s="1"/>
      <c r="S38" s="1"/>
      <c r="T38" s="1"/>
      <c r="U38" s="1"/>
    </row>
    <row r="39" spans="1:21" s="15" customFormat="1" ht="19.5" customHeight="1">
      <c r="A39" s="1"/>
      <c r="B39" s="1"/>
      <c r="C39" s="1"/>
      <c r="D39" s="1"/>
      <c r="E39" s="1"/>
      <c r="F39" s="1"/>
      <c r="G39" s="1"/>
      <c r="H39" s="1"/>
      <c r="I39" s="1"/>
      <c r="J39" s="1"/>
      <c r="K39" s="1"/>
      <c r="L39" s="1"/>
      <c r="M39" s="1"/>
      <c r="N39" s="1"/>
      <c r="O39" s="1"/>
      <c r="P39" s="1"/>
      <c r="Q39" s="1"/>
      <c r="R39" s="1"/>
      <c r="S39" s="1"/>
      <c r="T39" s="1"/>
      <c r="U39" s="1"/>
    </row>
    <row r="40" spans="1:21" ht="15" customHeight="1">
      <c r="A40" s="1"/>
      <c r="B40" s="1"/>
      <c r="C40" s="1"/>
      <c r="D40" s="1"/>
      <c r="E40" s="1"/>
      <c r="F40" s="1"/>
      <c r="G40" s="1"/>
      <c r="H40" s="1"/>
      <c r="I40" s="1"/>
      <c r="J40" s="1"/>
      <c r="K40" s="1"/>
      <c r="L40" s="1"/>
      <c r="M40" s="1"/>
      <c r="N40" s="1"/>
      <c r="O40" s="1"/>
      <c r="P40" s="1"/>
      <c r="Q40" s="1"/>
      <c r="R40" s="1"/>
      <c r="S40" s="1"/>
      <c r="T40" s="1"/>
      <c r="U40" s="1"/>
    </row>
    <row r="41" spans="1:21" ht="17.399999999999999">
      <c r="A41" s="1"/>
      <c r="B41" s="1"/>
      <c r="C41" s="1"/>
      <c r="D41" s="1"/>
      <c r="E41" s="1"/>
      <c r="F41" s="1"/>
      <c r="G41" s="1"/>
      <c r="H41" s="1"/>
      <c r="I41" s="1"/>
      <c r="J41" s="1"/>
      <c r="K41" s="1"/>
      <c r="L41" s="1"/>
      <c r="M41" s="1"/>
      <c r="N41" s="1"/>
      <c r="O41" s="1"/>
      <c r="P41" s="1"/>
    </row>
    <row r="42" spans="1:21" ht="17.399999999999999">
      <c r="A42" s="1"/>
      <c r="B42" s="1"/>
      <c r="C42" s="1"/>
      <c r="D42" s="1"/>
      <c r="E42" s="1"/>
      <c r="F42" s="1"/>
      <c r="G42" s="1"/>
      <c r="H42" s="1"/>
      <c r="I42" s="1"/>
      <c r="J42" s="1"/>
      <c r="K42" s="1"/>
      <c r="L42" s="1"/>
      <c r="M42" s="1"/>
      <c r="N42" s="1"/>
      <c r="O42" s="1"/>
      <c r="P42" s="1"/>
    </row>
    <row r="43" spans="1:21" ht="17.399999999999999">
      <c r="A43" s="1"/>
      <c r="B43" s="1"/>
      <c r="C43" s="1"/>
      <c r="D43" s="1"/>
      <c r="E43" s="1"/>
      <c r="F43" s="1"/>
      <c r="G43" s="1"/>
      <c r="H43" s="1"/>
      <c r="I43" s="1"/>
      <c r="J43" s="1"/>
      <c r="K43" s="1"/>
      <c r="L43" s="1"/>
      <c r="M43" s="1"/>
      <c r="N43" s="1"/>
      <c r="O43" s="1"/>
      <c r="P43" s="1"/>
    </row>
    <row r="44" spans="1:21" ht="20.25" customHeight="1">
      <c r="B44" s="81"/>
    </row>
    <row r="45" spans="1:21" ht="20.25" customHeight="1"/>
    <row r="46" spans="1:21" ht="20.25" customHeight="1"/>
    <row r="47" spans="1:21" ht="20.25" customHeight="1"/>
    <row r="48" spans="1:21" ht="20.25" customHeight="1"/>
    <row r="49" ht="20.25" customHeight="1"/>
  </sheetData>
  <sheetProtection algorithmName="SHA-512" hashValue="zuvCpY1wGluBgkxcHn0H71hsYSGBe5iG9qrPT4OI5boy/Yn12WKISQj8csI/9HIp28t0VzyMrKHgIg4TmfQizA==" saltValue="7ud7FjX3tdonDdb82TA9QQ==" spinCount="100000" sheet="1" objects="1" scenarios="1"/>
  <customSheetViews>
    <customSheetView guid="{91EE9386-9500-473B-B86C-27DB8DF0BA46}" scale="90" showGridLines="0">
      <selection activeCell="A14" sqref="A14"/>
      <pageMargins left="0.25" right="0.25" top="0.75" bottom="0.75" header="0.3" footer="0.3"/>
      <pageSetup paperSize="9" orientation="landscape" r:id="rId1"/>
    </customSheetView>
    <customSheetView guid="{B8019777-F14C-4393-8CE3-CE0081D0CD28}" scale="90" showGridLines="0">
      <selection activeCell="A14" sqref="A14"/>
      <pageMargins left="0.25" right="0.25" top="0.75" bottom="0.75" header="0.3" footer="0.3"/>
      <pageSetup paperSize="9" orientation="landscape" r:id="rId2"/>
    </customSheetView>
  </customSheetViews>
  <mergeCells count="9">
    <mergeCell ref="O4:Q4"/>
    <mergeCell ref="B3:F4"/>
    <mergeCell ref="M7:N7"/>
    <mergeCell ref="B1:N1"/>
    <mergeCell ref="M4:N4"/>
    <mergeCell ref="M6:N6"/>
    <mergeCell ref="I3:M3"/>
    <mergeCell ref="O1:Q1"/>
    <mergeCell ref="P2:Q2"/>
  </mergeCells>
  <phoneticPr fontId="4" type="noConversion"/>
  <pageMargins left="0.25" right="0.25" top="0.75" bottom="0.75" header="0.3" footer="0.3"/>
  <pageSetup paperSize="9" scale="75" orientation="landscape"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49"/>
  <sheetViews>
    <sheetView showGridLines="0" zoomScaleNormal="100" workbookViewId="0">
      <selection activeCell="F7" sqref="F7"/>
    </sheetView>
  </sheetViews>
  <sheetFormatPr baseColWidth="10" defaultColWidth="11" defaultRowHeight="15"/>
  <cols>
    <col min="1" max="1" width="13.44140625" style="2" customWidth="1"/>
    <col min="2" max="2" width="13.21875" style="2" customWidth="1"/>
    <col min="3" max="3" width="12.44140625" style="2" customWidth="1"/>
    <col min="4" max="4" width="12.77734375" style="2" customWidth="1"/>
    <col min="5" max="5" width="12.44140625" style="2" customWidth="1"/>
    <col min="6" max="6" width="13.44140625" style="2" customWidth="1"/>
    <col min="7" max="7" width="8" style="2" customWidth="1"/>
    <col min="8" max="8" width="9.44140625" style="2" customWidth="1"/>
    <col min="9" max="9" width="4.21875" style="2" customWidth="1"/>
    <col min="10" max="11" width="11" style="2"/>
    <col min="12" max="12" width="17.44140625" style="2" customWidth="1"/>
    <col min="13" max="16384" width="11" style="2"/>
  </cols>
  <sheetData>
    <row r="1" spans="1:26" ht="17.55" customHeight="1">
      <c r="A1" s="1" t="s">
        <v>4</v>
      </c>
      <c r="B1" s="1"/>
      <c r="C1" s="1"/>
      <c r="D1" s="1355" t="e">
        <f>'2a Chefeingaben'!#REF!</f>
        <v>#REF!</v>
      </c>
      <c r="E1" s="3757" t="str">
        <f>IF(Start!O20=0,"","Bei der Buchung für Solo-Selbstständige sind die Mitarbeiterrechnungen nicht freigeschltet")</f>
        <v/>
      </c>
      <c r="F1" s="3757"/>
      <c r="G1" s="3757"/>
      <c r="H1" s="3757"/>
      <c r="I1" s="3757"/>
      <c r="J1" s="3776" t="s">
        <v>1142</v>
      </c>
      <c r="K1" s="3776"/>
      <c r="L1" s="3776"/>
      <c r="M1" s="3776"/>
      <c r="N1" s="3776"/>
      <c r="O1" s="3776"/>
    </row>
    <row r="2" spans="1:26" ht="7.5" customHeight="1">
      <c r="E2" s="3757"/>
      <c r="F2" s="3757"/>
      <c r="G2" s="3757"/>
      <c r="H2" s="3757"/>
      <c r="I2" s="3757"/>
      <c r="J2" s="3776"/>
      <c r="K2" s="3776"/>
      <c r="L2" s="3776"/>
      <c r="M2" s="3776"/>
      <c r="N2" s="3776"/>
      <c r="O2" s="3776"/>
    </row>
    <row r="3" spans="1:26" ht="9.75" customHeight="1">
      <c r="E3" s="3757"/>
      <c r="F3" s="3757"/>
      <c r="G3" s="3757"/>
      <c r="H3" s="3757"/>
      <c r="I3" s="3757"/>
      <c r="J3" s="3776"/>
      <c r="K3" s="3776"/>
      <c r="L3" s="3776"/>
      <c r="M3" s="3776"/>
      <c r="N3" s="3776"/>
      <c r="O3" s="3776"/>
    </row>
    <row r="4" spans="1:26" ht="16.5" customHeight="1">
      <c r="A4" s="160" t="s">
        <v>114</v>
      </c>
      <c r="B4" s="13"/>
      <c r="C4" s="13"/>
      <c r="D4" s="13"/>
      <c r="E4" s="371" t="s">
        <v>26</v>
      </c>
      <c r="F4" s="372">
        <f>'3 Vorjahr'!K17</f>
        <v>135052.58400000003</v>
      </c>
      <c r="G4" s="3777" t="str">
        <f>IF('3 Vorjahr'!C16=12,"","← Hochrechnung")</f>
        <v>← Hochrechnung</v>
      </c>
      <c r="H4" s="3778"/>
      <c r="J4" s="3776"/>
      <c r="K4" s="3776"/>
      <c r="L4" s="3776"/>
      <c r="M4" s="3776"/>
      <c r="N4" s="3776"/>
      <c r="O4" s="3776"/>
    </row>
    <row r="5" spans="1:26" ht="16.5" customHeight="1">
      <c r="C5" s="1271" t="str">
        <f>IF(D5="","","geplante Provisionen incl. AG Anteil")</f>
        <v/>
      </c>
      <c r="D5" s="1423" t="str">
        <f>IF(Z16=0,"",Z16*1.25)</f>
        <v/>
      </c>
      <c r="E5" s="82" t="s">
        <v>6</v>
      </c>
      <c r="G5" s="914" t="s">
        <v>174</v>
      </c>
      <c r="J5" s="3776"/>
      <c r="K5" s="3776"/>
      <c r="L5" s="3776"/>
      <c r="M5" s="3776"/>
      <c r="N5" s="3776"/>
      <c r="O5" s="3776"/>
    </row>
    <row r="6" spans="1:26" ht="18" customHeight="1">
      <c r="A6" s="87" t="s">
        <v>110</v>
      </c>
      <c r="B6" s="84"/>
      <c r="C6" s="84"/>
      <c r="D6" s="647" t="str">
        <f>IF(D5="","","incl. Provisionen")</f>
        <v/>
      </c>
      <c r="E6" s="84"/>
      <c r="F6" s="134">
        <f>IF(E1="",'7 Verteil. auf Monate Friseure'!R123,"")</f>
        <v>168191.12275000001</v>
      </c>
      <c r="G6" s="915">
        <f>IF(E1="",'4 Eingabe Friseure'!BI4-G12,"")</f>
        <v>4.4708333333333341</v>
      </c>
      <c r="J6" s="3776"/>
      <c r="K6" s="3776"/>
      <c r="L6" s="3776"/>
      <c r="M6" s="3776"/>
      <c r="N6" s="3776"/>
      <c r="O6" s="3776"/>
    </row>
    <row r="7" spans="1:26" ht="18" customHeight="1">
      <c r="A7" s="3742" t="s">
        <v>113</v>
      </c>
      <c r="B7" s="3742"/>
      <c r="C7" s="3772" t="str">
        <f ca="1">IF(SUM(F7:F8)&gt;0,"Schreiben Assistenten oder Azubis Umsatz auf?               Siehe unten Zelle A26","")</f>
        <v>Schreiben Assistenten oder Azubis Umsatz auf?               Siehe unten Zelle A26</v>
      </c>
      <c r="D7" s="3773"/>
      <c r="E7" s="11"/>
      <c r="F7" s="88">
        <f ca="1">IF(E1="",'8 Verteil. auf Monate Orga'!R59,"")</f>
        <v>24000</v>
      </c>
      <c r="G7" s="916" t="str">
        <f>IF('5 Eingabe Organisationskräfte'!AL4=0,"",'5 Eingabe Organisationskräfte'!AL4)</f>
        <v/>
      </c>
      <c r="H7" s="162" t="str">
        <f>IF(G7="","","Arbeit am Kunden")</f>
        <v/>
      </c>
      <c r="J7" s="3776"/>
      <c r="K7" s="3776"/>
      <c r="L7" s="3776"/>
      <c r="M7" s="3776"/>
      <c r="N7" s="3776"/>
      <c r="O7" s="3776"/>
    </row>
    <row r="8" spans="1:26" ht="18" customHeight="1">
      <c r="A8" s="87" t="s">
        <v>5</v>
      </c>
      <c r="B8" s="11"/>
      <c r="C8" s="3774"/>
      <c r="D8" s="3775"/>
      <c r="E8" s="11"/>
      <c r="F8" s="88">
        <f ca="1">IF(E1="",'9 Verteil. auf Monate Azubi'!R59,"")</f>
        <v>19144.375</v>
      </c>
      <c r="G8" s="916">
        <f>IF(E1="",IF('6 Eingabe Azubis'!AL4=0,"",'6 Eingabe Azubis'!AL4),"")</f>
        <v>0.56666666666666665</v>
      </c>
      <c r="H8" s="1268">
        <f ca="1">SUM(F5:F8)</f>
        <v>211335.49775000001</v>
      </c>
      <c r="J8" s="3776"/>
      <c r="K8" s="3776"/>
      <c r="L8" s="3776"/>
      <c r="M8" s="3776"/>
      <c r="N8" s="3776"/>
      <c r="O8" s="3776"/>
    </row>
    <row r="9" spans="1:26" ht="28.2" customHeight="1">
      <c r="A9" s="3753"/>
      <c r="B9" s="3754"/>
      <c r="C9" s="2938" t="s">
        <v>1257</v>
      </c>
      <c r="D9" s="2939" t="str">
        <f>IF(A9="","","weitere Eingaben unten ab Zelle A25")</f>
        <v/>
      </c>
      <c r="E9" s="11"/>
      <c r="F9" s="88" t="str">
        <f>C43</f>
        <v/>
      </c>
      <c r="G9" s="916" t="str">
        <f>B32</f>
        <v/>
      </c>
      <c r="J9" s="3776"/>
      <c r="K9" s="3776"/>
      <c r="L9" s="3776"/>
      <c r="M9" s="3776"/>
      <c r="N9" s="3776"/>
      <c r="O9" s="3776"/>
    </row>
    <row r="10" spans="1:26" ht="27.75" customHeight="1" thickBot="1">
      <c r="A10" s="30" t="s">
        <v>98</v>
      </c>
      <c r="B10" s="85"/>
      <c r="C10" s="85"/>
      <c r="D10" s="85"/>
      <c r="E10" s="86" t="s">
        <v>6</v>
      </c>
      <c r="F10" s="135">
        <f ca="1">SUM(F6:F9)</f>
        <v>211335.49775000001</v>
      </c>
      <c r="G10" s="917"/>
      <c r="J10" s="3776"/>
      <c r="K10" s="3776"/>
      <c r="L10" s="3776"/>
      <c r="M10" s="3776"/>
      <c r="N10" s="3776"/>
      <c r="O10" s="3776"/>
    </row>
    <row r="11" spans="1:26" ht="16.5" customHeight="1" thickTop="1">
      <c r="A11" s="83"/>
      <c r="B11" s="130"/>
      <c r="C11" s="11"/>
      <c r="D11" s="11"/>
      <c r="E11" s="83"/>
      <c r="F11" s="88"/>
      <c r="G11" s="917"/>
      <c r="J11" s="3776"/>
      <c r="K11" s="3776"/>
      <c r="L11" s="3776"/>
      <c r="M11" s="3776"/>
      <c r="N11" s="3776"/>
      <c r="O11" s="3776"/>
    </row>
    <row r="12" spans="1:26" ht="14.25" customHeight="1">
      <c r="B12" s="333" t="str">
        <f>IF(G12=0,"",IF(G12&gt;1,"Arbeitskraft Chefs","Arbeitskraft Chef"))</f>
        <v>Arbeitskraft Chef</v>
      </c>
      <c r="G12" s="918">
        <f>SUM('4 Eingabe Friseure'!BI7:BI8)</f>
        <v>1</v>
      </c>
      <c r="M12" s="2" t="s">
        <v>659</v>
      </c>
      <c r="S12" s="875">
        <f>IF(N14&gt;0,1,2)</f>
        <v>2</v>
      </c>
    </row>
    <row r="13" spans="1:26" s="14" customFormat="1" ht="13.5" customHeight="1">
      <c r="A13" s="11"/>
      <c r="B13" s="2"/>
      <c r="C13" s="2"/>
      <c r="G13" s="919"/>
      <c r="H13" s="759"/>
      <c r="I13" s="759"/>
      <c r="J13" s="3752" t="str">
        <f ca="1">IF(H14="","",IF(H14&gt;1,"etwas höhere Personalkosten als im Vorjahr",IF(H14&lt;-0.5,"weniger Personalkosten als im Vorjahr","")))</f>
        <v/>
      </c>
      <c r="K13" s="3752"/>
      <c r="M13" s="13" t="s">
        <v>660</v>
      </c>
      <c r="N13" s="2"/>
      <c r="S13" s="882">
        <f>IF(SUM(N16:Y16)&gt;0,1,3)</f>
        <v>3</v>
      </c>
    </row>
    <row r="14" spans="1:26" s="14" customFormat="1" ht="16.5" customHeight="1" thickBot="1">
      <c r="A14" s="30" t="s">
        <v>107</v>
      </c>
      <c r="B14" s="85"/>
      <c r="C14" s="85"/>
      <c r="D14" s="85"/>
      <c r="E14" s="86" t="s">
        <v>6</v>
      </c>
      <c r="F14" s="135">
        <f ca="1">SUM(F10:F12)</f>
        <v>211335.49775000001</v>
      </c>
      <c r="G14" s="916">
        <f>IF(E1="",SUM(G6:G12),"")</f>
        <v>6.0375000000000005</v>
      </c>
      <c r="H14" s="760" t="str">
        <f ca="1">IF(F4=0,"",IF(H16="",(F14*100/F4)-100,""))</f>
        <v/>
      </c>
      <c r="I14" s="761" t="str">
        <f ca="1">IF(H14="","","%")</f>
        <v/>
      </c>
      <c r="J14" s="3752"/>
      <c r="K14" s="3752"/>
      <c r="M14" s="13" t="s">
        <v>22</v>
      </c>
      <c r="N14" s="1556"/>
      <c r="O14" s="883" t="str">
        <f>IF(S12=S13,"Bitte monatlich oder jährlich eingeben","")</f>
        <v/>
      </c>
    </row>
    <row r="15" spans="1:26" ht="15.6" thickTop="1">
      <c r="E15" s="163" t="s">
        <v>108</v>
      </c>
      <c r="F15" s="161" t="str">
        <f>IF(F20="ok",(F14/1.25)/12*0.5*E16,"")</f>
        <v/>
      </c>
      <c r="G15" s="873">
        <f>IF(F20="ok",((F14-M15)/1.25)/12*0.5*E16,0)</f>
        <v>0</v>
      </c>
      <c r="H15" s="759"/>
      <c r="I15" s="762"/>
      <c r="J15" s="3752"/>
      <c r="K15" s="3752"/>
      <c r="M15" s="1494">
        <f>IF(D5="",0,D5)</f>
        <v>0</v>
      </c>
      <c r="N15" s="881">
        <f>'2a Chefeingaben'!C16</f>
        <v>44927</v>
      </c>
      <c r="O15" s="881">
        <f>'2a Chefeingaben'!D16</f>
        <v>44959</v>
      </c>
      <c r="P15" s="881">
        <f>'2a Chefeingaben'!E16</f>
        <v>44991</v>
      </c>
      <c r="Q15" s="881">
        <f>'2a Chefeingaben'!F16</f>
        <v>45023</v>
      </c>
      <c r="R15" s="881">
        <f>'2a Chefeingaben'!G16</f>
        <v>45055</v>
      </c>
      <c r="S15" s="881">
        <f>'2a Chefeingaben'!H16</f>
        <v>45087</v>
      </c>
      <c r="T15" s="881">
        <f>'2a Chefeingaben'!I16</f>
        <v>45119</v>
      </c>
      <c r="U15" s="881">
        <f>'2a Chefeingaben'!J16</f>
        <v>45151</v>
      </c>
      <c r="V15" s="881">
        <f>'2a Chefeingaben'!K16</f>
        <v>45183</v>
      </c>
      <c r="W15" s="881">
        <f>'2a Chefeingaben'!L16</f>
        <v>45215</v>
      </c>
      <c r="X15" s="881">
        <f>'2a Chefeingaben'!M16</f>
        <v>45247</v>
      </c>
      <c r="Y15" s="881">
        <f>'2a Chefeingaben'!N16</f>
        <v>45279</v>
      </c>
    </row>
    <row r="16" spans="1:26" ht="22.5" customHeight="1" thickBot="1">
      <c r="A16" s="947"/>
      <c r="B16" s="169"/>
      <c r="D16" s="1666" t="str">
        <f>IF(F20="ok","","Krankheit nicht eingeplant")</f>
        <v>Krankheit nicht eingeplant</v>
      </c>
      <c r="E16" s="364" t="str">
        <f>IF(F20="ok",60%,"")</f>
        <v/>
      </c>
      <c r="F16" s="135">
        <f ca="1">IF(F20="",F14,F14-F15)</f>
        <v>211335.49775000001</v>
      </c>
      <c r="H16" s="1693">
        <f ca="1">IF(F4=0,"",IF(F16="","",(F16*100/F4)-100))</f>
        <v>56.483860945600242</v>
      </c>
      <c r="I16" s="1694" t="str">
        <f ca="1">IF(H16="","","%")</f>
        <v>%</v>
      </c>
      <c r="J16" s="3759" t="str">
        <f ca="1">IF(H16="","",IF(H16&gt;1,"höhere Personalkosten als im Vorjahr in % und in €",IF(H16&lt;-0.5,"weniger Personalkosten als im Vorjahr in % und in €","")))</f>
        <v>höhere Personalkosten als im Vorjahr in % und in €</v>
      </c>
      <c r="K16" s="3759"/>
      <c r="M16" s="13" t="s">
        <v>21</v>
      </c>
      <c r="N16" s="1556"/>
      <c r="O16" s="1556"/>
      <c r="P16" s="1556"/>
      <c r="Q16" s="1556"/>
      <c r="R16" s="1556"/>
      <c r="S16" s="1556"/>
      <c r="T16" s="1556"/>
      <c r="U16" s="1556"/>
      <c r="V16" s="1556"/>
      <c r="W16" s="1556"/>
      <c r="X16" s="1556"/>
      <c r="Y16" s="1556"/>
      <c r="Z16" s="24">
        <f>SUM(N17:Y17)</f>
        <v>0</v>
      </c>
    </row>
    <row r="17" spans="1:25" ht="21.6" customHeight="1" thickTop="1">
      <c r="A17" s="947"/>
      <c r="B17" s="169"/>
      <c r="D17" s="3758" t="s">
        <v>1000</v>
      </c>
      <c r="E17" s="3758"/>
      <c r="F17" s="3758"/>
      <c r="G17" s="1665"/>
      <c r="H17" s="2574">
        <f ca="1">F16-F4</f>
        <v>76282.913749999978</v>
      </c>
      <c r="I17" s="1692" t="s">
        <v>330</v>
      </c>
      <c r="J17" s="3759"/>
      <c r="K17" s="3759"/>
      <c r="N17" s="875">
        <f>IF(N16&gt;0,N16,$N14/12)</f>
        <v>0</v>
      </c>
      <c r="O17" s="875">
        <f t="shared" ref="O17:Y17" si="0">IF(O16&gt;0,O16,$N14/12)</f>
        <v>0</v>
      </c>
      <c r="P17" s="875">
        <f t="shared" si="0"/>
        <v>0</v>
      </c>
      <c r="Q17" s="875">
        <f t="shared" si="0"/>
        <v>0</v>
      </c>
      <c r="R17" s="875">
        <f t="shared" si="0"/>
        <v>0</v>
      </c>
      <c r="S17" s="875">
        <f t="shared" si="0"/>
        <v>0</v>
      </c>
      <c r="T17" s="875">
        <f t="shared" si="0"/>
        <v>0</v>
      </c>
      <c r="U17" s="875">
        <f t="shared" si="0"/>
        <v>0</v>
      </c>
      <c r="V17" s="875">
        <f t="shared" si="0"/>
        <v>0</v>
      </c>
      <c r="W17" s="875">
        <f t="shared" si="0"/>
        <v>0</v>
      </c>
      <c r="X17" s="875">
        <f t="shared" si="0"/>
        <v>0</v>
      </c>
      <c r="Y17" s="875">
        <f t="shared" si="0"/>
        <v>0</v>
      </c>
    </row>
    <row r="18" spans="1:25" ht="16.8" customHeight="1">
      <c r="A18" s="169"/>
      <c r="B18" s="169"/>
      <c r="D18" s="3758"/>
      <c r="E18" s="3758"/>
      <c r="F18" s="3758"/>
      <c r="G18" s="1665"/>
      <c r="J18" s="1667"/>
      <c r="K18" s="1667"/>
    </row>
    <row r="19" spans="1:25" ht="20.399999999999999" customHeight="1">
      <c r="A19" s="169"/>
      <c r="B19" s="169"/>
      <c r="D19" s="3758"/>
      <c r="E19" s="3758"/>
      <c r="F19" s="3758"/>
      <c r="G19" s="1665"/>
      <c r="J19" s="3760" t="s">
        <v>1002</v>
      </c>
      <c r="K19" s="3763"/>
      <c r="L19" s="3764"/>
      <c r="M19" s="3764"/>
      <c r="N19" s="3765"/>
    </row>
    <row r="20" spans="1:25">
      <c r="A20" s="169"/>
      <c r="B20" s="169"/>
      <c r="E20" s="363" t="s">
        <v>265</v>
      </c>
      <c r="F20" s="742"/>
      <c r="J20" s="3761"/>
      <c r="K20" s="3766"/>
      <c r="L20" s="3767"/>
      <c r="M20" s="3767"/>
      <c r="N20" s="3768"/>
    </row>
    <row r="21" spans="1:25">
      <c r="A21" s="169"/>
      <c r="D21" s="2490" t="s">
        <v>1230</v>
      </c>
      <c r="J21" s="3761"/>
      <c r="K21" s="3766"/>
      <c r="L21" s="3767"/>
      <c r="M21" s="3767"/>
      <c r="N21" s="3768"/>
    </row>
    <row r="22" spans="1:25">
      <c r="E22" s="82" t="str">
        <f>IF(F22="","","ohne Provisionen")</f>
        <v/>
      </c>
      <c r="F22" s="88" t="str">
        <f>IF(D5="","",F14-D5-G15)</f>
        <v/>
      </c>
      <c r="J22" s="3762"/>
      <c r="K22" s="3769"/>
      <c r="L22" s="3770"/>
      <c r="M22" s="3770"/>
      <c r="N22" s="3771"/>
    </row>
    <row r="23" spans="1:25" ht="16.5" customHeight="1">
      <c r="A23" s="1964" t="s">
        <v>1258</v>
      </c>
      <c r="E23" s="82" t="str">
        <f>IF(F22="","","und ohne KK- Rückzahlung")</f>
        <v/>
      </c>
      <c r="F23" s="88">
        <f>IF(F22="",G15,F22+G15)</f>
        <v>0</v>
      </c>
    </row>
    <row r="24" spans="1:25" ht="13.95" customHeight="1">
      <c r="A24" s="3745" t="str">
        <f ca="1">IF(C7="","",A23)</f>
        <v>Wenn die Azubis oder Assistenten eigenen Umsatz aufschreiben (ohne einen Soll-Umsatz zu haben), geben Sie hier bitte den geschätzen Umsatz pro Jahr aller Azubis oder Assistenten ein, anderenfalls bitte nichts eingeben.</v>
      </c>
      <c r="B24" s="3746"/>
      <c r="C24" s="3746"/>
      <c r="D24" s="3746"/>
      <c r="E24" s="3747"/>
    </row>
    <row r="25" spans="1:25" ht="22.5" customHeight="1">
      <c r="A25" s="3748"/>
      <c r="B25" s="3749"/>
      <c r="C25" s="3749"/>
      <c r="D25" s="3749"/>
      <c r="E25" s="3750"/>
    </row>
    <row r="26" spans="1:25" ht="18.600000000000001" customHeight="1">
      <c r="A26" s="1965"/>
      <c r="B26" s="1556"/>
      <c r="C26" s="3746" t="str">
        <f>IF(B26="","","Dieser Umsatz wird bei der Lohnfaktorberechnung für die Friseure mit einbezogen.")</f>
        <v/>
      </c>
      <c r="D26" s="3746"/>
      <c r="E26" s="3747"/>
    </row>
    <row r="27" spans="1:25" ht="7.95" customHeight="1">
      <c r="A27" s="1968"/>
      <c r="B27" s="1969"/>
      <c r="C27" s="3755"/>
      <c r="D27" s="3755"/>
      <c r="E27" s="3756"/>
    </row>
    <row r="28" spans="1:25" ht="11.55" customHeight="1">
      <c r="A28" s="3"/>
      <c r="B28" s="3"/>
      <c r="C28" s="3"/>
      <c r="D28" s="3"/>
    </row>
    <row r="29" spans="1:25" ht="10.050000000000001" customHeight="1">
      <c r="A29" s="1970"/>
      <c r="B29" s="1971"/>
      <c r="C29" s="1971"/>
      <c r="D29" s="1972"/>
      <c r="E29" s="1972"/>
      <c r="F29" s="1973"/>
    </row>
    <row r="30" spans="1:25" ht="18" customHeight="1">
      <c r="A30" s="2295" t="str">
        <f>IF(A9="","",A9)</f>
        <v/>
      </c>
      <c r="B30" s="1556"/>
      <c r="C30" s="1974" t="str">
        <f>IF(A30="","","Wenn dieser MA am Kunden arbeitet   ja  eingeben")</f>
        <v/>
      </c>
      <c r="D30" s="1974"/>
      <c r="E30" s="1966"/>
      <c r="F30" s="1967"/>
    </row>
    <row r="31" spans="1:25" ht="18" customHeight="1">
      <c r="A31" s="1975" t="str">
        <f>IF(B30="","","Std pro Woche")</f>
        <v/>
      </c>
      <c r="B31" s="1556"/>
      <c r="C31" s="1974"/>
      <c r="D31" s="1974"/>
      <c r="E31" s="1966"/>
      <c r="F31" s="1967"/>
    </row>
    <row r="32" spans="1:25" ht="18" customHeight="1">
      <c r="A32" s="1976" t="str">
        <f>IF(B30="","",IF(B32="","","PSF"))</f>
        <v/>
      </c>
      <c r="B32" s="1977" t="str">
        <f>IF(B30="","",IF(B30="ja",B31/'2 Unternehmensdaten'!G30,""))</f>
        <v/>
      </c>
      <c r="C32" s="1974"/>
      <c r="D32" s="1974"/>
      <c r="E32" s="1966"/>
      <c r="F32" s="1967"/>
    </row>
    <row r="33" spans="1:8" ht="18" customHeight="1">
      <c r="A33" s="1975" t="str">
        <f>IF(B30="","","Honorar p Std")</f>
        <v/>
      </c>
      <c r="B33" s="1556"/>
      <c r="C33" s="3743" t="str">
        <f>IF(B30="","","Geben Sie entweder das Honorar pro Std. oder pro Monat ein.")</f>
        <v/>
      </c>
      <c r="D33" s="3744"/>
      <c r="E33" s="1966"/>
      <c r="F33" s="1967"/>
    </row>
    <row r="34" spans="1:8" ht="18" customHeight="1">
      <c r="A34" s="1975" t="str">
        <f>IF(B30="","","Honorar p Monat")</f>
        <v/>
      </c>
      <c r="B34" s="1978"/>
      <c r="C34" s="3743"/>
      <c r="D34" s="3744"/>
      <c r="E34" s="1966"/>
      <c r="F34" s="1967"/>
    </row>
    <row r="35" spans="1:8" ht="9.4499999999999993" customHeight="1">
      <c r="A35" s="2300"/>
      <c r="B35" s="2291"/>
      <c r="C35" s="2291"/>
      <c r="D35" s="2291"/>
      <c r="E35" s="2291"/>
      <c r="F35" s="2292"/>
    </row>
    <row r="36" spans="1:8" ht="15.6" thickBot="1">
      <c r="A36" s="2289" t="str">
        <f>IF(B30="","","Bitte geben Sie unten die Monate mit 1,0 oder 0,5 ein, die der Mitarbeiter arbeiten wird")</f>
        <v/>
      </c>
      <c r="B36" s="2291"/>
      <c r="C36" s="2290"/>
      <c r="D36" s="2290"/>
      <c r="E36" s="2291"/>
      <c r="F36" s="2292"/>
    </row>
    <row r="37" spans="1:8" ht="25.8" customHeight="1">
      <c r="A37" s="2296" t="str">
        <f>IF(B30="","",'6 Eingabe Azubis'!K6)</f>
        <v/>
      </c>
      <c r="B37" s="2294" t="str">
        <f>IF(B30="","",'6 Eingabe Azubis'!L6)</f>
        <v/>
      </c>
      <c r="C37" s="2294" t="str">
        <f>IF(B30="","",'6 Eingabe Azubis'!M6)</f>
        <v/>
      </c>
      <c r="D37" s="2294" t="str">
        <f>IF(B30="","",'6 Eingabe Azubis'!N6)</f>
        <v/>
      </c>
      <c r="E37" s="2294" t="str">
        <f>IF(B30="","",'6 Eingabe Azubis'!O6)</f>
        <v/>
      </c>
      <c r="F37" s="2297" t="str">
        <f>IF(B30="","",'6 Eingabe Azubis'!P6)</f>
        <v/>
      </c>
    </row>
    <row r="38" spans="1:8" ht="25.8" customHeight="1" thickBot="1">
      <c r="A38" s="2298"/>
      <c r="B38" s="2293"/>
      <c r="C38" s="2293"/>
      <c r="D38" s="2293"/>
      <c r="E38" s="2293"/>
      <c r="F38" s="2299"/>
    </row>
    <row r="39" spans="1:8" ht="25.8" customHeight="1">
      <c r="A39" s="2296" t="str">
        <f>IF(B30="","",'6 Eingabe Azubis'!Q6)</f>
        <v/>
      </c>
      <c r="B39" s="2294" t="str">
        <f>IF(B30="","",'6 Eingabe Azubis'!R6)</f>
        <v/>
      </c>
      <c r="C39" s="2294" t="str">
        <f>IF(B30="","",'6 Eingabe Azubis'!S6)</f>
        <v/>
      </c>
      <c r="D39" s="2294" t="str">
        <f>IF(B30="","",'6 Eingabe Azubis'!T6)</f>
        <v/>
      </c>
      <c r="E39" s="2294" t="str">
        <f>IF(B30="","",'6 Eingabe Azubis'!U6)</f>
        <v/>
      </c>
      <c r="F39" s="2297" t="str">
        <f>IF(B30="","",'6 Eingabe Azubis'!V6)</f>
        <v/>
      </c>
    </row>
    <row r="40" spans="1:8" ht="25.8" customHeight="1" thickBot="1">
      <c r="A40" s="2298"/>
      <c r="B40" s="2293"/>
      <c r="C40" s="2293"/>
      <c r="D40" s="2293"/>
      <c r="E40" s="2293"/>
      <c r="F40" s="2299"/>
    </row>
    <row r="41" spans="1:8" ht="9.4499999999999993" customHeight="1">
      <c r="A41" s="2300"/>
      <c r="B41" s="2291"/>
      <c r="C41" s="2291"/>
      <c r="D41" s="2291"/>
      <c r="E41" s="2291"/>
      <c r="F41" s="2292"/>
    </row>
    <row r="42" spans="1:8" ht="11.55" customHeight="1">
      <c r="A42" s="1975"/>
      <c r="B42" s="1979"/>
      <c r="C42" s="2288" t="str">
        <f>IF(B30="","",IF(B34&gt;0,B34,B31*B33*4.33))</f>
        <v/>
      </c>
      <c r="D42" s="2287" t="str">
        <f>IF(B30="","","Honorar pro Monat")</f>
        <v/>
      </c>
      <c r="E42" s="1966"/>
      <c r="F42" s="1967"/>
    </row>
    <row r="43" spans="1:8" ht="11.55" customHeight="1">
      <c r="A43" s="1976" t="str">
        <f>IF(B30="","","Monate")</f>
        <v/>
      </c>
      <c r="B43" s="2286" t="str">
        <f>IF(B30="","",SUM(A38:F38,A40:F40))</f>
        <v/>
      </c>
      <c r="C43" s="2288" t="str">
        <f>IF(B43="","",C42*B43)</f>
        <v/>
      </c>
      <c r="D43" s="2287" t="str">
        <f>IF(B30="","","Honorar pro Jahr")</f>
        <v/>
      </c>
      <c r="E43" s="1966"/>
      <c r="F43" s="1967"/>
    </row>
    <row r="44" spans="1:8" ht="10.050000000000001" customHeight="1">
      <c r="A44" s="2304" t="s">
        <v>1152</v>
      </c>
      <c r="B44" s="2291"/>
      <c r="C44" s="2291"/>
      <c r="D44" s="2291"/>
      <c r="E44" s="2304" t="s">
        <v>1153</v>
      </c>
      <c r="F44" s="2292"/>
      <c r="H44" s="2303"/>
    </row>
    <row r="45" spans="1:8" ht="10.050000000000001" customHeight="1">
      <c r="A45" s="3751" t="str">
        <f>IF(B30="","",_xlfn.CONCAT(A44," ",A30))</f>
        <v/>
      </c>
      <c r="B45" s="1966"/>
      <c r="C45" s="2291"/>
      <c r="D45" s="2291"/>
      <c r="E45" s="3751" t="str">
        <f>IF(B30="","",IF(B46="","",_xlfn.CONCAT(E44," ",A30)))</f>
        <v/>
      </c>
      <c r="F45" s="2292"/>
      <c r="H45" s="2303"/>
    </row>
    <row r="46" spans="1:8" ht="21.6" customHeight="1">
      <c r="A46" s="3751"/>
      <c r="B46" s="1978"/>
      <c r="C46" s="2291"/>
      <c r="D46" s="2337" t="str">
        <f>IF(B46=0,"",B46*B43)</f>
        <v/>
      </c>
      <c r="E46" s="3751"/>
      <c r="F46" s="2292"/>
    </row>
    <row r="47" spans="1:8" ht="7.5" customHeight="1">
      <c r="A47" s="2301"/>
      <c r="B47" s="2301"/>
      <c r="C47" s="2301"/>
      <c r="D47" s="2301"/>
      <c r="E47" s="2301"/>
      <c r="F47" s="2302"/>
    </row>
    <row r="49" spans="1:12">
      <c r="A49" s="2305">
        <f>IF(A38="",0,A38*$C$42)</f>
        <v>0</v>
      </c>
      <c r="B49" s="2305">
        <f t="shared" ref="B49:F49" si="1">IF(B38="",0,B38*$C$42)</f>
        <v>0</v>
      </c>
      <c r="C49" s="2305">
        <f t="shared" si="1"/>
        <v>0</v>
      </c>
      <c r="D49" s="2305">
        <f t="shared" si="1"/>
        <v>0</v>
      </c>
      <c r="E49" s="2305">
        <f t="shared" si="1"/>
        <v>0</v>
      </c>
      <c r="F49" s="2305">
        <f t="shared" si="1"/>
        <v>0</v>
      </c>
      <c r="G49" s="2305">
        <f>IF(A40="",0,A40*$C$42)</f>
        <v>0</v>
      </c>
      <c r="H49" s="2305">
        <f t="shared" ref="H49:L49" si="2">IF(B40="",0,B40*$C$42)</f>
        <v>0</v>
      </c>
      <c r="I49" s="2305">
        <f t="shared" si="2"/>
        <v>0</v>
      </c>
      <c r="J49" s="2305">
        <f t="shared" si="2"/>
        <v>0</v>
      </c>
      <c r="K49" s="2305">
        <f t="shared" si="2"/>
        <v>0</v>
      </c>
      <c r="L49" s="2305">
        <f t="shared" si="2"/>
        <v>0</v>
      </c>
    </row>
  </sheetData>
  <sheetProtection algorithmName="SHA-512" hashValue="i2845p2APXbWt6bEis355/tAzwkxq6hjTX7j04CfRTQ6xEqNWNjnjJ12ZzCi2Dhuk8pNya+L+ENEGqsL11xo6w==" saltValue="lE9GFujMuK0+3BB/DBGH4g==" spinCount="100000" sheet="1" objects="1" scenarios="1"/>
  <customSheetViews>
    <customSheetView guid="{91EE9386-9500-473B-B86C-27DB8DF0BA46}" scale="110" showGridLines="0">
      <selection activeCell="F14" sqref="F14"/>
      <pageMargins left="0.25" right="0.25" top="0.75" bottom="0.75" header="0.3" footer="0.3"/>
      <pageSetup paperSize="9" orientation="landscape" r:id="rId1"/>
    </customSheetView>
    <customSheetView guid="{B8019777-F14C-4393-8CE3-CE0081D0CD28}" scale="110" showGridLines="0">
      <selection activeCell="F14" sqref="F14"/>
      <pageMargins left="0.25" right="0.25" top="0.75" bottom="0.75" header="0.3" footer="0.3"/>
      <pageSetup paperSize="9" orientation="landscape" r:id="rId2"/>
    </customSheetView>
  </customSheetViews>
  <mergeCells count="16">
    <mergeCell ref="E1:I3"/>
    <mergeCell ref="D17:F19"/>
    <mergeCell ref="J16:K17"/>
    <mergeCell ref="J19:J22"/>
    <mergeCell ref="K19:N22"/>
    <mergeCell ref="C7:D8"/>
    <mergeCell ref="J1:O11"/>
    <mergeCell ref="G4:H4"/>
    <mergeCell ref="A7:B7"/>
    <mergeCell ref="C33:D34"/>
    <mergeCell ref="A24:E25"/>
    <mergeCell ref="A45:A46"/>
    <mergeCell ref="J13:K15"/>
    <mergeCell ref="A9:B9"/>
    <mergeCell ref="C26:E27"/>
    <mergeCell ref="E45:E46"/>
  </mergeCells>
  <phoneticPr fontId="4" type="noConversion"/>
  <pageMargins left="0.25" right="0.25" top="0.75" bottom="0.75" header="0.3" footer="0.3"/>
  <pageSetup paperSize="9" orientation="landscape"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37"/>
  <sheetViews>
    <sheetView showGridLines="0" zoomScale="90" zoomScaleNormal="90" workbookViewId="0">
      <selection activeCell="P7" sqref="P7"/>
    </sheetView>
  </sheetViews>
  <sheetFormatPr baseColWidth="10" defaultColWidth="11" defaultRowHeight="15"/>
  <cols>
    <col min="1" max="1" width="19.21875" style="34" customWidth="1"/>
    <col min="2" max="2" width="18" style="3" customWidth="1"/>
    <col min="3" max="3" width="10.44140625" style="3" customWidth="1"/>
    <col min="4" max="4" width="10.77734375" style="3" customWidth="1"/>
    <col min="5" max="5" width="18.21875" style="3" customWidth="1"/>
    <col min="6" max="6" width="12.21875" style="3" customWidth="1"/>
    <col min="7" max="7" width="10" style="3" customWidth="1"/>
    <col min="8" max="8" width="15.44140625" style="3" customWidth="1"/>
    <col min="9" max="9" width="11.21875" style="3" customWidth="1"/>
    <col min="10" max="10" width="8.77734375" style="3" customWidth="1"/>
    <col min="11" max="11" width="15.44140625" style="3" customWidth="1"/>
    <col min="12" max="12" width="13.21875" style="3" customWidth="1"/>
    <col min="13" max="13" width="8.77734375" style="3" customWidth="1"/>
    <col min="14" max="15" width="15.44140625" style="3" customWidth="1"/>
    <col min="16" max="16" width="8.77734375" style="3" customWidth="1"/>
    <col min="17" max="17" width="17.44140625" style="3" customWidth="1"/>
    <col min="18" max="18" width="6.77734375" style="3" customWidth="1"/>
    <col min="19" max="19" width="3.77734375" style="3" customWidth="1"/>
    <col min="20" max="20" width="4.44140625" style="3" customWidth="1"/>
    <col min="21" max="16384" width="11" style="3"/>
  </cols>
  <sheetData>
    <row r="1" spans="1:28" ht="39" customHeight="1">
      <c r="A1" s="159" t="s">
        <v>20</v>
      </c>
      <c r="B1" s="1156"/>
      <c r="C1" s="133" t="str">
        <f>'13 Werbung Weiterbildung'!J1</f>
        <v>Demo Version</v>
      </c>
      <c r="E1" s="3326" t="s">
        <v>1277</v>
      </c>
      <c r="F1" s="3326"/>
      <c r="G1" s="3326"/>
      <c r="H1" s="3326"/>
      <c r="I1" s="3326"/>
      <c r="J1" s="3326"/>
      <c r="K1" s="3326"/>
      <c r="L1" s="3326"/>
      <c r="M1" s="1157" t="str">
        <f>IF(Start!L17="ü","offen","")</f>
        <v>offen</v>
      </c>
      <c r="O1" s="750" t="str">
        <f>Start!G1</f>
        <v xml:space="preserve"> erstellt von Peter Lehmann</v>
      </c>
    </row>
    <row r="2" spans="1:28" ht="21.75" customHeight="1">
      <c r="A2" s="3796" t="str">
        <f>IF(B2="","","Die Hochrechnung ist entstanden mit den Werten aus")</f>
        <v>Die Hochrechnung ist entstanden mit den Werten aus</v>
      </c>
      <c r="B2" s="1917">
        <f>IF('3 Vorjahr'!C16=12,"",'3 Vorjahr'!C16)</f>
        <v>10</v>
      </c>
      <c r="C2" s="3789" t="str">
        <f>IF(B2="","","Die Gesamtwerte haben Sie vielleicht auf Seite 3 korrigiert. Die Einzelwerte sind auch hochgerechnet und noch nicht korrigiert, überprüfen Sie sie bitte, ob die Werte passen")</f>
        <v>Die Gesamtwerte haben Sie vielleicht auf Seite 3 korrigiert. Die Einzelwerte sind auch hochgerechnet und noch nicht korrigiert, überprüfen Sie sie bitte, ob die Werte passen</v>
      </c>
      <c r="D2" s="3789"/>
      <c r="E2" s="3789"/>
      <c r="F2" s="3789"/>
      <c r="G2" s="3789"/>
      <c r="H2" s="3789"/>
      <c r="I2" s="3789"/>
      <c r="J2" s="3789"/>
      <c r="K2" s="3789"/>
      <c r="L2" s="3789"/>
      <c r="M2" s="3789"/>
      <c r="N2" s="3789"/>
      <c r="O2" s="3789"/>
      <c r="P2" s="3790"/>
      <c r="Q2" s="750"/>
    </row>
    <row r="3" spans="1:28" s="34" customFormat="1" ht="41.25" customHeight="1">
      <c r="A3" s="3797"/>
      <c r="B3" s="3780" t="s">
        <v>9</v>
      </c>
      <c r="C3" s="3781"/>
      <c r="D3" s="1164">
        <f>IF(B2="","",B2)</f>
        <v>10</v>
      </c>
      <c r="E3" s="3780" t="s">
        <v>104</v>
      </c>
      <c r="F3" s="3781"/>
      <c r="G3" s="1164">
        <f>IF(B2="","",B2)</f>
        <v>10</v>
      </c>
      <c r="H3" s="3780" t="s">
        <v>10</v>
      </c>
      <c r="I3" s="3781"/>
      <c r="J3" s="1164">
        <f>IF(B2="","",B2)</f>
        <v>10</v>
      </c>
      <c r="K3" s="3780" t="s">
        <v>459</v>
      </c>
      <c r="L3" s="3781"/>
      <c r="M3" s="1164">
        <f>IF(B2="","",B2)</f>
        <v>10</v>
      </c>
      <c r="N3" s="3780" t="s">
        <v>457</v>
      </c>
      <c r="O3" s="3781"/>
      <c r="P3" s="1164">
        <f>IF(B2="","",B2)</f>
        <v>10</v>
      </c>
      <c r="U3" s="2"/>
      <c r="V3" s="3779"/>
      <c r="W3" s="480"/>
      <c r="X3" s="480"/>
      <c r="Y3" s="480"/>
      <c r="Z3" s="480"/>
      <c r="AA3" s="480"/>
    </row>
    <row r="4" spans="1:28" ht="24" customHeight="1">
      <c r="A4" s="2498" t="str">
        <f>'14 Sonstige Kosten'!E13</f>
        <v>Oktober</v>
      </c>
      <c r="B4" s="3785" t="str">
        <f>IF(SUM(D6:D15)&gt;0,"Summe der neuen Planungswerte","")</f>
        <v>Summe der neuen Planungswerte</v>
      </c>
      <c r="C4" s="3786"/>
      <c r="D4" s="2654">
        <f>IF($M$1="","nicht gebucht",IF(SUM(D6:D15)&gt;0,SUM(D6:D15),0))</f>
        <v>40064.055999999997</v>
      </c>
      <c r="E4" s="3785" t="str">
        <f>IF(SUM(G6:G15)&gt;0,"Summe der neuen Planungswerte","")</f>
        <v>Summe der neuen Planungswerte</v>
      </c>
      <c r="F4" s="3786"/>
      <c r="G4" s="2654">
        <f>IF($M$1="","nicht gebucht",IF(SUM(G6:G15)&gt;0,SUM(G6:G15),0))</f>
        <v>11626.1</v>
      </c>
      <c r="H4" s="3785" t="str">
        <f>IF(SUM(J6:J15)&gt;0,"Summe der neuen Planungswerte","")</f>
        <v>Summe der neuen Planungswerte</v>
      </c>
      <c r="I4" s="3786"/>
      <c r="J4" s="2654">
        <f>IF($M$1="","nicht gebucht",IF(SUM(J6:J15)&gt;0,SUM(J6:J15),0))</f>
        <v>3100</v>
      </c>
      <c r="K4" s="3785" t="str">
        <f>IF(SUM(M6:M15)&gt;0,"Summe der neuen Planungswerte","")</f>
        <v>Summe der neuen Planungswerte</v>
      </c>
      <c r="L4" s="3786"/>
      <c r="M4" s="2654">
        <f>IF($M$1="","nicht gebucht",IF(SUM(M6:M15)&gt;0,SUM(M6:M15),0))</f>
        <v>1200</v>
      </c>
      <c r="N4" s="3785" t="str">
        <f>IF(SUM(P6:P15)&gt;0,"Summe der neuen Planungswerte","")</f>
        <v>Summe der neuen Planungswerte</v>
      </c>
      <c r="O4" s="3786"/>
      <c r="P4" s="2654">
        <f>IF($M$1="","nicht gebucht",IF(SUM(P6:P15)&gt;0,SUM(P6:P15),0))</f>
        <v>11300</v>
      </c>
      <c r="V4" s="3779"/>
      <c r="W4" s="649" t="s">
        <v>9</v>
      </c>
      <c r="X4" s="650">
        <f>D4</f>
        <v>40064.055999999997</v>
      </c>
      <c r="Y4" s="566"/>
      <c r="Z4" s="566"/>
      <c r="AA4" s="651"/>
      <c r="AB4" s="648"/>
    </row>
    <row r="5" spans="1:28" ht="27" customHeight="1">
      <c r="A5" s="618"/>
      <c r="B5" s="1155" t="str">
        <f>IF(B16=B17,"Die Planung der Einzelwerte wird dem Gesamtwert zugerechnet","")</f>
        <v/>
      </c>
      <c r="C5" s="1154" t="str">
        <f>IF(C6="","keine Vorjahreswerte","Vorjahr in  Euro")</f>
        <v>Vorjahr in  Euro</v>
      </c>
      <c r="D5" s="1259" t="str">
        <f>IF(SUM(D6:D15)&gt;0,"↑","↓")</f>
        <v>↑</v>
      </c>
      <c r="E5" s="874" t="str">
        <f>IF(E16=E17,"Die Einzelwerte werden dem Gesamtwert zugerechnet","")</f>
        <v/>
      </c>
      <c r="F5" s="1154" t="str">
        <f>IF(F6="","keine Vorjahreswerte","Vorjahr in  Euro")</f>
        <v>Vorjahr in  Euro</v>
      </c>
      <c r="G5" s="1259" t="str">
        <f>IF(SUM(G6:G15)&gt;0,"↑","↓")</f>
        <v>↑</v>
      </c>
      <c r="H5" s="874" t="str">
        <f>IF(H16=H17,"Die Einzelwerte werden dem Gesamtwert zugerechnet","")</f>
        <v/>
      </c>
      <c r="I5" s="1154" t="str">
        <f>IF(I6="","keine Vorjahreswerte","Vorjahr in  Euro")</f>
        <v>Vorjahr in  Euro</v>
      </c>
      <c r="J5" s="1259" t="str">
        <f>IF(SUM(J6:J15)&gt;0,"↑","↓")</f>
        <v>↑</v>
      </c>
      <c r="K5" s="874" t="str">
        <f>IF(K16=K17,"Die Einzelwerte werden dem Gesamtwert zugerechnet","")</f>
        <v/>
      </c>
      <c r="L5" s="1154" t="str">
        <f>IF(L6="","keine Vorjahreswerte","Vorjahr in  Euro")</f>
        <v>Vorjahr in  Euro</v>
      </c>
      <c r="M5" s="1259" t="str">
        <f>IF(SUM(M6:M15)&gt;0,"↑","↓")</f>
        <v>↑</v>
      </c>
      <c r="N5" s="874" t="str">
        <f>IF(N16=N17,"Die Einzelwerte werden dem Gesamtwert zugerechnet","")</f>
        <v/>
      </c>
      <c r="O5" s="1154" t="str">
        <f>IF(O6="","keine Vorjahreswerte","Vorjahr in  Euro")</f>
        <v>Vorjahr in  Euro</v>
      </c>
      <c r="P5" s="1259" t="str">
        <f>IF(SUM(P6:P15)&gt;0,"↑","↓")</f>
        <v>↑</v>
      </c>
      <c r="Q5" s="1163">
        <f>SUM(D4,G4,J4,M4,P4)</f>
        <v>67290.155999999988</v>
      </c>
      <c r="W5" s="649"/>
      <c r="X5" s="650"/>
      <c r="Y5" s="566"/>
      <c r="Z5" s="566"/>
      <c r="AA5" s="651"/>
      <c r="AB5" s="648"/>
    </row>
    <row r="6" spans="1:28" ht="34.049999999999997" customHeight="1" thickBot="1">
      <c r="A6" s="1161" t="s">
        <v>312</v>
      </c>
      <c r="B6" s="1162" t="s">
        <v>535</v>
      </c>
      <c r="C6" s="1171">
        <f>IF('3 Vorjahr'!G82=0,"",'3 Vorjahr'!G82)</f>
        <v>36205.944000000003</v>
      </c>
      <c r="D6" s="1851"/>
      <c r="E6" s="1162" t="s">
        <v>536</v>
      </c>
      <c r="F6" s="1171">
        <f>'3 Vorjahr'!G97</f>
        <v>10718.1</v>
      </c>
      <c r="G6" s="1851"/>
      <c r="H6" s="1162" t="s">
        <v>537</v>
      </c>
      <c r="I6" s="1171">
        <f>'3 Vorjahr'!G113</f>
        <v>2944.8600000000006</v>
      </c>
      <c r="J6" s="1851">
        <v>3100</v>
      </c>
      <c r="K6" s="1162" t="s">
        <v>538</v>
      </c>
      <c r="L6" s="1171">
        <f>'3 Vorjahr'!G153</f>
        <v>1166.7719999999999</v>
      </c>
      <c r="M6" s="1851">
        <v>1200</v>
      </c>
      <c r="N6" s="1162" t="s">
        <v>539</v>
      </c>
      <c r="O6" s="1171">
        <f>'3 Vorjahr'!G154</f>
        <v>11272.763999999999</v>
      </c>
      <c r="P6" s="1851">
        <v>11300</v>
      </c>
      <c r="W6" s="649" t="s">
        <v>52</v>
      </c>
      <c r="X6" s="650">
        <f>G4</f>
        <v>11626.1</v>
      </c>
      <c r="Y6" s="566"/>
      <c r="Z6" s="566"/>
      <c r="AA6" s="651"/>
      <c r="AB6" s="648"/>
    </row>
    <row r="7" spans="1:28" ht="24.75" customHeight="1">
      <c r="A7" s="3791" t="s">
        <v>782</v>
      </c>
      <c r="B7" s="1158" t="str">
        <f>'3 Vorjahr'!A85</f>
        <v>Miete (unbewegliche Wirtschaftsgüter)</v>
      </c>
      <c r="C7" s="1159">
        <f>IF('3 Vorjahr'!C85="","",IF(D$3="",'3 Vorjahr'!C85,IF(D$3&gt;0,'3 Vorjahr'!C85/D$3*12,'3 Vorjahr'!C85)))</f>
        <v>22347.239999999998</v>
      </c>
      <c r="D7" s="1160">
        <v>22347.239999999998</v>
      </c>
      <c r="E7" s="1158" t="str">
        <f>'3 Vorjahr'!A98</f>
        <v>Gewerbesteuer 
(ggf. auch Kaptialst.)</v>
      </c>
      <c r="F7" s="1159">
        <f>IF('3 Vorjahr'!G98=0,"",'3 Vorjahr'!G98)</f>
        <v>7092</v>
      </c>
      <c r="G7" s="1160">
        <v>8000</v>
      </c>
      <c r="H7" s="1158" t="str">
        <f>'3 Vorjahr'!A116</f>
        <v>Kfz-Steuern (oder in Steuern)</v>
      </c>
      <c r="I7" s="1159" t="str">
        <f>IF('3 Vorjahr'!C116="","",IF(J$3="",'3 Vorjahr'!C116,IF(J$3&gt;0,'3 Vorjahr'!C116/J$3*12,'3 Vorjahr'!C116)))</f>
        <v/>
      </c>
      <c r="J7" s="1160"/>
      <c r="K7" s="1158" t="str">
        <f>'3 Vorjahr'!A155</f>
        <v>Reparatur/Instandh. Betriebs- u. Gesch.</v>
      </c>
      <c r="L7" s="1159">
        <f>IF('3 Vorjahr'!C155="","",IF(M$3="",'3 Vorjahr'!C155,IF(M$3&gt;0,'3 Vorjahr'!C155/M$3*12,'3 Vorjahr'!C155)))</f>
        <v>651.97199999999998</v>
      </c>
      <c r="M7" s="1160"/>
      <c r="N7" s="1158" t="str">
        <f>'3 Vorjahr'!A160</f>
        <v>Abschreibungen auf Sachanlagen</v>
      </c>
      <c r="O7" s="1159">
        <f>IF('3 Vorjahr'!C160="","",IF(P$3="",'3 Vorjahr'!C160,IF(P$3&gt;0,'3 Vorjahr'!C160/P$3*12,'3 Vorjahr'!C160)))</f>
        <v>11272.763999999999</v>
      </c>
      <c r="P7" s="1160"/>
      <c r="W7" s="649" t="s">
        <v>10</v>
      </c>
      <c r="X7" s="650">
        <f>J4</f>
        <v>3100</v>
      </c>
      <c r="Y7" s="566"/>
      <c r="Z7" s="566"/>
      <c r="AA7" s="651"/>
      <c r="AB7" s="648"/>
    </row>
    <row r="8" spans="1:28" ht="21" customHeight="1">
      <c r="A8" s="3791"/>
      <c r="B8" s="1151" t="str">
        <f>'3 Vorjahr'!A86</f>
        <v>Miet- und Pachtnebenkosten</v>
      </c>
      <c r="C8" s="1159">
        <f>IF('3 Vorjahr'!C86="","",IF(D$3="",'3 Vorjahr'!C86,IF(D$3&gt;0,'3 Vorjahr'!C86/D$3*12,'3 Vorjahr'!C86)))</f>
        <v>5760</v>
      </c>
      <c r="D8" s="1152">
        <v>10000</v>
      </c>
      <c r="E8" s="1151" t="str">
        <f>'3 Vorjahr'!A99</f>
        <v>Kfz-Steuern (oder bei KFZ)</v>
      </c>
      <c r="F8" s="1159" t="str">
        <f>IF('3 Vorjahr'!G99=0,"",'3 Vorjahr'!G99)</f>
        <v/>
      </c>
      <c r="G8" s="1152" t="s">
        <v>525</v>
      </c>
      <c r="H8" s="1151" t="str">
        <f>'3 Vorjahr'!A117</f>
        <v>Kfz-Versicherungen</v>
      </c>
      <c r="I8" s="1159" t="str">
        <f>IF('3 Vorjahr'!C117="","",IF(J$3="",'3 Vorjahr'!C117,IF(J$3&gt;0,'3 Vorjahr'!C117/J$3*12,'3 Vorjahr'!C117)))</f>
        <v/>
      </c>
      <c r="J8" s="1152"/>
      <c r="K8" s="1151" t="str">
        <f>'3 Vorjahr'!A156</f>
        <v>Wartungskosten für Hard- und Software</v>
      </c>
      <c r="L8" s="1159">
        <f>IF('3 Vorjahr'!C156="","",IF(M$3="",'3 Vorjahr'!C156,IF(M$3&gt;0,'3 Vorjahr'!C156/M$3*12,'3 Vorjahr'!C156)))</f>
        <v>514.79999999999995</v>
      </c>
      <c r="M8" s="1152"/>
      <c r="N8" s="1158" t="str">
        <f>'3 Vorjahr'!A161</f>
        <v>Abschreibungen auf immatr. Vmög.</v>
      </c>
      <c r="O8" s="1159" t="str">
        <f>IF('3 Vorjahr'!C161="","",IF(P$3="",'3 Vorjahr'!C161,IF(P$3&gt;0,'3 Vorjahr'!C161/P$3*12,'3 Vorjahr'!C161)))</f>
        <v/>
      </c>
      <c r="P8" s="1152"/>
      <c r="W8" s="649" t="s">
        <v>142</v>
      </c>
      <c r="X8" s="650">
        <f>'13 Werbung Weiterbildung'!D24</f>
        <v>7500</v>
      </c>
      <c r="Y8" s="566"/>
      <c r="Z8" s="566"/>
      <c r="AA8" s="651"/>
      <c r="AB8" s="648"/>
    </row>
    <row r="9" spans="1:28" ht="21" customHeight="1">
      <c r="A9" s="3787" t="s">
        <v>783</v>
      </c>
      <c r="B9" s="1151" t="str">
        <f>'3 Vorjahr'!A87</f>
        <v xml:space="preserve">Gas, Strom, Wasser </v>
      </c>
      <c r="C9" s="1159">
        <f>IF('3 Vorjahr'!C87="","",IF(D$3="",'3 Vorjahr'!C87,IF(D$3&gt;0,'3 Vorjahr'!C87/D$3*12,'3 Vorjahr'!C87)))</f>
        <v>4956.1919999999991</v>
      </c>
      <c r="D9" s="1152">
        <v>4956.1919999999991</v>
      </c>
      <c r="E9" s="1151" t="str">
        <f>'3 Vorjahr'!A100</f>
        <v>andere Steuer</v>
      </c>
      <c r="F9" s="1159" t="str">
        <f>IF('3 Vorjahr'!G100=0,"",'3 Vorjahr'!G100)</f>
        <v/>
      </c>
      <c r="G9" s="1152" t="s">
        <v>525</v>
      </c>
      <c r="H9" s="1151" t="str">
        <f>'3 Vorjahr'!A118</f>
        <v>Laufende Kfz-Betriebskosten</v>
      </c>
      <c r="I9" s="1159" t="str">
        <f>IF('3 Vorjahr'!C118="","",IF(J$3="",'3 Vorjahr'!C118,IF(J$3&gt;0,'3 Vorjahr'!C118/J$3*12,'3 Vorjahr'!C118)))</f>
        <v/>
      </c>
      <c r="J9" s="1152"/>
      <c r="K9" s="1151" t="str">
        <f>'3 Vorjahr'!A157</f>
        <v>Mietleasing bewegl. WG techn. Anlagen</v>
      </c>
      <c r="L9" s="1159" t="str">
        <f>IF('3 Vorjahr'!C157="","",IF(M$3="",'3 Vorjahr'!C157,IF(M$3&gt;0,'3 Vorjahr'!C157/M$3*12,'3 Vorjahr'!C157)))</f>
        <v/>
      </c>
      <c r="M9" s="1152"/>
      <c r="N9" s="1158" t="str">
        <f>'3 Vorjahr'!A162</f>
        <v xml:space="preserve">Abschreibungen auf Gebäude </v>
      </c>
      <c r="O9" s="1159" t="str">
        <f>IF('3 Vorjahr'!C162="","",IF(P$3="",'3 Vorjahr'!C162,IF(P$3&gt;0,'3 Vorjahr'!C162/P$3*12,'3 Vorjahr'!C162)))</f>
        <v/>
      </c>
      <c r="P9" s="1152"/>
      <c r="W9" s="649" t="s">
        <v>59</v>
      </c>
      <c r="X9" s="650" t="e">
        <f>'13 Werbung Weiterbildung'!#REF!</f>
        <v>#REF!</v>
      </c>
      <c r="Y9" s="566"/>
      <c r="Z9" s="566"/>
      <c r="AA9" s="651"/>
      <c r="AB9" s="648"/>
    </row>
    <row r="10" spans="1:28" ht="21" customHeight="1">
      <c r="A10" s="3787"/>
      <c r="B10" s="1151" t="str">
        <f>'3 Vorjahr'!A88</f>
        <v>Reinigung</v>
      </c>
      <c r="C10" s="1159">
        <f>IF('3 Vorjahr'!C88="","",IF(D$3="",'3 Vorjahr'!C88,IF(D$3&gt;0,'3 Vorjahr'!C88/D$3*12,'3 Vorjahr'!C88)))</f>
        <v>409.464</v>
      </c>
      <c r="D10" s="1152">
        <v>409.464</v>
      </c>
      <c r="E10" s="1151" t="str">
        <f>'3 Vorjahr'!A101</f>
        <v>Versicherungen</v>
      </c>
      <c r="F10" s="1159">
        <f>IF('3 Vorjahr'!G101=0,"",'3 Vorjahr'!G101)</f>
        <v>1428.92</v>
      </c>
      <c r="G10" s="1152">
        <v>1428.92</v>
      </c>
      <c r="H10" s="1151" t="str">
        <f>'3 Vorjahr'!A119</f>
        <v xml:space="preserve">Kfz-Reparaturen </v>
      </c>
      <c r="I10" s="1159" t="str">
        <f>IF('3 Vorjahr'!C119="","",IF(J$3="",'3 Vorjahr'!C119,IF(J$3&gt;0,'3 Vorjahr'!C119/J$3*12,'3 Vorjahr'!C119)))</f>
        <v/>
      </c>
      <c r="J10" s="1152"/>
      <c r="K10" s="1151" t="str">
        <f>'3 Vorjahr'!A158</f>
        <v>Sofortabschreibung GWG</v>
      </c>
      <c r="L10" s="1159" t="str">
        <f>IF('3 Vorjahr'!C158="","",IF(M$3="",'3 Vorjahr'!C158,IF(M$3&gt;0,'3 Vorjahr'!C158/M$3*12,'3 Vorjahr'!C158)))</f>
        <v/>
      </c>
      <c r="M10" s="1152"/>
      <c r="N10" s="1158" t="str">
        <f>'3 Vorjahr'!A163</f>
        <v>Abschreibungan auf KFZ</v>
      </c>
      <c r="O10" s="1159" t="str">
        <f>IF('3 Vorjahr'!C163="","",IF(P$3="",'3 Vorjahr'!C163,IF(P$3&gt;0,'3 Vorjahr'!C163/P$3*12,'3 Vorjahr'!C163)))</f>
        <v/>
      </c>
      <c r="P10" s="1152"/>
      <c r="W10" s="649" t="s">
        <v>12</v>
      </c>
      <c r="X10" s="650">
        <f>'15 Zins + Tilgung'!D24</f>
        <v>0</v>
      </c>
      <c r="Y10" s="566"/>
      <c r="Z10" s="566"/>
      <c r="AA10" s="651"/>
      <c r="AB10" s="648"/>
    </row>
    <row r="11" spans="1:28" ht="22.5" customHeight="1">
      <c r="A11" s="3787"/>
      <c r="B11" s="1151" t="str">
        <f>'3 Vorjahr'!A89</f>
        <v>Instandhaltung betrieblicher Räume</v>
      </c>
      <c r="C11" s="1159">
        <f>IF('3 Vorjahr'!C89="","",IF(D$3="",'3 Vorjahr'!C89,IF(D$3&gt;0,'3 Vorjahr'!C89/D$3*12,'3 Vorjahr'!C89)))</f>
        <v>2351.16</v>
      </c>
      <c r="D11" s="1152">
        <v>2351.16</v>
      </c>
      <c r="E11" s="1151" t="str">
        <f>'3 Vorjahr'!A102</f>
        <v>Beiträge</v>
      </c>
      <c r="F11" s="1159">
        <f>IF('3 Vorjahr'!G102=0,"",'3 Vorjahr'!G102)</f>
        <v>2197.1799999999998</v>
      </c>
      <c r="G11" s="1152">
        <v>2197.1799999999998</v>
      </c>
      <c r="H11" s="1151" t="str">
        <f>'3 Vorjahr'!A120</f>
        <v>Mietleasing Auto 1</v>
      </c>
      <c r="I11" s="1159" t="str">
        <f>IF('3 Vorjahr'!C120="","",IF(J$3="",'3 Vorjahr'!C120,IF(J$3&gt;0,'3 Vorjahr'!C120/J$3*12,'3 Vorjahr'!C120)))</f>
        <v/>
      </c>
      <c r="J11" s="1152"/>
      <c r="K11" s="1151" t="str">
        <f>'3 Vorjahr'!A159</f>
        <v>Werkzeuge und Kleingeräte</v>
      </c>
      <c r="L11" s="1159" t="str">
        <f>IF('3 Vorjahr'!C159="","",IF(M$3="",'3 Vorjahr'!C159,IF(M$3&gt;0,'3 Vorjahr'!C159/M$3*12,'3 Vorjahr'!C159)))</f>
        <v/>
      </c>
      <c r="M11" s="1152"/>
      <c r="N11" s="1158">
        <f>'3 Vorjahr'!A164</f>
        <v>0</v>
      </c>
      <c r="O11" s="1159" t="str">
        <f>IF('3 Vorjahr'!C164="","",IF(P$3="",'3 Vorjahr'!C164,IF(P$3&gt;0,'3 Vorjahr'!C164/P$3*12,'3 Vorjahr'!C164)))</f>
        <v/>
      </c>
      <c r="P11" s="1152"/>
      <c r="W11" s="649" t="s">
        <v>13</v>
      </c>
      <c r="X11" s="650">
        <f>M4</f>
        <v>1200</v>
      </c>
      <c r="Y11" s="566"/>
      <c r="Z11" s="566"/>
      <c r="AA11" s="566"/>
    </row>
    <row r="12" spans="1:28" ht="21" customHeight="1">
      <c r="A12" s="3787"/>
      <c r="B12" s="1151" t="str">
        <f>'3 Vorjahr'!A90</f>
        <v>Gema</v>
      </c>
      <c r="C12" s="1159" t="str">
        <f>IF('3 Vorjahr'!C90="","",IF(D$3="",'3 Vorjahr'!C90,IF(D$3&gt;0,'3 Vorjahr'!C90/D$3*12,'3 Vorjahr'!C90)))</f>
        <v/>
      </c>
      <c r="D12" s="1152"/>
      <c r="E12" s="1151" t="str">
        <f>'3 Vorjahr'!A103</f>
        <v>Sonstige Abgaben</v>
      </c>
      <c r="F12" s="1159" t="str">
        <f>IF('3 Vorjahr'!G103=0,"",'3 Vorjahr'!G103)</f>
        <v/>
      </c>
      <c r="G12" s="1152"/>
      <c r="H12" s="1151" t="str">
        <f>'3 Vorjahr'!A121</f>
        <v>Leasing Auto 2</v>
      </c>
      <c r="I12" s="1159" t="str">
        <f>IF('3 Vorjahr'!C121="","",IF(J$3="",'3 Vorjahr'!C121,IF(J$3&gt;0,'3 Vorjahr'!C121/J$3*12,'3 Vorjahr'!C121)))</f>
        <v/>
      </c>
      <c r="J12" s="1152"/>
      <c r="K12" s="729"/>
      <c r="L12" s="1159"/>
      <c r="M12" s="1152"/>
      <c r="N12" s="729"/>
      <c r="O12" s="1153"/>
      <c r="P12" s="1152"/>
      <c r="W12" s="649"/>
      <c r="X12" s="650"/>
      <c r="Y12" s="566"/>
      <c r="Z12" s="566"/>
      <c r="AA12" s="566"/>
    </row>
    <row r="13" spans="1:28" ht="21" customHeight="1">
      <c r="A13" s="3788"/>
      <c r="B13" s="1151">
        <f>'3 Vorjahr'!A91</f>
        <v>0</v>
      </c>
      <c r="C13" s="1159">
        <f>IF('3 Vorjahr'!C91="","",IF(D$3="",'3 Vorjahr'!C91,IF(D$3&gt;0,'3 Vorjahr'!C91/D$3*12,'3 Vorjahr'!C91)))</f>
        <v>381.88800000000003</v>
      </c>
      <c r="D13" s="1152"/>
      <c r="E13" s="1151">
        <f>'3 Vorjahr'!A104</f>
        <v>0</v>
      </c>
      <c r="F13" s="1159" t="str">
        <f>IF('3 Vorjahr'!G104=0,"",'3 Vorjahr'!G104)</f>
        <v/>
      </c>
      <c r="G13" s="1152"/>
      <c r="H13" s="1151" t="str">
        <f>'3 Vorjahr'!A122</f>
        <v>Sonstige Kfz-Kosten</v>
      </c>
      <c r="I13" s="1159" t="str">
        <f>IF('3 Vorjahr'!C122="","",IF(J$3="",'3 Vorjahr'!C122,IF(J$3&gt;0,'3 Vorjahr'!C122/J$3*12,'3 Vorjahr'!C122)))</f>
        <v/>
      </c>
      <c r="J13" s="1152"/>
      <c r="K13" s="729"/>
      <c r="L13" s="1159"/>
      <c r="M13" s="1152"/>
      <c r="N13" s="729"/>
      <c r="O13" s="1153"/>
      <c r="P13" s="1152"/>
      <c r="W13" s="649"/>
      <c r="X13" s="650"/>
      <c r="Y13" s="566"/>
      <c r="Z13" s="566"/>
      <c r="AA13" s="566"/>
    </row>
    <row r="14" spans="1:28" ht="21" customHeight="1">
      <c r="A14" s="13"/>
      <c r="B14" s="1430" t="str">
        <f>IF('3 Vorjahr'!A92="","",'3 Vorjahr'!A92)</f>
        <v/>
      </c>
      <c r="C14" s="1159" t="str">
        <f>IF('3 Vorjahr'!C92="","",IF(D$3="",'3 Vorjahr'!C92,IF(D$3&gt;0,'3 Vorjahr'!C92/D$3*12,'3 Vorjahr'!C92)))</f>
        <v/>
      </c>
      <c r="D14" s="1152"/>
      <c r="E14" s="729"/>
      <c r="F14" s="1159" t="str">
        <f>IF('3 Vorjahr'!G105=0,"",'3 Vorjahr'!G105)</f>
        <v/>
      </c>
      <c r="G14" s="852"/>
      <c r="H14" s="1151" t="str">
        <f>'3 Vorjahr'!A123</f>
        <v>Garagenmieten</v>
      </c>
      <c r="I14" s="1159" t="str">
        <f>IF('3 Vorjahr'!C123="","",IF(J$3="",'3 Vorjahr'!C123,IF(J$3&gt;0,'3 Vorjahr'!C123/J$3*12,'3 Vorjahr'!C123)))</f>
        <v/>
      </c>
      <c r="J14" s="852"/>
      <c r="K14" s="729"/>
      <c r="L14" s="1159"/>
      <c r="M14" s="852"/>
      <c r="N14" s="729"/>
      <c r="O14" s="1153"/>
      <c r="P14" s="852"/>
      <c r="W14" s="649" t="s">
        <v>14</v>
      </c>
      <c r="X14" s="650">
        <f>P4</f>
        <v>11300</v>
      </c>
      <c r="Y14" s="566"/>
      <c r="Z14" s="566"/>
      <c r="AA14" s="566"/>
    </row>
    <row r="15" spans="1:28" ht="23.55" customHeight="1">
      <c r="A15" s="13"/>
      <c r="B15" s="1430" t="s">
        <v>892</v>
      </c>
      <c r="C15" s="1159" t="str">
        <f>IF('3 Vorjahr'!C93="","",IF(D$3="",'3 Vorjahr'!C93,IF(D$3&gt;0,'3 Vorjahr'!C93/D$3*12,'3 Vorjahr'!C93)))</f>
        <v/>
      </c>
      <c r="D15" s="852"/>
      <c r="E15" s="3782" t="s">
        <v>654</v>
      </c>
      <c r="F15" s="3783"/>
      <c r="G15" s="3784"/>
      <c r="H15" s="1151">
        <f>'3 Vorjahr'!A124</f>
        <v>0</v>
      </c>
      <c r="I15" s="1159" t="str">
        <f>IF('3 Vorjahr'!C124="","",IF(J$3="",'3 Vorjahr'!C124,IF(J$3&gt;0,'3 Vorjahr'!C124/J$3*12,'3 Vorjahr'!C124)))</f>
        <v/>
      </c>
      <c r="J15" s="852"/>
      <c r="K15" s="729"/>
      <c r="L15" s="1159"/>
      <c r="M15" s="852"/>
      <c r="N15" s="729"/>
      <c r="O15" s="1153"/>
      <c r="P15" s="852"/>
      <c r="W15" s="649" t="s">
        <v>15</v>
      </c>
      <c r="X15" s="650" t="e">
        <f>IF(X9=0,'14 Sonstige Kosten'!C19,'14 Sonstige Kosten'!C20)</f>
        <v>#REF!</v>
      </c>
      <c r="Y15" s="566"/>
      <c r="Z15" s="566"/>
      <c r="AA15" s="566"/>
    </row>
    <row r="16" spans="1:28" ht="11.55" customHeight="1">
      <c r="A16" s="2"/>
      <c r="B16" s="875">
        <f>IF(D6&gt;0,1,3)</f>
        <v>3</v>
      </c>
      <c r="C16" s="875"/>
      <c r="D16" s="875"/>
      <c r="E16" s="875">
        <f>IF(G6&gt;0,1,3)</f>
        <v>3</v>
      </c>
      <c r="F16" s="875"/>
      <c r="G16" s="876"/>
      <c r="H16" s="875">
        <f>IF(J6&gt;0,1,3)</f>
        <v>1</v>
      </c>
      <c r="I16" s="875"/>
      <c r="J16" s="876"/>
      <c r="K16" s="875">
        <f>IF(M6&gt;0,1,3)</f>
        <v>1</v>
      </c>
      <c r="L16" s="875"/>
      <c r="M16" s="875"/>
      <c r="N16" s="875">
        <f>IF(P6&gt;0,1,3)</f>
        <v>1</v>
      </c>
      <c r="O16" s="875"/>
      <c r="P16" s="875"/>
      <c r="W16" s="649" t="s">
        <v>16</v>
      </c>
      <c r="X16" s="652" t="e">
        <f>SUM(X4:X15)</f>
        <v>#REF!</v>
      </c>
      <c r="Y16" s="566"/>
      <c r="Z16" s="566"/>
      <c r="AA16" s="566"/>
    </row>
    <row r="17" spans="1:24" s="90" customFormat="1" ht="11.55" customHeight="1">
      <c r="A17" s="2"/>
      <c r="B17" s="875">
        <f>IF(SUM(D7:D15)&gt;0,1,2)</f>
        <v>1</v>
      </c>
      <c r="C17" s="875"/>
      <c r="D17" s="875"/>
      <c r="E17" s="875">
        <f>IF(SUM(G7:G15)&gt;0,1,2)</f>
        <v>1</v>
      </c>
      <c r="F17" s="875"/>
      <c r="G17" s="267"/>
      <c r="H17" s="875">
        <f>IF(SUM(J7:J15)&gt;0,1,2)</f>
        <v>2</v>
      </c>
      <c r="I17" s="875"/>
      <c r="J17" s="267"/>
      <c r="K17" s="875">
        <f>IF(SUM(M7:M15)&gt;0,1,2)</f>
        <v>2</v>
      </c>
      <c r="L17" s="875"/>
      <c r="M17" s="875"/>
      <c r="N17" s="875">
        <f>IF(SUM(P7:P15)&gt;0,1,2)</f>
        <v>2</v>
      </c>
      <c r="O17" s="875"/>
      <c r="P17" s="875"/>
      <c r="U17" s="3"/>
      <c r="V17" s="3"/>
    </row>
    <row r="18" spans="1:24" ht="15" customHeight="1">
      <c r="A18" s="3792" t="s">
        <v>1002</v>
      </c>
      <c r="B18" s="3795"/>
      <c r="C18" s="3764"/>
      <c r="D18" s="3765"/>
      <c r="E18" s="3763"/>
      <c r="F18" s="3764"/>
      <c r="G18" s="3765"/>
      <c r="H18" s="3795"/>
      <c r="I18" s="3764"/>
      <c r="J18" s="3765"/>
      <c r="K18" s="3795"/>
      <c r="L18" s="3764"/>
      <c r="M18" s="3765"/>
      <c r="N18" s="3795"/>
      <c r="O18" s="3764"/>
      <c r="P18" s="3765"/>
      <c r="S18" s="90"/>
      <c r="T18" s="90"/>
    </row>
    <row r="19" spans="1:24" s="14" customFormat="1" ht="15" customHeight="1">
      <c r="A19" s="3793"/>
      <c r="B19" s="3766"/>
      <c r="C19" s="3767"/>
      <c r="D19" s="3768"/>
      <c r="E19" s="3766"/>
      <c r="F19" s="3767"/>
      <c r="G19" s="3768"/>
      <c r="H19" s="3766"/>
      <c r="I19" s="3767"/>
      <c r="J19" s="3768"/>
      <c r="K19" s="3766"/>
      <c r="L19" s="3767"/>
      <c r="M19" s="3768"/>
      <c r="N19" s="3766"/>
      <c r="O19" s="3767"/>
      <c r="P19" s="3768"/>
      <c r="U19" s="3"/>
      <c r="V19" s="3"/>
      <c r="X19" s="2"/>
    </row>
    <row r="20" spans="1:24" s="14" customFormat="1" ht="16.5" customHeight="1">
      <c r="A20" s="3793"/>
      <c r="B20" s="3766"/>
      <c r="C20" s="3767"/>
      <c r="D20" s="3768"/>
      <c r="E20" s="3766"/>
      <c r="F20" s="3767"/>
      <c r="G20" s="3768"/>
      <c r="H20" s="3766"/>
      <c r="I20" s="3767"/>
      <c r="J20" s="3768"/>
      <c r="K20" s="3766"/>
      <c r="L20" s="3767"/>
      <c r="M20" s="3768"/>
      <c r="N20" s="3766"/>
      <c r="O20" s="3767"/>
      <c r="P20" s="3768"/>
      <c r="U20" s="3"/>
      <c r="V20" s="3"/>
    </row>
    <row r="21" spans="1:24" s="14" customFormat="1" ht="36" customHeight="1">
      <c r="A21" s="3794"/>
      <c r="B21" s="3769"/>
      <c r="C21" s="3770"/>
      <c r="D21" s="3771"/>
      <c r="E21" s="3769"/>
      <c r="F21" s="3770"/>
      <c r="G21" s="3771"/>
      <c r="H21" s="3769"/>
      <c r="I21" s="3770"/>
      <c r="J21" s="3771"/>
      <c r="K21" s="3769"/>
      <c r="L21" s="3770"/>
      <c r="M21" s="3771"/>
      <c r="N21" s="3769"/>
      <c r="O21" s="3770"/>
      <c r="P21" s="3771"/>
    </row>
    <row r="22" spans="1:24" s="14" customFormat="1" ht="19.5" customHeight="1">
      <c r="A22" s="13"/>
      <c r="B22" s="2"/>
      <c r="C22" s="2"/>
      <c r="D22" s="2"/>
      <c r="K22" s="2"/>
      <c r="L22" s="2"/>
      <c r="M22" s="2"/>
      <c r="N22" s="2"/>
      <c r="O22" s="2"/>
      <c r="P22" s="2"/>
    </row>
    <row r="23" spans="1:24" s="14" customFormat="1" ht="19.5" customHeight="1">
      <c r="A23" s="13"/>
    </row>
    <row r="24" spans="1:24" s="14" customFormat="1" ht="19.5" customHeight="1">
      <c r="A24" s="13"/>
    </row>
    <row r="25" spans="1:24" s="14" customFormat="1" ht="19.5" customHeight="1">
      <c r="A25" s="13"/>
      <c r="B25" s="2"/>
      <c r="C25" s="2"/>
      <c r="D25" s="2"/>
      <c r="E25" s="2"/>
      <c r="F25" s="2"/>
      <c r="G25" s="2"/>
      <c r="H25" s="2"/>
      <c r="I25" s="2"/>
      <c r="J25" s="2"/>
      <c r="K25" s="2"/>
      <c r="L25" s="2"/>
      <c r="M25" s="2"/>
      <c r="N25" s="2"/>
      <c r="O25" s="2"/>
      <c r="P25" s="2"/>
    </row>
    <row r="26" spans="1:24" s="14" customFormat="1" ht="19.5" customHeight="1">
      <c r="A26" s="13"/>
      <c r="B26" s="2"/>
      <c r="C26" s="2"/>
      <c r="D26" s="2"/>
      <c r="E26" s="2"/>
      <c r="F26" s="2"/>
      <c r="G26" s="2"/>
      <c r="H26" s="2"/>
      <c r="I26" s="2"/>
      <c r="J26" s="2"/>
      <c r="K26" s="2"/>
      <c r="L26" s="2"/>
      <c r="M26" s="2"/>
      <c r="N26" s="2"/>
      <c r="O26" s="2"/>
      <c r="P26" s="2"/>
    </row>
    <row r="27" spans="1:24" s="15" customFormat="1" ht="19.5" customHeight="1">
      <c r="A27" s="34"/>
      <c r="B27" s="3"/>
      <c r="C27" s="3"/>
      <c r="D27" s="3"/>
      <c r="E27" s="3"/>
      <c r="F27" s="3"/>
      <c r="G27" s="3"/>
      <c r="H27" s="3"/>
      <c r="I27" s="3"/>
      <c r="J27" s="3"/>
      <c r="K27" s="3"/>
      <c r="L27" s="3"/>
      <c r="M27" s="3"/>
      <c r="N27" s="3"/>
      <c r="O27" s="3"/>
      <c r="P27" s="3"/>
    </row>
    <row r="32" spans="1:24" ht="20.25" customHeight="1"/>
    <row r="33" ht="20.25" customHeight="1"/>
    <row r="34" ht="20.25" customHeight="1"/>
    <row r="35" ht="20.25" customHeight="1"/>
    <row r="36" ht="20.25" customHeight="1"/>
    <row r="37" ht="20.25" customHeight="1"/>
  </sheetData>
  <sheetProtection algorithmName="SHA-512" hashValue="oC6bHQyddf/99XURs9l2N76ZTXp+eOsWAPRijLBPEiXPLk7/x90dUNty93tIGSVymIpSm3KgUcBW1QPVefM00w==" saltValue="NtLbINi7WdKt4pRusZrZ9Q==" spinCount="100000" sheet="1" objects="1" scenarios="1"/>
  <customSheetViews>
    <customSheetView guid="{91EE9386-9500-473B-B86C-27DB8DF0BA46}" scale="130" showGridLines="0">
      <pageMargins left="0.25" right="0.25" top="0.75" bottom="0.75" header="0.3" footer="0.3"/>
      <pageSetup paperSize="9" orientation="landscape" r:id="rId1"/>
    </customSheetView>
    <customSheetView guid="{B8019777-F14C-4393-8CE3-CE0081D0CD28}" scale="130" showGridLines="0">
      <pageMargins left="0.25" right="0.25" top="0.75" bottom="0.75" header="0.3" footer="0.3"/>
      <pageSetup paperSize="9" orientation="landscape" r:id="rId2"/>
    </customSheetView>
  </customSheetViews>
  <mergeCells count="23">
    <mergeCell ref="A9:A13"/>
    <mergeCell ref="E18:G21"/>
    <mergeCell ref="B3:C3"/>
    <mergeCell ref="B4:C4"/>
    <mergeCell ref="C2:P2"/>
    <mergeCell ref="K4:L4"/>
    <mergeCell ref="A7:A8"/>
    <mergeCell ref="A18:A21"/>
    <mergeCell ref="B18:D21"/>
    <mergeCell ref="H18:J21"/>
    <mergeCell ref="K18:M21"/>
    <mergeCell ref="N18:P21"/>
    <mergeCell ref="A2:A3"/>
    <mergeCell ref="V3:V4"/>
    <mergeCell ref="H3:I3"/>
    <mergeCell ref="E1:L1"/>
    <mergeCell ref="E15:G15"/>
    <mergeCell ref="E4:F4"/>
    <mergeCell ref="E3:F3"/>
    <mergeCell ref="K3:L3"/>
    <mergeCell ref="N3:O3"/>
    <mergeCell ref="N4:O4"/>
    <mergeCell ref="H4:I4"/>
  </mergeCells>
  <phoneticPr fontId="4" type="noConversion"/>
  <pageMargins left="0.25" right="0.25" top="0.75" bottom="0.75" header="0.3" footer="0.3"/>
  <pageSetup paperSize="9" orientation="landscape"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7"/>
  <sheetViews>
    <sheetView showGridLines="0" topLeftCell="A4" zoomScale="82" zoomScaleNormal="82" workbookViewId="0">
      <selection activeCell="H16" sqref="H16"/>
    </sheetView>
  </sheetViews>
  <sheetFormatPr baseColWidth="10" defaultColWidth="11" defaultRowHeight="15"/>
  <cols>
    <col min="1" max="1" width="2.44140625" style="3" customWidth="1"/>
    <col min="2" max="2" width="26.21875" style="34" customWidth="1"/>
    <col min="3" max="3" width="14.77734375" style="3" bestFit="1" customWidth="1"/>
    <col min="4" max="5" width="13.44140625" style="3" customWidth="1"/>
    <col min="6" max="6" width="24.21875" style="34" customWidth="1"/>
    <col min="7" max="8" width="13.44140625" style="3" customWidth="1"/>
    <col min="9" max="16384" width="11" style="3"/>
  </cols>
  <sheetData>
    <row r="1" spans="1:23" ht="93.75" customHeight="1">
      <c r="B1" s="3798" t="s">
        <v>532</v>
      </c>
      <c r="C1" s="3798"/>
      <c r="D1" s="3798"/>
      <c r="E1" s="3798"/>
      <c r="F1" s="3798"/>
      <c r="G1" s="3798"/>
      <c r="H1" s="3798"/>
      <c r="J1" s="2902" t="str">
        <f>'15 Zins + Tilgung'!M1</f>
        <v>Demo Version</v>
      </c>
      <c r="K1" s="1145"/>
      <c r="L1" s="627"/>
      <c r="M1" s="627"/>
    </row>
    <row r="2" spans="1:23" ht="37.049999999999997" customHeight="1">
      <c r="C2" s="2485" t="str">
        <f>IF(C3="","","Die Hochrechnung basiert auf Daten aus")</f>
        <v>Die Hochrechnung basiert auf Daten aus</v>
      </c>
      <c r="D2" s="1148" t="str">
        <f>IF(B3=10,"Oktober",IF(B3=11,"November",""))</f>
        <v>Oktober</v>
      </c>
      <c r="E2" s="3810" t="str">
        <f>IF('3 Vorjahr'!C16=12,"","Die Gesamtwerte haben Sie vielleicht aufgrund der Hochrechnung  auf Seite 3 korrigiert. Die Einzelwerte sind auch hochgerechnet und noch nicht korrigiert, überprüfen Sie sie bitte, sie können zu hoch sein")</f>
        <v>Die Gesamtwerte haben Sie vielleicht aufgrund der Hochrechnung  auf Seite 3 korrigiert. Die Einzelwerte sind auch hochgerechnet und noch nicht korrigiert, überprüfen Sie sie bitte, sie können zu hoch sein</v>
      </c>
      <c r="F2" s="3810"/>
      <c r="G2" s="3810"/>
      <c r="M2" s="627"/>
    </row>
    <row r="3" spans="1:23" ht="37.049999999999997" customHeight="1">
      <c r="B3" s="2493">
        <f>IF('3 Vorjahr'!C16=12,"",'3 Vorjahr'!C16)</f>
        <v>10</v>
      </c>
      <c r="C3" s="2492" t="str">
        <f>IF(B3=7,"Juli",IF(B3=8,"August",IF(B3=9,"September",D2)))</f>
        <v>Oktober</v>
      </c>
      <c r="D3" s="2491">
        <f>'3 Vorjahr'!I7</f>
        <v>0</v>
      </c>
      <c r="E3" s="3810"/>
      <c r="F3" s="3810"/>
      <c r="G3" s="3810"/>
      <c r="J3" s="1145"/>
      <c r="M3" s="627"/>
    </row>
    <row r="4" spans="1:23" ht="28.5" customHeight="1">
      <c r="B4" s="1253" t="s">
        <v>58</v>
      </c>
      <c r="C4" s="3804" t="s">
        <v>963</v>
      </c>
      <c r="D4" s="3805"/>
      <c r="E4" s="1220"/>
      <c r="F4" s="1254" t="s">
        <v>59</v>
      </c>
      <c r="G4" s="3823" t="s">
        <v>963</v>
      </c>
      <c r="H4" s="3824"/>
      <c r="O4" s="1165"/>
      <c r="P4" s="1165"/>
      <c r="Q4" s="1165"/>
      <c r="R4" s="1165"/>
      <c r="S4" s="1165"/>
      <c r="T4" s="1165"/>
      <c r="U4" s="1165"/>
      <c r="V4" s="1165"/>
      <c r="W4" s="1165"/>
    </row>
    <row r="5" spans="1:23" ht="19.5" customHeight="1">
      <c r="A5" s="1"/>
      <c r="B5" s="416"/>
      <c r="D5" s="112"/>
      <c r="F5" s="428" t="s">
        <v>1340</v>
      </c>
      <c r="G5" s="3806" t="s">
        <v>99</v>
      </c>
      <c r="H5" s="3808" t="s">
        <v>675</v>
      </c>
    </row>
    <row r="6" spans="1:23" ht="16.5" customHeight="1">
      <c r="A6" s="1"/>
      <c r="B6" s="1251"/>
      <c r="C6" s="3799" t="s">
        <v>99</v>
      </c>
      <c r="D6" s="1880" t="s">
        <v>675</v>
      </c>
      <c r="F6" s="1650"/>
      <c r="G6" s="3807"/>
      <c r="H6" s="3809"/>
      <c r="J6" s="3672" t="s">
        <v>1002</v>
      </c>
      <c r="K6" s="3672"/>
      <c r="L6" s="3672"/>
      <c r="M6" s="3672"/>
    </row>
    <row r="7" spans="1:23" ht="21" customHeight="1">
      <c r="A7" s="5"/>
      <c r="B7" s="1258">
        <f>IF(E2="","",1)</f>
        <v>1</v>
      </c>
      <c r="C7" s="3800"/>
      <c r="D7" s="1904">
        <f>D24</f>
        <v>7500</v>
      </c>
      <c r="F7" s="3801" t="s">
        <v>825</v>
      </c>
      <c r="G7" s="1908"/>
      <c r="H7" s="1910"/>
      <c r="J7" s="3811"/>
      <c r="K7" s="3811"/>
      <c r="L7" s="3811"/>
      <c r="M7" s="3811"/>
      <c r="Q7" s="648"/>
    </row>
    <row r="8" spans="1:23" ht="41.25" customHeight="1" thickBot="1">
      <c r="A8" s="5"/>
      <c r="B8" s="1357" t="s">
        <v>879</v>
      </c>
      <c r="C8" s="1905">
        <f>'3 Vorjahr'!G126</f>
        <v>7429</v>
      </c>
      <c r="D8" s="1851">
        <v>7500</v>
      </c>
      <c r="E8" s="3803" t="str">
        <f>IF(D8="","","wenn Sie die Gesamtkosten eingeben, dann bitte keine Einzelkosten")</f>
        <v>wenn Sie die Gesamtkosten eingeben, dann bitte keine Einzelkosten</v>
      </c>
      <c r="F8" s="3802"/>
      <c r="G8" s="1909">
        <f>IF(SUM(G21,G12)=0,"",SUM(G21,G12))</f>
        <v>8327.0519999999997</v>
      </c>
      <c r="H8" s="1911">
        <f>SUM(H30,H17)</f>
        <v>8000</v>
      </c>
      <c r="J8" s="3812"/>
      <c r="K8" s="3813"/>
      <c r="L8" s="3813"/>
      <c r="M8" s="3814"/>
      <c r="Q8" s="648"/>
    </row>
    <row r="9" spans="1:23" ht="24.75" customHeight="1">
      <c r="A9" s="5"/>
      <c r="B9" s="1255" t="str">
        <f>IF('3 Vorjahr'!A129="","",'3 Vorjahr'!A129)</f>
        <v>Werbekosten</v>
      </c>
      <c r="C9" s="1906">
        <f>IF('3 Vorjahr'!C129="","",IF($B$3="",'3 Vorjahr'!C129,IF(B$3&gt;0,'3 Vorjahr'!C129/B$3*12,'3 Vorjahr'!C129)))</f>
        <v>7298.579999999999</v>
      </c>
      <c r="D9" s="1160"/>
      <c r="E9" s="3803"/>
      <c r="F9" s="1649" t="s">
        <v>992</v>
      </c>
      <c r="G9" s="1652">
        <f>G12</f>
        <v>8327.0519999999997</v>
      </c>
      <c r="H9" s="1912">
        <f>H17</f>
        <v>8000</v>
      </c>
      <c r="I9" s="106"/>
      <c r="J9" s="3815"/>
      <c r="K9" s="3816"/>
      <c r="L9" s="3816"/>
      <c r="M9" s="3817"/>
    </row>
    <row r="10" spans="1:23" ht="24.75" customHeight="1" thickBot="1">
      <c r="A10" s="5"/>
      <c r="B10" s="902" t="str">
        <f>IF('3 Vorjahr'!A130="","",'3 Vorjahr'!A130)</f>
        <v>Geschenke</v>
      </c>
      <c r="C10" s="1906" t="str">
        <f>IF('3 Vorjahr'!C130="","",IF($B$3="",'3 Vorjahr'!C130,IF(B$3&gt;0,'3 Vorjahr'!C130/B$3*12,'3 Vorjahr'!C130)))</f>
        <v/>
      </c>
      <c r="D10" s="1152"/>
      <c r="E10" s="3803"/>
      <c r="F10" s="1651" t="s">
        <v>993</v>
      </c>
      <c r="G10" s="1653" t="str">
        <f>G21</f>
        <v/>
      </c>
      <c r="H10" s="1913">
        <f>H30</f>
        <v>0</v>
      </c>
      <c r="J10" s="3815"/>
      <c r="K10" s="3816"/>
      <c r="L10" s="3816"/>
      <c r="M10" s="3817"/>
    </row>
    <row r="11" spans="1:23" ht="24.75" customHeight="1">
      <c r="A11" s="5"/>
      <c r="B11" s="902" t="str">
        <f>IF('3 Vorjahr'!A131="","",'3 Vorjahr'!A131)</f>
        <v>Repräsentationskosten</v>
      </c>
      <c r="C11" s="1906" t="str">
        <f>IF('3 Vorjahr'!C131="","",IF($B$3="",'3 Vorjahr'!C131,IF(B$3&gt;0,'3 Vorjahr'!C131/B$3*12,'3 Vorjahr'!C131)))</f>
        <v/>
      </c>
      <c r="D11" s="1152"/>
      <c r="F11" s="1252"/>
      <c r="G11" s="1647" t="s">
        <v>26</v>
      </c>
      <c r="H11" s="1648" t="s">
        <v>103</v>
      </c>
      <c r="J11" s="3815"/>
      <c r="K11" s="3816"/>
      <c r="L11" s="3816"/>
      <c r="M11" s="3817"/>
    </row>
    <row r="12" spans="1:23" ht="24.75" customHeight="1">
      <c r="A12" s="5"/>
      <c r="B12" s="902" t="str">
        <f>IF('3 Vorjahr'!A132="","",'3 Vorjahr'!A132)</f>
        <v>Bewirtungskosten</v>
      </c>
      <c r="C12" s="1906" t="str">
        <f>IF('3 Vorjahr'!C132="","",IF($B$3="",'3 Vorjahr'!C132,IF(B$3&gt;0,'3 Vorjahr'!C132/B$3*12,'3 Vorjahr'!C132)))</f>
        <v/>
      </c>
      <c r="D12" s="1152"/>
      <c r="F12" s="3829" t="s">
        <v>880</v>
      </c>
      <c r="G12" s="3825">
        <f>IF('3 Vorjahr'!G110=0,"",'3 Vorjahr'!G110)</f>
        <v>8327.0519999999997</v>
      </c>
      <c r="H12" s="3821"/>
      <c r="I12" s="3836" t="str">
        <f>IF(H12="","","wenn Sie die Gesamtkosten eingeben, dann bitte keine Einzelkosten")</f>
        <v/>
      </c>
      <c r="J12" s="3815"/>
      <c r="K12" s="3816"/>
      <c r="L12" s="3816"/>
      <c r="M12" s="3817"/>
    </row>
    <row r="13" spans="1:23" ht="24.75" customHeight="1">
      <c r="A13" s="5"/>
      <c r="B13" s="902" t="str">
        <f>IF('3 Vorjahr'!A133="","",'3 Vorjahr'!A133)</f>
        <v>Aufmerksamkeiten</v>
      </c>
      <c r="C13" s="1906">
        <f>IF('3 Vorjahr'!C133="","",IF($B$3="",'3 Vorjahr'!C133,IF(B$3&gt;0,'3 Vorjahr'!C133/B$3*12,'3 Vorjahr'!C133)))</f>
        <v>1615.788</v>
      </c>
      <c r="D13" s="1152"/>
      <c r="F13" s="3830"/>
      <c r="G13" s="3826"/>
      <c r="H13" s="3822"/>
      <c r="I13" s="3831"/>
      <c r="J13" s="3815"/>
      <c r="K13" s="3816"/>
      <c r="L13" s="3816"/>
      <c r="M13" s="3817"/>
    </row>
    <row r="14" spans="1:23" ht="24.75" customHeight="1">
      <c r="A14" s="5"/>
      <c r="B14" s="902" t="str">
        <f>IF('3 Vorjahr'!A134="","",'3 Vorjahr'!A134)</f>
        <v>Nicht abzugsfähige Bewirtungskosten</v>
      </c>
      <c r="C14" s="1906" t="str">
        <f>IF('3 Vorjahr'!C134="","",IF($B$3="",'3 Vorjahr'!C134,IF(B$3&gt;0,'3 Vorjahr'!C134/B$3*12,'3 Vorjahr'!C134)))</f>
        <v/>
      </c>
      <c r="D14" s="1152"/>
      <c r="F14" s="3832" t="s">
        <v>292</v>
      </c>
      <c r="G14" s="3833"/>
      <c r="H14" s="1879">
        <v>2000</v>
      </c>
      <c r="I14" s="3831"/>
      <c r="J14" s="3815"/>
      <c r="K14" s="3816"/>
      <c r="L14" s="3816"/>
      <c r="M14" s="3817"/>
    </row>
    <row r="15" spans="1:23" ht="24.75" customHeight="1">
      <c r="A15" s="5"/>
      <c r="B15" s="902" t="str">
        <f>IF('3 Vorjahr'!A135="","",'3 Vorjahr'!A135)</f>
        <v>Dekoration</v>
      </c>
      <c r="C15" s="1906" t="str">
        <f>IF('3 Vorjahr'!C135="","",IF($B$3="",'3 Vorjahr'!C135,IF(B$3&gt;0,'3 Vorjahr'!C135/B$3*12,'3 Vorjahr'!C135)))</f>
        <v/>
      </c>
      <c r="D15" s="1152"/>
      <c r="F15" s="3832" t="s">
        <v>0</v>
      </c>
      <c r="G15" s="3833"/>
      <c r="H15" s="1879">
        <v>6000</v>
      </c>
      <c r="I15" s="106"/>
      <c r="J15" s="3815"/>
      <c r="K15" s="3816"/>
      <c r="L15" s="3816"/>
      <c r="M15" s="3817"/>
    </row>
    <row r="16" spans="1:23" ht="24.75" customHeight="1">
      <c r="A16" s="5"/>
      <c r="B16" s="902" t="str">
        <f>IF('3 Vorjahr'!A136="","",'3 Vorjahr'!A136)</f>
        <v/>
      </c>
      <c r="C16" s="1906" t="str">
        <f>IF('3 Vorjahr'!C136="","",IF($B$3="",'3 Vorjahr'!C136,IF(B$3&gt;0,'3 Vorjahr'!C136/B$3*12,'3 Vorjahr'!C136)))</f>
        <v/>
      </c>
      <c r="D16" s="900"/>
      <c r="F16" s="3832"/>
      <c r="G16" s="3833"/>
      <c r="H16" s="1879"/>
      <c r="J16" s="3815"/>
      <c r="K16" s="3816"/>
      <c r="L16" s="3816"/>
      <c r="M16" s="3817"/>
    </row>
    <row r="17" spans="1:13" ht="30.75" customHeight="1" thickBot="1">
      <c r="A17" s="5"/>
      <c r="B17" s="1430"/>
      <c r="C17" s="1906" t="str">
        <f>IF('3 Vorjahr'!C137="","",IF($B$3="",'3 Vorjahr'!C137,IF(B$3&gt;0,'3 Vorjahr'!C137/B$3*12,'3 Vorjahr'!C137)))</f>
        <v/>
      </c>
      <c r="D17" s="900"/>
      <c r="F17" s="3834" t="s">
        <v>143</v>
      </c>
      <c r="G17" s="3835"/>
      <c r="H17" s="1914">
        <f>SUM(H12:H16)</f>
        <v>8000</v>
      </c>
      <c r="J17" s="3815"/>
      <c r="K17" s="3816"/>
      <c r="L17" s="3816"/>
      <c r="M17" s="3817"/>
    </row>
    <row r="18" spans="1:13" ht="30.75" customHeight="1">
      <c r="A18" s="5"/>
      <c r="B18" s="1430"/>
      <c r="C18" s="1906"/>
      <c r="D18" s="900"/>
      <c r="F18" s="2936"/>
      <c r="G18" s="2936"/>
      <c r="H18" s="2937"/>
      <c r="J18" s="3815"/>
      <c r="K18" s="3816"/>
      <c r="L18" s="3816"/>
      <c r="M18" s="3817"/>
    </row>
    <row r="19" spans="1:13" ht="33" customHeight="1">
      <c r="A19" s="5"/>
      <c r="B19" s="1430"/>
      <c r="C19" s="1906" t="str">
        <f>IF('3 Vorjahr'!C138="","",IF($B$3="",'3 Vorjahr'!C138,IF(B$3&gt;0,'3 Vorjahr'!C138/B$3*12,'3 Vorjahr'!C138)))</f>
        <v/>
      </c>
      <c r="D19" s="900"/>
      <c r="F19" s="1254" t="s">
        <v>695</v>
      </c>
      <c r="G19" s="3823" t="s">
        <v>963</v>
      </c>
      <c r="H19" s="3824"/>
      <c r="J19" s="3815"/>
      <c r="K19" s="3816"/>
      <c r="L19" s="3816"/>
      <c r="M19" s="3817"/>
    </row>
    <row r="20" spans="1:13" ht="27.75" customHeight="1">
      <c r="A20" s="5"/>
      <c r="B20" s="1430" t="s">
        <v>436</v>
      </c>
      <c r="C20" s="1906"/>
      <c r="D20" s="900"/>
      <c r="F20" s="3827" t="s">
        <v>991</v>
      </c>
      <c r="G20" s="1647" t="s">
        <v>26</v>
      </c>
      <c r="H20" s="1915" t="s">
        <v>695</v>
      </c>
      <c r="I20" s="3831" t="str">
        <f>IF(H21="","","wenn Sie die Gesamtkosten eingeben, dann bitte keine Einzelkosten")</f>
        <v/>
      </c>
      <c r="J20" s="3815"/>
      <c r="K20" s="3816"/>
      <c r="L20" s="3816"/>
      <c r="M20" s="3817"/>
    </row>
    <row r="21" spans="1:13" ht="29.55" customHeight="1" thickBot="1">
      <c r="A21" s="5"/>
      <c r="B21" s="1430" t="s">
        <v>296</v>
      </c>
      <c r="C21" s="1906"/>
      <c r="D21" s="900"/>
      <c r="F21" s="3828"/>
      <c r="G21" s="1256" t="str">
        <f>IF('3 Vorjahr'!D111=0,"",'3 Vorjahr'!D111)</f>
        <v/>
      </c>
      <c r="H21" s="1257"/>
      <c r="I21" s="3831"/>
      <c r="J21" s="3815"/>
      <c r="K21" s="3816"/>
      <c r="L21" s="3816"/>
      <c r="M21" s="3817"/>
    </row>
    <row r="22" spans="1:13" ht="31.05" customHeight="1">
      <c r="A22" s="5"/>
      <c r="B22" s="1430" t="s">
        <v>297</v>
      </c>
      <c r="C22" s="1906"/>
      <c r="D22" s="900"/>
      <c r="F22" s="1267" t="str">
        <f>IF('3 Vorjahr'!A139="","",'3 Vorjahr'!A139)</f>
        <v>Reisekosten Arbeitnehmer</v>
      </c>
      <c r="G22" s="901" t="str">
        <f>IF('3 Vorjahr'!C139="","",IF($B$3="",'3 Vorjahr'!C139,IF(B$3&gt;0,'3 Vorjahr'!C139/B$3*12,'3 Vorjahr'!C139)))</f>
        <v/>
      </c>
      <c r="H22" s="1234"/>
      <c r="I22" s="3831"/>
      <c r="J22" s="3815"/>
      <c r="K22" s="3816"/>
      <c r="L22" s="3816"/>
      <c r="M22" s="3817"/>
    </row>
    <row r="23" spans="1:13" ht="29.55" customHeight="1">
      <c r="A23" s="5"/>
      <c r="B23" s="1430" t="s">
        <v>435</v>
      </c>
      <c r="C23" s="1906"/>
      <c r="D23" s="900"/>
      <c r="F23" s="1138" t="str">
        <f>IF('3 Vorjahr'!A140="","",'3 Vorjahr'!A140)</f>
        <v>Reisekosten Arbeitnehmer, Fahrtkosten</v>
      </c>
      <c r="G23" s="901" t="str">
        <f>IF('3 Vorjahr'!C140="","",IF($B$3="",'3 Vorjahr'!C140,IF(B$3&gt;0,'3 Vorjahr'!C140/B$3*12,'3 Vorjahr'!C140)))</f>
        <v/>
      </c>
      <c r="H23" s="1879"/>
      <c r="I23" s="106"/>
      <c r="J23" s="3815"/>
      <c r="K23" s="3816"/>
      <c r="L23" s="3816"/>
      <c r="M23" s="3817"/>
    </row>
    <row r="24" spans="1:13" ht="31.05" customHeight="1" thickBot="1">
      <c r="A24" s="89"/>
      <c r="B24" s="137" t="s">
        <v>102</v>
      </c>
      <c r="C24" s="184"/>
      <c r="D24" s="1907">
        <f>SUM(D8:D23)</f>
        <v>7500</v>
      </c>
      <c r="F24" s="1138" t="str">
        <f>IF('3 Vorjahr'!A141="","",'3 Vorjahr'!A141)</f>
        <v>Reisekosten AN Verpfleg.mehraufwand</v>
      </c>
      <c r="G24" s="901" t="str">
        <f>IF('3 Vorjahr'!C141="","",IF($B$3="",'3 Vorjahr'!C141,IF(B$3&gt;0,'3 Vorjahr'!C141/B$3*12,'3 Vorjahr'!C141)))</f>
        <v/>
      </c>
      <c r="H24" s="1879"/>
      <c r="I24" s="106"/>
      <c r="J24" s="3815"/>
      <c r="K24" s="3816"/>
      <c r="L24" s="3816"/>
      <c r="M24" s="3817"/>
    </row>
    <row r="25" spans="1:13" ht="25.05" customHeight="1">
      <c r="A25" s="2"/>
      <c r="B25" s="94"/>
      <c r="C25" s="14"/>
      <c r="F25" s="1138" t="str">
        <f>IF('3 Vorjahr'!A142="","",'3 Vorjahr'!A142)</f>
        <v>Reisekosten AN Übernachtungsaufwand</v>
      </c>
      <c r="G25" s="901" t="str">
        <f>IF('3 Vorjahr'!C142="","",IF($B$3="",'3 Vorjahr'!C142,IF(B$3&gt;0,'3 Vorjahr'!C142/B$3*12,'3 Vorjahr'!C142)))</f>
        <v/>
      </c>
      <c r="H25" s="1879"/>
      <c r="I25" s="106"/>
      <c r="J25" s="3815"/>
      <c r="K25" s="3816"/>
      <c r="L25" s="3816"/>
      <c r="M25" s="3817"/>
    </row>
    <row r="26" spans="1:13" ht="25.5" customHeight="1">
      <c r="A26" s="13"/>
      <c r="B26" s="14"/>
      <c r="C26" s="14"/>
      <c r="D26" s="14"/>
      <c r="F26" s="1138" t="str">
        <f>IF('3 Vorjahr'!A143="","",'3 Vorjahr'!A143)</f>
        <v>Reisekosten Unternehmer, Fahrtkosten</v>
      </c>
      <c r="G26" s="901" t="str">
        <f>IF('3 Vorjahr'!C143="","",IF($B$3="",'3 Vorjahr'!C143,IF(B$3&gt;0,'3 Vorjahr'!C143/B$3*12,'3 Vorjahr'!C143)))</f>
        <v/>
      </c>
      <c r="H26" s="1879"/>
      <c r="I26" s="106"/>
      <c r="J26" s="3815"/>
      <c r="K26" s="3816"/>
      <c r="L26" s="3816"/>
      <c r="M26" s="3817"/>
    </row>
    <row r="27" spans="1:13" s="90" customFormat="1" ht="26.1" customHeight="1">
      <c r="A27" s="13"/>
      <c r="B27" s="14"/>
      <c r="C27" s="14"/>
      <c r="D27" s="14"/>
      <c r="E27" s="3"/>
      <c r="F27" s="1138" t="str">
        <f>IF('3 Vorjahr'!A144="","",'3 Vorjahr'!A144)</f>
        <v>Reisekosten UN Verpfleg.mehraufwand</v>
      </c>
      <c r="G27" s="901" t="str">
        <f>IF('3 Vorjahr'!C144="","",IF($B$3="",'3 Vorjahr'!C144,IF(B$3&gt;0,'3 Vorjahr'!C144/B$3*12,'3 Vorjahr'!C144)))</f>
        <v/>
      </c>
      <c r="H27" s="1879"/>
      <c r="I27" s="106"/>
      <c r="J27" s="3818"/>
      <c r="K27" s="3819"/>
      <c r="L27" s="3819"/>
      <c r="M27" s="3820"/>
    </row>
    <row r="28" spans="1:13" ht="22.5" customHeight="1">
      <c r="A28" s="2"/>
      <c r="B28" s="14"/>
      <c r="C28" s="14"/>
      <c r="D28" s="14"/>
      <c r="E28" s="2"/>
      <c r="F28" s="1138" t="str">
        <f>IF('3 Vorjahr'!A145="","",'3 Vorjahr'!A145)</f>
        <v xml:space="preserve">Reisekosten UN Übernacht./Nebenkost </v>
      </c>
      <c r="G28" s="901" t="str">
        <f>IF('3 Vorjahr'!C145="","",IF($B$3="",'3 Vorjahr'!C145,IF(B$3&gt;0,'3 Vorjahr'!C145/B$3*12,'3 Vorjahr'!C145)))</f>
        <v/>
      </c>
      <c r="H28" s="1879"/>
      <c r="I28" s="106"/>
    </row>
    <row r="29" spans="1:13" s="14" customFormat="1" ht="19.5" customHeight="1">
      <c r="A29" s="2"/>
      <c r="F29" s="3832" t="str">
        <f>IF('3 Vorjahr'!A146="","",'3 Vorjahr'!A146)</f>
        <v/>
      </c>
      <c r="G29" s="3833"/>
      <c r="H29" s="1879"/>
      <c r="K29" s="94"/>
      <c r="L29" s="82"/>
      <c r="M29" s="584"/>
    </row>
    <row r="30" spans="1:13" s="14" customFormat="1" ht="19.5" customHeight="1" thickBot="1">
      <c r="A30" s="2"/>
      <c r="F30" s="899"/>
      <c r="G30" s="192" t="s">
        <v>144</v>
      </c>
      <c r="H30" s="1916">
        <f>SUM(H21:H29)</f>
        <v>0</v>
      </c>
      <c r="K30" s="13"/>
      <c r="L30" s="82"/>
      <c r="M30" s="584"/>
    </row>
    <row r="31" spans="1:13" s="14" customFormat="1" ht="19.5" customHeight="1">
      <c r="A31" s="2"/>
    </row>
    <row r="32" spans="1:13" s="14" customFormat="1" ht="19.5" customHeight="1">
      <c r="A32" s="2"/>
    </row>
    <row r="33" spans="1:8" s="14" customFormat="1" ht="19.5" customHeight="1">
      <c r="A33" s="2"/>
    </row>
    <row r="34" spans="1:8" s="14" customFormat="1" ht="19.5" customHeight="1">
      <c r="A34" s="3"/>
    </row>
    <row r="35" spans="1:8" s="14" customFormat="1" ht="19.5" customHeight="1">
      <c r="A35" s="3"/>
    </row>
    <row r="36" spans="1:8" s="14" customFormat="1" ht="19.5" customHeight="1">
      <c r="A36" s="3"/>
    </row>
    <row r="37" spans="1:8" s="15" customFormat="1" ht="19.5" customHeight="1">
      <c r="A37" s="3"/>
      <c r="B37" s="34"/>
      <c r="C37" s="3"/>
      <c r="D37" s="3"/>
      <c r="F37" s="14"/>
      <c r="G37" s="14"/>
      <c r="H37" s="14"/>
    </row>
    <row r="38" spans="1:8">
      <c r="F38" s="15"/>
      <c r="G38" s="15"/>
      <c r="H38" s="15"/>
    </row>
    <row r="42" spans="1:8" ht="20.25" customHeight="1"/>
    <row r="43" spans="1:8" ht="20.25" customHeight="1"/>
    <row r="44" spans="1:8" ht="20.25" customHeight="1"/>
    <row r="45" spans="1:8" ht="20.25" customHeight="1"/>
    <row r="46" spans="1:8" ht="20.25" customHeight="1"/>
    <row r="47" spans="1:8" ht="20.25" customHeight="1"/>
  </sheetData>
  <sheetProtection algorithmName="SHA-512" hashValue="lxjmvBczUNE/CiZy1zuQa86NDKdbI1vklP9YlpTpanYXcr3xX4Heit5jb32cgCd1Nf3GhdTMDdSagAzV5KS4Jg==" saltValue="8zRJiApoabcVdJ6CYZzUig==" spinCount="100000" sheet="1" objects="1" scenarios="1"/>
  <customSheetViews>
    <customSheetView guid="{91EE9386-9500-473B-B86C-27DB8DF0BA46}" showGridLines="0">
      <pageMargins left="0.25" right="0.25" top="0.75" bottom="0.75" header="0.3" footer="0.3"/>
      <pageSetup paperSize="9" orientation="landscape" r:id="rId1"/>
    </customSheetView>
    <customSheetView guid="{B8019777-F14C-4393-8CE3-CE0081D0CD28}" showGridLines="0">
      <pageMargins left="0.25" right="0.25" top="0.75" bottom="0.75" header="0.3" footer="0.3"/>
      <pageSetup paperSize="9" orientation="landscape" r:id="rId2"/>
    </customSheetView>
  </customSheetViews>
  <mergeCells count="23">
    <mergeCell ref="F20:F21"/>
    <mergeCell ref="F12:F13"/>
    <mergeCell ref="I20:I22"/>
    <mergeCell ref="F29:G29"/>
    <mergeCell ref="F14:G14"/>
    <mergeCell ref="F15:G15"/>
    <mergeCell ref="F16:G16"/>
    <mergeCell ref="F17:G17"/>
    <mergeCell ref="I12:I14"/>
    <mergeCell ref="J6:M7"/>
    <mergeCell ref="J8:M27"/>
    <mergeCell ref="H12:H13"/>
    <mergeCell ref="G4:H4"/>
    <mergeCell ref="G12:G13"/>
    <mergeCell ref="G19:H19"/>
    <mergeCell ref="B1:H1"/>
    <mergeCell ref="C6:C7"/>
    <mergeCell ref="F7:F8"/>
    <mergeCell ref="E8:E10"/>
    <mergeCell ref="C4:D4"/>
    <mergeCell ref="G5:G6"/>
    <mergeCell ref="H5:H6"/>
    <mergeCell ref="E2:G3"/>
  </mergeCells>
  <pageMargins left="0.25" right="0.25" top="0.75" bottom="0.75" header="0.3" footer="0.3"/>
  <pageSetup paperSize="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39"/>
  <sheetViews>
    <sheetView showGridLines="0" zoomScale="90" zoomScaleNormal="90" workbookViewId="0">
      <selection activeCell="I9" sqref="I9"/>
    </sheetView>
  </sheetViews>
  <sheetFormatPr baseColWidth="10" defaultColWidth="11" defaultRowHeight="15"/>
  <cols>
    <col min="1" max="1" width="4.77734375" style="3" customWidth="1"/>
    <col min="2" max="2" width="18.44140625" style="3" customWidth="1"/>
    <col min="3" max="3" width="8.44140625" style="3" customWidth="1"/>
    <col min="4" max="4" width="5.44140625" style="3" customWidth="1"/>
    <col min="5" max="5" width="16.44140625" style="3" customWidth="1"/>
    <col min="6" max="6" width="8.77734375" style="3" customWidth="1"/>
    <col min="7" max="7" width="23" style="3" customWidth="1"/>
    <col min="8" max="9" width="10.77734375" style="3" customWidth="1"/>
    <col min="10" max="10" width="26.44140625" style="3" customWidth="1"/>
    <col min="11" max="11" width="4.44140625" style="3" customWidth="1"/>
    <col min="12" max="16384" width="11" style="3"/>
  </cols>
  <sheetData>
    <row r="1" spans="1:23" ht="39" customHeight="1">
      <c r="A1" s="3232"/>
      <c r="B1" s="159" t="s">
        <v>199</v>
      </c>
      <c r="C1" s="148"/>
      <c r="D1" s="148"/>
      <c r="E1" s="247"/>
      <c r="G1" s="148"/>
      <c r="H1" s="3358"/>
      <c r="I1" s="3358"/>
      <c r="J1" s="248" t="str">
        <f>'12 GK Planung'!C1</f>
        <v>Demo Version</v>
      </c>
      <c r="K1" s="148"/>
      <c r="L1" s="148"/>
      <c r="M1" s="148"/>
      <c r="N1" s="148"/>
      <c r="O1" s="148"/>
      <c r="P1" s="148"/>
      <c r="Q1" s="148"/>
      <c r="R1" s="148"/>
      <c r="S1" s="148"/>
      <c r="T1" s="148"/>
      <c r="U1" s="148"/>
      <c r="V1" s="148"/>
      <c r="W1" s="148"/>
    </row>
    <row r="2" spans="1:23" ht="29.25" customHeight="1">
      <c r="B2" s="3326" t="s">
        <v>212</v>
      </c>
      <c r="C2" s="3326"/>
      <c r="D2" s="3326"/>
      <c r="E2" s="3326"/>
      <c r="F2" s="3326"/>
      <c r="G2" s="3326"/>
      <c r="H2" s="1568"/>
    </row>
    <row r="3" spans="1:23" s="34" customFormat="1" ht="33" customHeight="1">
      <c r="A3" s="216"/>
      <c r="B3" s="3326" t="s">
        <v>327</v>
      </c>
      <c r="C3" s="3326"/>
      <c r="D3" s="3326"/>
      <c r="E3" s="3326"/>
      <c r="F3" s="1217"/>
      <c r="H3" s="905" t="s">
        <v>99</v>
      </c>
      <c r="I3" s="2808" t="s">
        <v>711</v>
      </c>
      <c r="J3" s="3856" t="str">
        <f>IF(I28=0,"",IF(SUM(I8,I28)&gt;I28,"Bitte planen Sie die sonstigen Kosten im Gesamten oder einzeln.",""))</f>
        <v/>
      </c>
      <c r="K3" s="3857"/>
      <c r="L3" s="148"/>
      <c r="M3" s="148"/>
      <c r="N3" s="216"/>
      <c r="O3" s="216"/>
      <c r="P3" s="216"/>
      <c r="Q3" s="216"/>
      <c r="R3" s="216"/>
      <c r="S3" s="216"/>
      <c r="T3" s="216"/>
      <c r="U3" s="216"/>
      <c r="V3" s="216"/>
      <c r="W3" s="216"/>
    </row>
    <row r="4" spans="1:23" ht="35.549999999999997" customHeight="1" thickBot="1">
      <c r="A4" s="148"/>
      <c r="B4" s="3326"/>
      <c r="C4" s="3326"/>
      <c r="D4" s="3326"/>
      <c r="E4" s="3326"/>
      <c r="F4" s="1217"/>
      <c r="G4" s="1216" t="str">
        <f>IF(G6="","sonstige Kosten des Vorjahres ","sonstige Kosten des Vorjahres incl. Kosten. d. Warenabgabe")</f>
        <v>sonstige Kosten des Vorjahres incl. Kosten. d. Warenabgabe</v>
      </c>
      <c r="H4" s="1553">
        <f>IF(C17="",C9,C11)</f>
        <v>59269.044000000009</v>
      </c>
      <c r="I4" s="2809">
        <f>I5+H7</f>
        <v>60000</v>
      </c>
      <c r="J4" s="3856"/>
      <c r="K4" s="3857"/>
      <c r="Q4" s="148"/>
      <c r="R4" s="148"/>
      <c r="S4" s="148"/>
      <c r="T4" s="148"/>
      <c r="U4" s="148"/>
      <c r="V4" s="148"/>
      <c r="W4" s="148"/>
    </row>
    <row r="5" spans="1:23" ht="18.75" customHeight="1">
      <c r="A5" s="148"/>
      <c r="B5" s="3326"/>
      <c r="C5" s="3326"/>
      <c r="D5" s="3326"/>
      <c r="E5" s="3326"/>
      <c r="F5" s="1217"/>
      <c r="H5" s="273"/>
      <c r="I5" s="1554">
        <f>I6</f>
        <v>0</v>
      </c>
      <c r="J5" s="3852" t="str">
        <f>IF(I28&gt;0,"",IF(C17="","","Geben Sie hier die sonstigen Kosten als Gesamtbetrag ohne Fortbildung ein…..."))</f>
        <v>Geben Sie hier die sonstigen Kosten als Gesamtbetrag ohne Fortbildung ein…...</v>
      </c>
      <c r="K5" s="3853"/>
      <c r="Q5" s="148"/>
      <c r="R5" s="148"/>
      <c r="S5" s="148"/>
      <c r="T5" s="148"/>
      <c r="U5" s="148"/>
      <c r="V5" s="148"/>
      <c r="W5" s="148"/>
    </row>
    <row r="6" spans="1:23" ht="18.75" customHeight="1">
      <c r="A6" s="148"/>
      <c r="B6" s="3326"/>
      <c r="C6" s="3326"/>
      <c r="D6" s="3326"/>
      <c r="E6" s="3326"/>
      <c r="G6" s="963" t="str">
        <f>IF(H6="","","Kosten der Warenabgabe")</f>
        <v>Kosten der Warenabgabe</v>
      </c>
      <c r="H6" s="1555">
        <f>IF('3 Vorjahr'!D148=0,"",'3 Vorjahr'!D148/$F$13*12)</f>
        <v>4276.884</v>
      </c>
      <c r="I6" s="2803"/>
      <c r="J6" s="3854"/>
      <c r="K6" s="3855"/>
      <c r="M6" s="148"/>
      <c r="N6" s="148"/>
      <c r="O6" s="148"/>
      <c r="P6" s="149"/>
      <c r="Q6" s="148"/>
      <c r="R6" s="148"/>
      <c r="S6" s="148"/>
      <c r="T6" s="148"/>
      <c r="U6" s="148"/>
      <c r="V6" s="148"/>
      <c r="W6" s="148"/>
    </row>
    <row r="7" spans="1:23" ht="18.75" customHeight="1">
      <c r="A7" s="148"/>
      <c r="D7" s="148"/>
      <c r="E7" s="267">
        <f>IF(E15="","",1)</f>
        <v>1</v>
      </c>
      <c r="G7" s="964"/>
      <c r="H7" s="1557">
        <f>IF(I28=0,I8,I28)</f>
        <v>60000</v>
      </c>
      <c r="I7" s="1558"/>
      <c r="J7" s="3854"/>
      <c r="K7" s="3855"/>
      <c r="L7" s="3404" t="s">
        <v>397</v>
      </c>
      <c r="M7" s="3404"/>
      <c r="N7" s="3404"/>
      <c r="O7" s="3404"/>
      <c r="P7" s="148"/>
      <c r="Q7" s="148"/>
      <c r="R7" s="148"/>
      <c r="S7" s="148"/>
      <c r="T7" s="148"/>
      <c r="U7" s="148"/>
      <c r="V7" s="148"/>
      <c r="W7" s="148"/>
    </row>
    <row r="8" spans="1:23" ht="26.55" customHeight="1" thickBot="1">
      <c r="A8" s="148"/>
      <c r="B8" s="3846" t="s">
        <v>313</v>
      </c>
      <c r="C8" s="3847"/>
      <c r="D8" s="148"/>
      <c r="E8" s="3840" t="str">
        <f>IF(C17="","Neue Planung sonstiger Kosten als Gesamtbetrag mit Fortbildung","Neue Planung sonstiger Kosten 
als Gesamtbetrag ohne Fortbildung")</f>
        <v>Neue Planung sonstiger Kosten 
als Gesamtbetrag ohne Fortbildung</v>
      </c>
      <c r="F8" s="3841"/>
      <c r="G8" s="3842"/>
      <c r="H8" s="1553">
        <f>IF('3 Vorjahr'!G168=0,"",'3 Vorjahr'!G168)</f>
        <v>59269.044000000009</v>
      </c>
      <c r="I8" s="2804">
        <v>60000</v>
      </c>
      <c r="J8" s="2802" t="str">
        <f>IF(I28&gt;0,"",("f f f"))</f>
        <v>f f f</v>
      </c>
      <c r="K8" s="2805"/>
      <c r="L8" s="3837"/>
      <c r="M8" s="3837"/>
      <c r="N8" s="3837"/>
      <c r="O8" s="3837"/>
      <c r="P8" s="148"/>
      <c r="Q8" s="148"/>
      <c r="R8" s="148"/>
      <c r="S8" s="148"/>
      <c r="T8" s="148"/>
      <c r="U8" s="148"/>
      <c r="V8" s="148"/>
      <c r="W8" s="148"/>
    </row>
    <row r="9" spans="1:23" ht="18.75" customHeight="1">
      <c r="A9" s="148"/>
      <c r="B9" s="373" t="str">
        <f>IF(C9="","keine Angaben","sonst. Kosten 
incl. Fortbildung Vorjahr")</f>
        <v>sonst. Kosten 
incl. Fortbildung Vorjahr</v>
      </c>
      <c r="C9" s="1551">
        <f>'3 Vorjahr'!G168+'3 Vorjahr'!G167</f>
        <v>67596.096000000005</v>
      </c>
      <c r="D9" s="148"/>
      <c r="E9" s="3849" t="s">
        <v>240</v>
      </c>
      <c r="F9" s="3849"/>
      <c r="G9" s="907" t="str">
        <f>'3 Vorjahr'!A170</f>
        <v>Sonstige betriebliche Aufwendungen</v>
      </c>
      <c r="H9" s="1555" t="str">
        <f>IF('3 Vorjahr'!C170=0,"",'3 Vorjahr'!C170/$F$13*12)</f>
        <v/>
      </c>
      <c r="I9" s="755"/>
      <c r="J9" s="2806" t="s">
        <v>1316</v>
      </c>
      <c r="K9" s="2807"/>
      <c r="L9" s="3813"/>
      <c r="M9" s="3813"/>
      <c r="N9" s="3813"/>
      <c r="O9" s="3814"/>
      <c r="P9" s="148"/>
      <c r="Q9" s="148"/>
      <c r="R9" s="148"/>
      <c r="S9" s="148"/>
      <c r="T9" s="148"/>
      <c r="U9" s="148"/>
      <c r="V9" s="148"/>
      <c r="W9" s="148"/>
    </row>
    <row r="10" spans="1:23" ht="18.75" customHeight="1">
      <c r="A10" s="148"/>
      <c r="B10" s="373" t="str">
        <f>IF(C10="","","Fortbildung aus Vorjahr")</f>
        <v>Fortbildung aus Vorjahr</v>
      </c>
      <c r="C10" s="1551">
        <f>'3 Vorjahr'!K23</f>
        <v>8327.0519999999997</v>
      </c>
      <c r="D10" s="148"/>
      <c r="E10" s="3850"/>
      <c r="F10" s="3850"/>
      <c r="G10" s="907" t="str">
        <f>'3 Vorjahr'!A171</f>
        <v>Porto</v>
      </c>
      <c r="H10" s="1555" t="str">
        <f>IF('3 Vorjahr'!C171=0,"",'3 Vorjahr'!C171/$F$13*12)</f>
        <v/>
      </c>
      <c r="I10" s="2803"/>
      <c r="J10" s="416"/>
      <c r="K10" s="148"/>
      <c r="L10" s="3815"/>
      <c r="M10" s="3816"/>
      <c r="N10" s="3816"/>
      <c r="O10" s="3817"/>
      <c r="P10" s="148"/>
      <c r="Q10" s="148"/>
      <c r="R10" s="148"/>
      <c r="S10" s="148"/>
      <c r="T10" s="148"/>
      <c r="U10" s="148"/>
      <c r="V10" s="148"/>
      <c r="W10" s="148"/>
    </row>
    <row r="11" spans="1:23" ht="18.75" customHeight="1">
      <c r="A11" s="148"/>
      <c r="B11" s="373" t="str">
        <f>IF(C10="","","Sonstige Kosten Vorjahr ohne Fortbildung")</f>
        <v>Sonstige Kosten Vorjahr ohne Fortbildung</v>
      </c>
      <c r="C11" s="1551">
        <f>H8</f>
        <v>59269.044000000009</v>
      </c>
      <c r="D11" s="148"/>
      <c r="E11" s="3851" t="str">
        <f>IF(E13="","","Die Hochrechnung basiert auf Daten aus")</f>
        <v>Die Hochrechnung basiert auf Daten aus</v>
      </c>
      <c r="F11" s="1577"/>
      <c r="G11" s="1169" t="str">
        <f>'3 Vorjahr'!A172</f>
        <v>Telefon</v>
      </c>
      <c r="H11" s="1555" t="str">
        <f>IF('3 Vorjahr'!C172=0,"",'3 Vorjahr'!C172/$F$13*12)</f>
        <v/>
      </c>
      <c r="I11" s="2803"/>
      <c r="J11" s="416"/>
      <c r="K11" s="148"/>
      <c r="L11" s="3815"/>
      <c r="M11" s="3816"/>
      <c r="N11" s="3816"/>
      <c r="O11" s="3817"/>
      <c r="P11" s="148"/>
      <c r="Q11" s="148"/>
      <c r="R11" s="148"/>
      <c r="S11" s="148"/>
      <c r="T11" s="148"/>
      <c r="U11" s="148"/>
      <c r="V11" s="148"/>
      <c r="W11" s="148"/>
    </row>
    <row r="12" spans="1:23" ht="18.75" customHeight="1">
      <c r="A12" s="148"/>
      <c r="B12" s="148"/>
      <c r="C12" s="148"/>
      <c r="D12" s="148"/>
      <c r="E12" s="3851"/>
      <c r="F12" s="1578" t="str">
        <f>IF(F13=10,"Oktober",IF(F13=11,"November",""))</f>
        <v>Oktober</v>
      </c>
      <c r="G12" s="1169" t="str">
        <f>'3 Vorjahr'!A173</f>
        <v>Internetkosten</v>
      </c>
      <c r="H12" s="1555" t="str">
        <f>IF('3 Vorjahr'!C173=0,"",'3 Vorjahr'!C173/$F$13*12)</f>
        <v/>
      </c>
      <c r="I12" s="2803"/>
      <c r="J12" s="3848"/>
      <c r="L12" s="3815"/>
      <c r="M12" s="3816"/>
      <c r="N12" s="3816"/>
      <c r="O12" s="3817"/>
      <c r="P12" s="148"/>
      <c r="Q12" s="148"/>
      <c r="R12" s="148"/>
      <c r="S12" s="148"/>
      <c r="T12" s="148"/>
      <c r="U12" s="148"/>
      <c r="V12" s="148"/>
      <c r="W12" s="148"/>
    </row>
    <row r="13" spans="1:23" ht="18.75" customHeight="1">
      <c r="A13" s="234"/>
      <c r="B13" s="148"/>
      <c r="C13" s="148"/>
      <c r="D13" s="148"/>
      <c r="E13" s="1579" t="str">
        <f>IF(F13=7,"Juli",IF(F13=8,"August",IF(F13=9,"September",F12)))</f>
        <v>Oktober</v>
      </c>
      <c r="F13" s="1580">
        <f>'3 Vorjahr'!C16</f>
        <v>10</v>
      </c>
      <c r="G13" s="1169" t="str">
        <f>'3 Vorjahr'!A174</f>
        <v>Bürobedarf</v>
      </c>
      <c r="H13" s="1555" t="str">
        <f>IF('3 Vorjahr'!C174=0,"",'3 Vorjahr'!C174/$F$13*12)</f>
        <v/>
      </c>
      <c r="I13" s="2803"/>
      <c r="J13" s="3848"/>
      <c r="L13" s="3815"/>
      <c r="M13" s="3816"/>
      <c r="N13" s="3816"/>
      <c r="O13" s="3817"/>
      <c r="P13" s="148"/>
      <c r="Q13" s="148"/>
      <c r="R13" s="148"/>
      <c r="S13" s="148"/>
      <c r="T13" s="148"/>
      <c r="U13" s="148"/>
      <c r="V13" s="148"/>
      <c r="W13" s="148"/>
    </row>
    <row r="14" spans="1:23" ht="18.75" customHeight="1">
      <c r="A14" s="148"/>
      <c r="C14" s="566"/>
      <c r="D14" s="148"/>
      <c r="E14" s="416"/>
      <c r="F14" s="112"/>
      <c r="G14" s="1169" t="str">
        <f>'3 Vorjahr'!A175</f>
        <v>Zeitschriften, Bücher (Fachliteratur)</v>
      </c>
      <c r="H14" s="1555" t="str">
        <f>IF('3 Vorjahr'!C175=0,"",'3 Vorjahr'!C175/$F$13*12)</f>
        <v/>
      </c>
      <c r="I14" s="2803"/>
      <c r="J14" s="416"/>
      <c r="K14" s="148"/>
      <c r="L14" s="3815"/>
      <c r="M14" s="3816"/>
      <c r="N14" s="3816"/>
      <c r="O14" s="3817"/>
      <c r="P14" s="148"/>
      <c r="Q14" s="148"/>
      <c r="R14" s="148"/>
      <c r="S14" s="148"/>
      <c r="T14" s="148"/>
      <c r="U14" s="148"/>
      <c r="V14" s="148"/>
      <c r="W14" s="148"/>
    </row>
    <row r="15" spans="1:23" ht="18.75" customHeight="1">
      <c r="A15" s="148"/>
      <c r="B15" s="420" t="s">
        <v>311</v>
      </c>
      <c r="D15" s="148"/>
      <c r="E15" s="3844" t="str">
        <f>IF('3 Vorjahr'!C16=12,"",IF(SUM(H9:H27)=0,"","Die Gesamtwerte in Zelle H 8 sind durch die Hochrechnung entstanden, die Sie auf Seite 3 korrigieren konnten. Die Einzelwerte sind ohne Korrektur auf 12 Monate berechnet."))</f>
        <v>Die Gesamtwerte in Zelle H 8 sind durch die Hochrechnung entstanden, die Sie auf Seite 3 korrigieren konnten. Die Einzelwerte sind ohne Korrektur auf 12 Monate berechnet.</v>
      </c>
      <c r="F15" s="3845"/>
      <c r="G15" s="1170" t="str">
        <f>IF('13 Werbung Weiterbildung'!H17=0,"Fortbildungskosten","Fortbildungskosten sind schon geplant")</f>
        <v>Fortbildungskosten sind schon geplant</v>
      </c>
      <c r="H15" s="1555">
        <f>IF('3 Vorjahr'!C176=0,"",'3 Vorjahr'!C176/$F$13*12)</f>
        <v>8327.0519999999997</v>
      </c>
      <c r="I15" s="2810"/>
      <c r="J15" s="3843" t="str">
        <f>IF('13 Werbung Weiterbildung'!H17=0,"","Hier nichts eingeben, Fortbildungskosten haben Sie schon auf Seite zuvor geplant")</f>
        <v>Hier nichts eingeben, Fortbildungskosten haben Sie schon auf Seite zuvor geplant</v>
      </c>
      <c r="K15" s="148"/>
      <c r="L15" s="3815"/>
      <c r="M15" s="3816"/>
      <c r="N15" s="3816"/>
      <c r="O15" s="3817"/>
      <c r="P15" s="148"/>
      <c r="Q15" s="148"/>
      <c r="R15" s="148"/>
      <c r="S15" s="148"/>
      <c r="T15" s="148"/>
      <c r="U15" s="148"/>
      <c r="V15" s="148"/>
      <c r="W15" s="148"/>
    </row>
    <row r="16" spans="1:23" s="90" customFormat="1" ht="18.75" customHeight="1">
      <c r="A16" s="217"/>
      <c r="B16" s="249" t="str">
        <f>IF(C17="","Sonstige Kosten 
mit Fortbildung",IF(C17&gt;0,"Sonstige Kosten 
ohne Fortbildung",""))</f>
        <v>Sonstige Kosten 
ohne Fortbildung</v>
      </c>
      <c r="C16" s="1559">
        <f>I4</f>
        <v>60000</v>
      </c>
      <c r="D16" s="148"/>
      <c r="E16" s="3844"/>
      <c r="F16" s="3845"/>
      <c r="G16" s="1169" t="str">
        <f>'3 Vorjahr'!A177</f>
        <v>Rechts- und Beratungskosten</v>
      </c>
      <c r="H16" s="1555" t="str">
        <f>IF('3 Vorjahr'!C177=0,"",'3 Vorjahr'!C177/$F$13*12)</f>
        <v/>
      </c>
      <c r="I16" s="2803"/>
      <c r="J16" s="3843"/>
      <c r="K16" s="148"/>
      <c r="L16" s="3815"/>
      <c r="M16" s="3816"/>
      <c r="N16" s="3816"/>
      <c r="O16" s="3817"/>
      <c r="P16" s="217"/>
      <c r="Q16" s="217"/>
      <c r="R16" s="217"/>
      <c r="S16" s="217"/>
      <c r="T16" s="217"/>
      <c r="U16" s="217"/>
      <c r="V16" s="217"/>
      <c r="W16" s="217"/>
    </row>
    <row r="17" spans="1:23" ht="19.5" customHeight="1">
      <c r="A17" s="148"/>
      <c r="B17" s="249" t="str">
        <f>IF(C17="","","Fortbildungskosten incl Reisekosten")</f>
        <v>Fortbildungskosten incl Reisekosten</v>
      </c>
      <c r="C17" s="1559">
        <f>IF('13 Werbung Weiterbildung'!H8=0,"",'13 Werbung Weiterbildung'!H8)</f>
        <v>8000</v>
      </c>
      <c r="D17" s="148"/>
      <c r="E17" s="3844"/>
      <c r="F17" s="3845"/>
      <c r="G17" s="1169" t="str">
        <f>'3 Vorjahr'!A178</f>
        <v>Buchführungskosten</v>
      </c>
      <c r="H17" s="1555" t="str">
        <f>IF('3 Vorjahr'!C178=0,"",'3 Vorjahr'!C178/$F$13*12)</f>
        <v/>
      </c>
      <c r="I17" s="2803"/>
      <c r="J17" s="2812"/>
      <c r="K17" s="148"/>
      <c r="L17" s="3815"/>
      <c r="M17" s="3816"/>
      <c r="N17" s="3816"/>
      <c r="O17" s="3817"/>
      <c r="P17" s="148"/>
      <c r="Q17" s="148"/>
      <c r="R17" s="148"/>
      <c r="S17" s="148"/>
      <c r="T17" s="148"/>
      <c r="U17" s="148"/>
      <c r="V17" s="148"/>
      <c r="W17" s="148"/>
    </row>
    <row r="18" spans="1:23" s="14" customFormat="1" ht="19.5" customHeight="1">
      <c r="A18" s="150"/>
      <c r="B18" s="246" t="s">
        <v>241</v>
      </c>
      <c r="C18" s="1560">
        <f>IF(C16="","",SUM(I4,C17))</f>
        <v>68000</v>
      </c>
      <c r="D18" s="148"/>
      <c r="E18" s="3844"/>
      <c r="F18" s="3845"/>
      <c r="G18" s="1169" t="str">
        <f>'3 Vorjahr'!A179</f>
        <v>Abschluss- und Prüfungskosten</v>
      </c>
      <c r="H18" s="1555" t="str">
        <f>IF('3 Vorjahr'!C179=0,"",'3 Vorjahr'!C179/$F$13*12)</f>
        <v/>
      </c>
      <c r="I18" s="2803"/>
      <c r="J18" s="188"/>
      <c r="K18" s="148"/>
      <c r="L18" s="3815"/>
      <c r="M18" s="3816"/>
      <c r="N18" s="3816"/>
      <c r="O18" s="3817"/>
      <c r="P18" s="150"/>
      <c r="Q18" s="150"/>
      <c r="R18" s="150"/>
      <c r="S18" s="150"/>
      <c r="T18" s="150"/>
      <c r="U18" s="150"/>
      <c r="V18" s="150"/>
      <c r="W18" s="150"/>
    </row>
    <row r="19" spans="1:23" s="14" customFormat="1" ht="19.5" customHeight="1">
      <c r="A19" s="150"/>
      <c r="B19" s="415" t="str">
        <f>IF(C19="","","Übernahmen  ""Sonstige Kosten mit Fortbildung")</f>
        <v>Übernahmen  "Sonstige Kosten mit Fortbildung</v>
      </c>
      <c r="C19" s="1561">
        <f>IF(C16=0,"",IF(SUM(C16,C17)&gt;0,C18))</f>
        <v>68000</v>
      </c>
      <c r="D19" s="148"/>
      <c r="E19" s="1581"/>
      <c r="F19" s="1582"/>
      <c r="G19" s="1169" t="str">
        <f>'3 Vorjahr'!A180</f>
        <v xml:space="preserve">Mieten für Einrichtungen bewegliche WG </v>
      </c>
      <c r="H19" s="1555" t="str">
        <f>IF('3 Vorjahr'!C180=0,"",'3 Vorjahr'!C180/$F$13*12)</f>
        <v/>
      </c>
      <c r="I19" s="2803"/>
      <c r="J19" s="188"/>
      <c r="K19" s="150"/>
      <c r="L19" s="3815"/>
      <c r="M19" s="3816"/>
      <c r="N19" s="3816"/>
      <c r="O19" s="3817"/>
      <c r="P19" s="150"/>
      <c r="Q19" s="150"/>
      <c r="R19" s="150"/>
      <c r="S19" s="150"/>
      <c r="T19" s="150"/>
      <c r="U19" s="150"/>
      <c r="V19" s="150"/>
      <c r="W19" s="150"/>
    </row>
    <row r="20" spans="1:23" s="14" customFormat="1" ht="19.5" customHeight="1">
      <c r="B20" s="415" t="str">
        <f>IF(C17="","",IF(C20="","","Übernahmen ""Sonstige Kosten ohne Fortbildung"))</f>
        <v>Übernahmen "Sonstige Kosten ohne Fortbildung</v>
      </c>
      <c r="C20" s="1562">
        <f>IF(C17="","",IF(C19="","",C16))</f>
        <v>60000</v>
      </c>
      <c r="D20" s="148"/>
      <c r="E20" s="418"/>
      <c r="F20" s="419"/>
      <c r="G20" s="907" t="str">
        <f>'3 Vorjahr'!A181</f>
        <v>Aufwand Abraum-/Abfallbeseitigung</v>
      </c>
      <c r="H20" s="1555" t="str">
        <f>IF('3 Vorjahr'!C181=0,"",'3 Vorjahr'!C181/$F$13*12)</f>
        <v/>
      </c>
      <c r="I20" s="2803"/>
      <c r="J20" s="188"/>
      <c r="K20" s="150"/>
      <c r="L20" s="3815"/>
      <c r="M20" s="3816"/>
      <c r="N20" s="3816"/>
      <c r="O20" s="3817"/>
      <c r="P20" s="150"/>
      <c r="Q20" s="150"/>
      <c r="R20" s="150"/>
      <c r="S20" s="150"/>
      <c r="T20" s="150"/>
      <c r="U20" s="150"/>
      <c r="V20" s="150"/>
      <c r="W20" s="150"/>
    </row>
    <row r="21" spans="1:23" s="14" customFormat="1" ht="19.5" customHeight="1">
      <c r="B21" s="2"/>
      <c r="C21" s="2"/>
      <c r="D21" s="148"/>
      <c r="G21" s="907" t="str">
        <f>'3 Vorjahr'!A182</f>
        <v>Nebenkosten des Geldverkehrs</v>
      </c>
      <c r="H21" s="1555" t="str">
        <f>IF('3 Vorjahr'!C182=0,"",'3 Vorjahr'!C182/$F$13*12)</f>
        <v/>
      </c>
      <c r="I21" s="2803"/>
      <c r="J21" s="188"/>
      <c r="K21" s="150"/>
      <c r="L21" s="3815"/>
      <c r="M21" s="3816"/>
      <c r="N21" s="3816"/>
      <c r="O21" s="3817"/>
      <c r="P21" s="150"/>
      <c r="Q21" s="150"/>
      <c r="R21" s="150"/>
      <c r="S21" s="150"/>
      <c r="T21" s="150"/>
      <c r="U21" s="150"/>
      <c r="V21" s="150"/>
      <c r="W21" s="150"/>
    </row>
    <row r="22" spans="1:23" s="14" customFormat="1" ht="19.5" customHeight="1">
      <c r="B22" s="2"/>
      <c r="C22" s="2"/>
      <c r="D22" s="148"/>
      <c r="G22" s="907" t="str">
        <f>'3 Vorjahr'!A183</f>
        <v>Sonstiger Betriebsbedarf</v>
      </c>
      <c r="H22" s="1555" t="str">
        <f>IF('3 Vorjahr'!C183=0,"",'3 Vorjahr'!C183/$F$13*12)</f>
        <v/>
      </c>
      <c r="I22" s="2803"/>
      <c r="J22" s="188"/>
      <c r="K22" s="150"/>
      <c r="L22" s="3815"/>
      <c r="M22" s="3816"/>
      <c r="N22" s="3816"/>
      <c r="O22" s="3817"/>
      <c r="P22" s="150"/>
      <c r="Q22" s="150"/>
      <c r="R22" s="150"/>
      <c r="S22" s="150"/>
      <c r="T22" s="150"/>
      <c r="U22" s="150"/>
      <c r="V22" s="150"/>
      <c r="W22" s="150"/>
    </row>
    <row r="23" spans="1:23" s="14" customFormat="1" ht="19.5" customHeight="1">
      <c r="B23" s="2"/>
      <c r="C23" s="2"/>
      <c r="D23" s="148"/>
      <c r="G23" s="907" t="str">
        <f>'3 Vorjahr'!A184</f>
        <v>Werkzeuge und Kleingeräte</v>
      </c>
      <c r="H23" s="1555" t="str">
        <f>IF('3 Vorjahr'!C184=0,"",'3 Vorjahr'!C184/$F$13*12)</f>
        <v/>
      </c>
      <c r="I23" s="2803"/>
      <c r="J23" s="188"/>
      <c r="K23" s="150"/>
      <c r="L23" s="3815"/>
      <c r="M23" s="3816"/>
      <c r="N23" s="3816"/>
      <c r="O23" s="3817"/>
      <c r="P23" s="150"/>
      <c r="Q23" s="150"/>
      <c r="R23" s="150"/>
      <c r="S23" s="150"/>
      <c r="T23" s="150"/>
      <c r="U23" s="150"/>
      <c r="V23" s="150"/>
      <c r="W23" s="150"/>
    </row>
    <row r="24" spans="1:23" s="14" customFormat="1" ht="19.5" customHeight="1">
      <c r="C24" s="2"/>
      <c r="D24" s="148"/>
      <c r="E24" s="3838" t="s">
        <v>213</v>
      </c>
      <c r="F24" s="3839"/>
      <c r="G24" s="1430" t="str">
        <f>IF('3 Vorjahr'!A185="","",'3 Vorjahr'!A185)</f>
        <v/>
      </c>
      <c r="H24" s="1555" t="str">
        <f>IF('3 Vorjahr'!C185=0,"",'3 Vorjahr'!C185/$F$13*12)</f>
        <v/>
      </c>
      <c r="I24" s="2803"/>
      <c r="J24" s="188"/>
      <c r="K24" s="150"/>
      <c r="L24" s="3815"/>
      <c r="M24" s="3816"/>
      <c r="N24" s="3816"/>
      <c r="O24" s="3817"/>
      <c r="P24" s="150"/>
      <c r="Q24" s="150"/>
      <c r="R24" s="150"/>
      <c r="S24" s="150"/>
      <c r="T24" s="150"/>
      <c r="U24" s="150"/>
      <c r="V24" s="150"/>
      <c r="W24" s="150"/>
    </row>
    <row r="25" spans="1:23" s="14" customFormat="1" ht="19.5" customHeight="1">
      <c r="D25" s="148"/>
      <c r="E25" s="3838"/>
      <c r="F25" s="3839"/>
      <c r="G25" s="1430" t="str">
        <f>IF('3 Vorjahr'!A186="","",'3 Vorjahr'!A186)</f>
        <v/>
      </c>
      <c r="H25" s="1555" t="str">
        <f>IF('3 Vorjahr'!C186=0,"",'3 Vorjahr'!C186/$F$13*12)</f>
        <v/>
      </c>
      <c r="I25" s="2803"/>
      <c r="J25" s="188"/>
      <c r="K25" s="150"/>
      <c r="L25" s="3815"/>
      <c r="M25" s="3816"/>
      <c r="N25" s="3816"/>
      <c r="O25" s="3817"/>
      <c r="P25" s="150"/>
      <c r="Q25" s="150"/>
      <c r="R25" s="150"/>
      <c r="S25" s="150"/>
      <c r="T25" s="150"/>
      <c r="U25" s="150"/>
      <c r="V25" s="150"/>
      <c r="W25" s="150"/>
    </row>
    <row r="26" spans="1:23" s="14" customFormat="1" ht="19.5" customHeight="1">
      <c r="D26" s="148"/>
      <c r="E26" s="3838"/>
      <c r="F26" s="3839"/>
      <c r="G26" s="1430" t="str">
        <f>IF('3 Vorjahr'!A187="","",'3 Vorjahr'!A187)</f>
        <v/>
      </c>
      <c r="H26" s="1555" t="str">
        <f>IF('3 Vorjahr'!C187=0,"",'3 Vorjahr'!C187/$F$13*12)</f>
        <v/>
      </c>
      <c r="I26" s="2803"/>
      <c r="J26" s="188"/>
      <c r="K26" s="150"/>
      <c r="L26" s="3815"/>
      <c r="M26" s="3816"/>
      <c r="N26" s="3816"/>
      <c r="O26" s="3817"/>
      <c r="P26" s="150"/>
      <c r="Q26" s="150"/>
      <c r="R26" s="150"/>
      <c r="S26" s="150"/>
      <c r="T26" s="150"/>
      <c r="U26" s="150"/>
      <c r="V26" s="150"/>
      <c r="W26" s="150"/>
    </row>
    <row r="27" spans="1:23" s="14" customFormat="1" ht="19.5" customHeight="1">
      <c r="D27" s="2"/>
      <c r="E27" s="2"/>
      <c r="F27" s="2"/>
      <c r="G27" s="1430" t="str">
        <f>IF('3 Vorjahr'!A188="","",'3 Vorjahr'!A188)</f>
        <v/>
      </c>
      <c r="H27" s="1555" t="str">
        <f>IF('3 Vorjahr'!C188=0,"",'3 Vorjahr'!C188/$F$13*12)</f>
        <v/>
      </c>
      <c r="I27" s="2803"/>
      <c r="J27" s="188"/>
      <c r="K27" s="150"/>
      <c r="L27" s="3818"/>
      <c r="M27" s="3819"/>
      <c r="N27" s="3819"/>
      <c r="O27" s="3820"/>
      <c r="P27" s="150"/>
      <c r="Q27" s="150"/>
      <c r="R27" s="150"/>
      <c r="S27" s="150"/>
      <c r="T27" s="150"/>
      <c r="U27" s="150"/>
      <c r="V27" s="150"/>
      <c r="W27" s="150"/>
    </row>
    <row r="28" spans="1:23" s="14" customFormat="1" ht="19.5" customHeight="1">
      <c r="D28" s="2"/>
      <c r="E28" s="2"/>
      <c r="F28" s="2"/>
      <c r="G28" s="246" t="s">
        <v>505</v>
      </c>
      <c r="H28" s="1552"/>
      <c r="I28" s="2811">
        <f>SUM(I9:I27)-I15</f>
        <v>0</v>
      </c>
      <c r="J28" s="2813"/>
      <c r="K28" s="150"/>
      <c r="L28" s="150"/>
      <c r="M28" s="150"/>
      <c r="N28" s="150"/>
      <c r="O28" s="150"/>
      <c r="P28" s="150"/>
      <c r="Q28" s="150"/>
      <c r="R28" s="150"/>
      <c r="S28" s="150"/>
      <c r="T28" s="150"/>
      <c r="U28" s="150"/>
      <c r="V28" s="150"/>
      <c r="W28" s="150"/>
    </row>
    <row r="29" spans="1:23" s="15" customFormat="1" ht="19.5" customHeight="1">
      <c r="D29" s="3"/>
      <c r="E29" s="2"/>
      <c r="F29" s="2"/>
      <c r="G29" s="14"/>
      <c r="H29" s="14"/>
      <c r="I29" s="1150" t="str">
        <f>IF(SUM(I27:I28)=0,"",SUM(I27:I28))</f>
        <v/>
      </c>
      <c r="J29" s="150"/>
      <c r="K29" s="150"/>
      <c r="L29" s="150"/>
      <c r="M29" s="150"/>
      <c r="N29" s="150"/>
      <c r="O29" s="150"/>
      <c r="P29" s="150"/>
      <c r="Q29" s="150"/>
      <c r="R29" s="150"/>
      <c r="S29" s="150"/>
      <c r="T29" s="150"/>
      <c r="U29" s="150"/>
      <c r="V29" s="150"/>
      <c r="W29" s="150"/>
    </row>
    <row r="30" spans="1:23">
      <c r="G30" s="108" t="s">
        <v>525</v>
      </c>
      <c r="H30" s="108"/>
      <c r="I30" s="14"/>
      <c r="J30" s="148"/>
      <c r="K30" s="148"/>
      <c r="L30" s="148"/>
      <c r="M30" s="148"/>
      <c r="N30" s="148"/>
      <c r="O30" s="148"/>
      <c r="P30" s="148"/>
      <c r="Q30" s="148"/>
      <c r="R30" s="148"/>
      <c r="S30" s="148"/>
      <c r="T30" s="148"/>
      <c r="U30" s="148"/>
      <c r="V30" s="148"/>
      <c r="W30" s="148"/>
    </row>
    <row r="31" spans="1:23">
      <c r="G31" s="108" t="s">
        <v>525</v>
      </c>
      <c r="H31" s="108"/>
      <c r="I31" s="14"/>
    </row>
    <row r="32" spans="1:23">
      <c r="G32" s="31"/>
      <c r="H32" s="31"/>
      <c r="I32" s="150"/>
    </row>
    <row r="33" spans="7:9">
      <c r="G33" s="14"/>
      <c r="H33" s="14"/>
      <c r="I33" s="148"/>
    </row>
    <row r="34" spans="7:9" ht="20.25" customHeight="1">
      <c r="G34" s="14"/>
      <c r="H34" s="14"/>
    </row>
    <row r="35" spans="7:9" ht="20.25" customHeight="1">
      <c r="G35" s="150"/>
      <c r="H35" s="150"/>
    </row>
    <row r="36" spans="7:9" ht="20.25" customHeight="1">
      <c r="G36" s="148"/>
      <c r="H36" s="148"/>
    </row>
    <row r="37" spans="7:9" ht="20.25" customHeight="1"/>
    <row r="38" spans="7:9" ht="20.25" customHeight="1"/>
    <row r="39" spans="7:9" ht="20.25" customHeight="1"/>
  </sheetData>
  <sheetProtection algorithmName="SHA-512" hashValue="T0MC6JDQrDVQAHXvJUvK7MguS9phAhUPhMQunoc9E7lkf8FMWNOozn1ciGq5VlT/nug4th0lQ1unZn/+Bsjprg==" saltValue="87lyQbYDBMalPTw+B6PiSA==" spinCount="100000" sheet="1" objects="1" scenarios="1"/>
  <customSheetViews>
    <customSheetView guid="{91EE9386-9500-473B-B86C-27DB8DF0BA46}" scale="120" showGridLines="0">
      <selection activeCell="I1" sqref="I1"/>
      <pageMargins left="0.25" right="0.25" top="0.75" bottom="0.75" header="0.3" footer="0.3"/>
      <pageSetup paperSize="9" orientation="landscape" r:id="rId1"/>
    </customSheetView>
    <customSheetView guid="{B8019777-F14C-4393-8CE3-CE0081D0CD28}" scale="120" showGridLines="0">
      <selection activeCell="I1" sqref="I1"/>
      <pageMargins left="0.25" right="0.25" top="0.75" bottom="0.75" header="0.3" footer="0.3"/>
      <pageSetup paperSize="9" orientation="landscape" r:id="rId2"/>
    </customSheetView>
  </customSheetViews>
  <mergeCells count="15">
    <mergeCell ref="H1:I1"/>
    <mergeCell ref="B2:G2"/>
    <mergeCell ref="B8:C8"/>
    <mergeCell ref="J12:J13"/>
    <mergeCell ref="E9:F10"/>
    <mergeCell ref="E11:E12"/>
    <mergeCell ref="J5:K7"/>
    <mergeCell ref="J3:K4"/>
    <mergeCell ref="L7:O8"/>
    <mergeCell ref="L9:O27"/>
    <mergeCell ref="E24:F26"/>
    <mergeCell ref="B3:E6"/>
    <mergeCell ref="E8:G8"/>
    <mergeCell ref="J15:J16"/>
    <mergeCell ref="E15:F18"/>
  </mergeCells>
  <pageMargins left="0.25" right="0.25" top="0.75" bottom="0.75" header="0.3" footer="0.3"/>
  <pageSetup paperSize="9" scale="90" orientation="landscape"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65"/>
  <sheetViews>
    <sheetView showGridLines="0" zoomScale="90" zoomScaleNormal="90" workbookViewId="0">
      <selection sqref="A1:H1"/>
    </sheetView>
  </sheetViews>
  <sheetFormatPr baseColWidth="10" defaultColWidth="11" defaultRowHeight="15"/>
  <cols>
    <col min="1" max="1" width="4.44140625" style="2" customWidth="1"/>
    <col min="2" max="2" width="24.44140625" style="2" customWidth="1"/>
    <col min="3" max="3" width="11.44140625" style="2" customWidth="1"/>
    <col min="4" max="4" width="13.44140625" style="2" customWidth="1"/>
    <col min="5" max="6" width="10.21875" style="2" customWidth="1"/>
    <col min="7" max="7" width="7.77734375" style="2" customWidth="1"/>
    <col min="8" max="8" width="7.44140625" style="2" customWidth="1"/>
    <col min="9" max="9" width="16.44140625" style="2" customWidth="1"/>
    <col min="10" max="10" width="12.77734375" style="2" bestFit="1" customWidth="1"/>
    <col min="11" max="11" width="11" style="2" customWidth="1"/>
    <col min="12" max="12" width="12" style="2" customWidth="1"/>
    <col min="13" max="13" width="9" style="2" customWidth="1"/>
    <col min="14" max="14" width="7.77734375" style="2" customWidth="1"/>
    <col min="15" max="25" width="8.21875" style="2" customWidth="1"/>
    <col min="26" max="28" width="2.21875" style="31" customWidth="1"/>
    <col min="29" max="29" width="1.77734375" style="2" customWidth="1"/>
    <col min="30" max="16384" width="11" style="2"/>
  </cols>
  <sheetData>
    <row r="1" spans="1:29" ht="41.25" customHeight="1">
      <c r="A1" s="3858" t="s">
        <v>328</v>
      </c>
      <c r="B1" s="3858"/>
      <c r="C1" s="3858"/>
      <c r="D1" s="3858"/>
      <c r="E1" s="3858"/>
      <c r="F1" s="3858"/>
      <c r="G1" s="3858"/>
      <c r="H1" s="3858"/>
      <c r="I1" s="3358"/>
      <c r="J1" s="3358"/>
      <c r="L1" s="1"/>
      <c r="M1" s="132" t="str">
        <f>Start!M2</f>
        <v>Demo Version</v>
      </c>
      <c r="N1" s="93"/>
    </row>
    <row r="2" spans="1:29" ht="17.55" customHeight="1">
      <c r="A2" s="1360"/>
      <c r="B2" s="3897" t="s">
        <v>893</v>
      </c>
      <c r="C2" s="3898"/>
      <c r="D2" s="3898"/>
      <c r="E2" s="3899"/>
      <c r="F2" s="3884" t="s">
        <v>1221</v>
      </c>
      <c r="G2" s="3885"/>
      <c r="H2" s="1360"/>
      <c r="I2" s="3875" t="s">
        <v>1001</v>
      </c>
      <c r="J2" s="3878"/>
      <c r="K2" s="3878"/>
      <c r="L2" s="3878"/>
      <c r="M2" s="3879"/>
      <c r="N2" s="93"/>
    </row>
    <row r="3" spans="1:29" ht="21" customHeight="1">
      <c r="A3" s="1360"/>
      <c r="B3" s="3866" t="s">
        <v>884</v>
      </c>
      <c r="C3" s="3552"/>
      <c r="D3" s="1901">
        <f>E18</f>
        <v>900</v>
      </c>
      <c r="E3" s="3871" t="s">
        <v>12</v>
      </c>
      <c r="F3" s="3871"/>
      <c r="G3" s="3872"/>
      <c r="H3" s="1360"/>
      <c r="I3" s="3876"/>
      <c r="J3" s="3880"/>
      <c r="K3" s="3880"/>
      <c r="L3" s="3880"/>
      <c r="M3" s="3881"/>
      <c r="N3" s="93"/>
    </row>
    <row r="4" spans="1:29" ht="21" customHeight="1">
      <c r="A4" s="1360"/>
      <c r="B4" s="3866" t="s">
        <v>885</v>
      </c>
      <c r="C4" s="3552"/>
      <c r="D4" s="1901">
        <f>E28</f>
        <v>0</v>
      </c>
      <c r="E4" s="3871" t="s">
        <v>890</v>
      </c>
      <c r="F4" s="3871"/>
      <c r="G4" s="3872"/>
      <c r="H4" s="1360"/>
      <c r="I4" s="3876"/>
      <c r="J4" s="3880"/>
      <c r="K4" s="3880"/>
      <c r="L4" s="3880"/>
      <c r="M4" s="3881"/>
      <c r="N4" s="93"/>
    </row>
    <row r="5" spans="1:29" ht="21" customHeight="1">
      <c r="A5" s="1360"/>
      <c r="B5" s="3866" t="s">
        <v>886</v>
      </c>
      <c r="C5" s="3552"/>
      <c r="D5" s="1901">
        <f>E41</f>
        <v>0</v>
      </c>
      <c r="E5" s="3871" t="s">
        <v>891</v>
      </c>
      <c r="F5" s="3871"/>
      <c r="G5" s="3872"/>
      <c r="H5" s="1360"/>
      <c r="I5" s="3876"/>
      <c r="J5" s="3880"/>
      <c r="K5" s="3880"/>
      <c r="L5" s="3880"/>
      <c r="M5" s="3881"/>
      <c r="N5" s="93"/>
    </row>
    <row r="6" spans="1:29" ht="21" customHeight="1">
      <c r="A6" s="1360"/>
      <c r="B6" s="3867" t="s">
        <v>887</v>
      </c>
      <c r="C6" s="3868"/>
      <c r="D6" s="1902">
        <f>E60</f>
        <v>7400.4</v>
      </c>
      <c r="E6" s="3869" t="s">
        <v>889</v>
      </c>
      <c r="F6" s="3869"/>
      <c r="G6" s="3870"/>
      <c r="H6" s="1360"/>
      <c r="I6" s="3877"/>
      <c r="J6" s="3882"/>
      <c r="K6" s="3882"/>
      <c r="L6" s="3882"/>
      <c r="M6" s="3883"/>
      <c r="N6" s="93"/>
    </row>
    <row r="7" spans="1:29" ht="21.75" customHeight="1">
      <c r="A7" s="1"/>
      <c r="B7" s="13" t="s">
        <v>888</v>
      </c>
      <c r="C7" s="1"/>
      <c r="D7" s="131"/>
      <c r="E7" s="3864" t="str">
        <f>IF('3 Vorjahr'!C16="","",IF('3 Vorjahr'!C16=12,"","Die Gesamtwerte sind durch die Hochrechnung entstanden, die Einzelwerte werden aus unten stehendem Monat angezeigt"))</f>
        <v>Die Gesamtwerte sind durch die Hochrechnung entstanden, die Einzelwerte werden aus unten stehendem Monat angezeigt</v>
      </c>
      <c r="F7" s="3864"/>
      <c r="G7" s="3865"/>
      <c r="H7" s="155"/>
      <c r="I7" s="14" t="s">
        <v>74</v>
      </c>
      <c r="L7" s="13" t="str">
        <f>IF(L34="","","(mit Kontorückführung)")</f>
        <v/>
      </c>
      <c r="S7" s="1168"/>
    </row>
    <row r="8" spans="1:29" ht="15.75" customHeight="1">
      <c r="D8" s="1545">
        <f>IF(E7="","",1)</f>
        <v>1</v>
      </c>
      <c r="E8" s="3864"/>
      <c r="F8" s="3864"/>
      <c r="G8" s="3865"/>
      <c r="H8" s="155"/>
      <c r="I8" s="87" t="s">
        <v>179</v>
      </c>
      <c r="J8" s="87"/>
      <c r="K8" s="87"/>
      <c r="L8" s="87"/>
      <c r="M8" s="87"/>
      <c r="N8" s="13"/>
      <c r="R8" s="1168"/>
      <c r="S8" s="1168"/>
    </row>
    <row r="9" spans="1:29" ht="15.75" customHeight="1">
      <c r="A9" s="153"/>
      <c r="B9" s="337" t="s">
        <v>243</v>
      </c>
      <c r="E9" s="3864"/>
      <c r="F9" s="3864"/>
      <c r="G9" s="3865"/>
      <c r="H9" s="155"/>
      <c r="I9" s="87" t="s">
        <v>180</v>
      </c>
      <c r="J9" s="87"/>
      <c r="K9" s="87"/>
      <c r="L9" s="87"/>
      <c r="M9" s="87"/>
      <c r="N9" s="13"/>
      <c r="R9" s="1168"/>
      <c r="S9" s="1168"/>
    </row>
    <row r="10" spans="1:29" ht="20.25" customHeight="1">
      <c r="A10" s="83"/>
      <c r="B10" s="3860" t="s">
        <v>214</v>
      </c>
      <c r="C10" s="3873" t="s">
        <v>26</v>
      </c>
      <c r="D10" s="3862"/>
      <c r="E10" s="3864"/>
      <c r="F10" s="3864"/>
      <c r="G10" s="3865"/>
      <c r="H10" s="155"/>
      <c r="I10" s="153" t="s">
        <v>293</v>
      </c>
      <c r="J10" s="13"/>
      <c r="K10" s="13"/>
      <c r="L10" s="13"/>
      <c r="M10" s="87"/>
      <c r="N10" s="13"/>
      <c r="R10" s="1168"/>
      <c r="S10" s="1168"/>
    </row>
    <row r="11" spans="1:29" ht="16.5" customHeight="1">
      <c r="A11" s="18"/>
      <c r="B11" s="3861"/>
      <c r="C11" s="3892"/>
      <c r="D11" s="3863"/>
      <c r="H11" s="156"/>
      <c r="I11" s="3859" t="s">
        <v>294</v>
      </c>
      <c r="J11" s="3859"/>
      <c r="K11" s="3859"/>
      <c r="L11" s="3859"/>
      <c r="M11" s="3859"/>
      <c r="N11" s="13"/>
      <c r="O11" s="1654"/>
      <c r="P11" s="1654"/>
    </row>
    <row r="12" spans="1:29" ht="16.5" customHeight="1" thickBot="1">
      <c r="A12" s="18"/>
      <c r="B12" s="1173" t="s">
        <v>784</v>
      </c>
      <c r="C12" s="1883">
        <f>'3 Vorjahr'!G190</f>
        <v>914.02800000000013</v>
      </c>
      <c r="D12" s="1884"/>
      <c r="H12" s="157"/>
      <c r="I12" s="3859"/>
      <c r="J12" s="3859"/>
      <c r="K12" s="3859"/>
      <c r="L12" s="3859"/>
      <c r="M12" s="3859"/>
      <c r="N12" s="13"/>
    </row>
    <row r="13" spans="1:29" ht="16.5" customHeight="1">
      <c r="A13" s="18"/>
      <c r="B13" s="1172" t="str">
        <f>IF('3 Vorjahr'!A193="","",'3 Vorjahr'!A193)</f>
        <v xml:space="preserve">Zinsaufwendungen f.kfr.Verbindlichkeit. </v>
      </c>
      <c r="C13" s="1886">
        <f>IF('3 Vorjahr'!C193=0,"",'3 Vorjahr'!C193/$G$15*12)</f>
        <v>914.02800000000013</v>
      </c>
      <c r="D13" s="592">
        <v>900</v>
      </c>
      <c r="E13" s="3913" t="str">
        <f>IF(E15="","","Die Hochrechnung basiert auf Daten aus")</f>
        <v>Die Hochrechnung basiert auf Daten aus</v>
      </c>
      <c r="F13" s="3914"/>
      <c r="G13" s="2476"/>
      <c r="H13" s="157"/>
      <c r="N13" s="3906" t="s">
        <v>996</v>
      </c>
      <c r="O13" s="3906"/>
      <c r="P13" s="3906"/>
      <c r="Q13" s="3906"/>
      <c r="R13" s="3906"/>
      <c r="S13" s="3906"/>
      <c r="T13" s="3906"/>
      <c r="U13" s="3906"/>
    </row>
    <row r="14" spans="1:29" ht="19.05" customHeight="1">
      <c r="A14" s="18"/>
      <c r="B14" s="966" t="str">
        <f>IF('3 Vorjahr'!A194="","",'3 Vorjahr'!A194)</f>
        <v>Zinsaufwendungen f.lfr.Verbindlichkeit.</v>
      </c>
      <c r="C14" s="1886" t="str">
        <f>IF('3 Vorjahr'!C194=0,"",'3 Vorjahr'!C194/$G$15*12)</f>
        <v/>
      </c>
      <c r="D14" s="409"/>
      <c r="E14" s="3851"/>
      <c r="F14" s="3915"/>
      <c r="G14" s="2477" t="str">
        <f>IF(G15=10,"Oktober",IF(G15=11,"November",""))</f>
        <v>Oktober</v>
      </c>
      <c r="H14" s="157"/>
      <c r="I14" s="1663"/>
      <c r="K14" s="3907" t="s">
        <v>997</v>
      </c>
      <c r="L14" s="3907" t="s">
        <v>22</v>
      </c>
      <c r="M14" s="3909" t="str">
        <f>IF(I25="","","Siehe unten")</f>
        <v/>
      </c>
      <c r="N14" s="3906"/>
      <c r="O14" s="3906"/>
      <c r="P14" s="3906"/>
      <c r="Q14" s="3906"/>
      <c r="R14" s="3906"/>
      <c r="S14" s="3906"/>
      <c r="T14" s="3906"/>
      <c r="U14" s="3906"/>
    </row>
    <row r="15" spans="1:29" ht="16.5" customHeight="1" thickBot="1">
      <c r="A15" s="18"/>
      <c r="B15" s="966" t="str">
        <f>IF('3 Vorjahr'!A195="","",'3 Vorjahr'!A195)</f>
        <v>Zinsen</v>
      </c>
      <c r="C15" s="1886" t="str">
        <f>IF('3 Vorjahr'!C195=0,"",'3 Vorjahr'!C195/$G$15*12)</f>
        <v/>
      </c>
      <c r="D15" s="409"/>
      <c r="E15" s="3911" t="str">
        <f>IF(G15=7,"Juli",IF(G15=8,"August",IF(G15=9,"September",G14)))</f>
        <v>Oktober</v>
      </c>
      <c r="F15" s="3912"/>
      <c r="G15" s="2478">
        <f>'3 Vorjahr'!C16</f>
        <v>10</v>
      </c>
      <c r="H15" s="157"/>
      <c r="I15" s="1655"/>
      <c r="J15" s="1656" t="s">
        <v>26</v>
      </c>
      <c r="K15" s="3908"/>
      <c r="L15" s="3908"/>
      <c r="M15" s="3910"/>
      <c r="N15" s="1658">
        <f>'9 Verteil. auf Monate Azubi'!F4</f>
        <v>44927</v>
      </c>
      <c r="O15" s="1657">
        <f>'9 Verteil. auf Monate Azubi'!G4</f>
        <v>44959</v>
      </c>
      <c r="P15" s="1657">
        <f>'9 Verteil. auf Monate Azubi'!H4</f>
        <v>44991</v>
      </c>
      <c r="Q15" s="1657">
        <f>'9 Verteil. auf Monate Azubi'!I4</f>
        <v>45023</v>
      </c>
      <c r="R15" s="1657">
        <f>'9 Verteil. auf Monate Azubi'!J4</f>
        <v>45055</v>
      </c>
      <c r="S15" s="1657">
        <f>'9 Verteil. auf Monate Azubi'!K4</f>
        <v>45087</v>
      </c>
      <c r="T15" s="1657">
        <f>'9 Verteil. auf Monate Azubi'!L4</f>
        <v>45119</v>
      </c>
      <c r="U15" s="1657">
        <f>'9 Verteil. auf Monate Azubi'!M4</f>
        <v>45151</v>
      </c>
      <c r="V15" s="1657">
        <f>'9 Verteil. auf Monate Azubi'!N4</f>
        <v>45183</v>
      </c>
      <c r="W15" s="1657">
        <f>'9 Verteil. auf Monate Azubi'!O4</f>
        <v>45215</v>
      </c>
      <c r="X15" s="1657">
        <f>'9 Verteil. auf Monate Azubi'!P4</f>
        <v>45247</v>
      </c>
      <c r="Y15" s="1657">
        <f>'9 Verteil. auf Monate Azubi'!Q4</f>
        <v>45279</v>
      </c>
      <c r="Z15" s="1150"/>
      <c r="AA15" s="1150"/>
      <c r="AB15" s="1150"/>
      <c r="AC15" s="1150">
        <f>SUM(AC16:AC23)</f>
        <v>0</v>
      </c>
    </row>
    <row r="16" spans="1:29" ht="19.5" customHeight="1">
      <c r="A16" s="138"/>
      <c r="B16" s="966" t="str">
        <f>IF('3 Vorjahr'!A196="","",'3 Vorjahr'!A196)</f>
        <v>kreditprov.</v>
      </c>
      <c r="C16" s="1886" t="str">
        <f>IF('3 Vorjahr'!C196=0,"",'3 Vorjahr'!C196/$G$15*12)</f>
        <v/>
      </c>
      <c r="D16" s="409"/>
      <c r="H16" s="157"/>
      <c r="I16" s="1172" t="str">
        <f>IF('3 Vorjahr'!A238="","",'3 Vorjahr'!A238)</f>
        <v>Darlehen 1</v>
      </c>
      <c r="J16" s="1886">
        <f>IF('3 Vorjahr'!G238=0,"",'3 Vorjahr'!G238)</f>
        <v>4500</v>
      </c>
      <c r="K16" s="1896"/>
      <c r="L16" s="2465"/>
      <c r="M16" s="1664" t="str">
        <f t="shared" ref="M16:M23" si="0">IF(AC16=1,"!",IF(SUM(K16:L16)=0,"",IF(K16&gt;0,K16*12,IF(L16&gt;0,L16))))</f>
        <v/>
      </c>
      <c r="N16" s="1659">
        <v>500</v>
      </c>
      <c r="O16" s="735">
        <v>500</v>
      </c>
      <c r="P16" s="735">
        <v>500</v>
      </c>
      <c r="Q16" s="735">
        <v>500</v>
      </c>
      <c r="R16" s="735">
        <v>500</v>
      </c>
      <c r="S16" s="735">
        <v>500</v>
      </c>
      <c r="T16" s="735">
        <v>500</v>
      </c>
      <c r="U16" s="735">
        <v>500</v>
      </c>
      <c r="V16" s="735">
        <v>500</v>
      </c>
      <c r="W16" s="735"/>
      <c r="X16" s="735"/>
      <c r="Y16" s="735"/>
      <c r="Z16" s="1150">
        <f>IF(K16&gt;0,1,0)</f>
        <v>0</v>
      </c>
      <c r="AA16" s="1150">
        <f>IF(SUM(N16:Y16)&gt;0,1,0)</f>
        <v>1</v>
      </c>
      <c r="AB16" s="1150">
        <f>IF(L16&gt;0,1,0)</f>
        <v>0</v>
      </c>
      <c r="AC16" s="1150">
        <f>IF(SUM(Z16:AB16)&gt;1,1,0)</f>
        <v>0</v>
      </c>
    </row>
    <row r="17" spans="1:29" ht="16.5" customHeight="1">
      <c r="A17" s="13"/>
      <c r="B17" s="1430"/>
      <c r="C17" s="1886" t="str">
        <f>IF('3 Vorjahr'!C197=0,"",'3 Vorjahr'!C197/$G$15*12)</f>
        <v/>
      </c>
      <c r="D17" s="409"/>
      <c r="E17" s="1885"/>
      <c r="G17" s="83"/>
      <c r="H17" s="157"/>
      <c r="I17" s="966" t="str">
        <f>IF('3 Vorjahr'!A239="","",'3 Vorjahr'!A239)</f>
        <v>Darlehen 2</v>
      </c>
      <c r="J17" s="1886">
        <f>IF('3 Vorjahr'!G239=0,"",'3 Vorjahr'!G239)</f>
        <v>8782.2000000000007</v>
      </c>
      <c r="K17" s="1897"/>
      <c r="L17" s="2465">
        <v>8782.2000000000007</v>
      </c>
      <c r="M17" s="1664">
        <f t="shared" si="0"/>
        <v>8782.2000000000007</v>
      </c>
      <c r="N17" s="1659"/>
      <c r="O17" s="735"/>
      <c r="P17" s="735"/>
      <c r="Q17" s="735"/>
      <c r="R17" s="735"/>
      <c r="S17" s="735"/>
      <c r="T17" s="735"/>
      <c r="U17" s="735"/>
      <c r="V17" s="735"/>
      <c r="W17" s="735"/>
      <c r="X17" s="735"/>
      <c r="Y17" s="735"/>
      <c r="Z17" s="1150">
        <f t="shared" ref="Z17:Z23" si="1">IF(K17&gt;0,1,0)</f>
        <v>0</v>
      </c>
      <c r="AA17" s="1150">
        <f t="shared" ref="AA17:AA23" si="2">IF(SUM(N17:Y17)&gt;0,1,0)</f>
        <v>0</v>
      </c>
      <c r="AB17" s="1150">
        <f t="shared" ref="AB17:AB23" si="3">IF(L17&gt;0,1,0)</f>
        <v>1</v>
      </c>
      <c r="AC17" s="1150">
        <f t="shared" ref="AC17:AC23" si="4">IF(SUM(Z17:AB17)&gt;1,1,0)</f>
        <v>0</v>
      </c>
    </row>
    <row r="18" spans="1:29" s="14" customFormat="1" ht="19.5" customHeight="1" thickBot="1">
      <c r="A18" s="94"/>
      <c r="B18" s="1177" t="s">
        <v>94</v>
      </c>
      <c r="C18" s="1887" t="s">
        <v>6</v>
      </c>
      <c r="D18" s="1888"/>
      <c r="E18" s="1889">
        <f>SUM(D13:D17)</f>
        <v>900</v>
      </c>
      <c r="F18" s="1888" t="s">
        <v>2</v>
      </c>
      <c r="G18" s="3888" t="s">
        <v>673</v>
      </c>
      <c r="H18" s="3905"/>
      <c r="I18" s="966" t="str">
        <f>IF('3 Vorjahr'!A240="","",'3 Vorjahr'!A240)</f>
        <v>Darlehen 3</v>
      </c>
      <c r="J18" s="1886" t="str">
        <f>IF('3 Vorjahr'!G240=0,"",'3 Vorjahr'!G240)</f>
        <v/>
      </c>
      <c r="K18" s="1897"/>
      <c r="L18" s="1898"/>
      <c r="M18" s="1664" t="str">
        <f t="shared" si="0"/>
        <v/>
      </c>
      <c r="N18" s="1659"/>
      <c r="O18" s="735"/>
      <c r="P18" s="735"/>
      <c r="Q18" s="735"/>
      <c r="R18" s="735"/>
      <c r="S18" s="735"/>
      <c r="T18" s="735"/>
      <c r="U18" s="735"/>
      <c r="V18" s="735"/>
      <c r="W18" s="735"/>
      <c r="X18" s="735"/>
      <c r="Y18" s="735"/>
      <c r="Z18" s="1150">
        <f t="shared" si="1"/>
        <v>0</v>
      </c>
      <c r="AA18" s="1150">
        <f t="shared" si="2"/>
        <v>0</v>
      </c>
      <c r="AB18" s="1150">
        <f t="shared" si="3"/>
        <v>0</v>
      </c>
      <c r="AC18" s="1150">
        <f t="shared" si="4"/>
        <v>0</v>
      </c>
    </row>
    <row r="19" spans="1:29" s="14" customFormat="1" ht="19.5" customHeight="1" thickTop="1">
      <c r="B19" s="88"/>
      <c r="D19" s="2534"/>
      <c r="F19" s="2455" t="s">
        <v>1247</v>
      </c>
      <c r="G19" s="83"/>
      <c r="H19" s="157"/>
      <c r="I19" s="966" t="str">
        <f>IF('3 Vorjahr'!A241="","",'3 Vorjahr'!A241)</f>
        <v>Darlehen 4</v>
      </c>
      <c r="J19" s="1886" t="str">
        <f>IF('3 Vorjahr'!G241=0,"",'3 Vorjahr'!G241)</f>
        <v/>
      </c>
      <c r="K19" s="1897"/>
      <c r="L19" s="1898"/>
      <c r="M19" s="1664" t="str">
        <f t="shared" si="0"/>
        <v/>
      </c>
      <c r="N19" s="1659"/>
      <c r="O19" s="735"/>
      <c r="P19" s="735"/>
      <c r="Q19" s="735"/>
      <c r="R19" s="735"/>
      <c r="S19" s="735"/>
      <c r="T19" s="735"/>
      <c r="U19" s="735"/>
      <c r="V19" s="735"/>
      <c r="W19" s="735"/>
      <c r="X19" s="735"/>
      <c r="Y19" s="735"/>
      <c r="Z19" s="1150">
        <f t="shared" si="1"/>
        <v>0</v>
      </c>
      <c r="AA19" s="1150">
        <f t="shared" si="2"/>
        <v>0</v>
      </c>
      <c r="AB19" s="1150">
        <f t="shared" si="3"/>
        <v>0</v>
      </c>
      <c r="AC19" s="1150">
        <f t="shared" si="4"/>
        <v>0</v>
      </c>
    </row>
    <row r="20" spans="1:29" s="14" customFormat="1" ht="19.5" customHeight="1">
      <c r="B20" s="3903" t="s">
        <v>244</v>
      </c>
      <c r="C20" s="3895" t="str">
        <f>IF(C26="","Vorjahr","Vorjahr incl. Umsatzst.")</f>
        <v>Vorjahr</v>
      </c>
      <c r="D20" s="2546"/>
      <c r="E20" s="3919" t="str">
        <f>IF(C23="","",F19)</f>
        <v/>
      </c>
      <c r="F20" s="3920"/>
      <c r="G20" s="3921"/>
      <c r="H20" s="157"/>
      <c r="I20" s="966" t="str">
        <f>IF('3 Vorjahr'!A242="","",'3 Vorjahr'!A242)</f>
        <v>Darlehen 5</v>
      </c>
      <c r="J20" s="1886" t="str">
        <f>IF('3 Vorjahr'!G242=0,"",'3 Vorjahr'!G242)</f>
        <v/>
      </c>
      <c r="K20" s="1897"/>
      <c r="L20" s="1898"/>
      <c r="M20" s="1664" t="str">
        <f t="shared" si="0"/>
        <v/>
      </c>
      <c r="N20" s="1659"/>
      <c r="O20" s="735"/>
      <c r="P20" s="735"/>
      <c r="Q20" s="735"/>
      <c r="R20" s="735"/>
      <c r="S20" s="735"/>
      <c r="T20" s="735"/>
      <c r="U20" s="735"/>
      <c r="V20" s="735"/>
      <c r="W20" s="735"/>
      <c r="X20" s="735"/>
      <c r="Y20" s="735"/>
      <c r="Z20" s="1150">
        <f t="shared" si="1"/>
        <v>0</v>
      </c>
      <c r="AA20" s="1150">
        <f t="shared" si="2"/>
        <v>0</v>
      </c>
      <c r="AB20" s="1150">
        <f t="shared" si="3"/>
        <v>0</v>
      </c>
      <c r="AC20" s="1150">
        <f t="shared" si="4"/>
        <v>0</v>
      </c>
    </row>
    <row r="21" spans="1:29" s="14" customFormat="1" ht="19.5" customHeight="1">
      <c r="A21" s="153"/>
      <c r="B21" s="3904"/>
      <c r="C21" s="3896"/>
      <c r="D21" s="2546"/>
      <c r="E21" s="3922"/>
      <c r="F21" s="3923"/>
      <c r="G21" s="3924"/>
      <c r="H21" s="157"/>
      <c r="I21" s="966" t="str">
        <f>IF('3 Vorjahr'!A243="","",'3 Vorjahr'!A243)</f>
        <v>Darlehen 6</v>
      </c>
      <c r="J21" s="1886" t="str">
        <f>IF('3 Vorjahr'!G243=0,"",'3 Vorjahr'!G243)</f>
        <v/>
      </c>
      <c r="K21" s="1897"/>
      <c r="L21" s="1898"/>
      <c r="M21" s="1664" t="str">
        <f t="shared" si="0"/>
        <v/>
      </c>
      <c r="N21" s="1659"/>
      <c r="O21" s="735"/>
      <c r="P21" s="735"/>
      <c r="Q21" s="735"/>
      <c r="R21" s="735"/>
      <c r="S21" s="735"/>
      <c r="T21" s="735"/>
      <c r="U21" s="735"/>
      <c r="V21" s="735"/>
      <c r="W21" s="735"/>
      <c r="X21" s="735"/>
      <c r="Y21" s="735"/>
      <c r="Z21" s="1150">
        <f t="shared" si="1"/>
        <v>0</v>
      </c>
      <c r="AA21" s="1150">
        <f t="shared" si="2"/>
        <v>0</v>
      </c>
      <c r="AB21" s="1150">
        <f t="shared" si="3"/>
        <v>0</v>
      </c>
      <c r="AC21" s="1150">
        <f t="shared" si="4"/>
        <v>0</v>
      </c>
    </row>
    <row r="22" spans="1:29" s="14" customFormat="1" ht="19.5" customHeight="1">
      <c r="B22" s="958" t="str">
        <f>'3 Vorjahr'!A198</f>
        <v>andere neutraler Aufwand</v>
      </c>
      <c r="C22" s="1886" t="str">
        <f>IF('3 Vorjahr'!G198=0,"",'3 Vorjahr'!G198)</f>
        <v/>
      </c>
      <c r="D22" s="409"/>
      <c r="E22" s="3916" t="str">
        <f>E13</f>
        <v>Die Hochrechnung basiert auf Daten aus</v>
      </c>
      <c r="F22" s="3917"/>
      <c r="G22" s="2452" t="s">
        <v>1220</v>
      </c>
      <c r="H22" s="157"/>
      <c r="I22" s="1897"/>
      <c r="J22" s="1886" t="str">
        <f>IF('3 Vorjahr'!G244=0,"",'3 Vorjahr'!G244)</f>
        <v/>
      </c>
      <c r="K22" s="1897"/>
      <c r="L22" s="1898"/>
      <c r="M22" s="1664" t="str">
        <f t="shared" si="0"/>
        <v/>
      </c>
      <c r="N22" s="1659"/>
      <c r="O22" s="735"/>
      <c r="P22" s="735"/>
      <c r="Q22" s="735"/>
      <c r="R22" s="735"/>
      <c r="S22" s="735"/>
      <c r="T22" s="735"/>
      <c r="U22" s="735"/>
      <c r="V22" s="735"/>
      <c r="W22" s="735"/>
      <c r="X22" s="735"/>
      <c r="Y22" s="735"/>
      <c r="Z22" s="1150">
        <f t="shared" si="1"/>
        <v>0</v>
      </c>
      <c r="AA22" s="1150">
        <f t="shared" si="2"/>
        <v>0</v>
      </c>
      <c r="AB22" s="1150">
        <f t="shared" si="3"/>
        <v>0</v>
      </c>
      <c r="AC22" s="1150">
        <f t="shared" si="4"/>
        <v>0</v>
      </c>
    </row>
    <row r="23" spans="1:29" s="14" customFormat="1" ht="19.5" customHeight="1">
      <c r="B23" s="958" t="str">
        <f>'3 Vorjahr'!A199</f>
        <v>GewSt-Nachzahlung</v>
      </c>
      <c r="C23" s="1886" t="str">
        <f>IF('3 Vorjahr'!G199=0,"",'3 Vorjahr'!G199)</f>
        <v/>
      </c>
      <c r="D23" s="409"/>
      <c r="E23" s="2479" t="str">
        <f>E15</f>
        <v>Oktober</v>
      </c>
      <c r="F23" s="3886" t="str">
        <f>IF(E28=0,"",G22)</f>
        <v/>
      </c>
      <c r="G23" s="3887"/>
      <c r="H23" s="157"/>
      <c r="I23" s="1897"/>
      <c r="J23" s="1886" t="str">
        <f>IF('3 Vorjahr'!G245=0,"",'3 Vorjahr'!G245)</f>
        <v/>
      </c>
      <c r="K23" s="1897"/>
      <c r="L23" s="1898"/>
      <c r="M23" s="1664" t="str">
        <f t="shared" si="0"/>
        <v/>
      </c>
      <c r="N23" s="1659"/>
      <c r="O23" s="735"/>
      <c r="P23" s="735"/>
      <c r="Q23" s="735"/>
      <c r="R23" s="735"/>
      <c r="S23" s="735"/>
      <c r="T23" s="735"/>
      <c r="U23" s="735"/>
      <c r="V23" s="735"/>
      <c r="W23" s="735"/>
      <c r="X23" s="735"/>
      <c r="Y23" s="735"/>
      <c r="Z23" s="1150">
        <f t="shared" si="1"/>
        <v>0</v>
      </c>
      <c r="AA23" s="1150">
        <f t="shared" si="2"/>
        <v>0</v>
      </c>
      <c r="AB23" s="1150">
        <f t="shared" si="3"/>
        <v>0</v>
      </c>
      <c r="AC23" s="1150">
        <f t="shared" si="4"/>
        <v>0</v>
      </c>
    </row>
    <row r="24" spans="1:29" s="14" customFormat="1" ht="19.5" customHeight="1" thickBot="1">
      <c r="B24" s="958" t="str">
        <f>'3 Vorjahr'!A200</f>
        <v>Körperschaftssteuer</v>
      </c>
      <c r="C24" s="1886" t="str">
        <f>IF('3 Vorjahr'!G200=0,"",'3 Vorjahr'!G200)</f>
        <v/>
      </c>
      <c r="D24" s="409"/>
      <c r="E24" s="2451" t="s">
        <v>1217</v>
      </c>
      <c r="F24" s="3886"/>
      <c r="G24" s="3887"/>
      <c r="H24" s="157"/>
      <c r="J24" s="172" t="s">
        <v>6</v>
      </c>
      <c r="K24" s="1662"/>
      <c r="L24" s="172" t="s">
        <v>999</v>
      </c>
      <c r="M24" s="1850">
        <f>SUM(M16:M23)</f>
        <v>8782.2000000000007</v>
      </c>
      <c r="N24" s="1899"/>
      <c r="O24" s="1899"/>
      <c r="P24" s="1899"/>
      <c r="Q24" s="1899"/>
      <c r="R24" s="1899"/>
      <c r="S24" s="1899"/>
      <c r="T24" s="1899"/>
      <c r="U24" s="1899"/>
      <c r="V24" s="1899"/>
      <c r="W24" s="1899"/>
      <c r="X24" s="1899"/>
      <c r="Y24" s="1899"/>
      <c r="Z24" s="620"/>
      <c r="AA24" s="620"/>
      <c r="AB24" s="620"/>
    </row>
    <row r="25" spans="1:29" s="14" customFormat="1" ht="19.5" customHeight="1" thickTop="1" thickBot="1">
      <c r="B25" s="1430"/>
      <c r="C25" s="1886" t="str">
        <f>IF('3 Vorjahr'!G201=0,"",'3 Vorjahr'!G201)</f>
        <v/>
      </c>
      <c r="D25" s="409"/>
      <c r="E25" s="3900" t="str">
        <f>IF(C26="","","Die Umsatzsteuer muss in der Planung nicht berücksichtigt werden")</f>
        <v/>
      </c>
      <c r="F25" s="3886"/>
      <c r="G25" s="3887"/>
      <c r="H25" s="157"/>
      <c r="I25" s="3891" t="str">
        <f>IF(AC15&gt;0,"Bitte nur monatlich oder jährlich oder die einzelnen Monate eingeben","")</f>
        <v/>
      </c>
      <c r="J25" s="3891"/>
      <c r="K25" s="3891"/>
      <c r="L25" s="172" t="s">
        <v>924</v>
      </c>
      <c r="M25" s="1850">
        <f>SUM(N25:Y25)</f>
        <v>4500</v>
      </c>
      <c r="N25" s="1660">
        <f t="shared" ref="N25:Y25" si="5">SUM(N16:N23)</f>
        <v>500</v>
      </c>
      <c r="O25" s="1661">
        <f t="shared" si="5"/>
        <v>500</v>
      </c>
      <c r="P25" s="1661">
        <f t="shared" si="5"/>
        <v>500</v>
      </c>
      <c r="Q25" s="1661">
        <f t="shared" si="5"/>
        <v>500</v>
      </c>
      <c r="R25" s="1661">
        <f t="shared" si="5"/>
        <v>500</v>
      </c>
      <c r="S25" s="1661">
        <f t="shared" si="5"/>
        <v>500</v>
      </c>
      <c r="T25" s="1661">
        <f t="shared" si="5"/>
        <v>500</v>
      </c>
      <c r="U25" s="1661">
        <f t="shared" si="5"/>
        <v>500</v>
      </c>
      <c r="V25" s="1661">
        <f t="shared" si="5"/>
        <v>500</v>
      </c>
      <c r="W25" s="1661">
        <f t="shared" si="5"/>
        <v>0</v>
      </c>
      <c r="X25" s="1661">
        <f t="shared" si="5"/>
        <v>0</v>
      </c>
      <c r="Y25" s="1661">
        <f t="shared" si="5"/>
        <v>0</v>
      </c>
      <c r="Z25" s="620"/>
      <c r="AA25" s="620"/>
      <c r="AB25" s="620"/>
    </row>
    <row r="26" spans="1:29" ht="18" customHeight="1" thickTop="1" thickBot="1">
      <c r="A26" s="14"/>
      <c r="B26" s="1275" t="str">
        <f>IF(C26="","","Vorsteuer")</f>
        <v/>
      </c>
      <c r="C26" s="3893" t="str">
        <f>IF('3 Vorjahr'!D192=0,"",'3 Vorjahr'!D192/$G$15*12)</f>
        <v/>
      </c>
      <c r="D26" s="1890"/>
      <c r="E26" s="3901"/>
      <c r="F26" s="3886"/>
      <c r="G26" s="3887"/>
      <c r="H26" s="157"/>
      <c r="I26" s="3891"/>
      <c r="J26" s="3891"/>
      <c r="K26" s="3891"/>
      <c r="L26" s="172" t="s">
        <v>2</v>
      </c>
      <c r="M26" s="1850">
        <f>SUM(M24:M25)</f>
        <v>13282.2</v>
      </c>
      <c r="N26" s="1900" t="str">
        <f>IF(M26=M27,"ü","")</f>
        <v>ü</v>
      </c>
      <c r="O26" s="1885"/>
      <c r="P26" s="1885"/>
      <c r="Q26" s="1885"/>
      <c r="R26" s="1885"/>
      <c r="S26" s="1885"/>
      <c r="T26" s="1885"/>
      <c r="U26" s="1885"/>
      <c r="V26" s="1885"/>
      <c r="W26" s="1885"/>
      <c r="X26" s="1885"/>
      <c r="Y26" s="1885"/>
    </row>
    <row r="27" spans="1:29" ht="18" thickTop="1">
      <c r="A27" s="14"/>
      <c r="B27" s="965" t="str">
        <f>IF(C26="","","Zahlungen ans Finanzamt")</f>
        <v/>
      </c>
      <c r="C27" s="3894"/>
      <c r="D27" s="1891"/>
      <c r="E27" s="3902"/>
      <c r="F27" s="3886"/>
      <c r="G27" s="3887"/>
      <c r="H27" s="157"/>
      <c r="I27" s="3891"/>
      <c r="J27" s="3891"/>
      <c r="K27" s="3891"/>
      <c r="M27" s="875">
        <f>SUM(N27:Y27)</f>
        <v>13282.200000000003</v>
      </c>
      <c r="N27" s="882">
        <f>IF(N25&gt;0,N25+$M$24/12,$M$24/12)</f>
        <v>1231.8499999999999</v>
      </c>
      <c r="O27" s="882">
        <f t="shared" ref="O27:Y27" si="6">IF(O25&gt;0,O25+$M$24/12,$M$24/12)</f>
        <v>1231.8499999999999</v>
      </c>
      <c r="P27" s="882">
        <f t="shared" si="6"/>
        <v>1231.8499999999999</v>
      </c>
      <c r="Q27" s="882">
        <f t="shared" si="6"/>
        <v>1231.8499999999999</v>
      </c>
      <c r="R27" s="882">
        <f t="shared" si="6"/>
        <v>1231.8499999999999</v>
      </c>
      <c r="S27" s="882">
        <f t="shared" si="6"/>
        <v>1231.8499999999999</v>
      </c>
      <c r="T27" s="882">
        <f t="shared" si="6"/>
        <v>1231.8499999999999</v>
      </c>
      <c r="U27" s="882">
        <f t="shared" si="6"/>
        <v>1231.8499999999999</v>
      </c>
      <c r="V27" s="882">
        <f t="shared" si="6"/>
        <v>1231.8499999999999</v>
      </c>
      <c r="W27" s="882">
        <f t="shared" si="6"/>
        <v>731.85</v>
      </c>
      <c r="X27" s="882">
        <f t="shared" si="6"/>
        <v>731.85</v>
      </c>
      <c r="Y27" s="882">
        <f t="shared" si="6"/>
        <v>731.85</v>
      </c>
      <c r="Z27" s="1150"/>
    </row>
    <row r="28" spans="1:29" ht="20.55" customHeight="1" thickBot="1">
      <c r="A28" s="3"/>
      <c r="B28" s="1177" t="s">
        <v>94</v>
      </c>
      <c r="C28" s="172" t="s">
        <v>6</v>
      </c>
      <c r="D28" s="968"/>
      <c r="E28" s="186">
        <f>SUM(D22:D25)</f>
        <v>0</v>
      </c>
      <c r="F28" s="3886"/>
      <c r="G28" s="3887"/>
      <c r="H28" s="157"/>
      <c r="I28" s="3889" t="s">
        <v>998</v>
      </c>
      <c r="J28" s="3889"/>
      <c r="L28" s="3"/>
      <c r="M28" s="166"/>
      <c r="N28" s="14"/>
    </row>
    <row r="29" spans="1:29" ht="18.600000000000001" thickTop="1" thickBot="1">
      <c r="A29" s="3"/>
      <c r="B29" s="334" t="s">
        <v>120</v>
      </c>
      <c r="C29" s="14"/>
      <c r="D29" s="969"/>
      <c r="E29" s="1888" t="s">
        <v>2</v>
      </c>
      <c r="F29" s="3886"/>
      <c r="G29" s="3887"/>
      <c r="H29" s="157"/>
      <c r="I29" s="3889"/>
      <c r="J29" s="3889"/>
      <c r="N29" s="14"/>
    </row>
    <row r="30" spans="1:29" ht="20.25" customHeight="1" thickTop="1">
      <c r="C30" s="3873" t="s">
        <v>26</v>
      </c>
      <c r="D30" s="970"/>
      <c r="E30" s="3"/>
      <c r="G30" s="3888" t="s">
        <v>673</v>
      </c>
      <c r="H30" s="3888"/>
      <c r="I30" s="3890"/>
      <c r="J30" s="3890"/>
      <c r="N30" s="14"/>
    </row>
    <row r="31" spans="1:29" ht="20.25" customHeight="1">
      <c r="B31" s="337" t="s">
        <v>245</v>
      </c>
      <c r="C31" s="3874"/>
      <c r="D31" s="970"/>
      <c r="E31" s="2452" t="s">
        <v>1219</v>
      </c>
      <c r="G31" s="83"/>
      <c r="H31" s="157"/>
      <c r="I31" s="421" t="s">
        <v>122</v>
      </c>
      <c r="J31" s="107"/>
      <c r="K31" s="107"/>
      <c r="L31" s="422"/>
      <c r="M31" s="423"/>
    </row>
    <row r="32" spans="1:29" ht="20.25" customHeight="1">
      <c r="B32" s="958" t="str">
        <f>IF('3 Vorjahr'!A209="","",'3 Vorjahr'!A209)</f>
        <v>Zinserträge</v>
      </c>
      <c r="C32" s="1886" t="str">
        <f>IF('3 Vorjahr'!G209=0,"",'3 Vorjahr'!G209)</f>
        <v/>
      </c>
      <c r="D32" s="409"/>
      <c r="F32" s="3886" t="str">
        <f>IF(E41=0,"",E31)</f>
        <v/>
      </c>
      <c r="G32" s="3887"/>
      <c r="H32" s="157"/>
      <c r="I32" s="424" t="s">
        <v>123</v>
      </c>
      <c r="J32" s="14"/>
      <c r="K32" s="14"/>
      <c r="L32" s="14"/>
      <c r="M32" s="417"/>
    </row>
    <row r="33" spans="2:13" ht="20.25" customHeight="1">
      <c r="B33" s="958" t="str">
        <f>IF('3 Vorjahr'!A210="","",'3 Vorjahr'!A210)</f>
        <v>GewSt-Erstattung (oder andere Steuer)</v>
      </c>
      <c r="C33" s="1886" t="str">
        <f>IF('3 Vorjahr'!G210=0,"",'3 Vorjahr'!G210)</f>
        <v/>
      </c>
      <c r="D33" s="409"/>
      <c r="E33" s="2450" t="str">
        <f>IF(E41&gt;0,E34,"")</f>
        <v/>
      </c>
      <c r="F33" s="3886"/>
      <c r="G33" s="3887"/>
      <c r="H33" s="157"/>
      <c r="I33" s="188"/>
      <c r="J33" s="88"/>
      <c r="K33" s="91"/>
      <c r="L33" s="14"/>
      <c r="M33" s="417"/>
    </row>
    <row r="34" spans="2:13" ht="19.05" customHeight="1">
      <c r="B34" s="1178" t="str">
        <f>IF('3 Vorjahr'!A211="","",'3 Vorjahr'!A211)</f>
        <v>Sonstige Erträge unregelmäßig</v>
      </c>
      <c r="C34" s="1886" t="str">
        <f>IF('3 Vorjahr'!G211=0,"",'3 Vorjahr'!G211)</f>
        <v/>
      </c>
      <c r="D34" s="409"/>
      <c r="E34" s="2451" t="s">
        <v>1217</v>
      </c>
      <c r="F34" s="3886"/>
      <c r="G34" s="3887"/>
      <c r="H34" s="157"/>
      <c r="I34" s="418"/>
      <c r="J34" s="425"/>
      <c r="K34" s="425" t="s">
        <v>181</v>
      </c>
      <c r="L34" s="426"/>
      <c r="M34" s="419"/>
    </row>
    <row r="35" spans="2:13" ht="19.05" customHeight="1">
      <c r="B35" s="1178" t="str">
        <f>IF('3 Vorjahr'!A212="","",'3 Vorjahr'!A212)</f>
        <v xml:space="preserve">Versich.entschädigung, Schadenersatz </v>
      </c>
      <c r="C35" s="1886" t="str">
        <f>IF('3 Vorjahr'!G212=0,"",'3 Vorjahr'!G212)</f>
        <v/>
      </c>
      <c r="D35" s="409"/>
      <c r="E35" s="3918" t="str">
        <f>E22</f>
        <v>Die Hochrechnung basiert auf Daten aus</v>
      </c>
      <c r="F35" s="3886"/>
      <c r="G35" s="3887"/>
      <c r="H35" s="157"/>
      <c r="I35" s="14"/>
      <c r="J35" s="154"/>
      <c r="K35" s="154"/>
      <c r="L35" s="14"/>
      <c r="M35" s="14"/>
    </row>
    <row r="36" spans="2:13" ht="19.05" customHeight="1" thickBot="1">
      <c r="B36" s="1178" t="str">
        <f>IF('3 Vorjahr'!A213="","",'3 Vorjahr'!A213)</f>
        <v>Erlöse Sachanlageverkäufe</v>
      </c>
      <c r="C36" s="1886" t="str">
        <f>IF('3 Vorjahr'!G213=0,"",'3 Vorjahr'!G213)</f>
        <v/>
      </c>
      <c r="D36" s="409"/>
      <c r="E36" s="3918"/>
      <c r="F36" s="3886"/>
      <c r="G36" s="3887"/>
      <c r="H36" s="157"/>
      <c r="I36" s="87"/>
      <c r="J36" s="172"/>
      <c r="K36" s="172"/>
      <c r="L36" s="172" t="s">
        <v>714</v>
      </c>
      <c r="M36" s="1889">
        <f>SUM(M26,L34)</f>
        <v>13282.2</v>
      </c>
    </row>
    <row r="37" spans="2:13" ht="19.05" customHeight="1" thickTop="1">
      <c r="B37" s="1178" t="str">
        <f>IF('3 Vorjahr'!A214="","",'3 Vorjahr'!A214)</f>
        <v>Erhaltene Anzahlung</v>
      </c>
      <c r="C37" s="1886" t="str">
        <f>IF('3 Vorjahr'!G214=0,"",'3 Vorjahr'!G214)</f>
        <v/>
      </c>
      <c r="D37" s="409"/>
      <c r="E37" s="2479" t="str">
        <f>E23</f>
        <v>Oktober</v>
      </c>
      <c r="F37" s="3886"/>
      <c r="G37" s="3887"/>
      <c r="H37" s="157"/>
      <c r="I37" s="14"/>
      <c r="J37" s="154"/>
      <c r="K37" s="154"/>
      <c r="L37" s="14"/>
      <c r="M37" s="14"/>
    </row>
    <row r="38" spans="2:13" ht="19.05" customHeight="1">
      <c r="B38" s="1430" t="str">
        <f>IF('3 Vorjahr'!A215="","",'3 Vorjahr'!A215)</f>
        <v>Corona</v>
      </c>
      <c r="C38" s="1886">
        <f>IF('3 Vorjahr'!G215=0,"",'3 Vorjahr'!G215)</f>
        <v>1500</v>
      </c>
      <c r="D38" s="409"/>
      <c r="E38" s="2453"/>
      <c r="F38" s="3886"/>
      <c r="G38" s="3887"/>
      <c r="H38" s="157"/>
      <c r="I38" s="14"/>
      <c r="J38" s="154"/>
      <c r="K38" s="154"/>
      <c r="L38" s="14"/>
      <c r="M38" s="14"/>
    </row>
    <row r="39" spans="2:13" ht="19.05" customHeight="1">
      <c r="B39" s="1430"/>
      <c r="C39" s="1886" t="str">
        <f>IF('3 Vorjahr'!G216=0,"",'3 Vorjahr'!G216)</f>
        <v/>
      </c>
      <c r="D39" s="409"/>
      <c r="E39" s="1885"/>
      <c r="G39" s="83"/>
      <c r="H39" s="157"/>
      <c r="I39" s="14"/>
      <c r="J39" s="154"/>
      <c r="K39" s="154"/>
      <c r="L39" s="14"/>
      <c r="M39" s="14"/>
    </row>
    <row r="40" spans="2:13" ht="17.399999999999999">
      <c r="B40" s="1430"/>
      <c r="C40" s="1886" t="str">
        <f>IF('3 Vorjahr'!G217=0,"",'3 Vorjahr'!G217)</f>
        <v/>
      </c>
      <c r="D40" s="409"/>
      <c r="E40" s="1885"/>
      <c r="G40" s="83"/>
      <c r="H40" s="157"/>
      <c r="K40" s="154"/>
    </row>
    <row r="41" spans="2:13" ht="18.75" customHeight="1" thickBot="1">
      <c r="B41" s="1177" t="s">
        <v>94</v>
      </c>
      <c r="C41" s="1887" t="s">
        <v>6</v>
      </c>
      <c r="D41" s="1888"/>
      <c r="E41" s="1889">
        <f>SUM(D32:D40)</f>
        <v>0</v>
      </c>
      <c r="F41" s="1888" t="s">
        <v>2</v>
      </c>
      <c r="G41" s="83"/>
      <c r="H41" s="157"/>
    </row>
    <row r="42" spans="2:13" ht="18.75" customHeight="1" thickTop="1">
      <c r="B42" s="1176" t="s">
        <v>246</v>
      </c>
      <c r="C42" s="14"/>
      <c r="D42" s="970"/>
      <c r="E42" s="1278"/>
      <c r="F42" s="1277"/>
      <c r="G42" s="3888" t="s">
        <v>673</v>
      </c>
      <c r="H42" s="3888"/>
    </row>
    <row r="43" spans="2:13" ht="17.399999999999999">
      <c r="B43" s="219"/>
      <c r="C43" s="219"/>
      <c r="D43" s="970"/>
      <c r="E43" s="1278"/>
      <c r="F43" s="1278"/>
      <c r="G43" s="83"/>
      <c r="H43" s="157"/>
    </row>
    <row r="44" spans="2:13" ht="18.45" customHeight="1">
      <c r="B44" s="219" t="s">
        <v>187</v>
      </c>
      <c r="C44" s="219"/>
      <c r="D44" s="970"/>
      <c r="E44" s="2452" t="s">
        <v>1218</v>
      </c>
      <c r="G44" s="83"/>
      <c r="H44" s="157"/>
    </row>
    <row r="45" spans="2:13" ht="20.25" customHeight="1">
      <c r="B45" s="219"/>
      <c r="D45" s="970"/>
      <c r="G45" s="2454"/>
      <c r="H45" s="157"/>
    </row>
    <row r="46" spans="2:13" ht="20.25" customHeight="1">
      <c r="C46" s="1146" t="s">
        <v>26</v>
      </c>
      <c r="D46" s="970"/>
      <c r="G46" s="2454"/>
      <c r="H46" s="157"/>
    </row>
    <row r="47" spans="2:13" ht="20.25" customHeight="1" thickBot="1">
      <c r="B47" s="1175" t="str">
        <f>'3 Vorjahr'!A32</f>
        <v>Sonstige betrieb. Erlöse</v>
      </c>
      <c r="C47" s="1892">
        <f>'3 Vorjahr'!K32</f>
        <v>7400.4000000000005</v>
      </c>
      <c r="D47" s="1893"/>
      <c r="E47" s="1889">
        <f>E60</f>
        <v>7400.4</v>
      </c>
      <c r="F47" s="1888" t="s">
        <v>2</v>
      </c>
      <c r="G47" s="2454"/>
      <c r="H47" s="157"/>
    </row>
    <row r="48" spans="2:13" ht="21" customHeight="1">
      <c r="B48" s="2537" t="s">
        <v>1248</v>
      </c>
      <c r="C48" s="2536">
        <f>SUM(C49:C53)</f>
        <v>7400.4</v>
      </c>
      <c r="D48" s="2538"/>
      <c r="E48" s="3918" t="str">
        <f>E35</f>
        <v>Die Hochrechnung basiert auf Daten aus</v>
      </c>
      <c r="F48" s="2453"/>
      <c r="G48" s="2454"/>
      <c r="H48" s="157"/>
    </row>
    <row r="49" spans="2:8" ht="21" customHeight="1">
      <c r="B49" s="1174" t="str">
        <f>'3 Vorjahr'!A33</f>
        <v>Verrechn. sonstige Sachbezüge Kfz 19%</v>
      </c>
      <c r="C49" s="1886">
        <f>IF('3 Vorjahr'!C33=0,"",'3 Vorjahr'!C33/$G$15*12)</f>
        <v>5928</v>
      </c>
      <c r="D49" s="592">
        <v>5928</v>
      </c>
      <c r="E49" s="3918"/>
      <c r="F49" s="2453"/>
      <c r="G49" s="2454"/>
      <c r="H49" s="157"/>
    </row>
    <row r="50" spans="2:8" ht="21" customHeight="1">
      <c r="B50" s="967" t="str">
        <f>'3 Vorjahr'!A34</f>
        <v>Verwendung von Gegenst.(Kfz) 19%</v>
      </c>
      <c r="C50" s="1886">
        <f>IF('3 Vorjahr'!C34=0,"",'3 Vorjahr'!C34/$G$15*12)</f>
        <v>1472.4</v>
      </c>
      <c r="D50" s="592">
        <v>1472.4</v>
      </c>
      <c r="E50" s="2479" t="str">
        <f>E37</f>
        <v>Oktober</v>
      </c>
      <c r="F50" s="3886" t="str">
        <f>IF(E60=0,"",E44)</f>
        <v>Es ist nicht sinnvoll sonstige Erlöse in der Umsatzplanung und Preis-kalkulation mitzurechnen 
(siehe Eingabe Seite 18 
Spalte J Zeile 27).
 Sie senken den zu erreichenden Umsatz und auch die Preise in der Kalkulation</v>
      </c>
      <c r="G50" s="3887"/>
      <c r="H50" s="157"/>
    </row>
    <row r="51" spans="2:8" ht="21" customHeight="1">
      <c r="B51" s="967" t="str">
        <f>'3 Vorjahr'!A35</f>
        <v>Verwendung von Gegenst.(Kfz) ohne USt</v>
      </c>
      <c r="C51" s="1886" t="str">
        <f>IF('3 Vorjahr'!C35=0,"",'3 Vorjahr'!C35/$G$15*12)</f>
        <v/>
      </c>
      <c r="D51" s="409"/>
      <c r="E51" s="2451" t="s">
        <v>1217</v>
      </c>
      <c r="F51" s="3886"/>
      <c r="G51" s="3887"/>
      <c r="H51" s="157"/>
    </row>
    <row r="52" spans="2:8" ht="21" customHeight="1">
      <c r="B52" s="967" t="str">
        <f>'3 Vorjahr'!A36</f>
        <v>Verwendung von Gegenst.Telefon</v>
      </c>
      <c r="C52" s="1886" t="str">
        <f>IF('3 Vorjahr'!C36=0,"",'3 Vorjahr'!C36/$G$15*12)</f>
        <v/>
      </c>
      <c r="D52" s="409"/>
      <c r="F52" s="3886"/>
      <c r="G52" s="3887"/>
      <c r="H52" s="157"/>
    </row>
    <row r="53" spans="2:8" ht="21" customHeight="1" thickBot="1">
      <c r="B53" s="1276" t="str">
        <f>'3 Vorjahr'!A37</f>
        <v>Entnahme Gegenstände</v>
      </c>
      <c r="C53" s="1894" t="str">
        <f>IF('3 Vorjahr'!C37=0,"",'3 Vorjahr'!C37/$G$15*12)</f>
        <v/>
      </c>
      <c r="D53" s="1895"/>
      <c r="E53" s="1889">
        <f>SUM(D48:D53)</f>
        <v>7400.4</v>
      </c>
      <c r="F53" s="3886"/>
      <c r="G53" s="3887"/>
      <c r="H53" s="157"/>
    </row>
    <row r="54" spans="2:8" ht="21" customHeight="1">
      <c r="B54" s="2537" t="s">
        <v>1249</v>
      </c>
      <c r="C54" s="2536">
        <f>SUM(C55:C59)</f>
        <v>0</v>
      </c>
      <c r="D54" s="2535"/>
      <c r="E54" s="1885"/>
      <c r="F54" s="3886"/>
      <c r="G54" s="3887"/>
      <c r="H54" s="157"/>
    </row>
    <row r="55" spans="2:8" ht="21" customHeight="1">
      <c r="B55" s="967" t="str">
        <f>'3 Vorjahr'!A38</f>
        <v>Miete für z.b. Kosmetikraum</v>
      </c>
      <c r="C55" s="1886" t="str">
        <f>IF('3 Vorjahr'!C38=0,"",'3 Vorjahr'!C38/$G$15*12)</f>
        <v/>
      </c>
      <c r="D55" s="409"/>
      <c r="E55" s="1885"/>
      <c r="F55" s="3886"/>
      <c r="G55" s="3887"/>
      <c r="H55" s="157"/>
    </row>
    <row r="56" spans="2:8" ht="21" customHeight="1">
      <c r="B56" s="967" t="str">
        <f>'3 Vorjahr'!A39</f>
        <v>Stuhlmiete</v>
      </c>
      <c r="C56" s="1886" t="str">
        <f>IF('3 Vorjahr'!C39=0,"",'3 Vorjahr'!C39/$G$15*12)</f>
        <v/>
      </c>
      <c r="D56" s="409"/>
      <c r="E56" s="1885"/>
      <c r="H56" s="157"/>
    </row>
    <row r="57" spans="2:8" ht="21" customHeight="1">
      <c r="B57" s="967" t="str">
        <f>'3 Vorjahr'!A40</f>
        <v>weitere Erlöse (z.B. Webshop)</v>
      </c>
      <c r="C57" s="1886" t="str">
        <f>IF('3 Vorjahr'!C40=0,"",'3 Vorjahr'!C40/$G$15*12)</f>
        <v/>
      </c>
      <c r="D57" s="409"/>
      <c r="H57" s="157"/>
    </row>
    <row r="58" spans="2:8" ht="21" customHeight="1">
      <c r="B58" s="967" t="str">
        <f>'3 Vorjahr'!A41</f>
        <v>weitere Erlöse</v>
      </c>
      <c r="C58" s="1886" t="str">
        <f>IF('3 Vorjahr'!C41=0,"",'3 Vorjahr'!C41/$G$15*12)</f>
        <v/>
      </c>
      <c r="D58" s="409"/>
      <c r="H58" s="157"/>
    </row>
    <row r="59" spans="2:8" ht="15.6" thickBot="1">
      <c r="B59" s="1430"/>
      <c r="C59" s="1886"/>
      <c r="D59" s="409"/>
      <c r="E59" s="1889">
        <f>SUM(D54:D59)</f>
        <v>0</v>
      </c>
    </row>
    <row r="60" spans="2:8" ht="16.2" thickTop="1" thickBot="1">
      <c r="B60" s="1177" t="s">
        <v>94</v>
      </c>
      <c r="C60" s="1887" t="s">
        <v>6</v>
      </c>
      <c r="D60" s="1888"/>
      <c r="E60" s="1889">
        <f>E53+E59</f>
        <v>7400.4</v>
      </c>
      <c r="F60" s="1888" t="s">
        <v>2</v>
      </c>
    </row>
    <row r="61" spans="2:8" ht="15.6" thickTop="1">
      <c r="B61" s="1176" t="s">
        <v>713</v>
      </c>
      <c r="C61" s="14"/>
      <c r="D61" s="969"/>
    </row>
    <row r="62" spans="2:8">
      <c r="D62" s="970"/>
    </row>
    <row r="63" spans="2:8">
      <c r="D63" s="970"/>
    </row>
    <row r="64" spans="2:8">
      <c r="D64" s="970"/>
    </row>
    <row r="65" spans="4:4">
      <c r="D65" s="970"/>
    </row>
  </sheetData>
  <sheetProtection algorithmName="SHA-512" hashValue="ad60xxte/OCSQr2eVB+HTHdsGm0xMe6qL2g5WrGp7rNHrGbBx+5F7hQiY3TwVduXa7nGsTWPJkv7zx0LhpXXuw==" saltValue="tD/1UjBoXVtdfrw6se7oOw==" spinCount="100000" sheet="1" objects="1" scenarios="1"/>
  <customSheetViews>
    <customSheetView guid="{91EE9386-9500-473B-B86C-27DB8DF0BA46}" scale="110" showGridLines="0">
      <selection activeCell="D1" sqref="D1"/>
      <pageMargins left="0.25" right="0.25" top="0.75" bottom="0.75" header="0.3" footer="0.3"/>
      <pageSetup paperSize="9" orientation="landscape" r:id="rId1"/>
    </customSheetView>
    <customSheetView guid="{B8019777-F14C-4393-8CE3-CE0081D0CD28}" scale="110" showGridLines="0">
      <selection activeCell="D1" sqref="D1"/>
      <pageMargins left="0.25" right="0.25" top="0.75" bottom="0.75" header="0.3" footer="0.3"/>
      <pageSetup paperSize="9" orientation="landscape" r:id="rId2"/>
    </customSheetView>
  </customSheetViews>
  <mergeCells count="42">
    <mergeCell ref="G18:H18"/>
    <mergeCell ref="F50:G55"/>
    <mergeCell ref="N13:U14"/>
    <mergeCell ref="K14:K15"/>
    <mergeCell ref="L14:L15"/>
    <mergeCell ref="M14:M15"/>
    <mergeCell ref="G42:H42"/>
    <mergeCell ref="F32:G38"/>
    <mergeCell ref="E15:F15"/>
    <mergeCell ref="E13:F14"/>
    <mergeCell ref="E22:F22"/>
    <mergeCell ref="E35:E36"/>
    <mergeCell ref="E48:E49"/>
    <mergeCell ref="E20:G21"/>
    <mergeCell ref="C30:C31"/>
    <mergeCell ref="I2:I6"/>
    <mergeCell ref="J2:M6"/>
    <mergeCell ref="F2:G2"/>
    <mergeCell ref="F23:G29"/>
    <mergeCell ref="E3:G3"/>
    <mergeCell ref="G30:H30"/>
    <mergeCell ref="I28:J30"/>
    <mergeCell ref="I25:K27"/>
    <mergeCell ref="C10:C11"/>
    <mergeCell ref="C26:C27"/>
    <mergeCell ref="C20:C21"/>
    <mergeCell ref="B2:E2"/>
    <mergeCell ref="E25:E27"/>
    <mergeCell ref="E4:G4"/>
    <mergeCell ref="B20:B21"/>
    <mergeCell ref="I1:J1"/>
    <mergeCell ref="A1:H1"/>
    <mergeCell ref="I11:M12"/>
    <mergeCell ref="B10:B11"/>
    <mergeCell ref="D10:D11"/>
    <mergeCell ref="E7:G10"/>
    <mergeCell ref="B3:C3"/>
    <mergeCell ref="B4:C4"/>
    <mergeCell ref="B5:C5"/>
    <mergeCell ref="B6:C6"/>
    <mergeCell ref="E6:G6"/>
    <mergeCell ref="E5:G5"/>
  </mergeCells>
  <phoneticPr fontId="4" type="noConversion"/>
  <pageMargins left="0.25" right="0.25" top="0.75" bottom="0.75" header="0.3" footer="0.3"/>
  <pageSetup paperSize="9" orientation="landscape"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699"/>
  <sheetViews>
    <sheetView showGridLines="0" zoomScale="90" zoomScaleNormal="90" workbookViewId="0">
      <selection activeCell="B9" sqref="B9:D9"/>
    </sheetView>
  </sheetViews>
  <sheetFormatPr baseColWidth="10" defaultColWidth="11" defaultRowHeight="15"/>
  <cols>
    <col min="1" max="1" width="2.77734375" style="3" customWidth="1"/>
    <col min="2" max="2" width="44.5546875" style="3" customWidth="1"/>
    <col min="3" max="3" width="10.109375" style="3" customWidth="1"/>
    <col min="4" max="4" width="9.77734375" style="3" customWidth="1"/>
    <col min="5" max="5" width="8.21875" style="3" customWidth="1"/>
    <col min="6" max="6" width="10.5546875" style="3" customWidth="1"/>
    <col min="7" max="7" width="10" style="3" customWidth="1"/>
    <col min="8" max="8" width="8.77734375" style="3" customWidth="1"/>
    <col min="9" max="9" width="17.88671875" customWidth="1"/>
    <col min="10" max="10" width="22.5546875" customWidth="1"/>
    <col min="24" max="16384" width="11" style="3"/>
  </cols>
  <sheetData>
    <row r="1" spans="1:23" ht="22.5" customHeight="1">
      <c r="A1" s="1"/>
      <c r="B1" s="2441" t="s">
        <v>925</v>
      </c>
      <c r="C1" s="131" t="e">
        <f>'2a Chefeingaben'!#REF!</f>
        <v>#REF!</v>
      </c>
      <c r="G1" s="3403"/>
      <c r="H1" s="3403"/>
      <c r="I1" s="3403"/>
      <c r="J1" s="3"/>
      <c r="K1" s="3"/>
      <c r="L1" s="3"/>
      <c r="M1" s="3"/>
      <c r="N1" s="3"/>
      <c r="O1" s="3"/>
      <c r="P1" s="3"/>
      <c r="Q1" s="3"/>
      <c r="R1" s="3"/>
      <c r="S1" s="3"/>
      <c r="T1" s="3"/>
      <c r="U1" s="3"/>
      <c r="V1" s="3"/>
      <c r="W1" s="3"/>
    </row>
    <row r="2" spans="1:23" ht="57.75" customHeight="1">
      <c r="A2" s="1"/>
      <c r="B2" s="3552" t="s">
        <v>1201</v>
      </c>
      <c r="C2" s="3552"/>
      <c r="D2" s="3552"/>
      <c r="E2" s="3552"/>
      <c r="F2" s="3552"/>
      <c r="G2" s="3403"/>
      <c r="H2" s="3403"/>
      <c r="I2" s="3403"/>
      <c r="J2" s="3"/>
      <c r="K2" s="3"/>
      <c r="L2" s="3"/>
      <c r="M2" s="3"/>
      <c r="N2" s="3"/>
      <c r="O2" s="3"/>
      <c r="P2" s="3"/>
      <c r="Q2" s="3"/>
      <c r="R2" s="3"/>
      <c r="S2" s="3"/>
      <c r="T2" s="3"/>
      <c r="U2" s="3"/>
      <c r="V2" s="3"/>
      <c r="W2" s="3"/>
    </row>
    <row r="3" spans="1:23" ht="15" customHeight="1">
      <c r="A3" s="2"/>
      <c r="B3" s="219" t="s">
        <v>184</v>
      </c>
      <c r="C3" s="218"/>
      <c r="D3" s="218"/>
      <c r="H3" s="582"/>
      <c r="U3" s="3"/>
      <c r="V3" s="3"/>
      <c r="W3" s="3"/>
    </row>
    <row r="4" spans="1:23" ht="29.25" customHeight="1">
      <c r="A4" s="5"/>
      <c r="B4" s="3939" t="str">
        <f>IF(D6="keine Angabe","Wenn Sie keine Vorjahreswerte eingeben haben, können Sie hier die Vorjahreswerte  als Vergleich eingeben","Die Vorjahreswerte sind eingeben, Sie brauchen nur in Zelle C 8 eingeben")</f>
        <v>Die Vorjahreswerte sind eingeben, Sie brauchen nur in Zelle C 8 eingeben</v>
      </c>
      <c r="C4" s="3939"/>
      <c r="D4" s="593" t="s">
        <v>26</v>
      </c>
      <c r="H4" s="582"/>
      <c r="U4" s="3"/>
      <c r="V4" s="3"/>
      <c r="W4" s="3"/>
    </row>
    <row r="5" spans="1:23" ht="20.25" customHeight="1">
      <c r="A5" s="5"/>
      <c r="B5" s="591" t="s">
        <v>185</v>
      </c>
      <c r="C5" s="735"/>
      <c r="D5" s="1546">
        <f>IF('3 Vorjahr'!K14="","keine Angabe",IF('3 Vorjahr'!K14=0,"keine Angabe",'3 Vorjahr'!K14))</f>
        <v>401467.82400000002</v>
      </c>
      <c r="H5" s="582"/>
      <c r="I5" s="3"/>
      <c r="J5" s="2609" t="s">
        <v>1202</v>
      </c>
      <c r="K5" s="2610"/>
      <c r="L5" s="2610"/>
      <c r="M5" s="2610"/>
      <c r="N5" s="2610"/>
      <c r="O5" s="2610"/>
      <c r="P5" s="2610"/>
      <c r="Q5" s="2610"/>
      <c r="R5" s="2610"/>
      <c r="S5" s="2610"/>
      <c r="T5" s="1351"/>
      <c r="U5" s="3"/>
      <c r="V5" s="3"/>
      <c r="W5" s="3"/>
    </row>
    <row r="6" spans="1:23" ht="20.25" customHeight="1">
      <c r="A6" s="5"/>
      <c r="B6" s="220" t="s">
        <v>427</v>
      </c>
      <c r="C6" s="736"/>
      <c r="D6" s="1546">
        <f>IF('3 Vorjahr'!K15="","keine Angabe",IF('3 Vorjahr'!K15=0,"keine Angabe",'3 Vorjahr'!K15))</f>
        <v>39607.032000000007</v>
      </c>
      <c r="H6" s="582"/>
      <c r="I6" s="3"/>
      <c r="J6" s="351" t="s">
        <v>1222</v>
      </c>
      <c r="K6" s="3"/>
      <c r="L6" s="3"/>
      <c r="M6" s="3"/>
      <c r="N6" s="3"/>
      <c r="O6" s="3"/>
      <c r="P6" s="3"/>
      <c r="Q6" s="3"/>
      <c r="R6" s="3"/>
      <c r="S6" s="3"/>
      <c r="T6" s="1352"/>
      <c r="U6" s="3"/>
      <c r="V6" s="3"/>
      <c r="W6" s="3"/>
    </row>
    <row r="7" spans="1:23" ht="20.25" customHeight="1" thickBot="1">
      <c r="A7" s="1353">
        <f>IF(C7="",0,C7)</f>
        <v>9.8655557512374905</v>
      </c>
      <c r="B7" s="221" t="s">
        <v>182</v>
      </c>
      <c r="C7" s="1903">
        <f>IF(C5="",D7,C6/C5*100)</f>
        <v>9.8655557512374905</v>
      </c>
      <c r="D7" s="594">
        <f>IF(D6="keine Angabe","",D6/D5*100)</f>
        <v>9.8655557512374905</v>
      </c>
      <c r="E7" s="267">
        <f>IF(C8="",C7,C8)</f>
        <v>10.5</v>
      </c>
      <c r="H7" s="2"/>
      <c r="I7" s="3"/>
      <c r="J7" s="183"/>
      <c r="K7" s="3"/>
      <c r="L7" s="3"/>
      <c r="M7" s="3"/>
      <c r="N7" s="3"/>
      <c r="O7" s="3"/>
      <c r="P7" s="3"/>
      <c r="Q7" s="3"/>
      <c r="R7" s="3"/>
      <c r="S7" s="3"/>
      <c r="T7" s="1352"/>
      <c r="U7" s="3"/>
      <c r="V7" s="3"/>
      <c r="W7" s="3"/>
    </row>
    <row r="8" spans="1:23" ht="53.1" customHeight="1" thickBot="1">
      <c r="A8" s="5"/>
      <c r="B8" s="1835" t="s">
        <v>1050</v>
      </c>
      <c r="C8" s="743">
        <v>10.5</v>
      </c>
      <c r="D8" s="3940" t="str">
        <f>IF(C8="","Wenn Sie hier keinen Wert eingeben, wird der Vor-jahreswert übernommen. Ohne Vorjahreswert wird 12% angenommen","")</f>
        <v/>
      </c>
      <c r="E8" s="3788"/>
      <c r="F8" s="384"/>
      <c r="G8" s="384"/>
      <c r="H8" s="583"/>
      <c r="I8" s="3"/>
      <c r="J8" s="2611" t="s">
        <v>1165</v>
      </c>
      <c r="K8" s="2268"/>
      <c r="L8" s="34"/>
      <c r="N8" s="34"/>
      <c r="O8" s="34"/>
      <c r="P8" s="34"/>
      <c r="Q8" s="34"/>
      <c r="R8" s="34"/>
      <c r="S8" s="34"/>
      <c r="T8" s="753"/>
      <c r="U8" s="3"/>
      <c r="V8" s="3"/>
      <c r="W8" s="3"/>
    </row>
    <row r="9" spans="1:23" ht="30.6" customHeight="1">
      <c r="A9" s="5"/>
      <c r="B9" s="3941" t="str">
        <f>IF(C8="","",IF(C8&gt;A7,"",IF(C8&lt;(A7-0.5),"Wenn Sie den WE deutlich senken wollen, sollten Sie einen genauen Plan dazu haben, wie Sie das machen wollen!","")))</f>
        <v/>
      </c>
      <c r="C9" s="3941"/>
      <c r="D9" s="3941"/>
      <c r="E9" s="384"/>
      <c r="F9" s="587">
        <f>IF(D14=0,"",IF('16a Verkaufsplanung'!D4="","",'16a Verkaufsplanung'!D4-'16a Verkaufsplanung'!D5))</f>
        <v>379378.44</v>
      </c>
      <c r="G9" s="587"/>
      <c r="H9" s="583"/>
      <c r="I9" s="3"/>
      <c r="J9" s="183"/>
      <c r="K9" s="34"/>
      <c r="L9" s="34"/>
      <c r="M9" s="2612" t="s">
        <v>1192</v>
      </c>
      <c r="N9" s="2613"/>
      <c r="O9" s="2613"/>
      <c r="P9" s="2613"/>
      <c r="Q9" s="2613"/>
      <c r="R9" s="2613"/>
      <c r="S9" s="34"/>
      <c r="T9" s="753"/>
      <c r="U9" s="34"/>
      <c r="V9" s="34"/>
      <c r="W9" s="3"/>
    </row>
    <row r="10" spans="1:23" ht="31.5" customHeight="1" thickBot="1">
      <c r="A10" s="5"/>
      <c r="B10" s="1027"/>
      <c r="C10" s="1027"/>
      <c r="D10" s="1027"/>
      <c r="H10" s="583"/>
      <c r="I10" s="3"/>
      <c r="J10" s="183"/>
      <c r="K10" s="3934" t="s">
        <v>1191</v>
      </c>
      <c r="L10" s="34"/>
      <c r="M10" s="2614" t="s">
        <v>1193</v>
      </c>
      <c r="N10" s="2427"/>
      <c r="O10" s="2427"/>
      <c r="P10" s="2427"/>
      <c r="Q10" s="2427"/>
      <c r="R10" s="2427"/>
      <c r="S10" s="34"/>
      <c r="T10" s="753"/>
      <c r="U10" s="34"/>
      <c r="V10" s="34"/>
      <c r="W10" s="3"/>
    </row>
    <row r="11" spans="1:23" ht="31.5" customHeight="1" thickBot="1">
      <c r="A11" s="5"/>
      <c r="B11" s="3937" t="s">
        <v>878</v>
      </c>
      <c r="C11" s="3938"/>
      <c r="D11" s="3944" t="str">
        <f>IF('16a Verkaufsplanung'!E5=0,"Sie haben keinen Verkaufs-umsatz eingegebent, es wird 4% angenommen","")</f>
        <v/>
      </c>
      <c r="E11" s="3945"/>
      <c r="F11" s="3942" t="str">
        <f>IF('17 Chef-Ums.-Entn. od. GmbHgew.'!C43="","Die neue Planung erscheint hier nach Engabe der Privatentnahmen","Neue Planung von Seite 18 mit Aufteilung Wareneinsatz in DL + VK")</f>
        <v>Neue Planung von Seite 18 mit Aufteilung Wareneinsatz in DL + VK</v>
      </c>
      <c r="G11" s="3943"/>
      <c r="H11" s="1349"/>
      <c r="I11" s="3"/>
      <c r="J11" s="183"/>
      <c r="K11" s="3935"/>
      <c r="L11" s="428"/>
      <c r="M11" s="3"/>
      <c r="N11" s="3"/>
      <c r="O11" s="3"/>
      <c r="P11" s="3"/>
      <c r="Q11" s="3"/>
      <c r="R11" s="3"/>
      <c r="S11" s="34"/>
      <c r="T11" s="753"/>
      <c r="U11" s="34"/>
      <c r="V11" s="34"/>
      <c r="W11" s="3"/>
    </row>
    <row r="12" spans="1:23" ht="24.75" customHeight="1">
      <c r="A12" s="2"/>
      <c r="B12" s="1633"/>
      <c r="C12" s="1627" t="s">
        <v>61</v>
      </c>
      <c r="D12" s="1627" t="s">
        <v>975</v>
      </c>
      <c r="E12" s="1630" t="s">
        <v>974</v>
      </c>
      <c r="F12" s="1629" t="str">
        <f>IF('17 Chef-Ums.-Entn. od. GmbHgew.'!J2=0,"","in %")</f>
        <v>in %</v>
      </c>
      <c r="G12" s="1630" t="str">
        <f>IF('17 Chef-Ums.-Entn. od. GmbHgew.'!J2=0,"","Waren-einsatz €")</f>
        <v>Waren-einsatz €</v>
      </c>
      <c r="H12" s="1350"/>
      <c r="I12" s="3"/>
      <c r="J12" s="3932" t="s">
        <v>1197</v>
      </c>
      <c r="K12" s="2435" t="str">
        <f>IF('3 Vorjahr'!Y52="","",'3 Vorjahr'!Y52)</f>
        <v>Wareneingang Verkauf</v>
      </c>
      <c r="L12" s="3936" t="str">
        <f>IF('3 Vorjahr'!Z52="","",'3 Vorjahr'!Z52)</f>
        <v/>
      </c>
      <c r="M12" s="2432" t="str">
        <f>IF('3 Vorjahr'!AA52="","",'3 Vorjahr'!AA52)</f>
        <v/>
      </c>
      <c r="N12" s="2433" t="str">
        <f>IF('3 Vorjahr'!AB52="","",'3 Vorjahr'!AB52)</f>
        <v>Name WE  --&gt;</v>
      </c>
      <c r="O12" s="2434" t="str">
        <f>IF('3 Vorjahr'!AC52="","",'3 Vorjahr'!AC52)</f>
        <v/>
      </c>
      <c r="P12" s="2434" t="str">
        <f>IF('3 Vorjahr'!AD52="","",'3 Vorjahr'!AD52)</f>
        <v/>
      </c>
      <c r="Q12" s="2434" t="str">
        <f>IF('3 Vorjahr'!AE52="","",'3 Vorjahr'!AE52)</f>
        <v/>
      </c>
      <c r="R12" s="2434" t="str">
        <f>IF('3 Vorjahr'!AF52="","",'3 Vorjahr'!AF52)</f>
        <v/>
      </c>
      <c r="S12" s="2434" t="str">
        <f>IF('3 Vorjahr'!AG52="","",'3 Vorjahr'!AG52)</f>
        <v/>
      </c>
      <c r="T12" s="2615" t="str">
        <f>IF('3 Vorjahr'!AH52="","",'3 Vorjahr'!AH52)</f>
        <v/>
      </c>
      <c r="U12" s="34"/>
      <c r="V12" s="34"/>
      <c r="W12" s="3"/>
    </row>
    <row r="13" spans="1:23" ht="23.25" customHeight="1" thickBot="1">
      <c r="A13" s="5"/>
      <c r="B13" s="1628" t="s">
        <v>437</v>
      </c>
      <c r="C13" s="1625">
        <f>IF('16a Verkaufsplanung'!D4="","",'16a Verkaufsplanung'!D4)</f>
        <v>401467.82400000002</v>
      </c>
      <c r="D13" s="1626">
        <f>IF(D6="keine Angabe",C6,D6)</f>
        <v>39607.032000000007</v>
      </c>
      <c r="E13" s="599">
        <f>IF(C7="","",C7/100)</f>
        <v>9.8655557512374911E-2</v>
      </c>
      <c r="F13" s="1631">
        <f>IF('17 Chef-Ums.-Entn. od. GmbHgew.'!J2=0,"",'18 Zielumsatz Planungsjahr'!I12/100)</f>
        <v>0.105</v>
      </c>
      <c r="G13" s="596">
        <f>IF('17 Chef-Ums.-Entn. od. GmbHgew.'!J2=0,"",'18 Zielumsatz Planungsjahr'!G12)</f>
        <v>53028.854350558657</v>
      </c>
      <c r="H13" s="1350"/>
      <c r="I13" s="3"/>
      <c r="J13" s="3933"/>
      <c r="K13" s="2424" t="str">
        <f>IF('3 Vorjahr'!Y53="","",'3 Vorjahr'!Y53)</f>
        <v/>
      </c>
      <c r="L13" s="3929" t="str">
        <f>IF('3 Vorjahr'!Z53="","",'3 Vorjahr'!Z53)</f>
        <v/>
      </c>
      <c r="M13" s="2416" t="str">
        <f>IF('3 Vorjahr'!AA53="","",'3 Vorjahr'!AA53)</f>
        <v/>
      </c>
      <c r="N13" s="2438" t="str">
        <f>IF('3 Vorjahr'!AB53="","",'3 Vorjahr'!AB53)</f>
        <v/>
      </c>
      <c r="O13" s="2415" t="str">
        <f>IF('3 Vorjahr'!AC53="","",'3 Vorjahr'!AC53)</f>
        <v/>
      </c>
      <c r="P13" s="2415" t="str">
        <f>IF('3 Vorjahr'!AD53="","",'3 Vorjahr'!AD53)</f>
        <v/>
      </c>
      <c r="Q13" s="2415" t="str">
        <f>IF('3 Vorjahr'!AE53="","",'3 Vorjahr'!AE53)</f>
        <v/>
      </c>
      <c r="R13" s="2415" t="str">
        <f>IF('3 Vorjahr'!AF53="","",'3 Vorjahr'!AF53)</f>
        <v/>
      </c>
      <c r="S13" s="2415" t="str">
        <f>IF('3 Vorjahr'!AG53="","",'3 Vorjahr'!AG53)</f>
        <v/>
      </c>
      <c r="T13" s="2616" t="str">
        <f>IF('3 Vorjahr'!AH53="","",'3 Vorjahr'!AH53)</f>
        <v/>
      </c>
      <c r="U13" s="34"/>
      <c r="V13" s="34"/>
      <c r="W13" s="3"/>
    </row>
    <row r="14" spans="1:23" ht="25.05" customHeight="1">
      <c r="A14" s="5"/>
      <c r="B14" s="1623" t="s">
        <v>973</v>
      </c>
      <c r="C14" s="1547">
        <f>IF('16a Verkaufsplanung'!D4="","",IF('16a Verkaufsplanung'!D5="",C13*4%,'16a Verkaufsplanung'!D5))</f>
        <v>22089.383999999998</v>
      </c>
      <c r="D14" s="1548">
        <f>IF(C14="keine Angabe","",(C14*E14))</f>
        <v>11044.691999999999</v>
      </c>
      <c r="E14" s="598">
        <v>0.5</v>
      </c>
      <c r="F14" s="1631">
        <f>IF('17 Chef-Ums.-Entn. od. GmbHgew.'!J2=0,"",E14)</f>
        <v>0.5</v>
      </c>
      <c r="G14" s="596">
        <f>IF('17 Chef-Ums.-Entn. od. GmbHgew.'!J2=0,"",'18 Zielumsatz Planungsjahr'!G10*F14)</f>
        <v>13893.952531709177</v>
      </c>
      <c r="H14" s="1350"/>
      <c r="I14" s="3"/>
      <c r="J14" s="3933"/>
      <c r="K14" s="2425" t="str">
        <f>IF('3 Vorjahr'!Y35="","",'3 Vorjahr'!Y35)</f>
        <v>Erlöse Verkauf</v>
      </c>
      <c r="L14" s="3925" t="str">
        <f>IF('3 Vorjahr'!Z35="","",'3 Vorjahr'!Z35)</f>
        <v/>
      </c>
      <c r="M14" s="2418" t="str">
        <f>IF('3 Vorjahr'!AA35="","",'3 Vorjahr'!AA35)</f>
        <v/>
      </c>
      <c r="N14" s="2419" t="str">
        <f>IF('3 Vorjahr'!AB35="","",'3 Vorjahr'!AB35)</f>
        <v>Name Erlös  --&gt;</v>
      </c>
      <c r="O14" s="2420" t="str">
        <f>IF('3 Vorjahr'!AC35="","",'3 Vorjahr'!AC35)</f>
        <v/>
      </c>
      <c r="P14" s="2420" t="str">
        <f>IF('3 Vorjahr'!AD35="","",'3 Vorjahr'!AD35)</f>
        <v/>
      </c>
      <c r="Q14" s="2420" t="str">
        <f>IF('3 Vorjahr'!AE35="","",'3 Vorjahr'!AE35)</f>
        <v/>
      </c>
      <c r="R14" s="2420" t="str">
        <f>IF('3 Vorjahr'!AF35="","",'3 Vorjahr'!AF35)</f>
        <v/>
      </c>
      <c r="S14" s="2420" t="str">
        <f>IF('3 Vorjahr'!AG35="","",'3 Vorjahr'!AG35)</f>
        <v/>
      </c>
      <c r="T14" s="2617" t="str">
        <f>IF('3 Vorjahr'!AH35="","",'3 Vorjahr'!AH35)</f>
        <v/>
      </c>
      <c r="U14" s="34"/>
      <c r="V14" s="34"/>
      <c r="W14" s="3"/>
    </row>
    <row r="15" spans="1:23" ht="22.05" customHeight="1" thickBot="1">
      <c r="A15" s="5"/>
      <c r="B15" s="1624" t="s">
        <v>438</v>
      </c>
      <c r="C15" s="1549">
        <f>IF(C13="keine Angabe","",C13-C14)</f>
        <v>379378.44</v>
      </c>
      <c r="D15" s="1550">
        <f>IF(D14="","",IF(D6="keine Angabe",C6-D14,D6-D14))</f>
        <v>28562.340000000007</v>
      </c>
      <c r="E15" s="599">
        <f>IF(C15="","",IF(D15="","",D15/F9))</f>
        <v>7.5287198713769835E-2</v>
      </c>
      <c r="F15" s="1632">
        <f>IF(G15="","",G15/'18 Zielumsatz Planungsjahr'!G9)</f>
        <v>8.2001047608293187E-2</v>
      </c>
      <c r="G15" s="597">
        <f>IF('17 Chef-Ums.-Entn. od. GmbHgew.'!J2=0,"",G13-G14)</f>
        <v>39134.901818849481</v>
      </c>
      <c r="H15" s="1350"/>
      <c r="I15" s="3"/>
      <c r="J15" s="3933"/>
      <c r="K15" s="2426" t="str">
        <f>IF('3 Vorjahr'!Y36="","",'3 Vorjahr'!Y36)</f>
        <v/>
      </c>
      <c r="L15" s="3927" t="str">
        <f>IF('3 Vorjahr'!Z36="","",'3 Vorjahr'!Z36)</f>
        <v/>
      </c>
      <c r="M15" s="2422" t="str">
        <f>IF('3 Vorjahr'!AA36="","",'3 Vorjahr'!AA36)</f>
        <v/>
      </c>
      <c r="N15" s="2439" t="str">
        <f>IF('3 Vorjahr'!AB36="","",'3 Vorjahr'!AB36)</f>
        <v/>
      </c>
      <c r="O15" s="2421" t="str">
        <f>IF('3 Vorjahr'!AC36="","",'3 Vorjahr'!AC36)</f>
        <v/>
      </c>
      <c r="P15" s="2421" t="str">
        <f>IF('3 Vorjahr'!AD36="","",'3 Vorjahr'!AD36)</f>
        <v/>
      </c>
      <c r="Q15" s="2421" t="str">
        <f>IF('3 Vorjahr'!AE36="","",'3 Vorjahr'!AE36)</f>
        <v/>
      </c>
      <c r="R15" s="2421" t="str">
        <f>IF('3 Vorjahr'!AF36="","",'3 Vorjahr'!AF36)</f>
        <v/>
      </c>
      <c r="S15" s="2421" t="str">
        <f>IF('3 Vorjahr'!AG36="","",'3 Vorjahr'!AG36)</f>
        <v/>
      </c>
      <c r="T15" s="2618" t="str">
        <f>IF('3 Vorjahr'!AH36="","",'3 Vorjahr'!AH36)</f>
        <v/>
      </c>
      <c r="U15" s="34"/>
      <c r="V15" s="34"/>
      <c r="W15" s="3"/>
    </row>
    <row r="16" spans="1:23" ht="22.95" customHeight="1" thickBot="1">
      <c r="A16" s="5"/>
      <c r="B16" s="1634" t="s">
        <v>865</v>
      </c>
      <c r="C16" s="1638"/>
      <c r="D16" s="1635">
        <f>IF(D14="","",'16a Verkaufsplanung'!E5-D14)</f>
        <v>11044.691999999999</v>
      </c>
      <c r="E16" s="1635"/>
      <c r="F16" s="1637"/>
      <c r="G16" s="1636">
        <f>IF('17 Chef-Ums.-Entn. od. GmbHgew.'!J2=0,"",'18 Zielumsatz Planungsjahr'!BK10-G14)</f>
        <v>13893.952531709177</v>
      </c>
      <c r="I16" s="3"/>
      <c r="J16" s="2619" t="s">
        <v>1199</v>
      </c>
      <c r="K16" s="2437" t="str">
        <f>IF(SUM(K13,K15)=0,"",K13/K15)</f>
        <v/>
      </c>
      <c r="L16" s="2436"/>
      <c r="M16" s="2437" t="str">
        <f>IF(SUM(M13,M15)=0,"",M13/M15)</f>
        <v/>
      </c>
      <c r="N16" s="2440"/>
      <c r="O16" s="2437" t="str">
        <f t="shared" ref="O16:T16" si="0">IF(SUM(O13,O15)=0,"",O13/O15)</f>
        <v/>
      </c>
      <c r="P16" s="2437" t="str">
        <f t="shared" si="0"/>
        <v/>
      </c>
      <c r="Q16" s="2437" t="str">
        <f t="shared" si="0"/>
        <v/>
      </c>
      <c r="R16" s="2437" t="str">
        <f t="shared" si="0"/>
        <v/>
      </c>
      <c r="S16" s="2437" t="str">
        <f t="shared" si="0"/>
        <v/>
      </c>
      <c r="T16" s="2620" t="str">
        <f t="shared" si="0"/>
        <v/>
      </c>
      <c r="U16" s="34"/>
      <c r="V16" s="34"/>
      <c r="W16" s="3"/>
    </row>
    <row r="17" spans="1:27" ht="28.5" customHeight="1">
      <c r="A17" s="5"/>
      <c r="D17" s="34"/>
      <c r="F17" s="34"/>
      <c r="G17" s="34"/>
      <c r="H17" s="34"/>
      <c r="I17" s="34"/>
      <c r="J17" s="3932" t="s">
        <v>1198</v>
      </c>
      <c r="K17" s="2435" t="str">
        <f>IF('3 Vorjahr'!Y54="","",'3 Vorjahr'!Y54)</f>
        <v>Perücken</v>
      </c>
      <c r="L17" s="3936" t="str">
        <f>IF('3 Vorjahr'!Z54="","",'3 Vorjahr'!Z54)</f>
        <v/>
      </c>
      <c r="M17" s="2432" t="str">
        <f>IF('3 Vorjahr'!AA54="","",'3 Vorjahr'!AA54)</f>
        <v/>
      </c>
      <c r="N17" s="2433" t="str">
        <f>IF('3 Vorjahr'!AB54="","",'3 Vorjahr'!AB54)</f>
        <v>Name WE  --&gt;</v>
      </c>
      <c r="O17" s="2434" t="str">
        <f>IF('3 Vorjahr'!AC54="","",'3 Vorjahr'!AC54)</f>
        <v/>
      </c>
      <c r="P17" s="2434" t="str">
        <f>IF('3 Vorjahr'!AD54="","",'3 Vorjahr'!AD54)</f>
        <v/>
      </c>
      <c r="Q17" s="2434" t="str">
        <f>IF('3 Vorjahr'!AE54="","",'3 Vorjahr'!AE54)</f>
        <v/>
      </c>
      <c r="R17" s="2434" t="str">
        <f>IF('3 Vorjahr'!AF54="","",'3 Vorjahr'!AF54)</f>
        <v/>
      </c>
      <c r="S17" s="2434" t="str">
        <f>IF('3 Vorjahr'!AG54="","",'3 Vorjahr'!AG54)</f>
        <v/>
      </c>
      <c r="T17" s="2615" t="str">
        <f>IF('3 Vorjahr'!AH54="","",'3 Vorjahr'!AH54)</f>
        <v/>
      </c>
      <c r="U17" s="34"/>
      <c r="V17" s="34"/>
      <c r="W17" s="3"/>
    </row>
    <row r="18" spans="1:27" ht="24" customHeight="1" thickBot="1">
      <c r="A18" s="5"/>
      <c r="C18" s="2268"/>
      <c r="D18" s="34"/>
      <c r="I18" s="3"/>
      <c r="J18" s="3933"/>
      <c r="K18" s="2424" t="str">
        <f>IF('3 Vorjahr'!Y55="","",'3 Vorjahr'!Y55)</f>
        <v/>
      </c>
      <c r="L18" s="3929" t="str">
        <f>IF('3 Vorjahr'!Z55="","",'3 Vorjahr'!Z55)</f>
        <v/>
      </c>
      <c r="M18" s="2416" t="str">
        <f>IF('3 Vorjahr'!AA55="","",'3 Vorjahr'!AA55)</f>
        <v/>
      </c>
      <c r="N18" s="2438" t="str">
        <f>IF('3 Vorjahr'!AB55="","",'3 Vorjahr'!AB55)</f>
        <v/>
      </c>
      <c r="O18" s="2415" t="str">
        <f>IF('3 Vorjahr'!AC55="","",'3 Vorjahr'!AC55)</f>
        <v/>
      </c>
      <c r="P18" s="2415" t="str">
        <f>IF('3 Vorjahr'!AD55="","",'3 Vorjahr'!AD55)</f>
        <v/>
      </c>
      <c r="Q18" s="2415" t="str">
        <f>IF('3 Vorjahr'!AE55="","",'3 Vorjahr'!AE55)</f>
        <v/>
      </c>
      <c r="R18" s="2415" t="str">
        <f>IF('3 Vorjahr'!AF55="","",'3 Vorjahr'!AF55)</f>
        <v/>
      </c>
      <c r="S18" s="2415" t="str">
        <f>IF('3 Vorjahr'!AG55="","",'3 Vorjahr'!AG55)</f>
        <v/>
      </c>
      <c r="T18" s="2616" t="str">
        <f>IF('3 Vorjahr'!AH55="","",'3 Vorjahr'!AH55)</f>
        <v/>
      </c>
      <c r="U18" s="34"/>
      <c r="V18" s="34"/>
      <c r="W18" s="34"/>
      <c r="X18" s="34"/>
      <c r="Y18" s="34"/>
      <c r="Z18" s="34"/>
      <c r="AA18" s="34"/>
    </row>
    <row r="19" spans="1:27" ht="24" customHeight="1">
      <c r="A19" s="5"/>
      <c r="J19" s="3933"/>
      <c r="K19" s="2425" t="str">
        <f>IF('3 Vorjahr'!Y23="","",'3 Vorjahr'!Y23)</f>
        <v>Erlöse Perücken</v>
      </c>
      <c r="L19" s="3925" t="str">
        <f>IF('3 Vorjahr'!Z23="","",'3 Vorjahr'!Z23)</f>
        <v/>
      </c>
      <c r="M19" s="2418" t="str">
        <f>IF('3 Vorjahr'!AA23="","",'3 Vorjahr'!AA23)</f>
        <v/>
      </c>
      <c r="N19" s="2419" t="str">
        <f>IF('3 Vorjahr'!AB23="","",'3 Vorjahr'!AB23)</f>
        <v>Name Erlös  --&gt;</v>
      </c>
      <c r="O19" s="2420" t="str">
        <f>IF('3 Vorjahr'!AC23="","",'3 Vorjahr'!AC23)</f>
        <v/>
      </c>
      <c r="P19" s="2420" t="str">
        <f>IF('3 Vorjahr'!AD23="","",'3 Vorjahr'!AD23)</f>
        <v/>
      </c>
      <c r="Q19" s="2420" t="str">
        <f>IF('3 Vorjahr'!AE23="","",'3 Vorjahr'!AE23)</f>
        <v/>
      </c>
      <c r="R19" s="2420" t="str">
        <f>IF('3 Vorjahr'!AF23="","",'3 Vorjahr'!AF23)</f>
        <v/>
      </c>
      <c r="S19" s="2420" t="str">
        <f>IF('3 Vorjahr'!AG23="","",'3 Vorjahr'!AG23)</f>
        <v/>
      </c>
      <c r="T19" s="2617" t="str">
        <f>IF('3 Vorjahr'!AH23="","",'3 Vorjahr'!AH23)</f>
        <v/>
      </c>
      <c r="U19" s="34"/>
      <c r="V19" s="34"/>
      <c r="W19" s="34"/>
      <c r="X19" s="34"/>
      <c r="Y19" s="34"/>
      <c r="Z19" s="34"/>
      <c r="AA19" s="34"/>
    </row>
    <row r="20" spans="1:27" ht="24" customHeight="1" thickBot="1">
      <c r="A20" s="5"/>
      <c r="J20" s="3933"/>
      <c r="K20" s="2426" t="str">
        <f>IF('3 Vorjahr'!Y24="","",'3 Vorjahr'!Y24)</f>
        <v/>
      </c>
      <c r="L20" s="3927" t="str">
        <f>IF('3 Vorjahr'!Z24="","",'3 Vorjahr'!Z24)</f>
        <v/>
      </c>
      <c r="M20" s="2422" t="str">
        <f>IF('3 Vorjahr'!AA24="","",'3 Vorjahr'!AA24)</f>
        <v/>
      </c>
      <c r="N20" s="2439" t="str">
        <f>IF('3 Vorjahr'!AB24="","",'3 Vorjahr'!AB24)</f>
        <v/>
      </c>
      <c r="O20" s="2421" t="str">
        <f>IF('3 Vorjahr'!AC24="","",'3 Vorjahr'!AC24)</f>
        <v/>
      </c>
      <c r="P20" s="2421" t="str">
        <f>IF('3 Vorjahr'!AD24="","",'3 Vorjahr'!AD24)</f>
        <v/>
      </c>
      <c r="Q20" s="2421" t="str">
        <f>IF('3 Vorjahr'!AE24="","",'3 Vorjahr'!AE24)</f>
        <v/>
      </c>
      <c r="R20" s="2421" t="str">
        <f>IF('3 Vorjahr'!AF24="","",'3 Vorjahr'!AF24)</f>
        <v/>
      </c>
      <c r="S20" s="2421" t="str">
        <f>IF('3 Vorjahr'!AG24="","",'3 Vorjahr'!AG24)</f>
        <v/>
      </c>
      <c r="T20" s="2618" t="str">
        <f>IF('3 Vorjahr'!AH24="","",'3 Vorjahr'!AH24)</f>
        <v/>
      </c>
      <c r="U20" s="34"/>
      <c r="V20" s="34"/>
      <c r="W20" s="34"/>
      <c r="X20" s="34"/>
      <c r="Y20" s="34"/>
      <c r="Z20" s="34"/>
      <c r="AA20" s="34"/>
    </row>
    <row r="21" spans="1:27" ht="24" customHeight="1" thickBot="1">
      <c r="A21" s="5"/>
      <c r="J21" s="2619" t="s">
        <v>1199</v>
      </c>
      <c r="K21" s="2437" t="str">
        <f>IF(SUM(K18,K20)=0,"",K18/K20)</f>
        <v/>
      </c>
      <c r="L21" s="2436"/>
      <c r="M21" s="2437" t="str">
        <f>IF(SUM(M18,M20)=0,"",M18/M20)</f>
        <v/>
      </c>
      <c r="N21" s="2440"/>
      <c r="O21" s="2437" t="str">
        <f t="shared" ref="O21" si="1">IF(SUM(O18,O20)=0,"",O18/O20)</f>
        <v/>
      </c>
      <c r="P21" s="2437" t="str">
        <f t="shared" ref="P21" si="2">IF(SUM(P18,P20)=0,"",P18/P20)</f>
        <v/>
      </c>
      <c r="Q21" s="2437" t="str">
        <f t="shared" ref="Q21" si="3">IF(SUM(Q18,Q20)=0,"",Q18/Q20)</f>
        <v/>
      </c>
      <c r="R21" s="2437" t="str">
        <f t="shared" ref="R21" si="4">IF(SUM(R18,R20)=0,"",R18/R20)</f>
        <v/>
      </c>
      <c r="S21" s="2437" t="str">
        <f t="shared" ref="S21" si="5">IF(SUM(S18,S20)=0,"",S18/S20)</f>
        <v/>
      </c>
      <c r="T21" s="2620" t="str">
        <f t="shared" ref="T21" si="6">IF(SUM(T18,T20)=0,"",T18/T20)</f>
        <v/>
      </c>
      <c r="U21" s="34"/>
      <c r="V21" s="34"/>
      <c r="W21" s="34"/>
      <c r="X21" s="34"/>
      <c r="Y21" s="34"/>
      <c r="Z21" s="34"/>
      <c r="AA21" s="34"/>
    </row>
    <row r="22" spans="1:27" ht="21" customHeight="1">
      <c r="A22" s="5"/>
      <c r="J22" s="3932" t="s">
        <v>1196</v>
      </c>
      <c r="K22" s="2435" t="str">
        <f>IF('3 Vorjahr'!Y56="","",'3 Vorjahr'!Y56)</f>
        <v xml:space="preserve">EU-Erwerb </v>
      </c>
      <c r="L22" s="3936" t="str">
        <f>IF('3 Vorjahr'!Z56="","",'3 Vorjahr'!Z56)</f>
        <v/>
      </c>
      <c r="M22" s="2432" t="str">
        <f>IF('3 Vorjahr'!AA56="","",'3 Vorjahr'!AA56)</f>
        <v/>
      </c>
      <c r="N22" s="2433" t="str">
        <f>IF('3 Vorjahr'!AB56="","",'3 Vorjahr'!AB56)</f>
        <v>Name WE  --&gt;</v>
      </c>
      <c r="O22" s="2434" t="str">
        <f>IF('3 Vorjahr'!AC56="","",'3 Vorjahr'!AC56)</f>
        <v/>
      </c>
      <c r="P22" s="2434" t="str">
        <f>IF('3 Vorjahr'!AD56="","",'3 Vorjahr'!AD56)</f>
        <v/>
      </c>
      <c r="Q22" s="2434" t="str">
        <f>IF('3 Vorjahr'!AE56="","",'3 Vorjahr'!AE56)</f>
        <v/>
      </c>
      <c r="R22" s="2434" t="str">
        <f>IF('3 Vorjahr'!AF56="","",'3 Vorjahr'!AF56)</f>
        <v/>
      </c>
      <c r="S22" s="2434" t="str">
        <f>IF('3 Vorjahr'!AG56="","",'3 Vorjahr'!AG56)</f>
        <v/>
      </c>
      <c r="T22" s="2615" t="str">
        <f>IF('3 Vorjahr'!AH56="","",'3 Vorjahr'!AH56)</f>
        <v/>
      </c>
      <c r="U22" s="34"/>
      <c r="V22" s="34"/>
      <c r="W22" s="34"/>
      <c r="X22" s="34"/>
      <c r="Y22" s="34"/>
      <c r="Z22" s="34"/>
      <c r="AA22" s="34"/>
    </row>
    <row r="23" spans="1:27" ht="21.45" customHeight="1" thickBot="1">
      <c r="A23" s="5"/>
      <c r="J23" s="3933"/>
      <c r="K23" s="2424" t="str">
        <f>IF('3 Vorjahr'!Y57="","",'3 Vorjahr'!Y57)</f>
        <v/>
      </c>
      <c r="L23" s="3929" t="str">
        <f>IF('3 Vorjahr'!Z57="","",'3 Vorjahr'!Z57)</f>
        <v/>
      </c>
      <c r="M23" s="2416" t="str">
        <f>IF('3 Vorjahr'!AA57="","",'3 Vorjahr'!AA57)</f>
        <v/>
      </c>
      <c r="N23" s="2438" t="str">
        <f>IF('3 Vorjahr'!AB57="","",'3 Vorjahr'!AB57)</f>
        <v/>
      </c>
      <c r="O23" s="2415" t="str">
        <f>IF('3 Vorjahr'!AC57="","",'3 Vorjahr'!AC57)</f>
        <v/>
      </c>
      <c r="P23" s="2415" t="str">
        <f>IF('3 Vorjahr'!AD57="","",'3 Vorjahr'!AD57)</f>
        <v/>
      </c>
      <c r="Q23" s="2415" t="str">
        <f>IF('3 Vorjahr'!AE57="","",'3 Vorjahr'!AE57)</f>
        <v/>
      </c>
      <c r="R23" s="2415" t="str">
        <f>IF('3 Vorjahr'!AF57="","",'3 Vorjahr'!AF57)</f>
        <v/>
      </c>
      <c r="S23" s="2415" t="str">
        <f>IF('3 Vorjahr'!AG57="","",'3 Vorjahr'!AG57)</f>
        <v/>
      </c>
      <c r="T23" s="2616" t="str">
        <f>IF('3 Vorjahr'!AH57="","",'3 Vorjahr'!AH57)</f>
        <v/>
      </c>
      <c r="U23" s="34"/>
      <c r="V23" s="34"/>
      <c r="W23" s="34"/>
      <c r="X23" s="34"/>
      <c r="Y23" s="34"/>
      <c r="Z23" s="34"/>
      <c r="AA23" s="34"/>
    </row>
    <row r="24" spans="1:27" ht="21.45" customHeight="1">
      <c r="A24" s="5"/>
      <c r="J24" s="3933"/>
      <c r="K24" s="2425" t="str">
        <f>IF('3 Vorjahr'!Y25="","",'3 Vorjahr'!Y25)</f>
        <v>Erlöse Haar-Verlängerung</v>
      </c>
      <c r="L24" s="3925" t="str">
        <f>IF('3 Vorjahr'!Z25="","",'3 Vorjahr'!Z25)</f>
        <v/>
      </c>
      <c r="M24" s="2418" t="str">
        <f>IF('3 Vorjahr'!AA25="","",'3 Vorjahr'!AA25)</f>
        <v/>
      </c>
      <c r="N24" s="2419" t="str">
        <f>IF('3 Vorjahr'!AB25="","",'3 Vorjahr'!AB25)</f>
        <v>Name Erlös  --&gt;</v>
      </c>
      <c r="O24" s="2420" t="str">
        <f>IF('3 Vorjahr'!AC25="","",'3 Vorjahr'!AC25)</f>
        <v/>
      </c>
      <c r="P24" s="2420" t="str">
        <f>IF('3 Vorjahr'!AD25="","",'3 Vorjahr'!AD25)</f>
        <v/>
      </c>
      <c r="Q24" s="2420" t="str">
        <f>IF('3 Vorjahr'!AE25="","",'3 Vorjahr'!AE25)</f>
        <v/>
      </c>
      <c r="R24" s="2420" t="str">
        <f>IF('3 Vorjahr'!AF25="","",'3 Vorjahr'!AF25)</f>
        <v/>
      </c>
      <c r="S24" s="2420" t="str">
        <f>IF('3 Vorjahr'!AG25="","",'3 Vorjahr'!AG25)</f>
        <v/>
      </c>
      <c r="T24" s="2617" t="str">
        <f>IF('3 Vorjahr'!AH25="","",'3 Vorjahr'!AH25)</f>
        <v/>
      </c>
      <c r="U24" s="34"/>
      <c r="V24" s="34"/>
      <c r="W24" s="34"/>
      <c r="X24" s="34"/>
      <c r="Y24" s="34"/>
      <c r="Z24" s="34"/>
      <c r="AA24" s="34"/>
    </row>
    <row r="25" spans="1:27" ht="21.45" customHeight="1" thickBot="1">
      <c r="A25" s="5"/>
      <c r="J25" s="3933"/>
      <c r="K25" s="2426" t="str">
        <f>IF('3 Vorjahr'!Y26="","",'3 Vorjahr'!Y26)</f>
        <v/>
      </c>
      <c r="L25" s="3927" t="str">
        <f>IF('3 Vorjahr'!Z26="","",'3 Vorjahr'!Z26)</f>
        <v/>
      </c>
      <c r="M25" s="2422" t="str">
        <f>IF('3 Vorjahr'!AA26="","",'3 Vorjahr'!AA26)</f>
        <v/>
      </c>
      <c r="N25" s="2439" t="str">
        <f>IF('3 Vorjahr'!AB26="","",'3 Vorjahr'!AB26)</f>
        <v/>
      </c>
      <c r="O25" s="2421" t="str">
        <f>IF('3 Vorjahr'!AC26="","",'3 Vorjahr'!AC26)</f>
        <v/>
      </c>
      <c r="P25" s="2421" t="str">
        <f>IF('3 Vorjahr'!AD26="","",'3 Vorjahr'!AD26)</f>
        <v/>
      </c>
      <c r="Q25" s="2421" t="str">
        <f>IF('3 Vorjahr'!AE26="","",'3 Vorjahr'!AE26)</f>
        <v/>
      </c>
      <c r="R25" s="2421" t="str">
        <f>IF('3 Vorjahr'!AF26="","",'3 Vorjahr'!AF26)</f>
        <v/>
      </c>
      <c r="S25" s="2421" t="str">
        <f>IF('3 Vorjahr'!AG26="","",'3 Vorjahr'!AG26)</f>
        <v/>
      </c>
      <c r="T25" s="2618" t="str">
        <f>IF('3 Vorjahr'!AH26="","",'3 Vorjahr'!AH26)</f>
        <v/>
      </c>
      <c r="U25" s="34"/>
      <c r="V25" s="34"/>
      <c r="W25" s="34"/>
      <c r="X25" s="34"/>
      <c r="Y25" s="34"/>
      <c r="Z25" s="34"/>
      <c r="AA25" s="34"/>
    </row>
    <row r="26" spans="1:27" ht="21.45" customHeight="1" thickBot="1">
      <c r="A26" s="5"/>
      <c r="J26" s="2619" t="s">
        <v>1199</v>
      </c>
      <c r="K26" s="2437" t="str">
        <f>IF(SUM(K23,K25)=0,"",K23/K25)</f>
        <v/>
      </c>
      <c r="L26" s="2436"/>
      <c r="M26" s="2437" t="str">
        <f>IF(SUM(M23,M25)=0,"",M23/M25)</f>
        <v/>
      </c>
      <c r="N26" s="2440"/>
      <c r="O26" s="2437" t="str">
        <f t="shared" ref="O26" si="7">IF(SUM(O23,O25)=0,"",O23/O25)</f>
        <v/>
      </c>
      <c r="P26" s="2437" t="str">
        <f t="shared" ref="P26" si="8">IF(SUM(P23,P25)=0,"",P23/P25)</f>
        <v/>
      </c>
      <c r="Q26" s="2437" t="str">
        <f t="shared" ref="Q26" si="9">IF(SUM(Q23,Q25)=0,"",Q23/Q25)</f>
        <v/>
      </c>
      <c r="R26" s="2437" t="str">
        <f t="shared" ref="R26" si="10">IF(SUM(R23,R25)=0,"",R23/R25)</f>
        <v/>
      </c>
      <c r="S26" s="2437" t="str">
        <f t="shared" ref="S26" si="11">IF(SUM(S23,S25)=0,"",S23/S25)</f>
        <v/>
      </c>
      <c r="T26" s="2620" t="str">
        <f t="shared" ref="T26" si="12">IF(SUM(T23,T25)=0,"",T23/T25)</f>
        <v/>
      </c>
      <c r="U26" s="34"/>
      <c r="V26" s="34"/>
      <c r="W26" s="34"/>
      <c r="X26" s="34"/>
      <c r="Y26" s="34"/>
      <c r="Z26" s="34"/>
      <c r="AA26" s="34"/>
    </row>
    <row r="27" spans="1:27" ht="21.45" customHeight="1">
      <c r="A27" s="5"/>
      <c r="J27" s="3932" t="s">
        <v>1214</v>
      </c>
      <c r="K27" s="2428" t="str">
        <f>IF('3 Vorjahr'!Y58="","",'3 Vorjahr'!Y58)</f>
        <v>ggf. Webshop</v>
      </c>
      <c r="L27" s="3928" t="str">
        <f>IF('3 Vorjahr'!Z58="","",'3 Vorjahr'!Z58)</f>
        <v/>
      </c>
      <c r="M27" s="2429" t="str">
        <f>IF('3 Vorjahr'!AA58="","",'3 Vorjahr'!AA58)</f>
        <v/>
      </c>
      <c r="N27" s="2430" t="str">
        <f>IF('3 Vorjahr'!AB58="","",'3 Vorjahr'!AB58)</f>
        <v>Name WE  --&gt;</v>
      </c>
      <c r="O27" s="2431" t="str">
        <f>IF('3 Vorjahr'!AC58="","",'3 Vorjahr'!AC58)</f>
        <v/>
      </c>
      <c r="P27" s="2431" t="str">
        <f>IF('3 Vorjahr'!AD58="","",'3 Vorjahr'!AD58)</f>
        <v/>
      </c>
      <c r="Q27" s="2431" t="str">
        <f>IF('3 Vorjahr'!AE58="","",'3 Vorjahr'!AE58)</f>
        <v/>
      </c>
      <c r="R27" s="2431" t="str">
        <f>IF('3 Vorjahr'!AF58="","",'3 Vorjahr'!AF58)</f>
        <v/>
      </c>
      <c r="S27" s="2431" t="str">
        <f>IF('3 Vorjahr'!AG58="","",'3 Vorjahr'!AG58)</f>
        <v/>
      </c>
      <c r="T27" s="2621" t="str">
        <f>IF('3 Vorjahr'!AH58="","",'3 Vorjahr'!AH58)</f>
        <v/>
      </c>
      <c r="U27" s="34"/>
      <c r="V27" s="34"/>
      <c r="W27" s="34"/>
      <c r="X27" s="34"/>
      <c r="Y27" s="34"/>
      <c r="Z27" s="34"/>
      <c r="AA27" s="34"/>
    </row>
    <row r="28" spans="1:27" ht="21.45" customHeight="1" thickBot="1">
      <c r="A28" s="5"/>
      <c r="J28" s="3933"/>
      <c r="K28" s="2424" t="str">
        <f>IF('3 Vorjahr'!Y59="","",'3 Vorjahr'!Y59)</f>
        <v/>
      </c>
      <c r="L28" s="3929" t="str">
        <f>IF('3 Vorjahr'!Z59="","",'3 Vorjahr'!Z59)</f>
        <v/>
      </c>
      <c r="M28" s="2416" t="str">
        <f>IF('3 Vorjahr'!AA59="","",'3 Vorjahr'!AA59)</f>
        <v/>
      </c>
      <c r="N28" s="2438" t="str">
        <f>IF('3 Vorjahr'!AB59="","",'3 Vorjahr'!AB59)</f>
        <v/>
      </c>
      <c r="O28" s="2415" t="str">
        <f>IF('3 Vorjahr'!AC59="","",'3 Vorjahr'!AC59)</f>
        <v/>
      </c>
      <c r="P28" s="2415" t="str">
        <f>IF('3 Vorjahr'!AD59="","",'3 Vorjahr'!AD59)</f>
        <v/>
      </c>
      <c r="Q28" s="2415" t="str">
        <f>IF('3 Vorjahr'!AE59="","",'3 Vorjahr'!AE59)</f>
        <v/>
      </c>
      <c r="R28" s="2415" t="str">
        <f>IF('3 Vorjahr'!AF59="","",'3 Vorjahr'!AF59)</f>
        <v/>
      </c>
      <c r="S28" s="2415" t="str">
        <f>IF('3 Vorjahr'!AG59="","",'3 Vorjahr'!AG59)</f>
        <v/>
      </c>
      <c r="T28" s="2616" t="str">
        <f>IF('3 Vorjahr'!AH59="","",'3 Vorjahr'!AH59)</f>
        <v/>
      </c>
      <c r="U28" s="34"/>
      <c r="V28" s="34"/>
      <c r="W28" s="34"/>
      <c r="X28" s="34"/>
      <c r="Y28" s="34"/>
      <c r="Z28" s="34"/>
      <c r="AA28" s="34"/>
    </row>
    <row r="29" spans="1:27" ht="21.45" customHeight="1">
      <c r="A29" s="5"/>
      <c r="J29" s="3933"/>
      <c r="K29" s="2417" t="str">
        <f>IF('3 Vorjahr'!Y27="","",'3 Vorjahr'!Y27)</f>
        <v>ggf. Webshop</v>
      </c>
      <c r="L29" s="3925" t="str">
        <f>IF('3 Vorjahr'!Z27="","",'3 Vorjahr'!Z27)</f>
        <v/>
      </c>
      <c r="M29" s="2418" t="str">
        <f>IF('3 Vorjahr'!AA27="","",'3 Vorjahr'!AA27)</f>
        <v/>
      </c>
      <c r="N29" s="2419" t="str">
        <f>IF('3 Vorjahr'!AB27="","",'3 Vorjahr'!AB27)</f>
        <v>Name Erlös  --&gt;</v>
      </c>
      <c r="O29" s="2420" t="str">
        <f>IF('3 Vorjahr'!AC27="","",'3 Vorjahr'!AC27)</f>
        <v/>
      </c>
      <c r="P29" s="2420" t="str">
        <f>IF('3 Vorjahr'!AD27="","",'3 Vorjahr'!AD27)</f>
        <v/>
      </c>
      <c r="Q29" s="2420" t="str">
        <f>IF('3 Vorjahr'!AE27="","",'3 Vorjahr'!AE27)</f>
        <v/>
      </c>
      <c r="R29" s="2420" t="str">
        <f>IF('3 Vorjahr'!AF27="","",'3 Vorjahr'!AF27)</f>
        <v/>
      </c>
      <c r="S29" s="2420" t="str">
        <f>IF('3 Vorjahr'!AG27="","",'3 Vorjahr'!AG27)</f>
        <v/>
      </c>
      <c r="T29" s="2617" t="str">
        <f>IF('3 Vorjahr'!AH27="","",'3 Vorjahr'!AH27)</f>
        <v/>
      </c>
      <c r="U29" s="34"/>
      <c r="V29" s="34"/>
      <c r="W29" s="34"/>
      <c r="X29" s="34"/>
      <c r="Y29" s="34"/>
      <c r="Z29" s="34"/>
      <c r="AA29" s="34"/>
    </row>
    <row r="30" spans="1:27" ht="21.45" customHeight="1" thickBot="1">
      <c r="A30" s="5"/>
      <c r="J30" s="3933"/>
      <c r="K30" s="2421" t="str">
        <f>IF('3 Vorjahr'!Y28="","",'3 Vorjahr'!Y28)</f>
        <v/>
      </c>
      <c r="L30" s="3927" t="str">
        <f>IF('3 Vorjahr'!Z28="","",'3 Vorjahr'!Z28)</f>
        <v/>
      </c>
      <c r="M30" s="2422" t="str">
        <f>IF('3 Vorjahr'!AA28="","",'3 Vorjahr'!AA28)</f>
        <v/>
      </c>
      <c r="N30" s="2439" t="str">
        <f>IF('3 Vorjahr'!AB28="","",'3 Vorjahr'!AB28)</f>
        <v/>
      </c>
      <c r="O30" s="2421" t="str">
        <f>IF('3 Vorjahr'!AC28="","",'3 Vorjahr'!AC28)</f>
        <v/>
      </c>
      <c r="P30" s="2421" t="str">
        <f>IF('3 Vorjahr'!AD28="","",'3 Vorjahr'!AD28)</f>
        <v/>
      </c>
      <c r="Q30" s="2421" t="str">
        <f>IF('3 Vorjahr'!AE28="","",'3 Vorjahr'!AE28)</f>
        <v/>
      </c>
      <c r="R30" s="2421" t="str">
        <f>IF('3 Vorjahr'!AF28="","",'3 Vorjahr'!AF28)</f>
        <v/>
      </c>
      <c r="S30" s="2421" t="str">
        <f>IF('3 Vorjahr'!AG28="","",'3 Vorjahr'!AG28)</f>
        <v/>
      </c>
      <c r="T30" s="2618" t="str">
        <f>IF('3 Vorjahr'!AH28="","",'3 Vorjahr'!AH28)</f>
        <v/>
      </c>
      <c r="U30" s="34"/>
      <c r="V30" s="34"/>
      <c r="W30" s="34"/>
      <c r="X30" s="34"/>
      <c r="Y30" s="34"/>
      <c r="Z30" s="34"/>
      <c r="AA30" s="34"/>
    </row>
    <row r="31" spans="1:27" ht="21.45" customHeight="1" thickBot="1">
      <c r="A31" s="5"/>
      <c r="J31" s="2619" t="s">
        <v>1199</v>
      </c>
      <c r="K31" s="2437" t="str">
        <f>IF(SUM(K28,K30)=0,"",K28/K30)</f>
        <v/>
      </c>
      <c r="L31" s="2436"/>
      <c r="M31" s="2437" t="str">
        <f>IF(SUM(M28,M30)=0,"",M28/M30)</f>
        <v/>
      </c>
      <c r="N31" s="2440"/>
      <c r="O31" s="2437" t="str">
        <f t="shared" ref="O31:T31" si="13">IF(SUM(O28,O30)=0,"",O28/O30)</f>
        <v/>
      </c>
      <c r="P31" s="2437" t="str">
        <f t="shared" si="13"/>
        <v/>
      </c>
      <c r="Q31" s="2437" t="str">
        <f t="shared" si="13"/>
        <v/>
      </c>
      <c r="R31" s="2437" t="str">
        <f t="shared" si="13"/>
        <v/>
      </c>
      <c r="S31" s="2437" t="str">
        <f t="shared" si="13"/>
        <v/>
      </c>
      <c r="T31" s="2620" t="str">
        <f t="shared" si="13"/>
        <v/>
      </c>
      <c r="U31" s="34"/>
      <c r="V31" s="34"/>
      <c r="W31" s="34"/>
      <c r="X31" s="34"/>
      <c r="Y31" s="34"/>
      <c r="Z31" s="34"/>
      <c r="AA31" s="34"/>
    </row>
    <row r="32" spans="1:27" ht="21.45" customHeight="1">
      <c r="A32" s="5"/>
      <c r="J32" s="3930" t="s">
        <v>1200</v>
      </c>
      <c r="K32" s="2423" t="str">
        <f>IF('3 Vorjahr'!Y60="","",'3 Vorjahr'!Y60)</f>
        <v>Erhaltene Skonti</v>
      </c>
      <c r="L32" s="3928" t="str">
        <f>IF('3 Vorjahr'!Z60="","",'3 Vorjahr'!Z60)</f>
        <v/>
      </c>
      <c r="M32" s="2412" t="str">
        <f>IF('3 Vorjahr'!AA60="","",'3 Vorjahr'!AA60)</f>
        <v/>
      </c>
      <c r="N32" s="2413" t="str">
        <f>IF('3 Vorjahr'!AB60="","",'3 Vorjahr'!AB60)</f>
        <v>Name WE  --&gt;</v>
      </c>
      <c r="O32" s="2414" t="str">
        <f>IF('3 Vorjahr'!AC60="","",'3 Vorjahr'!AC60)</f>
        <v/>
      </c>
      <c r="P32" s="2414" t="str">
        <f>IF('3 Vorjahr'!AD60="","",'3 Vorjahr'!AD60)</f>
        <v/>
      </c>
      <c r="Q32" s="2414" t="str">
        <f>IF('3 Vorjahr'!AE60="","",'3 Vorjahr'!AE60)</f>
        <v/>
      </c>
      <c r="R32" s="2414" t="str">
        <f>IF('3 Vorjahr'!AF60="","",'3 Vorjahr'!AF60)</f>
        <v/>
      </c>
      <c r="S32" s="2414" t="str">
        <f>IF('3 Vorjahr'!AG60="","",'3 Vorjahr'!AG60)</f>
        <v/>
      </c>
      <c r="T32" s="2622" t="str">
        <f>IF('3 Vorjahr'!AH60="","",'3 Vorjahr'!AH60)</f>
        <v/>
      </c>
      <c r="U32" s="34"/>
      <c r="V32" s="34"/>
      <c r="W32" s="34"/>
      <c r="X32" s="34"/>
      <c r="Y32" s="34"/>
      <c r="Z32" s="34"/>
      <c r="AA32" s="34"/>
    </row>
    <row r="33" spans="1:27" ht="21.45" customHeight="1" thickBot="1">
      <c r="A33" s="5"/>
      <c r="J33" s="3931"/>
      <c r="K33" s="2424" t="str">
        <f>IF('3 Vorjahr'!Y61="","",'3 Vorjahr'!Y61)</f>
        <v/>
      </c>
      <c r="L33" s="3929" t="str">
        <f>IF('3 Vorjahr'!Z61="","",'3 Vorjahr'!Z61)</f>
        <v/>
      </c>
      <c r="M33" s="2416" t="str">
        <f>IF('3 Vorjahr'!AA61="","",'3 Vorjahr'!AA61)</f>
        <v/>
      </c>
      <c r="N33" s="2438" t="str">
        <f>IF('3 Vorjahr'!AB61="","",'3 Vorjahr'!AB61)</f>
        <v/>
      </c>
      <c r="O33" s="2415" t="str">
        <f>IF('3 Vorjahr'!AC61="","",'3 Vorjahr'!AC61)</f>
        <v/>
      </c>
      <c r="P33" s="2415" t="str">
        <f>IF('3 Vorjahr'!AD61="","",'3 Vorjahr'!AD61)</f>
        <v/>
      </c>
      <c r="Q33" s="2415" t="str">
        <f>IF('3 Vorjahr'!AE61="","",'3 Vorjahr'!AE61)</f>
        <v/>
      </c>
      <c r="R33" s="2415" t="str">
        <f>IF('3 Vorjahr'!AF61="","",'3 Vorjahr'!AF61)</f>
        <v/>
      </c>
      <c r="S33" s="2415" t="str">
        <f>IF('3 Vorjahr'!AG61="","",'3 Vorjahr'!AG61)</f>
        <v/>
      </c>
      <c r="T33" s="2616" t="str">
        <f>IF('3 Vorjahr'!AH61="","",'3 Vorjahr'!AH61)</f>
        <v/>
      </c>
      <c r="U33" s="34"/>
      <c r="V33" s="34"/>
      <c r="W33" s="34"/>
      <c r="X33" s="34"/>
      <c r="Y33" s="34"/>
      <c r="Z33" s="34"/>
      <c r="AA33" s="34"/>
    </row>
    <row r="34" spans="1:27" ht="21.45" customHeight="1">
      <c r="A34" s="5"/>
      <c r="J34" s="3931"/>
      <c r="K34" s="2423" t="str">
        <f>IF('3 Vorjahr'!Y62="","",'3 Vorjahr'!Y62)</f>
        <v>Erhaltene Boni</v>
      </c>
      <c r="L34" s="3928" t="str">
        <f>IF('3 Vorjahr'!Z62="","",'3 Vorjahr'!Z62)</f>
        <v/>
      </c>
      <c r="M34" s="2412" t="str">
        <f>IF('3 Vorjahr'!AA62="","",'3 Vorjahr'!AA62)</f>
        <v/>
      </c>
      <c r="N34" s="2413" t="str">
        <f>IF('3 Vorjahr'!AB62="","",'3 Vorjahr'!AB62)</f>
        <v>Name WE  --&gt;</v>
      </c>
      <c r="O34" s="2414" t="str">
        <f>IF('3 Vorjahr'!AC62="","",'3 Vorjahr'!AC62)</f>
        <v/>
      </c>
      <c r="P34" s="2414" t="str">
        <f>IF('3 Vorjahr'!AD62="","",'3 Vorjahr'!AD62)</f>
        <v/>
      </c>
      <c r="Q34" s="2414" t="str">
        <f>IF('3 Vorjahr'!AE62="","",'3 Vorjahr'!AE62)</f>
        <v/>
      </c>
      <c r="R34" s="2414" t="str">
        <f>IF('3 Vorjahr'!AF62="","",'3 Vorjahr'!AF62)</f>
        <v/>
      </c>
      <c r="S34" s="2414" t="str">
        <f>IF('3 Vorjahr'!AG62="","",'3 Vorjahr'!AG62)</f>
        <v/>
      </c>
      <c r="T34" s="2622" t="str">
        <f>IF('3 Vorjahr'!AH62="","",'3 Vorjahr'!AH62)</f>
        <v/>
      </c>
      <c r="U34" s="34"/>
      <c r="V34" s="34"/>
      <c r="W34" s="34"/>
      <c r="X34" s="34"/>
      <c r="Y34" s="34"/>
      <c r="Z34" s="34"/>
      <c r="AA34" s="34"/>
    </row>
    <row r="35" spans="1:27" ht="21.45" customHeight="1" thickBot="1">
      <c r="A35" s="5"/>
      <c r="J35" s="3931"/>
      <c r="K35" s="2424">
        <f>IF('3 Vorjahr'!Y63="","",'3 Vorjahr'!Y63)</f>
        <v>2064.62</v>
      </c>
      <c r="L35" s="3929" t="str">
        <f>IF('3 Vorjahr'!Z63="","",'3 Vorjahr'!Z63)</f>
        <v/>
      </c>
      <c r="M35" s="2416">
        <f>IF('3 Vorjahr'!AA63="","",'3 Vorjahr'!AA63)</f>
        <v>0</v>
      </c>
      <c r="N35" s="2438" t="str">
        <f>IF('3 Vorjahr'!AB63="","",'3 Vorjahr'!AB63)</f>
        <v>Erhaltene Boni</v>
      </c>
      <c r="O35" s="2415" t="str">
        <f>IF('3 Vorjahr'!AC63="","",'3 Vorjahr'!AC63)</f>
        <v/>
      </c>
      <c r="P35" s="2415" t="str">
        <f>IF('3 Vorjahr'!AD63="","",'3 Vorjahr'!AD63)</f>
        <v/>
      </c>
      <c r="Q35" s="2415" t="str">
        <f>IF('3 Vorjahr'!AE63="","",'3 Vorjahr'!AE63)</f>
        <v/>
      </c>
      <c r="R35" s="2415" t="str">
        <f>IF('3 Vorjahr'!AF63="","",'3 Vorjahr'!AF63)</f>
        <v/>
      </c>
      <c r="S35" s="2415" t="str">
        <f>IF('3 Vorjahr'!AG63="","",'3 Vorjahr'!AG63)</f>
        <v/>
      </c>
      <c r="T35" s="2616" t="str">
        <f>IF('3 Vorjahr'!AH63="","",'3 Vorjahr'!AH63)</f>
        <v/>
      </c>
      <c r="U35" s="34"/>
      <c r="V35" s="34"/>
      <c r="W35" s="34"/>
      <c r="X35" s="34"/>
      <c r="Y35" s="34"/>
      <c r="Z35" s="34"/>
      <c r="AA35" s="34"/>
    </row>
    <row r="36" spans="1:27" ht="21.45" customHeight="1">
      <c r="A36" s="5"/>
      <c r="J36" s="3931"/>
      <c r="K36" s="2423" t="str">
        <f>IF('3 Vorjahr'!Y64="","",'3 Vorjahr'!Y64)</f>
        <v>Erhaltene Rabatte</v>
      </c>
      <c r="L36" s="3928" t="str">
        <f>IF('3 Vorjahr'!Z64="","",'3 Vorjahr'!Z64)</f>
        <v/>
      </c>
      <c r="M36" s="2412" t="str">
        <f>IF('3 Vorjahr'!AA64="","",'3 Vorjahr'!AA64)</f>
        <v/>
      </c>
      <c r="N36" s="2413" t="str">
        <f>IF('3 Vorjahr'!AB64="","",'3 Vorjahr'!AB64)</f>
        <v>Name WE  --&gt;</v>
      </c>
      <c r="O36" s="2414" t="str">
        <f>IF('3 Vorjahr'!AC64="","",'3 Vorjahr'!AC64)</f>
        <v/>
      </c>
      <c r="P36" s="2414" t="str">
        <f>IF('3 Vorjahr'!AD64="","",'3 Vorjahr'!AD64)</f>
        <v/>
      </c>
      <c r="Q36" s="2414" t="str">
        <f>IF('3 Vorjahr'!AE64="","",'3 Vorjahr'!AE64)</f>
        <v/>
      </c>
      <c r="R36" s="2414" t="str">
        <f>IF('3 Vorjahr'!AF64="","",'3 Vorjahr'!AF64)</f>
        <v/>
      </c>
      <c r="S36" s="2414" t="str">
        <f>IF('3 Vorjahr'!AG64="","",'3 Vorjahr'!AG64)</f>
        <v/>
      </c>
      <c r="T36" s="2622" t="str">
        <f>IF('3 Vorjahr'!AH64="","",'3 Vorjahr'!AH64)</f>
        <v/>
      </c>
      <c r="U36" s="34"/>
      <c r="V36" s="34"/>
      <c r="W36" s="34"/>
      <c r="X36" s="34"/>
      <c r="Y36" s="34"/>
      <c r="Z36" s="34"/>
      <c r="AA36" s="34"/>
    </row>
    <row r="37" spans="1:27" s="15" customFormat="1" ht="21.45" customHeight="1" thickBot="1">
      <c r="A37" s="13"/>
      <c r="J37" s="3931"/>
      <c r="K37" s="2424" t="str">
        <f>IF('3 Vorjahr'!Y65="","",'3 Vorjahr'!Y65)</f>
        <v/>
      </c>
      <c r="L37" s="3929" t="str">
        <f>IF('3 Vorjahr'!Z65="","",'3 Vorjahr'!Z65)</f>
        <v/>
      </c>
      <c r="M37" s="2416" t="str">
        <f>IF('3 Vorjahr'!AA65="","",'3 Vorjahr'!AA65)</f>
        <v/>
      </c>
      <c r="N37" s="2438" t="str">
        <f>IF('3 Vorjahr'!AB65="","",'3 Vorjahr'!AB65)</f>
        <v/>
      </c>
      <c r="O37" s="2415" t="str">
        <f>IF('3 Vorjahr'!AC65="","",'3 Vorjahr'!AC65)</f>
        <v/>
      </c>
      <c r="P37" s="2415" t="str">
        <f>IF('3 Vorjahr'!AD65="","",'3 Vorjahr'!AD65)</f>
        <v/>
      </c>
      <c r="Q37" s="2415" t="str">
        <f>IF('3 Vorjahr'!AE65="","",'3 Vorjahr'!AE65)</f>
        <v/>
      </c>
      <c r="R37" s="2415" t="str">
        <f>IF('3 Vorjahr'!AF65="","",'3 Vorjahr'!AF65)</f>
        <v/>
      </c>
      <c r="S37" s="2415" t="str">
        <f>IF('3 Vorjahr'!AG65="","",'3 Vorjahr'!AG65)</f>
        <v/>
      </c>
      <c r="T37" s="2616" t="str">
        <f>IF('3 Vorjahr'!AH65="","",'3 Vorjahr'!AH65)</f>
        <v/>
      </c>
      <c r="U37" s="34"/>
      <c r="V37" s="34"/>
      <c r="W37" s="34"/>
      <c r="X37" s="34"/>
      <c r="Y37" s="34"/>
      <c r="Z37" s="34"/>
      <c r="AA37" s="34"/>
    </row>
    <row r="38" spans="1:27" s="15" customFormat="1" ht="21.45" customHeight="1">
      <c r="A38" s="13"/>
      <c r="J38" s="3931"/>
      <c r="K38" s="2423" t="str">
        <f>IF('3 Vorjahr'!Y66="","",'3 Vorjahr'!Y66)</f>
        <v>Bezugs-Nebenkosten</v>
      </c>
      <c r="L38" s="3928" t="str">
        <f>IF('3 Vorjahr'!Z66="","",'3 Vorjahr'!Z66)</f>
        <v/>
      </c>
      <c r="M38" s="2412" t="str">
        <f>IF('3 Vorjahr'!AA66="","",'3 Vorjahr'!AA66)</f>
        <v/>
      </c>
      <c r="N38" s="2413" t="str">
        <f>IF('3 Vorjahr'!AB66="","",'3 Vorjahr'!AB66)</f>
        <v>Name WE  --&gt;</v>
      </c>
      <c r="O38" s="2414" t="str">
        <f>IF('3 Vorjahr'!AC66="","",'3 Vorjahr'!AC66)</f>
        <v/>
      </c>
      <c r="P38" s="2414" t="str">
        <f>IF('3 Vorjahr'!AD66="","",'3 Vorjahr'!AD66)</f>
        <v/>
      </c>
      <c r="Q38" s="2414" t="str">
        <f>IF('3 Vorjahr'!AE66="","",'3 Vorjahr'!AE66)</f>
        <v/>
      </c>
      <c r="R38" s="2414" t="str">
        <f>IF('3 Vorjahr'!AF66="","",'3 Vorjahr'!AF66)</f>
        <v/>
      </c>
      <c r="S38" s="2414" t="str">
        <f>IF('3 Vorjahr'!AG66="","",'3 Vorjahr'!AG66)</f>
        <v/>
      </c>
      <c r="T38" s="2622" t="str">
        <f>IF('3 Vorjahr'!AH66="","",'3 Vorjahr'!AH66)</f>
        <v/>
      </c>
      <c r="U38" s="34"/>
      <c r="V38" s="34"/>
      <c r="W38" s="34"/>
      <c r="X38" s="34"/>
      <c r="Y38" s="34"/>
      <c r="Z38" s="34"/>
      <c r="AA38" s="34"/>
    </row>
    <row r="39" spans="1:27" s="15" customFormat="1" ht="21.45" customHeight="1" thickBot="1">
      <c r="A39" s="13"/>
      <c r="J39" s="3931"/>
      <c r="K39" s="2424" t="str">
        <f>IF('3 Vorjahr'!Y67="","",'3 Vorjahr'!Y67)</f>
        <v/>
      </c>
      <c r="L39" s="3929" t="str">
        <f>IF('3 Vorjahr'!Z67="","",'3 Vorjahr'!Z67)</f>
        <v/>
      </c>
      <c r="M39" s="2416" t="str">
        <f>IF('3 Vorjahr'!AA67="","",'3 Vorjahr'!AA67)</f>
        <v/>
      </c>
      <c r="N39" s="2438" t="str">
        <f>IF('3 Vorjahr'!AB67="","",'3 Vorjahr'!AB67)</f>
        <v/>
      </c>
      <c r="O39" s="2415" t="str">
        <f>IF('3 Vorjahr'!AC67="","",'3 Vorjahr'!AC67)</f>
        <v/>
      </c>
      <c r="P39" s="2415" t="str">
        <f>IF('3 Vorjahr'!AD67="","",'3 Vorjahr'!AD67)</f>
        <v/>
      </c>
      <c r="Q39" s="2415" t="str">
        <f>IF('3 Vorjahr'!AE67="","",'3 Vorjahr'!AE67)</f>
        <v/>
      </c>
      <c r="R39" s="2415" t="str">
        <f>IF('3 Vorjahr'!AF67="","",'3 Vorjahr'!AF67)</f>
        <v/>
      </c>
      <c r="S39" s="2415" t="str">
        <f>IF('3 Vorjahr'!AG67="","",'3 Vorjahr'!AG67)</f>
        <v/>
      </c>
      <c r="T39" s="2616" t="str">
        <f>IF('3 Vorjahr'!AH67="","",'3 Vorjahr'!AH67)</f>
        <v/>
      </c>
      <c r="U39" s="34"/>
      <c r="V39" s="34"/>
      <c r="W39" s="34"/>
      <c r="X39" s="34"/>
      <c r="Y39" s="34"/>
      <c r="Z39" s="34"/>
      <c r="AA39" s="34"/>
    </row>
    <row r="40" spans="1:27" s="15" customFormat="1" ht="21.45" customHeight="1">
      <c r="A40" s="13"/>
      <c r="J40" s="3931"/>
      <c r="K40" s="2417" t="str">
        <f>IF('3 Vorjahr'!Y29="","",'3 Vorjahr'!Y29)</f>
        <v>Erlöse Gutscheine</v>
      </c>
      <c r="L40" s="3925" t="str">
        <f>IF('3 Vorjahr'!Z29="","",'3 Vorjahr'!Z29)</f>
        <v/>
      </c>
      <c r="M40" s="2418" t="str">
        <f>IF('3 Vorjahr'!AA29="","",'3 Vorjahr'!AA29)</f>
        <v/>
      </c>
      <c r="N40" s="2419" t="str">
        <f>IF('3 Vorjahr'!AB29="","",'3 Vorjahr'!AB29)</f>
        <v>Name Erlös  --&gt;</v>
      </c>
      <c r="O40" s="2420" t="str">
        <f>IF('3 Vorjahr'!AC29="","",'3 Vorjahr'!AC29)</f>
        <v/>
      </c>
      <c r="P40" s="2420" t="str">
        <f>IF('3 Vorjahr'!AD29="","",'3 Vorjahr'!AD29)</f>
        <v/>
      </c>
      <c r="Q40" s="2420" t="str">
        <f>IF('3 Vorjahr'!AE29="","",'3 Vorjahr'!AE29)</f>
        <v/>
      </c>
      <c r="R40" s="2420" t="str">
        <f>IF('3 Vorjahr'!AF29="","",'3 Vorjahr'!AF29)</f>
        <v/>
      </c>
      <c r="S40" s="2420" t="str">
        <f>IF('3 Vorjahr'!AG29="","",'3 Vorjahr'!AG29)</f>
        <v/>
      </c>
      <c r="T40" s="2617" t="str">
        <f>IF('3 Vorjahr'!AH29="","",'3 Vorjahr'!AH29)</f>
        <v/>
      </c>
      <c r="U40" s="34"/>
      <c r="V40" s="34"/>
      <c r="W40" s="34"/>
      <c r="X40" s="34"/>
      <c r="Y40" s="34"/>
      <c r="Z40" s="34"/>
      <c r="AA40" s="34"/>
    </row>
    <row r="41" spans="1:27" s="15" customFormat="1" ht="21.45" customHeight="1" thickBot="1">
      <c r="A41" s="34"/>
      <c r="J41" s="3931"/>
      <c r="K41" s="2421" t="str">
        <f>IF('3 Vorjahr'!Y30="","",'3 Vorjahr'!Y30)</f>
        <v/>
      </c>
      <c r="L41" s="3927" t="str">
        <f>IF('3 Vorjahr'!Z30="","",'3 Vorjahr'!Z30)</f>
        <v/>
      </c>
      <c r="M41" s="2422" t="str">
        <f>IF('3 Vorjahr'!AA30="","",'3 Vorjahr'!AA30)</f>
        <v/>
      </c>
      <c r="N41" s="2439" t="str">
        <f>IF('3 Vorjahr'!AB30="","",'3 Vorjahr'!AB30)</f>
        <v/>
      </c>
      <c r="O41" s="2421" t="str">
        <f>IF('3 Vorjahr'!AC30="","",'3 Vorjahr'!AC30)</f>
        <v/>
      </c>
      <c r="P41" s="2421" t="str">
        <f>IF('3 Vorjahr'!AD30="","",'3 Vorjahr'!AD30)</f>
        <v/>
      </c>
      <c r="Q41" s="2421" t="str">
        <f>IF('3 Vorjahr'!AE30="","",'3 Vorjahr'!AE30)</f>
        <v/>
      </c>
      <c r="R41" s="2421" t="str">
        <f>IF('3 Vorjahr'!AF30="","",'3 Vorjahr'!AF30)</f>
        <v/>
      </c>
      <c r="S41" s="2421" t="str">
        <f>IF('3 Vorjahr'!AG30="","",'3 Vorjahr'!AG30)</f>
        <v/>
      </c>
      <c r="T41" s="2618" t="str">
        <f>IF('3 Vorjahr'!AH30="","",'3 Vorjahr'!AH30)</f>
        <v/>
      </c>
      <c r="U41" s="3"/>
      <c r="V41" s="34"/>
      <c r="W41" s="34"/>
      <c r="X41" s="34"/>
      <c r="Y41" s="34"/>
      <c r="Z41" s="34"/>
      <c r="AA41" s="34"/>
    </row>
    <row r="42" spans="1:27" s="15" customFormat="1" ht="21.45" customHeight="1">
      <c r="A42" s="3"/>
      <c r="J42" s="3931"/>
      <c r="K42" s="2417" t="str">
        <f>IF('3 Vorjahr'!Y31="","",'3 Vorjahr'!Y31)</f>
        <v>gewährte Rabatte</v>
      </c>
      <c r="L42" s="3925" t="str">
        <f>IF('3 Vorjahr'!Z31="","",'3 Vorjahr'!Z31)</f>
        <v/>
      </c>
      <c r="M42" s="2418" t="str">
        <f>IF('3 Vorjahr'!AA31="","",'3 Vorjahr'!AA31)</f>
        <v/>
      </c>
      <c r="N42" s="2419" t="str">
        <f>IF('3 Vorjahr'!AB31="","",'3 Vorjahr'!AB31)</f>
        <v>Name Erlös  --&gt;</v>
      </c>
      <c r="O42" s="2420" t="str">
        <f>IF('3 Vorjahr'!AC31="","",'3 Vorjahr'!AC31)</f>
        <v/>
      </c>
      <c r="P42" s="2420" t="str">
        <f>IF('3 Vorjahr'!AD31="","",'3 Vorjahr'!AD31)</f>
        <v/>
      </c>
      <c r="Q42" s="2420" t="str">
        <f>IF('3 Vorjahr'!AE31="","",'3 Vorjahr'!AE31)</f>
        <v/>
      </c>
      <c r="R42" s="2420" t="str">
        <f>IF('3 Vorjahr'!AF31="","",'3 Vorjahr'!AF31)</f>
        <v/>
      </c>
      <c r="S42" s="2420" t="str">
        <f>IF('3 Vorjahr'!AG31="","",'3 Vorjahr'!AG31)</f>
        <v/>
      </c>
      <c r="T42" s="2617" t="str">
        <f>IF('3 Vorjahr'!AH31="","",'3 Vorjahr'!AH31)</f>
        <v/>
      </c>
      <c r="U42" s="3"/>
      <c r="V42" s="34"/>
      <c r="W42" s="34"/>
      <c r="X42" s="34"/>
      <c r="Y42" s="34"/>
      <c r="Z42" s="34"/>
      <c r="AA42" s="34"/>
    </row>
    <row r="43" spans="1:27" s="15" customFormat="1" ht="21.45" customHeight="1" thickBot="1">
      <c r="A43" s="3"/>
      <c r="J43" s="3931"/>
      <c r="K43" s="2421" t="str">
        <f>IF('3 Vorjahr'!Y32="","",'3 Vorjahr'!Y32)</f>
        <v/>
      </c>
      <c r="L43" s="3927" t="str">
        <f>IF('3 Vorjahr'!Z32="","",'3 Vorjahr'!Z32)</f>
        <v/>
      </c>
      <c r="M43" s="2422" t="str">
        <f>IF('3 Vorjahr'!AA32="","",'3 Vorjahr'!AA32)</f>
        <v/>
      </c>
      <c r="N43" s="2439" t="str">
        <f>IF('3 Vorjahr'!AB32="","",'3 Vorjahr'!AB32)</f>
        <v/>
      </c>
      <c r="O43" s="2421" t="str">
        <f>IF('3 Vorjahr'!AC32="","",'3 Vorjahr'!AC32)</f>
        <v/>
      </c>
      <c r="P43" s="2421" t="str">
        <f>IF('3 Vorjahr'!AD32="","",'3 Vorjahr'!AD32)</f>
        <v/>
      </c>
      <c r="Q43" s="2421" t="str">
        <f>IF('3 Vorjahr'!AE32="","",'3 Vorjahr'!AE32)</f>
        <v/>
      </c>
      <c r="R43" s="2421" t="str">
        <f>IF('3 Vorjahr'!AF32="","",'3 Vorjahr'!AF32)</f>
        <v/>
      </c>
      <c r="S43" s="2421" t="str">
        <f>IF('3 Vorjahr'!AG32="","",'3 Vorjahr'!AG32)</f>
        <v/>
      </c>
      <c r="T43" s="2618" t="str">
        <f>IF('3 Vorjahr'!AH32="","",'3 Vorjahr'!AH32)</f>
        <v/>
      </c>
      <c r="U43" s="3"/>
      <c r="V43" s="34"/>
      <c r="W43" s="34"/>
      <c r="X43" s="34"/>
      <c r="Y43" s="34"/>
      <c r="Z43" s="34"/>
      <c r="AA43" s="34"/>
    </row>
    <row r="44" spans="1:27" s="15" customFormat="1" ht="21.45" customHeight="1">
      <c r="A44" s="3"/>
      <c r="J44" s="3931"/>
      <c r="K44" s="2417" t="str">
        <f>IF('3 Vorjahr'!Y33="","",'3 Vorjahr'!Y33)</f>
        <v>weitere Erlöse (Friseur)</v>
      </c>
      <c r="L44" s="3925" t="str">
        <f>IF('3 Vorjahr'!Z33="","",'3 Vorjahr'!Z33)</f>
        <v/>
      </c>
      <c r="M44" s="2418" t="str">
        <f>IF('3 Vorjahr'!AA33="","",'3 Vorjahr'!AA33)</f>
        <v/>
      </c>
      <c r="N44" s="2419" t="str">
        <f>IF('3 Vorjahr'!AB33="","",'3 Vorjahr'!AB33)</f>
        <v>Name Erlös  --&gt;</v>
      </c>
      <c r="O44" s="2420" t="str">
        <f>IF('3 Vorjahr'!AC33="","",'3 Vorjahr'!AC33)</f>
        <v/>
      </c>
      <c r="P44" s="2420" t="str">
        <f>IF('3 Vorjahr'!AD33="","",'3 Vorjahr'!AD33)</f>
        <v/>
      </c>
      <c r="Q44" s="2420" t="str">
        <f>IF('3 Vorjahr'!AE33="","",'3 Vorjahr'!AE33)</f>
        <v/>
      </c>
      <c r="R44" s="2420" t="str">
        <f>IF('3 Vorjahr'!AF33="","",'3 Vorjahr'!AF33)</f>
        <v/>
      </c>
      <c r="S44" s="2420" t="str">
        <f>IF('3 Vorjahr'!AG33="","",'3 Vorjahr'!AG33)</f>
        <v/>
      </c>
      <c r="T44" s="2617" t="str">
        <f>IF('3 Vorjahr'!AH33="","",'3 Vorjahr'!AH33)</f>
        <v/>
      </c>
      <c r="U44" s="3"/>
      <c r="V44" s="34"/>
      <c r="W44" s="34"/>
      <c r="X44" s="34"/>
      <c r="Y44" s="34"/>
      <c r="Z44" s="34"/>
      <c r="AA44" s="34"/>
    </row>
    <row r="45" spans="1:27" s="15" customFormat="1" ht="21.45" customHeight="1" thickBot="1">
      <c r="A45" s="3"/>
      <c r="J45" s="3931"/>
      <c r="K45" s="2421" t="str">
        <f>IF('3 Vorjahr'!Y34="","",'3 Vorjahr'!Y34)</f>
        <v/>
      </c>
      <c r="L45" s="3927" t="str">
        <f>IF('3 Vorjahr'!Z34="","",'3 Vorjahr'!Z34)</f>
        <v/>
      </c>
      <c r="M45" s="2422" t="str">
        <f>IF('3 Vorjahr'!AA34="","",'3 Vorjahr'!AA34)</f>
        <v/>
      </c>
      <c r="N45" s="2439" t="str">
        <f>IF('3 Vorjahr'!AB34="","",'3 Vorjahr'!AB34)</f>
        <v/>
      </c>
      <c r="O45" s="2421" t="str">
        <f>IF('3 Vorjahr'!AC34="","",'3 Vorjahr'!AC34)</f>
        <v/>
      </c>
      <c r="P45" s="2421" t="str">
        <f>IF('3 Vorjahr'!AD34="","",'3 Vorjahr'!AD34)</f>
        <v/>
      </c>
      <c r="Q45" s="2421" t="str">
        <f>IF('3 Vorjahr'!AE34="","",'3 Vorjahr'!AE34)</f>
        <v/>
      </c>
      <c r="R45" s="2421" t="str">
        <f>IF('3 Vorjahr'!AF34="","",'3 Vorjahr'!AF34)</f>
        <v/>
      </c>
      <c r="S45" s="2421" t="str">
        <f>IF('3 Vorjahr'!AG34="","",'3 Vorjahr'!AG34)</f>
        <v/>
      </c>
      <c r="T45" s="2618" t="str">
        <f>IF('3 Vorjahr'!AH34="","",'3 Vorjahr'!AH34)</f>
        <v/>
      </c>
      <c r="U45" s="3"/>
      <c r="V45" s="34"/>
      <c r="W45" s="34"/>
      <c r="X45" s="34"/>
      <c r="Y45" s="34"/>
      <c r="Z45" s="34"/>
      <c r="AA45" s="34"/>
    </row>
    <row r="46" spans="1:27" s="15" customFormat="1" ht="21.45" customHeight="1">
      <c r="A46" s="3"/>
      <c r="J46" s="183"/>
      <c r="K46" s="2417" t="str">
        <f>IF('3 Vorjahr'!Y37="","",'3 Vorjahr'!Y37)</f>
        <v>Erlöse Getränke</v>
      </c>
      <c r="L46" s="3925" t="str">
        <f>IF('3 Vorjahr'!Z37="","",'3 Vorjahr'!Z37)</f>
        <v/>
      </c>
      <c r="M46" s="2418" t="str">
        <f>IF('3 Vorjahr'!AA37="","",'3 Vorjahr'!AA37)</f>
        <v/>
      </c>
      <c r="N46" s="2419" t="str">
        <f>IF('3 Vorjahr'!AB37="","",'3 Vorjahr'!AB37)</f>
        <v>Name Erlös  --&gt;</v>
      </c>
      <c r="O46" s="2420" t="str">
        <f>IF('3 Vorjahr'!AC37="","",'3 Vorjahr'!AC37)</f>
        <v/>
      </c>
      <c r="P46" s="2420" t="str">
        <f>IF('3 Vorjahr'!AD37="","",'3 Vorjahr'!AD37)</f>
        <v/>
      </c>
      <c r="Q46" s="2420" t="str">
        <f>IF('3 Vorjahr'!AE37="","",'3 Vorjahr'!AE37)</f>
        <v/>
      </c>
      <c r="R46" s="2420" t="str">
        <f>IF('3 Vorjahr'!AF37="","",'3 Vorjahr'!AF37)</f>
        <v/>
      </c>
      <c r="S46" s="2420" t="str">
        <f>IF('3 Vorjahr'!AG37="","",'3 Vorjahr'!AG37)</f>
        <v/>
      </c>
      <c r="T46" s="2617" t="str">
        <f>IF('3 Vorjahr'!AH37="","",'3 Vorjahr'!AH37)</f>
        <v/>
      </c>
      <c r="U46" s="3"/>
      <c r="V46" s="34"/>
      <c r="W46" s="34"/>
      <c r="X46" s="34"/>
      <c r="Y46" s="34"/>
      <c r="Z46" s="34"/>
      <c r="AA46" s="34"/>
    </row>
    <row r="47" spans="1:27" s="15" customFormat="1" ht="21.45" customHeight="1">
      <c r="A47" s="3"/>
      <c r="J47" s="2623"/>
      <c r="K47" s="2624" t="str">
        <f>IF('3 Vorjahr'!Y38="","",'3 Vorjahr'!Y38)</f>
        <v/>
      </c>
      <c r="L47" s="3926" t="str">
        <f>IF('3 Vorjahr'!Z38="","",'3 Vorjahr'!Z38)</f>
        <v/>
      </c>
      <c r="M47" s="2625" t="str">
        <f>IF('3 Vorjahr'!AA38="","",'3 Vorjahr'!AA38)</f>
        <v/>
      </c>
      <c r="N47" s="2626" t="str">
        <f>IF('3 Vorjahr'!AB38="","",'3 Vorjahr'!AB38)</f>
        <v/>
      </c>
      <c r="O47" s="2624" t="str">
        <f>IF('3 Vorjahr'!AC38="","",'3 Vorjahr'!AC38)</f>
        <v/>
      </c>
      <c r="P47" s="2624" t="str">
        <f>IF('3 Vorjahr'!AD38="","",'3 Vorjahr'!AD38)</f>
        <v/>
      </c>
      <c r="Q47" s="2624" t="str">
        <f>IF('3 Vorjahr'!AE38="","",'3 Vorjahr'!AE38)</f>
        <v/>
      </c>
      <c r="R47" s="2624" t="str">
        <f>IF('3 Vorjahr'!AF38="","",'3 Vorjahr'!AF38)</f>
        <v/>
      </c>
      <c r="S47" s="2624" t="str">
        <f>IF('3 Vorjahr'!AG38="","",'3 Vorjahr'!AG38)</f>
        <v/>
      </c>
      <c r="T47" s="2627" t="str">
        <f>IF('3 Vorjahr'!AH38="","",'3 Vorjahr'!AH38)</f>
        <v/>
      </c>
      <c r="U47" s="3"/>
      <c r="V47" s="34"/>
      <c r="W47" s="34"/>
      <c r="X47" s="34"/>
      <c r="Y47" s="34"/>
      <c r="Z47" s="34"/>
      <c r="AA47" s="34"/>
    </row>
    <row r="48" spans="1:27" s="15" customFormat="1" ht="21.45" customHeight="1">
      <c r="A48" s="3"/>
      <c r="J48" s="3"/>
      <c r="U48" s="3"/>
      <c r="V48" s="34"/>
      <c r="W48" s="34"/>
      <c r="X48" s="34"/>
      <c r="Y48" s="34"/>
      <c r="Z48" s="34"/>
      <c r="AA48" s="34"/>
    </row>
    <row r="49" spans="9:27" ht="21.45" customHeight="1">
      <c r="J49" s="3"/>
      <c r="K49" s="3"/>
      <c r="L49" s="3"/>
      <c r="M49" s="3"/>
      <c r="N49" s="3"/>
      <c r="O49" s="3"/>
      <c r="P49" s="3"/>
      <c r="Q49" s="3"/>
      <c r="R49" s="3"/>
      <c r="S49" s="3"/>
      <c r="T49" s="3"/>
      <c r="U49" s="3"/>
      <c r="V49" s="34"/>
      <c r="W49" s="34"/>
      <c r="X49" s="34"/>
      <c r="Y49" s="34"/>
      <c r="Z49" s="34"/>
      <c r="AA49" s="34"/>
    </row>
    <row r="50" spans="9:27" ht="21.45" customHeight="1">
      <c r="O50" s="34"/>
      <c r="P50" s="34"/>
      <c r="Q50" s="34"/>
      <c r="R50" s="34"/>
      <c r="S50" s="34"/>
      <c r="T50" s="34"/>
      <c r="U50" s="3"/>
      <c r="V50" s="34"/>
      <c r="W50" s="34"/>
      <c r="X50" s="34"/>
      <c r="Y50" s="34"/>
      <c r="Z50" s="34"/>
      <c r="AA50" s="34"/>
    </row>
    <row r="51" spans="9:27" ht="21.45" customHeight="1">
      <c r="O51" s="34"/>
      <c r="P51" s="34"/>
      <c r="Q51" s="34"/>
      <c r="R51" s="34"/>
      <c r="S51" s="34"/>
      <c r="T51" s="34"/>
      <c r="U51" s="34"/>
      <c r="V51" s="34"/>
      <c r="W51" s="34"/>
      <c r="X51" s="34"/>
      <c r="Y51" s="34"/>
      <c r="Z51" s="34"/>
      <c r="AA51" s="34"/>
    </row>
    <row r="52" spans="9:27" ht="21.45" customHeight="1">
      <c r="O52" s="34"/>
      <c r="P52" s="34"/>
      <c r="Q52" s="34"/>
      <c r="R52" s="34"/>
      <c r="S52" s="34"/>
      <c r="T52" s="34"/>
      <c r="U52" s="34"/>
      <c r="V52" s="34"/>
      <c r="W52" s="34"/>
      <c r="X52" s="34"/>
      <c r="Y52" s="34"/>
      <c r="Z52" s="34"/>
      <c r="AA52" s="34"/>
    </row>
    <row r="53" spans="9:27" ht="21.45" customHeight="1">
      <c r="O53" s="34"/>
      <c r="P53" s="34"/>
      <c r="Q53" s="34"/>
      <c r="R53" s="34"/>
      <c r="S53" s="34"/>
      <c r="T53" s="34"/>
      <c r="U53" s="34"/>
      <c r="V53" s="34"/>
      <c r="W53" s="34"/>
      <c r="X53" s="34"/>
      <c r="Y53" s="34"/>
      <c r="Z53" s="34"/>
      <c r="AA53" s="34"/>
    </row>
    <row r="54" spans="9:27" ht="21.45" customHeight="1">
      <c r="O54" s="34"/>
      <c r="P54" s="34"/>
      <c r="Q54" s="34"/>
      <c r="R54" s="34"/>
      <c r="S54" s="34"/>
      <c r="T54" s="34"/>
      <c r="U54" s="34"/>
      <c r="V54" s="34"/>
      <c r="W54" s="34"/>
      <c r="X54" s="34"/>
      <c r="Y54" s="34"/>
      <c r="Z54" s="34"/>
      <c r="AA54" s="34"/>
    </row>
    <row r="55" spans="9:27" ht="21.45" customHeight="1">
      <c r="O55" s="34"/>
      <c r="P55" s="34"/>
      <c r="Q55" s="34"/>
      <c r="R55" s="34"/>
      <c r="S55" s="34"/>
      <c r="T55" s="34"/>
      <c r="U55" s="34"/>
      <c r="V55" s="34"/>
      <c r="W55" s="34"/>
      <c r="X55" s="34"/>
      <c r="Y55" s="34"/>
      <c r="Z55" s="34"/>
      <c r="AA55" s="34"/>
    </row>
    <row r="56" spans="9:27" ht="21.45" customHeight="1">
      <c r="O56" s="34"/>
      <c r="P56" s="34"/>
      <c r="Q56" s="34"/>
      <c r="R56" s="34"/>
      <c r="S56" s="34"/>
      <c r="T56" s="34"/>
      <c r="U56" s="34"/>
      <c r="V56" s="34"/>
      <c r="W56" s="34"/>
      <c r="X56" s="34"/>
      <c r="Y56" s="34"/>
      <c r="Z56" s="34"/>
      <c r="AA56" s="34"/>
    </row>
    <row r="57" spans="9:27" ht="21.45" customHeight="1">
      <c r="O57" s="34"/>
      <c r="P57" s="34"/>
      <c r="Q57" s="34"/>
      <c r="R57" s="34"/>
      <c r="S57" s="34"/>
      <c r="T57" s="34"/>
      <c r="U57" s="34"/>
      <c r="V57" s="34"/>
      <c r="W57" s="34"/>
      <c r="X57" s="34"/>
      <c r="Y57" s="34"/>
      <c r="Z57" s="34"/>
      <c r="AA57" s="34"/>
    </row>
    <row r="58" spans="9:27" ht="21.45" customHeight="1">
      <c r="O58" s="34"/>
      <c r="P58" s="34"/>
      <c r="Q58" s="34"/>
      <c r="R58" s="34"/>
      <c r="S58" s="34"/>
      <c r="T58" s="34"/>
      <c r="U58" s="34"/>
      <c r="V58" s="34"/>
      <c r="W58" s="34"/>
      <c r="X58" s="34"/>
      <c r="Y58" s="34"/>
      <c r="Z58" s="34"/>
      <c r="AA58" s="34"/>
    </row>
    <row r="59" spans="9:27" ht="21.45" customHeight="1">
      <c r="O59" s="34"/>
      <c r="P59" s="34"/>
      <c r="Q59" s="34"/>
      <c r="R59" s="34"/>
      <c r="S59" s="34"/>
      <c r="T59" s="34"/>
      <c r="U59" s="34"/>
      <c r="V59" s="34"/>
      <c r="W59" s="34"/>
      <c r="X59" s="34"/>
      <c r="Y59" s="34"/>
      <c r="Z59" s="34"/>
      <c r="AA59" s="34"/>
    </row>
    <row r="60" spans="9:27" ht="21.45" customHeight="1">
      <c r="J60" s="3"/>
      <c r="K60" s="3"/>
      <c r="L60" s="3"/>
      <c r="M60" s="3"/>
      <c r="N60" s="34"/>
      <c r="O60" s="34"/>
      <c r="P60" s="34"/>
      <c r="Q60" s="34"/>
      <c r="R60" s="34"/>
      <c r="S60" s="34"/>
      <c r="T60" s="34"/>
      <c r="U60" s="34"/>
      <c r="V60" s="34"/>
      <c r="W60" s="34"/>
      <c r="X60" s="34"/>
      <c r="Y60" s="34"/>
      <c r="Z60" s="34"/>
      <c r="AA60" s="34"/>
    </row>
    <row r="61" spans="9:27" ht="13.5" customHeight="1">
      <c r="I61" s="3"/>
      <c r="J61" s="3"/>
      <c r="K61" s="3"/>
      <c r="L61" s="3"/>
      <c r="M61" s="3"/>
      <c r="N61" s="34"/>
      <c r="O61" s="34"/>
      <c r="P61" s="34"/>
      <c r="Q61" s="34"/>
      <c r="R61" s="34"/>
      <c r="S61" s="34"/>
      <c r="T61" s="34"/>
      <c r="U61" s="34"/>
      <c r="V61" s="34"/>
      <c r="W61" s="34"/>
      <c r="X61" s="34"/>
      <c r="Y61" s="34"/>
      <c r="Z61" s="34"/>
      <c r="AA61" s="34"/>
    </row>
    <row r="62" spans="9:27" ht="13.5" customHeight="1">
      <c r="I62" s="3"/>
      <c r="J62" s="3"/>
      <c r="K62" s="3"/>
      <c r="L62" s="3"/>
      <c r="M62" s="3"/>
      <c r="N62" s="3"/>
      <c r="O62" s="3"/>
      <c r="P62" s="3"/>
      <c r="Q62" s="3"/>
      <c r="R62" s="3"/>
      <c r="S62" s="3"/>
      <c r="T62" s="3"/>
      <c r="U62" s="34"/>
      <c r="V62" s="34"/>
      <c r="W62" s="34"/>
      <c r="X62" s="34"/>
      <c r="Y62" s="34"/>
      <c r="Z62" s="34"/>
      <c r="AA62" s="34"/>
    </row>
    <row r="63" spans="9:27" ht="13.5" customHeight="1">
      <c r="I63" s="3"/>
      <c r="J63" s="3"/>
      <c r="K63" s="3"/>
      <c r="L63" s="3"/>
      <c r="M63" s="3"/>
      <c r="N63" s="3"/>
      <c r="O63" s="3"/>
      <c r="P63" s="3"/>
      <c r="Q63" s="3"/>
      <c r="R63" s="3"/>
      <c r="S63" s="3"/>
      <c r="T63" s="3"/>
      <c r="U63" s="3"/>
      <c r="V63" s="3"/>
      <c r="W63" s="3"/>
    </row>
    <row r="64" spans="9:27" ht="13.5" customHeight="1">
      <c r="I64" s="3"/>
      <c r="J64" s="3"/>
      <c r="K64" s="3"/>
      <c r="L64" s="3"/>
      <c r="M64" s="3"/>
      <c r="N64" s="3"/>
      <c r="O64" s="3"/>
      <c r="P64" s="3"/>
      <c r="Q64" s="3"/>
      <c r="R64" s="3"/>
      <c r="S64" s="3"/>
      <c r="T64" s="3"/>
      <c r="U64" s="3"/>
      <c r="V64" s="3"/>
      <c r="W64" s="3"/>
    </row>
    <row r="65" s="3" customFormat="1" ht="13.5" customHeight="1"/>
    <row r="66" s="3" customFormat="1" ht="13.5" customHeight="1"/>
    <row r="67" s="3" customFormat="1" ht="13.5" customHeight="1"/>
    <row r="68" s="3" customFormat="1" ht="13.5" customHeight="1"/>
    <row r="69" s="3" customFormat="1" ht="13.5" customHeight="1"/>
    <row r="70" s="3" customFormat="1" ht="13.5" customHeight="1"/>
    <row r="71" s="3" customFormat="1" ht="13.5" customHeight="1"/>
    <row r="72" s="3" customFormat="1" ht="13.5" customHeight="1"/>
    <row r="73" s="3" customFormat="1" ht="13.5" customHeight="1"/>
    <row r="74" s="3" customFormat="1" ht="13.5" customHeight="1"/>
    <row r="75" s="3" customFormat="1" ht="13.5" customHeight="1"/>
    <row r="76" s="3" customFormat="1" ht="13.5" customHeight="1"/>
    <row r="77" s="3" customFormat="1" ht="13.5" customHeight="1"/>
    <row r="78" s="3" customFormat="1" ht="13.5" customHeight="1"/>
    <row r="79" s="3" customFormat="1" ht="13.5" customHeight="1"/>
    <row r="80" s="3" customFormat="1" ht="13.5" customHeight="1"/>
    <row r="81" s="3" customFormat="1" ht="13.5" customHeight="1"/>
    <row r="82" s="3" customFormat="1" ht="13.5" customHeight="1"/>
    <row r="83" s="3" customFormat="1" ht="13.5" customHeight="1"/>
    <row r="84" s="3" customFormat="1" ht="13.5" customHeight="1"/>
    <row r="85" s="3" customFormat="1" ht="13.5" customHeight="1"/>
    <row r="86" s="3" customFormat="1" ht="13.5" customHeight="1"/>
    <row r="87" s="3" customFormat="1" ht="13.5" customHeight="1"/>
    <row r="88" s="3" customFormat="1" ht="13.5" customHeight="1"/>
    <row r="89" s="3" customFormat="1" ht="13.5" customHeight="1"/>
    <row r="90" s="3" customFormat="1" ht="13.5" customHeight="1"/>
    <row r="91" s="3" customFormat="1" ht="13.5" customHeight="1"/>
    <row r="92" s="3" customFormat="1" ht="13.5" customHeight="1"/>
    <row r="93" s="3" customFormat="1" ht="13.5" customHeight="1"/>
    <row r="94" s="3" customFormat="1" ht="13.5" customHeight="1"/>
    <row r="95" s="3" customFormat="1" ht="13.5" customHeight="1"/>
    <row r="96" s="3" customFormat="1" ht="13.5" customHeight="1"/>
    <row r="97" s="3" customFormat="1" ht="13.5" customHeight="1"/>
    <row r="98" s="3" customFormat="1" ht="13.5" customHeight="1"/>
    <row r="99" s="3" customFormat="1" ht="13.5" customHeight="1"/>
    <row r="100" s="3" customFormat="1" ht="13.5" customHeight="1"/>
    <row r="101" s="3" customFormat="1" ht="13.5" customHeight="1"/>
    <row r="102" s="3" customFormat="1" ht="13.5" customHeight="1"/>
    <row r="103" s="3" customFormat="1" ht="13.5" customHeight="1"/>
    <row r="104" s="3" customFormat="1" ht="13.5" customHeight="1"/>
    <row r="105" s="3" customFormat="1" ht="13.5" customHeight="1"/>
    <row r="106" s="3" customFormat="1" ht="13.5" customHeight="1"/>
    <row r="107" s="3" customFormat="1" ht="13.5" customHeight="1"/>
    <row r="108" s="3" customFormat="1" ht="13.5" customHeight="1"/>
    <row r="109" s="3" customFormat="1" ht="13.5" customHeight="1"/>
    <row r="110" s="3" customFormat="1" ht="13.5" customHeight="1"/>
    <row r="111" s="3" customFormat="1" ht="13.5" customHeight="1"/>
    <row r="112" s="3" customFormat="1" ht="13.5" customHeight="1"/>
    <row r="113" s="3" customFormat="1" ht="13.5" customHeight="1"/>
    <row r="114" s="3" customFormat="1" ht="13.5" customHeight="1"/>
    <row r="115" s="3" customFormat="1" ht="13.5" customHeight="1"/>
    <row r="116" s="3" customFormat="1" ht="13.5" customHeight="1"/>
    <row r="117" s="3" customFormat="1" ht="13.5" customHeight="1"/>
    <row r="118" s="3" customFormat="1" ht="13.5" customHeight="1"/>
    <row r="119" s="3" customFormat="1" ht="13.5" customHeight="1"/>
    <row r="120" s="3" customFormat="1" ht="13.5" customHeight="1"/>
    <row r="121" s="3" customFormat="1" ht="13.5" customHeight="1"/>
    <row r="122" s="3" customFormat="1" ht="13.5" customHeight="1"/>
    <row r="123" s="3" customFormat="1" ht="13.5" customHeight="1"/>
    <row r="124" s="3" customFormat="1" ht="13.5" customHeight="1"/>
    <row r="125" s="3" customFormat="1" ht="13.5" customHeight="1"/>
    <row r="126" s="3" customFormat="1" ht="13.5" customHeight="1"/>
    <row r="127" s="3" customFormat="1" ht="13.5" customHeight="1"/>
    <row r="128" s="3" customFormat="1" ht="13.5" customHeight="1"/>
    <row r="129" s="3" customFormat="1" ht="13.5" customHeight="1"/>
    <row r="130" s="3" customFormat="1" ht="13.5" customHeight="1"/>
    <row r="131" s="3" customFormat="1" ht="13.5" customHeight="1"/>
    <row r="132" s="3" customFormat="1" ht="13.5" customHeight="1"/>
    <row r="133" s="3" customFormat="1" ht="13.5" customHeight="1"/>
    <row r="134" s="3" customFormat="1" ht="13.5" customHeight="1"/>
    <row r="135" s="3" customFormat="1" ht="13.5" customHeight="1"/>
    <row r="136" s="3" customFormat="1" ht="13.5" customHeight="1"/>
    <row r="137" s="3" customFormat="1" ht="13.5" customHeight="1"/>
    <row r="138" s="3" customFormat="1" ht="13.5" customHeight="1"/>
    <row r="139" s="3" customFormat="1" ht="13.5" customHeight="1"/>
    <row r="140" s="3" customFormat="1" ht="13.5" customHeight="1"/>
    <row r="141" s="3" customFormat="1" ht="13.5" customHeight="1"/>
    <row r="142" s="3" customFormat="1" ht="13.5" customHeight="1"/>
    <row r="143" s="3" customFormat="1" ht="13.5" customHeight="1"/>
    <row r="144" s="3" customFormat="1" ht="13.5" customHeight="1"/>
    <row r="145" s="3" customFormat="1" ht="13.5" customHeight="1"/>
    <row r="146" s="3" customFormat="1" ht="13.5" customHeight="1"/>
    <row r="147" s="3" customFormat="1" ht="13.5" customHeight="1"/>
    <row r="148" s="3" customFormat="1" ht="13.5" customHeight="1"/>
    <row r="149" s="3" customFormat="1" ht="13.5" customHeight="1"/>
    <row r="150" s="3" customFormat="1" ht="13.5" customHeight="1"/>
    <row r="151" s="3" customFormat="1" ht="13.5" customHeight="1"/>
    <row r="152" s="3" customFormat="1" ht="13.5" customHeight="1"/>
    <row r="153" s="3" customFormat="1" ht="13.5" customHeight="1"/>
    <row r="154" s="3" customFormat="1" ht="13.5" customHeight="1"/>
    <row r="155" s="3" customFormat="1" ht="13.5" customHeight="1"/>
    <row r="156" s="3" customFormat="1" ht="13.5" customHeight="1"/>
    <row r="157" s="3" customFormat="1" ht="13.5" customHeight="1"/>
    <row r="158" s="3" customFormat="1" ht="13.5" customHeight="1"/>
    <row r="159" s="3" customFormat="1" ht="13.5" customHeight="1"/>
    <row r="160" s="3" customFormat="1" ht="13.5" customHeight="1"/>
    <row r="161" s="3" customFormat="1" ht="13.5" customHeight="1"/>
    <row r="162" s="3" customFormat="1" ht="13.5" customHeight="1"/>
    <row r="163" s="3" customFormat="1" ht="13.5" customHeight="1"/>
    <row r="164" s="3" customFormat="1" ht="13.5" customHeight="1"/>
    <row r="165" s="3" customFormat="1" ht="13.5" customHeight="1"/>
    <row r="166" s="3" customFormat="1" ht="13.5" customHeight="1"/>
    <row r="167" s="3" customFormat="1" ht="13.5" customHeight="1"/>
    <row r="168" s="3" customFormat="1" ht="13.5" customHeight="1"/>
    <row r="169" s="3" customFormat="1" ht="13.5" customHeight="1"/>
    <row r="170" s="3" customFormat="1" ht="13.5" customHeight="1"/>
    <row r="171" s="3" customFormat="1" ht="13.5" customHeight="1"/>
    <row r="172" s="3" customFormat="1" ht="13.5" customHeight="1"/>
    <row r="173" s="3" customFormat="1" ht="13.5" customHeight="1"/>
    <row r="174" s="3" customFormat="1" ht="13.5" customHeight="1"/>
    <row r="175" s="3" customFormat="1" ht="13.5" customHeight="1"/>
    <row r="176" s="3" customFormat="1" ht="13.5" customHeight="1"/>
    <row r="177" s="3" customFormat="1" ht="13.5" customHeight="1"/>
    <row r="178" s="3" customFormat="1" ht="13.5" customHeight="1"/>
    <row r="179" s="3" customFormat="1" ht="13.5" customHeight="1"/>
    <row r="180" s="3" customFormat="1" ht="13.5" customHeight="1"/>
    <row r="181" s="3" customFormat="1" ht="13.5" customHeight="1"/>
    <row r="182" s="3" customFormat="1" ht="13.5" customHeight="1"/>
    <row r="183" s="3" customFormat="1" ht="13.5" customHeight="1"/>
    <row r="184" s="3" customFormat="1" ht="13.5" customHeight="1"/>
    <row r="185" s="3" customFormat="1" ht="13.5" customHeight="1"/>
    <row r="186" s="3" customFormat="1" ht="13.5" customHeight="1"/>
    <row r="187" s="3" customFormat="1" ht="13.5" customHeight="1"/>
    <row r="188" s="3" customFormat="1" ht="13.5" customHeight="1"/>
    <row r="189" s="3" customFormat="1" ht="13.5" customHeight="1"/>
    <row r="190" s="3" customFormat="1" ht="13.5" customHeight="1"/>
    <row r="191" s="3" customFormat="1" ht="13.5" customHeight="1"/>
    <row r="192" s="3" customFormat="1" ht="13.5" customHeight="1"/>
    <row r="193" s="3" customFormat="1" ht="13.5" customHeight="1"/>
    <row r="194" s="3" customFormat="1" ht="13.5" customHeight="1"/>
    <row r="195" s="3" customFormat="1" ht="13.5" customHeight="1"/>
    <row r="196" s="3" customFormat="1" ht="13.5" customHeight="1"/>
    <row r="197" s="3" customFormat="1" ht="13.5" customHeight="1"/>
    <row r="198" s="3" customFormat="1" ht="13.5" customHeight="1"/>
    <row r="199" s="3" customFormat="1" ht="13.5" customHeight="1"/>
    <row r="200" s="3" customFormat="1" ht="13.5" customHeight="1"/>
    <row r="201" s="3" customFormat="1" ht="13.5" customHeight="1"/>
    <row r="202" s="3" customFormat="1" ht="13.5" customHeight="1"/>
    <row r="203" s="3" customFormat="1" ht="13.5" customHeight="1"/>
    <row r="204" s="3" customFormat="1" ht="13.5" customHeight="1"/>
    <row r="205" s="3" customFormat="1" ht="13.5" customHeight="1"/>
    <row r="206" s="3" customFormat="1" ht="13.5" customHeight="1"/>
    <row r="207" s="3" customFormat="1" ht="13.5" customHeight="1"/>
    <row r="208" s="3" customFormat="1" ht="13.5" customHeight="1"/>
    <row r="209" s="3" customFormat="1" ht="13.5" customHeight="1"/>
    <row r="210" s="3" customFormat="1" ht="13.5" customHeight="1"/>
    <row r="211" s="3" customFormat="1" ht="13.5" customHeight="1"/>
    <row r="212" s="3" customFormat="1" ht="13.5" customHeight="1"/>
    <row r="213" s="3" customFormat="1" ht="13.5" customHeight="1"/>
    <row r="214" s="3" customFormat="1" ht="13.5" customHeight="1"/>
    <row r="215" s="3" customFormat="1" ht="13.5" customHeight="1"/>
    <row r="216" s="3" customFormat="1" ht="13.5" customHeight="1"/>
    <row r="217" s="3" customFormat="1" ht="13.5" customHeight="1"/>
    <row r="218" s="3" customFormat="1" ht="13.5" customHeight="1"/>
    <row r="219" s="3" customFormat="1" ht="13.5" customHeight="1"/>
    <row r="220" s="3" customFormat="1" ht="13.5" customHeight="1"/>
    <row r="221" s="3" customFormat="1" ht="13.5" customHeight="1"/>
    <row r="222" s="3" customFormat="1" ht="13.5" customHeight="1"/>
    <row r="223" s="3" customFormat="1" ht="13.5" customHeight="1"/>
    <row r="224" s="3" customFormat="1" ht="13.5" customHeight="1"/>
    <row r="225" s="3" customFormat="1" ht="13.5" customHeight="1"/>
    <row r="226" s="3" customFormat="1" ht="13.5" customHeight="1"/>
    <row r="227" s="3" customFormat="1" ht="13.5" customHeight="1"/>
    <row r="228" s="3" customFormat="1" ht="13.5" customHeight="1"/>
    <row r="229" s="3" customFormat="1" ht="13.5" customHeight="1"/>
    <row r="230" s="3" customFormat="1" ht="13.5" customHeight="1"/>
    <row r="231" s="3" customFormat="1" ht="13.5" customHeight="1"/>
    <row r="232" s="3" customFormat="1" ht="13.5" customHeight="1"/>
    <row r="233" s="3" customFormat="1" ht="13.5" customHeight="1"/>
    <row r="234" s="3" customFormat="1" ht="13.5" customHeight="1"/>
    <row r="235" s="3" customFormat="1" ht="13.5" customHeight="1"/>
    <row r="236" s="3" customFormat="1" ht="13.5" customHeight="1"/>
    <row r="237" s="3" customFormat="1" ht="13.5" customHeight="1"/>
    <row r="238" s="3" customFormat="1" ht="13.5" customHeight="1"/>
    <row r="239" s="3" customFormat="1" ht="13.5" customHeight="1"/>
    <row r="240" s="3" customFormat="1" ht="13.5" customHeight="1"/>
    <row r="241" s="3" customFormat="1" ht="13.5" customHeight="1"/>
    <row r="242" s="3" customFormat="1" ht="13.5" customHeight="1"/>
    <row r="243" s="3" customFormat="1" ht="13.5" customHeight="1"/>
    <row r="244" s="3" customFormat="1" ht="13.5" customHeight="1"/>
    <row r="245" s="3" customFormat="1" ht="13.5" customHeight="1"/>
    <row r="246" s="3" customFormat="1" ht="13.5" customHeight="1"/>
    <row r="247" s="3" customFormat="1" ht="13.5" customHeight="1"/>
    <row r="248" s="3" customFormat="1" ht="13.5" customHeight="1"/>
    <row r="249" s="3" customFormat="1" ht="13.5" customHeight="1"/>
    <row r="250" s="3" customFormat="1" ht="13.5" customHeight="1"/>
    <row r="251" s="3" customFormat="1" ht="13.5" customHeight="1"/>
    <row r="252" s="3" customFormat="1" ht="13.5" customHeight="1"/>
    <row r="253" s="3" customFormat="1" ht="13.5" customHeight="1"/>
    <row r="254" s="3" customFormat="1" ht="13.5" customHeight="1"/>
    <row r="255" s="3" customFormat="1" ht="13.5" customHeight="1"/>
    <row r="256" s="3" customFormat="1" ht="13.5" customHeight="1"/>
    <row r="257" s="3" customFormat="1" ht="13.5" customHeight="1"/>
    <row r="258" s="3" customFormat="1" ht="13.5" customHeight="1"/>
    <row r="259" s="3" customFormat="1" ht="13.5" customHeight="1"/>
    <row r="260" s="3" customFormat="1" ht="13.5" customHeight="1"/>
    <row r="261" s="3" customFormat="1" ht="13.5" customHeight="1"/>
    <row r="262" s="3" customFormat="1" ht="13.5" customHeight="1"/>
    <row r="263" s="3" customFormat="1" ht="13.5" customHeight="1"/>
    <row r="264" s="3" customFormat="1" ht="13.5" customHeight="1"/>
    <row r="265" s="3" customFormat="1" ht="13.5" customHeight="1"/>
    <row r="266" s="3" customFormat="1" ht="13.5" customHeight="1"/>
    <row r="267" s="3" customFormat="1" ht="13.5" customHeight="1"/>
    <row r="268" s="3" customFormat="1" ht="13.5" customHeight="1"/>
    <row r="269" s="3" customFormat="1" ht="13.5" customHeight="1"/>
    <row r="270" s="3" customFormat="1" ht="13.5" customHeight="1"/>
    <row r="271" s="3" customFormat="1" ht="13.5" customHeight="1"/>
    <row r="272" s="3" customFormat="1" ht="13.5" customHeight="1"/>
    <row r="273" s="3" customFormat="1" ht="13.5" customHeight="1"/>
    <row r="274" s="3" customFormat="1" ht="13.5" customHeight="1"/>
    <row r="275" s="3" customFormat="1" ht="13.5" customHeight="1"/>
    <row r="276" s="3" customFormat="1" ht="13.5" customHeight="1"/>
    <row r="277" s="3" customFormat="1" ht="13.5" customHeight="1"/>
    <row r="278" s="3" customFormat="1" ht="13.5" customHeight="1"/>
    <row r="279" s="3" customFormat="1" ht="13.5" customHeight="1"/>
    <row r="280" s="3" customFormat="1" ht="13.5" customHeight="1"/>
    <row r="281" s="3" customFormat="1" ht="13.5" customHeight="1"/>
    <row r="282" s="3" customFormat="1" ht="13.5" customHeight="1"/>
    <row r="283" s="3" customFormat="1" ht="13.5" customHeight="1"/>
    <row r="284" s="3" customFormat="1" ht="13.5" customHeight="1"/>
    <row r="285" s="3" customFormat="1" ht="13.5" customHeight="1"/>
    <row r="286" s="3" customFormat="1" ht="13.5" customHeight="1"/>
    <row r="287" s="3" customFormat="1" ht="13.5" customHeight="1"/>
    <row r="288" s="3" customFormat="1" ht="13.5" customHeight="1"/>
    <row r="289" s="3" customFormat="1" ht="13.5" customHeight="1"/>
    <row r="290" s="3" customFormat="1" ht="13.5" customHeight="1"/>
    <row r="291" s="3" customFormat="1" ht="13.5" customHeight="1"/>
    <row r="292" s="3" customFormat="1" ht="13.5" customHeight="1"/>
    <row r="293" s="3" customFormat="1" ht="13.5" customHeight="1"/>
    <row r="294" s="3" customFormat="1" ht="13.5" customHeight="1"/>
    <row r="295" s="3" customFormat="1" ht="13.5" customHeight="1"/>
    <row r="296" s="3" customFormat="1" ht="13.5" customHeight="1"/>
    <row r="297" s="3" customFormat="1" ht="13.5" customHeight="1"/>
    <row r="298" s="3" customFormat="1" ht="13.5" customHeight="1"/>
    <row r="299" s="3" customFormat="1" ht="13.5" customHeight="1"/>
    <row r="300" s="3" customFormat="1" ht="13.5" customHeight="1"/>
    <row r="301" s="3" customFormat="1" ht="13.5" customHeight="1"/>
    <row r="302" s="3" customFormat="1" ht="13.5" customHeight="1"/>
    <row r="303" s="3" customFormat="1" ht="13.5" customHeight="1"/>
    <row r="304" s="3" customFormat="1" ht="13.5" customHeight="1"/>
    <row r="305" s="3" customFormat="1" ht="13.5" customHeight="1"/>
    <row r="306" s="3" customFormat="1" ht="13.5" customHeight="1"/>
    <row r="307" s="3" customFormat="1" ht="13.5" customHeight="1"/>
    <row r="308" s="3" customFormat="1" ht="13.5" customHeight="1"/>
    <row r="309" s="3" customFormat="1" ht="13.5" customHeight="1"/>
    <row r="310" s="3" customFormat="1" ht="13.5" customHeight="1"/>
    <row r="311" s="3" customFormat="1" ht="13.5" customHeight="1"/>
    <row r="312" s="3" customFormat="1" ht="13.5" customHeight="1"/>
    <row r="313" s="3" customFormat="1" ht="13.5" customHeight="1"/>
    <row r="314" s="3" customFormat="1" ht="13.5" customHeight="1"/>
    <row r="315" s="3" customFormat="1" ht="13.5" customHeight="1"/>
    <row r="316" s="3" customFormat="1" ht="13.5" customHeight="1"/>
    <row r="317" s="3" customFormat="1" ht="13.5" customHeight="1"/>
    <row r="318" s="3" customFormat="1" ht="13.5" customHeight="1"/>
    <row r="319" s="3" customFormat="1" ht="13.5" customHeight="1"/>
    <row r="320" s="3" customFormat="1" ht="13.5" customHeight="1"/>
    <row r="321" s="3" customFormat="1" ht="13.5" customHeight="1"/>
    <row r="322" s="3" customFormat="1" ht="13.5" customHeight="1"/>
    <row r="323" s="3" customFormat="1" ht="13.5" customHeight="1"/>
    <row r="324" s="3" customFormat="1" ht="13.5" customHeight="1"/>
    <row r="325" s="3" customFormat="1" ht="13.5" customHeight="1"/>
    <row r="326" s="3" customFormat="1" ht="13.5" customHeight="1"/>
    <row r="327" s="3" customFormat="1" ht="13.5" customHeight="1"/>
    <row r="328" s="3" customFormat="1" ht="13.5" customHeight="1"/>
    <row r="329" s="3" customFormat="1" ht="13.5" customHeight="1"/>
    <row r="330" s="3" customFormat="1" ht="13.5" customHeight="1"/>
    <row r="331" s="3" customFormat="1" ht="13.5" customHeight="1"/>
    <row r="332" s="3" customFormat="1" ht="13.5" customHeight="1"/>
    <row r="333" s="3" customFormat="1" ht="13.5" customHeight="1"/>
    <row r="334" s="3" customFormat="1" ht="13.5" customHeight="1"/>
    <row r="335" s="3" customFormat="1" ht="13.5" customHeight="1"/>
    <row r="336" s="3" customFormat="1" ht="13.5" customHeight="1"/>
    <row r="337" s="3" customFormat="1" ht="13.5" customHeight="1"/>
    <row r="338" s="3" customFormat="1" ht="13.5" customHeight="1"/>
    <row r="339" s="3" customFormat="1" ht="13.5" customHeight="1"/>
    <row r="340" s="3" customFormat="1" ht="13.5" customHeight="1"/>
    <row r="341" s="3" customFormat="1" ht="13.5" customHeight="1"/>
    <row r="342" s="3" customFormat="1" ht="13.5" customHeight="1"/>
    <row r="343" s="3" customFormat="1" ht="13.5" customHeight="1"/>
    <row r="344" s="3" customFormat="1" ht="13.5" customHeight="1"/>
    <row r="345" s="3" customFormat="1" ht="13.5" customHeight="1"/>
    <row r="346" s="3" customFormat="1" ht="13.5" customHeight="1"/>
    <row r="347" s="3" customFormat="1" ht="13.5" customHeight="1"/>
    <row r="348" s="3" customFormat="1" ht="13.5" customHeight="1"/>
    <row r="349" s="3" customFormat="1" ht="13.5" customHeight="1"/>
    <row r="350" s="3" customFormat="1" ht="13.5" customHeight="1"/>
    <row r="351" s="3" customFormat="1" ht="13.5" customHeight="1"/>
    <row r="352" s="3" customFormat="1" ht="13.5" customHeight="1"/>
    <row r="353" s="3" customFormat="1" ht="13.5" customHeight="1"/>
    <row r="354" s="3" customFormat="1" ht="13.5" customHeight="1"/>
    <row r="355" s="3" customFormat="1" ht="13.5" customHeight="1"/>
    <row r="356" s="3" customFormat="1" ht="13.5" customHeight="1"/>
    <row r="357" s="3" customFormat="1" ht="13.5" customHeight="1"/>
    <row r="358" s="3" customFormat="1" ht="13.5" customHeight="1"/>
    <row r="359" s="3" customFormat="1" ht="13.5" customHeight="1"/>
    <row r="360" s="3" customFormat="1" ht="13.5" customHeight="1"/>
    <row r="361" s="3" customFormat="1" ht="13.5" customHeight="1"/>
    <row r="362" s="3" customFormat="1" ht="13.5" customHeight="1"/>
    <row r="363" s="3" customFormat="1" ht="13.5" customHeight="1"/>
    <row r="364" s="3" customFormat="1" ht="13.5" customHeight="1"/>
    <row r="365" s="3" customFormat="1" ht="13.5" customHeight="1"/>
    <row r="366" s="3" customFormat="1" ht="13.5" customHeight="1"/>
    <row r="367" s="3" customFormat="1" ht="13.5" customHeight="1"/>
    <row r="368" s="3" customFormat="1" ht="13.5" customHeight="1"/>
    <row r="369" s="3" customFormat="1" ht="13.5" customHeight="1"/>
    <row r="370" s="3" customFormat="1" ht="13.5" customHeight="1"/>
    <row r="371" s="3" customFormat="1" ht="13.5" customHeight="1"/>
    <row r="372" s="3" customFormat="1" ht="13.5" customHeight="1"/>
    <row r="373" s="3" customFormat="1" ht="13.5" customHeight="1"/>
    <row r="374" s="3" customFormat="1" ht="13.5" customHeight="1"/>
    <row r="375" s="3" customFormat="1" ht="13.5" customHeight="1"/>
    <row r="376" s="3" customFormat="1" ht="13.5" customHeight="1"/>
    <row r="377" s="3" customFormat="1" ht="13.5" customHeight="1"/>
    <row r="378" s="3" customFormat="1" ht="13.5" customHeight="1"/>
    <row r="379" s="3" customFormat="1" ht="13.5" customHeight="1"/>
    <row r="380" s="3" customFormat="1" ht="13.5" customHeight="1"/>
    <row r="381" s="3" customFormat="1" ht="13.5" customHeight="1"/>
    <row r="382" s="3" customFormat="1" ht="13.5" customHeight="1"/>
    <row r="383" s="3" customFormat="1" ht="13.5" customHeight="1"/>
    <row r="384" s="3" customFormat="1" ht="13.5" customHeight="1"/>
    <row r="385" s="3" customFormat="1" ht="13.5" customHeight="1"/>
    <row r="386" s="3" customFormat="1" ht="13.5" customHeight="1"/>
    <row r="387" s="3" customFormat="1" ht="13.5" customHeight="1"/>
    <row r="388" s="3" customFormat="1" ht="13.5" customHeight="1"/>
    <row r="389" s="3" customFormat="1" ht="13.5" customHeight="1"/>
    <row r="390" s="3" customFormat="1" ht="13.5" customHeight="1"/>
    <row r="391" s="3" customFormat="1" ht="13.5" customHeight="1"/>
    <row r="392" s="3" customFormat="1" ht="13.5" customHeight="1"/>
    <row r="393" s="3" customFormat="1" ht="13.5" customHeight="1"/>
    <row r="394" s="3" customFormat="1" ht="13.5" customHeight="1"/>
    <row r="395" s="3" customFormat="1" ht="13.5" customHeight="1"/>
    <row r="396" s="3" customFormat="1" ht="13.5" customHeight="1"/>
    <row r="397" s="3" customFormat="1" ht="13.5" customHeight="1"/>
    <row r="398" s="3" customFormat="1" ht="13.5" customHeight="1"/>
    <row r="399" s="3" customFormat="1" ht="13.5" customHeight="1"/>
    <row r="400" s="3" customFormat="1" ht="13.5" customHeight="1"/>
    <row r="401" s="3" customFormat="1" ht="13.5" customHeight="1"/>
    <row r="402" s="3" customFormat="1" ht="13.5" customHeight="1"/>
    <row r="403" s="3" customFormat="1" ht="13.5" customHeight="1"/>
    <row r="404" s="3" customFormat="1" ht="13.5" customHeight="1"/>
    <row r="405" s="3" customFormat="1" ht="13.5" customHeight="1"/>
    <row r="406" s="3" customFormat="1" ht="13.5" customHeight="1"/>
    <row r="407" s="3" customFormat="1" ht="13.5" customHeight="1"/>
    <row r="408" s="3" customFormat="1" ht="13.5" customHeight="1"/>
    <row r="409" s="3" customFormat="1" ht="13.5" customHeight="1"/>
    <row r="410" s="3" customFormat="1" ht="13.5" customHeight="1"/>
    <row r="411" s="3" customFormat="1" ht="13.5" customHeight="1"/>
    <row r="412" s="3" customFormat="1" ht="13.5" customHeight="1"/>
    <row r="413" s="3" customFormat="1" ht="13.5" customHeight="1"/>
    <row r="414" s="3" customFormat="1" ht="13.5" customHeight="1"/>
    <row r="415" s="3" customFormat="1" ht="13.5" customHeight="1"/>
    <row r="416" s="3" customFormat="1" ht="13.5" customHeight="1"/>
    <row r="417" s="3" customFormat="1" ht="13.5" customHeight="1"/>
    <row r="418" s="3" customFormat="1" ht="13.5" customHeight="1"/>
    <row r="419" s="3" customFormat="1" ht="13.5" customHeight="1"/>
    <row r="420" s="3" customFormat="1" ht="13.5" customHeight="1"/>
    <row r="421" s="3" customFormat="1" ht="13.5" customHeight="1"/>
    <row r="422" s="3" customFormat="1" ht="13.5" customHeight="1"/>
    <row r="423" s="3" customFormat="1" ht="13.5" customHeight="1"/>
    <row r="424" s="3" customFormat="1" ht="13.5" customHeight="1"/>
    <row r="425" s="3" customFormat="1" ht="13.5" customHeight="1"/>
    <row r="426" s="3" customFormat="1" ht="13.5" customHeight="1"/>
    <row r="427" s="3" customFormat="1" ht="13.5" customHeight="1"/>
    <row r="428" s="3" customFormat="1" ht="13.5" customHeight="1"/>
    <row r="429" s="3" customFormat="1" ht="13.5" customHeight="1"/>
    <row r="430" s="3" customFormat="1" ht="13.5" customHeight="1"/>
    <row r="431" s="3" customFormat="1" ht="13.5" customHeight="1"/>
    <row r="432" s="3" customFormat="1" ht="13.5" customHeight="1"/>
    <row r="433" s="3" customFormat="1" ht="13.5" customHeight="1"/>
    <row r="434" s="3" customFormat="1" ht="13.5" customHeight="1"/>
    <row r="435" s="3" customFormat="1" ht="13.5" customHeight="1"/>
    <row r="436" s="3" customFormat="1" ht="13.5" customHeight="1"/>
    <row r="437" s="3" customFormat="1" ht="13.5" customHeight="1"/>
    <row r="438" s="3" customFormat="1" ht="13.5" customHeight="1"/>
    <row r="439" s="3" customFormat="1" ht="13.5" customHeight="1"/>
    <row r="440" s="3" customFormat="1" ht="13.5" customHeight="1"/>
    <row r="441" s="3" customFormat="1" ht="13.5" customHeight="1"/>
    <row r="442" s="3" customFormat="1" ht="13.5" customHeight="1"/>
    <row r="443" s="3" customFormat="1" ht="13.5" customHeight="1"/>
    <row r="444" s="3" customFormat="1" ht="13.5" customHeight="1"/>
    <row r="445" s="3" customFormat="1" ht="13.5" customHeight="1"/>
    <row r="446" s="3" customFormat="1" ht="13.5" customHeight="1"/>
    <row r="447" s="3" customFormat="1" ht="13.5" customHeight="1"/>
    <row r="448" s="3" customFormat="1" ht="13.5" customHeight="1"/>
    <row r="449" s="3" customFormat="1" ht="13.5" customHeight="1"/>
    <row r="450" s="3" customFormat="1" ht="13.5" customHeight="1"/>
    <row r="451" s="3" customFormat="1" ht="13.5" customHeight="1"/>
    <row r="452" s="3" customFormat="1" ht="13.5" customHeight="1"/>
    <row r="453" s="3" customFormat="1" ht="13.5" customHeight="1"/>
    <row r="454" s="3" customFormat="1" ht="13.5" customHeight="1"/>
    <row r="455" s="3" customFormat="1" ht="13.5" customHeight="1"/>
    <row r="456" s="3" customFormat="1" ht="13.5" customHeight="1"/>
    <row r="457" s="3" customFormat="1" ht="13.5" customHeight="1"/>
    <row r="458" s="3" customFormat="1" ht="13.5" customHeight="1"/>
    <row r="459" s="3" customFormat="1" ht="13.5" customHeight="1"/>
    <row r="460" s="3" customFormat="1" ht="13.5" customHeight="1"/>
    <row r="461" s="3" customFormat="1" ht="13.5" customHeight="1"/>
    <row r="462" s="3" customFormat="1" ht="13.5" customHeight="1"/>
    <row r="463" s="3" customFormat="1" ht="13.5" customHeight="1"/>
    <row r="464" s="3" customFormat="1" ht="13.5" customHeight="1"/>
    <row r="465" s="3" customFormat="1" ht="13.5" customHeight="1"/>
    <row r="466" s="3" customFormat="1" ht="13.5" customHeight="1"/>
    <row r="467" s="3" customFormat="1" ht="13.5" customHeight="1"/>
    <row r="468" s="3" customFormat="1" ht="13.5" customHeight="1"/>
    <row r="469" s="3" customFormat="1" ht="13.5" customHeight="1"/>
    <row r="470" s="3" customFormat="1" ht="13.5" customHeight="1"/>
    <row r="471" s="3" customFormat="1" ht="13.5" customHeight="1"/>
    <row r="472" s="3" customFormat="1" ht="13.5" customHeight="1"/>
    <row r="473" s="3" customFormat="1" ht="13.5" customHeight="1"/>
    <row r="474" s="3" customFormat="1" ht="13.5" customHeight="1"/>
    <row r="475" s="3" customFormat="1" ht="13.5" customHeight="1"/>
    <row r="476" s="3" customFormat="1" ht="13.5" customHeight="1"/>
    <row r="477" s="3" customFormat="1" ht="13.5" customHeight="1"/>
    <row r="478" s="3" customFormat="1" ht="13.5" customHeight="1"/>
    <row r="479" s="3" customFormat="1" ht="13.5" customHeight="1"/>
    <row r="480" s="3" customFormat="1" ht="13.5" customHeight="1"/>
    <row r="481" s="3" customFormat="1" ht="13.5" customHeight="1"/>
    <row r="482" s="3" customFormat="1" ht="13.5" customHeight="1"/>
    <row r="483" s="3" customFormat="1" ht="13.5" customHeight="1"/>
    <row r="484" s="3" customFormat="1" ht="13.5" customHeight="1"/>
    <row r="485" s="3" customFormat="1" ht="13.5" customHeight="1"/>
    <row r="486" s="3" customFormat="1" ht="13.5" customHeight="1"/>
    <row r="487" s="3" customFormat="1" ht="13.5" customHeight="1"/>
    <row r="488" s="3" customFormat="1" ht="13.5" customHeight="1"/>
    <row r="489" s="3" customFormat="1" ht="13.5" customHeight="1"/>
    <row r="490" s="3" customFormat="1" ht="13.5" customHeight="1"/>
    <row r="491" s="3" customFormat="1" ht="13.5" customHeight="1"/>
    <row r="492" s="3" customFormat="1" ht="13.5" customHeight="1"/>
    <row r="493" s="3" customFormat="1" ht="13.5" customHeight="1"/>
    <row r="494" s="3" customFormat="1" ht="13.5" customHeight="1"/>
    <row r="495" s="3" customFormat="1" ht="13.5" customHeight="1"/>
    <row r="496" s="3" customFormat="1" ht="13.5" customHeight="1"/>
    <row r="497" s="3" customFormat="1" ht="13.5" customHeight="1"/>
    <row r="498" s="3" customFormat="1" ht="13.5" customHeight="1"/>
    <row r="499" s="3" customFormat="1" ht="13.5" customHeight="1"/>
    <row r="500" s="3" customFormat="1" ht="13.5" customHeight="1"/>
    <row r="501" s="3" customFormat="1" ht="13.5" customHeight="1"/>
    <row r="502" s="3" customFormat="1" ht="13.5" customHeight="1"/>
    <row r="503" s="3" customFormat="1" ht="13.5" customHeight="1"/>
    <row r="504" s="3" customFormat="1" ht="13.5" customHeight="1"/>
    <row r="505" s="3" customFormat="1" ht="13.5" customHeight="1"/>
    <row r="506" s="3" customFormat="1" ht="13.5" customHeight="1"/>
    <row r="507" s="3" customFormat="1" ht="13.5" customHeight="1"/>
    <row r="508" s="3" customFormat="1" ht="13.5" customHeight="1"/>
    <row r="509" s="3" customFormat="1" ht="13.5" customHeight="1"/>
    <row r="510" s="3" customFormat="1" ht="13.5" customHeight="1"/>
    <row r="511" s="3" customFormat="1" ht="13.5" customHeight="1"/>
    <row r="512" s="3" customFormat="1" ht="13.5" customHeight="1"/>
    <row r="513" s="3" customFormat="1" ht="13.5" customHeight="1"/>
    <row r="514" s="3" customFormat="1" ht="13.5" customHeight="1"/>
    <row r="515" s="3" customFormat="1" ht="13.5" customHeight="1"/>
    <row r="516" s="3" customFormat="1" ht="13.5" customHeight="1"/>
    <row r="517" s="3" customFormat="1" ht="13.5" customHeight="1"/>
    <row r="518" s="3" customFormat="1" ht="13.5" customHeight="1"/>
    <row r="519" s="3" customFormat="1" ht="13.5" customHeight="1"/>
    <row r="520" s="3" customFormat="1" ht="13.5" customHeight="1"/>
    <row r="521" s="3" customFormat="1" ht="13.5" customHeight="1"/>
    <row r="522" s="3" customFormat="1" ht="13.5" customHeight="1"/>
    <row r="523" s="3" customFormat="1" ht="13.5" customHeight="1"/>
    <row r="524" s="3" customFormat="1" ht="13.5" customHeight="1"/>
    <row r="525" s="3" customFormat="1" ht="13.5" customHeight="1"/>
    <row r="526" s="3" customFormat="1" ht="13.5" customHeight="1"/>
    <row r="527" s="3" customFormat="1" ht="13.5" customHeight="1"/>
    <row r="528" s="3" customFormat="1" ht="13.5" customHeight="1"/>
    <row r="529" s="3" customFormat="1" ht="13.5" customHeight="1"/>
    <row r="530" s="3" customFormat="1" ht="13.5" customHeight="1"/>
    <row r="531" s="3" customFormat="1" ht="13.5" customHeight="1"/>
    <row r="532" s="3" customFormat="1" ht="13.5" customHeight="1"/>
    <row r="533" s="3" customFormat="1" ht="13.5" customHeight="1"/>
    <row r="534" s="3" customFormat="1" ht="13.5" customHeight="1"/>
    <row r="535" s="3" customFormat="1" ht="13.5" customHeight="1"/>
    <row r="536" s="3" customFormat="1" ht="13.5" customHeight="1"/>
    <row r="537" s="3" customFormat="1" ht="13.5" customHeight="1"/>
    <row r="538" s="3" customFormat="1" ht="13.5" customHeight="1"/>
    <row r="539" s="3" customFormat="1" ht="13.5" customHeight="1"/>
    <row r="540" s="3" customFormat="1" ht="13.5" customHeight="1"/>
    <row r="541" s="3" customFormat="1" ht="13.5" customHeight="1"/>
    <row r="542" s="3" customFormat="1" ht="13.5" customHeight="1"/>
    <row r="543" s="3" customFormat="1" ht="13.5" customHeight="1"/>
    <row r="544" s="3" customFormat="1" ht="13.5" customHeight="1"/>
    <row r="545" s="3" customFormat="1" ht="13.5" customHeight="1"/>
    <row r="546" s="3" customFormat="1" ht="13.5" customHeight="1"/>
    <row r="547" s="3" customFormat="1" ht="13.5" customHeight="1"/>
    <row r="548" s="3" customFormat="1" ht="13.5" customHeight="1"/>
    <row r="549" s="3" customFormat="1" ht="13.5" customHeight="1"/>
    <row r="550" s="3" customFormat="1" ht="13.5" customHeight="1"/>
    <row r="551" s="3" customFormat="1" ht="13.5" customHeight="1"/>
    <row r="552" s="3" customFormat="1" ht="13.5" customHeight="1"/>
    <row r="553" s="3" customFormat="1" ht="13.5" customHeight="1"/>
    <row r="554" s="3" customFormat="1" ht="13.5" customHeight="1"/>
    <row r="555" s="3" customFormat="1" ht="13.5" customHeight="1"/>
    <row r="556" s="3" customFormat="1" ht="13.5" customHeight="1"/>
    <row r="557" s="3" customFormat="1" ht="13.5" customHeight="1"/>
    <row r="558" s="3" customFormat="1" ht="13.5" customHeight="1"/>
    <row r="559" s="3" customFormat="1" ht="13.5" customHeight="1"/>
    <row r="560" s="3" customFormat="1" ht="13.5" customHeight="1"/>
    <row r="561" s="3" customFormat="1" ht="13.5" customHeight="1"/>
    <row r="562" s="3" customFormat="1" ht="13.5" customHeight="1"/>
    <row r="563" s="3" customFormat="1" ht="13.5" customHeight="1"/>
    <row r="564" s="3" customFormat="1" ht="13.5" customHeight="1"/>
    <row r="565" s="3" customFormat="1" ht="13.5" customHeight="1"/>
    <row r="566" s="3" customFormat="1" ht="13.5" customHeight="1"/>
    <row r="567" s="3" customFormat="1" ht="13.5" customHeight="1"/>
    <row r="568" s="3" customFormat="1" ht="13.5" customHeight="1"/>
    <row r="569" s="3" customFormat="1" ht="13.5" customHeight="1"/>
    <row r="570" s="3" customFormat="1" ht="13.5" customHeight="1"/>
    <row r="571" s="3" customFormat="1" ht="13.5" customHeight="1"/>
    <row r="572" s="3" customFormat="1" ht="13.5" customHeight="1"/>
    <row r="573" s="3" customFormat="1" ht="13.5" customHeight="1"/>
    <row r="574" s="3" customFormat="1" ht="13.5" customHeight="1"/>
    <row r="575" s="3" customFormat="1" ht="13.5" customHeight="1"/>
    <row r="576" s="3" customFormat="1" ht="13.5" customHeight="1"/>
    <row r="577" s="3" customFormat="1" ht="13.5" customHeight="1"/>
    <row r="578" s="3" customFormat="1" ht="13.5" customHeight="1"/>
    <row r="579" s="3" customFormat="1" ht="13.5" customHeight="1"/>
    <row r="580" s="3" customFormat="1" ht="13.5" customHeight="1"/>
    <row r="581" s="3" customFormat="1" ht="13.5" customHeight="1"/>
    <row r="582" s="3" customFormat="1" ht="13.5" customHeight="1"/>
    <row r="583" s="3" customFormat="1" ht="13.5" customHeight="1"/>
    <row r="584" s="3" customFormat="1" ht="13.5" customHeight="1"/>
    <row r="585" s="3" customFormat="1" ht="13.5" customHeight="1"/>
    <row r="586" s="3" customFormat="1" ht="13.5" customHeight="1"/>
    <row r="587" s="3" customFormat="1" ht="13.5" customHeight="1"/>
    <row r="588" s="3" customFormat="1" ht="13.5" customHeight="1"/>
    <row r="589" s="3" customFormat="1" ht="13.5" customHeight="1"/>
    <row r="590" s="3" customFormat="1" ht="13.5" customHeight="1"/>
    <row r="591" s="3" customFormat="1" ht="13.5" customHeight="1"/>
    <row r="592" s="3" customFormat="1" ht="13.5" customHeight="1"/>
    <row r="593" s="3" customFormat="1" ht="13.5" customHeight="1"/>
    <row r="594" s="3" customFormat="1" ht="13.5" customHeight="1"/>
    <row r="595" s="3" customFormat="1" ht="13.5" customHeight="1"/>
    <row r="596" s="3" customFormat="1" ht="13.5" customHeight="1"/>
    <row r="597" s="3" customFormat="1" ht="13.5" customHeight="1"/>
    <row r="598" s="3" customFormat="1" ht="13.5" customHeight="1"/>
    <row r="599" s="3" customFormat="1" ht="13.5" customHeight="1"/>
    <row r="600" s="3" customFormat="1" ht="13.5" customHeight="1"/>
    <row r="601" s="3" customFormat="1" ht="13.5" customHeight="1"/>
    <row r="602" s="3" customFormat="1" ht="13.5" customHeight="1"/>
    <row r="603" s="3" customFormat="1" ht="13.5" customHeight="1"/>
    <row r="604" s="3" customFormat="1" ht="13.5" customHeight="1"/>
    <row r="605" s="3" customFormat="1" ht="13.5" customHeight="1"/>
    <row r="606" s="3" customFormat="1" ht="13.5" customHeight="1"/>
    <row r="607" s="3" customFormat="1" ht="13.5" customHeight="1"/>
    <row r="608" s="3" customFormat="1" ht="13.5" customHeight="1"/>
    <row r="609" s="3" customFormat="1" ht="13.5" customHeight="1"/>
    <row r="610" s="3" customFormat="1" ht="13.5" customHeight="1"/>
    <row r="611" s="3" customFormat="1" ht="13.5" customHeight="1"/>
    <row r="612" s="3" customFormat="1" ht="13.5" customHeight="1"/>
    <row r="613" s="3" customFormat="1" ht="13.5" customHeight="1"/>
    <row r="614" s="3" customFormat="1" ht="13.5" customHeight="1"/>
    <row r="615" s="3" customFormat="1" ht="13.5" customHeight="1"/>
    <row r="616" s="3" customFormat="1" ht="13.5" customHeight="1"/>
    <row r="617" s="3" customFormat="1" ht="13.5" customHeight="1"/>
    <row r="618" s="3" customFormat="1" ht="13.5" customHeight="1"/>
    <row r="619" s="3" customFormat="1" ht="13.5" customHeight="1"/>
    <row r="620" s="3" customFormat="1" ht="13.5" customHeight="1"/>
    <row r="621" s="3" customFormat="1" ht="13.5" customHeight="1"/>
    <row r="622" s="3" customFormat="1" ht="13.5" customHeight="1"/>
    <row r="623" s="3" customFormat="1" ht="13.5" customHeight="1"/>
    <row r="624" s="3" customFormat="1" ht="13.5" customHeight="1"/>
    <row r="625" s="3" customFormat="1" ht="13.5" customHeight="1"/>
    <row r="626" s="3" customFormat="1" ht="13.5" customHeight="1"/>
    <row r="627" s="3" customFormat="1" ht="13.5" customHeight="1"/>
    <row r="628" s="3" customFormat="1" ht="13.5" customHeight="1"/>
    <row r="629" s="3" customFormat="1" ht="13.5" customHeight="1"/>
    <row r="630" s="3" customFormat="1" ht="13.5" customHeight="1"/>
    <row r="631" s="3" customFormat="1" ht="13.5" customHeight="1"/>
    <row r="632" s="3" customFormat="1" ht="13.5" customHeight="1"/>
    <row r="633" s="3" customFormat="1" ht="13.5" customHeight="1"/>
    <row r="634" s="3" customFormat="1" ht="13.5" customHeight="1"/>
    <row r="635" s="3" customFormat="1" ht="13.5" customHeight="1"/>
    <row r="636" s="3" customFormat="1" ht="13.5" customHeight="1"/>
    <row r="637" s="3" customFormat="1" ht="13.5" customHeight="1"/>
    <row r="638" s="3" customFormat="1" ht="13.5" customHeight="1"/>
    <row r="639" s="3" customFormat="1" ht="13.5" customHeight="1"/>
    <row r="640" s="3" customFormat="1" ht="13.5" customHeight="1"/>
    <row r="641" s="3" customFormat="1" ht="13.5" customHeight="1"/>
    <row r="642" s="3" customFormat="1" ht="13.5" customHeight="1"/>
    <row r="643" s="3" customFormat="1" ht="13.5" customHeight="1"/>
    <row r="644" s="3" customFormat="1" ht="13.5" customHeight="1"/>
    <row r="645" s="3" customFormat="1" ht="13.5" customHeight="1"/>
    <row r="646" s="3" customFormat="1" ht="13.5" customHeight="1"/>
    <row r="647" s="3" customFormat="1" ht="13.5" customHeight="1"/>
    <row r="648" s="3" customFormat="1" ht="13.5" customHeight="1"/>
    <row r="649" s="3" customFormat="1" ht="13.5" customHeight="1"/>
    <row r="650" s="3" customFormat="1" ht="13.5" customHeight="1"/>
    <row r="651" s="3" customFormat="1" ht="13.5" customHeight="1"/>
    <row r="652" s="3" customFormat="1" ht="13.5" customHeight="1"/>
    <row r="653" s="3" customFormat="1" ht="13.5" customHeight="1"/>
    <row r="654" s="3" customFormat="1" ht="13.5" customHeight="1"/>
    <row r="655" s="3" customFormat="1" ht="13.5" customHeight="1"/>
    <row r="656" s="3" customFormat="1" ht="13.5" customHeight="1"/>
    <row r="657" s="3" customFormat="1" ht="13.5" customHeight="1"/>
    <row r="658" s="3" customFormat="1" ht="13.5" customHeight="1"/>
    <row r="659" s="3" customFormat="1" ht="13.5" customHeight="1"/>
    <row r="660" s="3" customFormat="1" ht="13.5" customHeight="1"/>
    <row r="661" s="3" customFormat="1" ht="13.5" customHeight="1"/>
    <row r="662" s="3" customFormat="1" ht="13.5" customHeight="1"/>
    <row r="663" s="3" customFormat="1" ht="13.5" customHeight="1"/>
    <row r="664" s="3" customFormat="1" ht="13.5" customHeight="1"/>
    <row r="665" s="3" customFormat="1" ht="13.5" customHeight="1"/>
    <row r="666" s="3" customFormat="1" ht="13.5" customHeight="1"/>
    <row r="667" s="3" customFormat="1" ht="13.5" customHeight="1"/>
    <row r="668" s="3" customFormat="1" ht="13.5" customHeight="1"/>
    <row r="669" s="3" customFormat="1" ht="13.5" customHeight="1"/>
    <row r="670" s="3" customFormat="1" ht="13.5" customHeight="1"/>
    <row r="671" s="3" customFormat="1" ht="13.5" customHeight="1"/>
    <row r="672" s="3" customFormat="1" ht="13.5" customHeight="1"/>
    <row r="673" s="3" customFormat="1" ht="13.5" customHeight="1"/>
    <row r="674" s="3" customFormat="1" ht="13.5" customHeight="1"/>
    <row r="675" s="3" customFormat="1" ht="13.5" customHeight="1"/>
    <row r="676" s="3" customFormat="1" ht="13.5" customHeight="1"/>
    <row r="677" s="3" customFormat="1" ht="13.5" customHeight="1"/>
    <row r="678" s="3" customFormat="1" ht="13.5" customHeight="1"/>
    <row r="679" s="3" customFormat="1" ht="13.5" customHeight="1"/>
    <row r="680" s="3" customFormat="1" ht="13.5" customHeight="1"/>
    <row r="681" s="3" customFormat="1" ht="13.5" customHeight="1"/>
    <row r="682" s="3" customFormat="1" ht="13.5" customHeight="1"/>
    <row r="683" s="3" customFormat="1" ht="13.5" customHeight="1"/>
    <row r="684" s="3" customFormat="1" ht="13.5" customHeight="1"/>
    <row r="685" s="3" customFormat="1" ht="13.5" customHeight="1"/>
    <row r="686" s="3" customFormat="1" ht="13.5" customHeight="1"/>
    <row r="687" s="3" customFormat="1" ht="13.5" customHeight="1"/>
    <row r="688" s="3" customFormat="1" ht="13.5" customHeight="1"/>
    <row r="689" spans="9:23" s="3" customFormat="1" ht="13.5" customHeight="1"/>
    <row r="690" spans="9:23" s="3" customFormat="1" ht="13.5" customHeight="1"/>
    <row r="691" spans="9:23" s="3" customFormat="1" ht="13.5" customHeight="1"/>
    <row r="692" spans="9:23" s="3" customFormat="1" ht="13.5" customHeight="1"/>
    <row r="693" spans="9:23" s="3" customFormat="1" ht="13.5" customHeight="1"/>
    <row r="694" spans="9:23" s="3" customFormat="1" ht="13.5" customHeight="1"/>
    <row r="695" spans="9:23" s="3" customFormat="1" ht="13.5" customHeight="1"/>
    <row r="696" spans="9:23" s="3" customFormat="1" ht="13.5" customHeight="1"/>
    <row r="697" spans="9:23" s="3" customFormat="1" ht="13.5" customHeight="1"/>
    <row r="698" spans="9:23" s="3" customFormat="1" ht="13.5" customHeight="1"/>
    <row r="699" spans="9:23" ht="13.5" customHeight="1">
      <c r="I699" s="3"/>
      <c r="U699" s="3"/>
      <c r="V699" s="3"/>
      <c r="W699" s="3"/>
    </row>
  </sheetData>
  <sheetProtection algorithmName="SHA-512" hashValue="AyNeVFoXMnZOECroKEdOCc84U2H1IwaiLOCyIrIX7aUTfmccO8ABUSXNN28J19bZCt+CMX4+3TYbG2/DY198aA==" saltValue="A0aKVt4GDjqPdFhjTtOMQA==" spinCount="100000" sheet="1" objects="1" scenarios="1"/>
  <customSheetViews>
    <customSheetView guid="{91EE9386-9500-473B-B86C-27DB8DF0BA46}" scale="115" showGridLines="0">
      <pageMargins left="0.25" right="0.25" top="0.75" bottom="0.75" header="0.3" footer="0.3"/>
      <pageSetup paperSize="9" orientation="landscape" r:id="rId1"/>
    </customSheetView>
    <customSheetView guid="{B8019777-F14C-4393-8CE3-CE0081D0CD28}" scale="115" showGridLines="0">
      <pageMargins left="0.25" right="0.25" top="0.75" bottom="0.75" header="0.3" footer="0.3"/>
      <pageSetup paperSize="9" orientation="landscape" r:id="rId2"/>
    </customSheetView>
  </customSheetViews>
  <mergeCells count="30">
    <mergeCell ref="B11:C11"/>
    <mergeCell ref="G1:I2"/>
    <mergeCell ref="B4:C4"/>
    <mergeCell ref="D8:E8"/>
    <mergeCell ref="B9:D9"/>
    <mergeCell ref="F11:G11"/>
    <mergeCell ref="D11:E11"/>
    <mergeCell ref="B2:F2"/>
    <mergeCell ref="J32:J45"/>
    <mergeCell ref="J27:J30"/>
    <mergeCell ref="K10:K11"/>
    <mergeCell ref="L12:L13"/>
    <mergeCell ref="L17:L18"/>
    <mergeCell ref="L22:L23"/>
    <mergeCell ref="L27:L28"/>
    <mergeCell ref="L19:L20"/>
    <mergeCell ref="L24:L25"/>
    <mergeCell ref="L14:L15"/>
    <mergeCell ref="L32:L33"/>
    <mergeCell ref="J12:J15"/>
    <mergeCell ref="J17:J20"/>
    <mergeCell ref="J22:J25"/>
    <mergeCell ref="L29:L30"/>
    <mergeCell ref="L46:L47"/>
    <mergeCell ref="L42:L43"/>
    <mergeCell ref="L44:L45"/>
    <mergeCell ref="L38:L39"/>
    <mergeCell ref="L34:L35"/>
    <mergeCell ref="L36:L37"/>
    <mergeCell ref="L40:L41"/>
  </mergeCells>
  <phoneticPr fontId="4" type="noConversion"/>
  <pageMargins left="0.25" right="0.25" top="0.75" bottom="0.75" header="0.3" footer="0.3"/>
  <pageSetup paperSize="9" orientation="landscape"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BE04-6C8A-4C81-8BCF-0C97168E52D3}">
  <dimension ref="A1:R686"/>
  <sheetViews>
    <sheetView showGridLines="0" zoomScale="90" zoomScaleNormal="90" workbookViewId="0">
      <selection activeCell="B11" sqref="B11:J16"/>
    </sheetView>
  </sheetViews>
  <sheetFormatPr baseColWidth="10" defaultColWidth="11" defaultRowHeight="15"/>
  <cols>
    <col min="1" max="1" width="2.77734375" style="3" customWidth="1"/>
    <col min="2" max="2" width="45.44140625" style="3" customWidth="1"/>
    <col min="3" max="3" width="10.21875" style="3" customWidth="1"/>
    <col min="4" max="4" width="9.77734375" style="3" customWidth="1"/>
    <col min="5" max="5" width="3.44140625" style="3" customWidth="1"/>
    <col min="6" max="6" width="8.44140625" style="3" customWidth="1"/>
    <col min="7" max="7" width="11.44140625" style="3" customWidth="1"/>
    <col min="8" max="16384" width="11" style="3"/>
  </cols>
  <sheetData>
    <row r="1" spans="1:11" ht="17.55" customHeight="1">
      <c r="A1" s="1"/>
      <c r="G1" s="131" t="e">
        <f>'2a Chefeingaben'!#REF!</f>
        <v>#REF!</v>
      </c>
    </row>
    <row r="2" spans="1:11" ht="15" customHeight="1">
      <c r="A2" s="2"/>
      <c r="B2" s="219" t="s">
        <v>1204</v>
      </c>
      <c r="C2" s="218"/>
      <c r="D2" s="218"/>
    </row>
    <row r="3" spans="1:11" ht="29.25" customHeight="1" thickBot="1">
      <c r="A3" s="5"/>
      <c r="B3" s="3939" t="str">
        <f>IF(D5="keine Angabe","Wenn Sie keine Vorjahreswerte eingeben haben, können Sie hier die Vorjahreswerte  als Vergleich eingeben","Die Vorjahreswerte sind eingeben, Sie brauchen nichts weiter einzugeben.")</f>
        <v>Die Vorjahreswerte sind eingeben, Sie brauchen nichts weiter einzugeben.</v>
      </c>
      <c r="C3" s="3939"/>
      <c r="D3" s="593" t="s">
        <v>26</v>
      </c>
    </row>
    <row r="4" spans="1:11" ht="20.25" customHeight="1">
      <c r="A4" s="5"/>
      <c r="B4" s="189" t="s">
        <v>185</v>
      </c>
      <c r="C4" s="735"/>
      <c r="D4" s="1546">
        <f>IF('3 Vorjahr'!K14="","keine Angabe",IF('3 Vorjahr'!K14=0,"keine Angabe",'3 Vorjahr'!K14))</f>
        <v>401467.82400000002</v>
      </c>
      <c r="E4" s="3948">
        <f>IF(D4="keine Angabe",C4,D4)</f>
        <v>401467.82400000002</v>
      </c>
      <c r="F4" s="3949"/>
    </row>
    <row r="5" spans="1:11" ht="20.25" customHeight="1">
      <c r="A5" s="5"/>
      <c r="B5" s="220" t="s">
        <v>428</v>
      </c>
      <c r="C5" s="736"/>
      <c r="D5" s="1546">
        <f>IF('3 Vorjahr'!K13="","keine Angabe",IF('3 Vorjahr'!K13=0,"keine Angabe",'3 Vorjahr'!K13))</f>
        <v>22089.383999999998</v>
      </c>
      <c r="E5" s="3948">
        <f>IF(D5="keine Angabe",C5,D5)</f>
        <v>22089.383999999998</v>
      </c>
      <c r="F5" s="3949"/>
    </row>
    <row r="6" spans="1:11" ht="20.25" customHeight="1" thickBot="1">
      <c r="A6" s="1353" t="e">
        <f>IF(#REF!="",0,#REF!)</f>
        <v>#REF!</v>
      </c>
      <c r="B6" s="410" t="s">
        <v>183</v>
      </c>
      <c r="C6" s="1903">
        <f>IF(C4="",D6,C5/C4*100)</f>
        <v>5.5021555102258946</v>
      </c>
      <c r="D6" s="594">
        <f>IF(D5="keine Angabe","",IF(D4="","",D5/D4*100))</f>
        <v>5.5021555102258946</v>
      </c>
    </row>
    <row r="7" spans="1:11" ht="53.1" customHeight="1" thickBot="1">
      <c r="A7" s="5"/>
      <c r="B7" s="1484" t="str">
        <f>IF(C6="","Wenn kein Verkausfumsatz angegeben ist, wird ein Wert von 4% zur Berechnung des Sollumsatzes angenommen","Für die Berechnung des Sollumsatz des Salon und der Mitarbeiterumsätze wird der % Wert aus dem letzten Jahr übernommen")</f>
        <v>Für die Berechnung des Sollumsatz des Salon und der Mitarbeiterumsätze wird der % Wert aus dem letzten Jahr übernommen</v>
      </c>
      <c r="C7" s="1367">
        <f>IF(C6="",4,IF(C6=0,4,C6))</f>
        <v>5.5021555102258946</v>
      </c>
      <c r="D7" s="3268" t="str">
        <f>IF(C7="","Wenn kein Verkausfumsatz angegeben ist, wird ein Wert von 4% angenommen","")</f>
        <v/>
      </c>
      <c r="E7" s="3355"/>
      <c r="F7" s="3355"/>
    </row>
    <row r="8" spans="1:11" ht="30.6" customHeight="1">
      <c r="A8" s="5"/>
      <c r="B8" s="1483" t="s">
        <v>929</v>
      </c>
      <c r="C8" s="1368">
        <f>C7</f>
        <v>5.5021555102258946</v>
      </c>
      <c r="D8" s="1369">
        <f>IF(E8="",C7,E8)</f>
        <v>5.5021555102258946</v>
      </c>
      <c r="E8" s="267" t="str">
        <f>IF(F9="","",D9)</f>
        <v/>
      </c>
      <c r="F8" s="583"/>
      <c r="G8" s="3946" t="str">
        <f>IF(D9="","","↙ lesen Sie bitte unten, dann ggf. mit ok bestätigen")</f>
        <v/>
      </c>
      <c r="H8" s="3946"/>
      <c r="I8" s="3946"/>
      <c r="J8" s="3946"/>
    </row>
    <row r="9" spans="1:11" ht="31.5" customHeight="1">
      <c r="A9" s="5"/>
      <c r="B9" s="3947" t="str">
        <f>IF(C6="","Falls Sie einen % Wert für den VK Umsatz eingeben möchten, der höher als die 4% ist, können Sie das hier tun.","Falls Sie einen höheren % Wert für den VK Umsatz eingeben möchten, können Sie das hier tun. Aber Achtung!")</f>
        <v>Falls Sie einen höheren % Wert für den VK Umsatz eingeben möchten, können Sie das hier tun. Aber Achtung!</v>
      </c>
      <c r="C9" s="3947"/>
      <c r="D9" s="1370"/>
      <c r="E9" s="1502" t="str">
        <f>IF(D9="","","%")</f>
        <v/>
      </c>
      <c r="F9" s="1370"/>
      <c r="G9" s="3946"/>
      <c r="H9" s="3946"/>
      <c r="I9" s="3946"/>
      <c r="J9" s="3946"/>
    </row>
    <row r="10" spans="1:11" ht="31.5" customHeight="1">
      <c r="A10" s="5"/>
      <c r="B10" s="15" t="s">
        <v>408</v>
      </c>
      <c r="D10" s="15"/>
      <c r="E10" s="15"/>
      <c r="F10" s="15"/>
      <c r="G10" s="15"/>
      <c r="H10" s="15"/>
      <c r="I10" s="15"/>
    </row>
    <row r="11" spans="1:11" ht="24.75" customHeight="1">
      <c r="A11" s="2"/>
      <c r="B11" s="3318" t="s">
        <v>933</v>
      </c>
      <c r="C11" s="3318"/>
      <c r="D11" s="3318"/>
      <c r="E11" s="3318"/>
      <c r="F11" s="3318"/>
      <c r="G11" s="3318"/>
      <c r="H11" s="3318"/>
      <c r="I11" s="3318"/>
      <c r="J11" s="3318"/>
      <c r="K11" s="1501"/>
    </row>
    <row r="12" spans="1:11" ht="23.25" customHeight="1">
      <c r="A12" s="5"/>
      <c r="B12" s="3318"/>
      <c r="C12" s="3318"/>
      <c r="D12" s="3318"/>
      <c r="E12" s="3318"/>
      <c r="F12" s="3318"/>
      <c r="G12" s="3318"/>
      <c r="H12" s="3318"/>
      <c r="I12" s="3318"/>
      <c r="J12" s="3318"/>
      <c r="K12" s="1501"/>
    </row>
    <row r="13" spans="1:11" ht="20.25" customHeight="1">
      <c r="A13" s="5"/>
      <c r="B13" s="3318"/>
      <c r="C13" s="3318"/>
      <c r="D13" s="3318"/>
      <c r="E13" s="3318"/>
      <c r="F13" s="3318"/>
      <c r="G13" s="3318"/>
      <c r="H13" s="3318"/>
      <c r="I13" s="3318"/>
      <c r="J13" s="3318"/>
      <c r="K13" s="1501"/>
    </row>
    <row r="14" spans="1:11" ht="20.25" customHeight="1">
      <c r="A14" s="5"/>
      <c r="B14" s="3318"/>
      <c r="C14" s="3318"/>
      <c r="D14" s="3318"/>
      <c r="E14" s="3318"/>
      <c r="F14" s="3318"/>
      <c r="G14" s="3318"/>
      <c r="H14" s="3318"/>
      <c r="I14" s="3318"/>
      <c r="J14" s="3318"/>
      <c r="K14" s="1501"/>
    </row>
    <row r="15" spans="1:11" ht="20.25" customHeight="1">
      <c r="A15" s="5"/>
      <c r="B15" s="3318"/>
      <c r="C15" s="3318"/>
      <c r="D15" s="3318"/>
      <c r="E15" s="3318"/>
      <c r="F15" s="3318"/>
      <c r="G15" s="3318"/>
      <c r="H15" s="3318"/>
      <c r="I15" s="3318"/>
      <c r="J15" s="3318"/>
    </row>
    <row r="16" spans="1:11" ht="28.5" customHeight="1">
      <c r="A16" s="5"/>
      <c r="B16" s="3318"/>
      <c r="C16" s="3318"/>
      <c r="D16" s="3318"/>
      <c r="E16" s="3318"/>
      <c r="F16" s="3318"/>
      <c r="G16" s="3318"/>
      <c r="H16" s="3318"/>
      <c r="I16" s="3318"/>
      <c r="J16" s="3318"/>
    </row>
    <row r="17" spans="1:18" ht="24" customHeight="1">
      <c r="A17" s="5"/>
      <c r="B17" s="127" t="s">
        <v>256</v>
      </c>
      <c r="C17" s="152">
        <v>150000</v>
      </c>
      <c r="D17" s="532">
        <v>1</v>
      </c>
      <c r="E17" s="413"/>
      <c r="F17" s="1300" t="s">
        <v>843</v>
      </c>
      <c r="G17" s="413"/>
      <c r="H17" s="413"/>
      <c r="I17" s="413"/>
    </row>
    <row r="18" spans="1:18" ht="24" customHeight="1">
      <c r="A18" s="5"/>
      <c r="B18" s="127" t="s">
        <v>405</v>
      </c>
      <c r="C18" s="152">
        <f>C17*D18</f>
        <v>141000</v>
      </c>
      <c r="D18" s="532">
        <f>D17-D19</f>
        <v>0.94</v>
      </c>
    </row>
    <row r="19" spans="1:18" ht="24" customHeight="1">
      <c r="A19" s="5"/>
      <c r="B19" s="127" t="s">
        <v>404</v>
      </c>
      <c r="C19" s="152">
        <f>C17*D19</f>
        <v>9000</v>
      </c>
      <c r="D19" s="548">
        <v>0.06</v>
      </c>
      <c r="E19" s="3672" t="s">
        <v>834</v>
      </c>
      <c r="F19" s="3672"/>
      <c r="G19" s="3672"/>
      <c r="H19" s="3672"/>
      <c r="I19" s="3672"/>
      <c r="J19" s="3672"/>
      <c r="K19" s="3672"/>
    </row>
    <row r="20" spans="1:18" ht="24" customHeight="1">
      <c r="A20" s="5"/>
      <c r="D20" s="218"/>
      <c r="E20" s="3672"/>
      <c r="F20" s="3672"/>
      <c r="G20" s="3672"/>
      <c r="H20" s="3672"/>
      <c r="I20" s="3672"/>
      <c r="J20" s="3672"/>
      <c r="K20" s="3672"/>
    </row>
    <row r="21" spans="1:18" ht="21" customHeight="1">
      <c r="A21" s="5"/>
      <c r="B21" s="15" t="s">
        <v>406</v>
      </c>
      <c r="C21" s="15"/>
      <c r="D21" s="15"/>
    </row>
    <row r="22" spans="1:18" ht="18.75" customHeight="1">
      <c r="A22" s="5"/>
      <c r="B22" s="3318" t="s">
        <v>835</v>
      </c>
      <c r="C22" s="3318"/>
      <c r="D22" s="3318"/>
      <c r="E22" s="3318"/>
      <c r="F22" s="3318"/>
      <c r="G22" s="3318"/>
      <c r="H22" s="3318"/>
      <c r="I22" s="3318"/>
      <c r="J22" s="3318"/>
    </row>
    <row r="23" spans="1:18" ht="15.75" customHeight="1">
      <c r="A23" s="5"/>
      <c r="B23" s="3318"/>
      <c r="C23" s="3318"/>
      <c r="D23" s="3318"/>
      <c r="E23" s="3318"/>
      <c r="F23" s="3318"/>
      <c r="G23" s="3318"/>
      <c r="H23" s="3318"/>
      <c r="I23" s="3318"/>
      <c r="J23" s="3318"/>
    </row>
    <row r="24" spans="1:18" ht="20.25" customHeight="1">
      <c r="A24" s="5"/>
      <c r="B24" s="15" t="s">
        <v>410</v>
      </c>
      <c r="C24" s="15" t="s">
        <v>409</v>
      </c>
      <c r="D24" s="15"/>
      <c r="E24" s="15"/>
    </row>
    <row r="25" spans="1:18" ht="18" customHeight="1">
      <c r="A25" s="5"/>
      <c r="B25" s="15"/>
      <c r="C25" s="15" t="s">
        <v>524</v>
      </c>
      <c r="D25" s="15"/>
      <c r="E25" s="15"/>
    </row>
    <row r="26" spans="1:18" ht="18.75" customHeight="1">
      <c r="A26" s="5"/>
      <c r="B26" s="3" t="s">
        <v>1203</v>
      </c>
    </row>
    <row r="27" spans="1:18" s="15" customFormat="1" ht="16.5" customHeight="1">
      <c r="A27" s="13"/>
      <c r="K27" s="3"/>
      <c r="L27" s="3"/>
      <c r="M27" s="3"/>
      <c r="N27" s="3"/>
      <c r="O27" s="3"/>
      <c r="P27" s="3"/>
      <c r="Q27" s="3"/>
      <c r="R27" s="3"/>
    </row>
    <row r="28" spans="1:18" s="15" customFormat="1" ht="16.5" customHeight="1">
      <c r="A28" s="34"/>
      <c r="K28" s="3"/>
      <c r="L28" s="3"/>
      <c r="M28" s="3"/>
      <c r="N28" s="3"/>
      <c r="O28" s="3"/>
      <c r="P28" s="3"/>
      <c r="Q28" s="3"/>
      <c r="R28" s="3"/>
    </row>
    <row r="29" spans="1:18" s="15" customFormat="1" ht="15" customHeight="1">
      <c r="A29" s="3"/>
      <c r="K29" s="3"/>
      <c r="L29" s="3"/>
      <c r="M29" s="3"/>
      <c r="N29" s="3"/>
      <c r="O29" s="3"/>
      <c r="P29" s="3"/>
      <c r="Q29" s="3"/>
      <c r="R29" s="3"/>
    </row>
    <row r="30" spans="1:18" s="15" customFormat="1" ht="15" customHeight="1">
      <c r="A30" s="3"/>
      <c r="K30" s="3"/>
      <c r="L30" s="3"/>
      <c r="M30" s="3"/>
      <c r="N30" s="3"/>
      <c r="O30" s="3"/>
      <c r="P30" s="3"/>
      <c r="Q30" s="3"/>
      <c r="R30" s="3"/>
    </row>
    <row r="31" spans="1:18" s="15" customFormat="1" ht="19.5" customHeight="1">
      <c r="A31" s="3"/>
      <c r="B31" s="3"/>
      <c r="C31" s="3"/>
      <c r="D31" s="3"/>
      <c r="E31" s="3"/>
      <c r="F31" s="3"/>
      <c r="G31" s="3"/>
      <c r="H31" s="3"/>
      <c r="I31" s="3"/>
      <c r="J31" s="3"/>
      <c r="K31" s="3"/>
      <c r="L31" s="3"/>
      <c r="M31" s="3"/>
      <c r="N31" s="3"/>
    </row>
    <row r="32" spans="1:18" s="15" customFormat="1" ht="19.5" customHeight="1">
      <c r="A32" s="3"/>
      <c r="B32" s="3"/>
      <c r="C32" s="3"/>
      <c r="D32" s="3"/>
      <c r="E32" s="3"/>
      <c r="F32" s="3"/>
      <c r="G32" s="3"/>
      <c r="H32" s="3"/>
      <c r="I32" s="3"/>
      <c r="J32" s="3"/>
      <c r="K32" s="3"/>
      <c r="L32" s="3"/>
      <c r="M32" s="3"/>
      <c r="N32" s="3"/>
    </row>
    <row r="33" spans="1:14" s="15" customFormat="1" ht="14.25" customHeight="1">
      <c r="A33" s="3"/>
      <c r="B33" s="3"/>
      <c r="C33" s="3"/>
      <c r="D33" s="3"/>
      <c r="E33" s="3"/>
      <c r="F33" s="3"/>
      <c r="G33" s="3"/>
      <c r="H33" s="3"/>
      <c r="I33" s="3"/>
      <c r="J33" s="3"/>
      <c r="K33" s="3"/>
      <c r="L33" s="3"/>
      <c r="M33" s="3"/>
      <c r="N33" s="3"/>
    </row>
    <row r="34" spans="1:14" s="15" customFormat="1" ht="24.75" customHeight="1">
      <c r="A34" s="3"/>
      <c r="B34" s="3"/>
      <c r="C34" s="3"/>
      <c r="D34" s="3"/>
      <c r="E34" s="3"/>
      <c r="F34" s="3"/>
      <c r="G34" s="3"/>
      <c r="H34" s="3"/>
      <c r="I34" s="3"/>
      <c r="J34" s="3"/>
      <c r="K34" s="3"/>
      <c r="L34" s="3"/>
      <c r="M34" s="3"/>
      <c r="N34" s="3"/>
    </row>
    <row r="35" spans="1:14" s="15" customFormat="1" ht="22.5" customHeight="1">
      <c r="A35" s="3"/>
      <c r="B35" s="3"/>
      <c r="C35" s="3"/>
      <c r="D35" s="3"/>
      <c r="E35" s="3"/>
      <c r="F35" s="3"/>
      <c r="G35" s="3"/>
      <c r="H35" s="3"/>
      <c r="I35" s="3"/>
      <c r="J35" s="3"/>
      <c r="K35" s="3"/>
      <c r="L35" s="3"/>
      <c r="M35" s="3"/>
      <c r="N35" s="3"/>
    </row>
    <row r="36" spans="1:14" ht="22.5" customHeight="1"/>
    <row r="37" spans="1:14" ht="13.5" customHeight="1"/>
    <row r="38" spans="1:14" ht="13.5" customHeight="1"/>
    <row r="39" spans="1:14" ht="13.5" customHeight="1"/>
    <row r="40" spans="1:14" ht="13.5" customHeight="1"/>
    <row r="41" spans="1:14" ht="13.5" customHeight="1"/>
    <row r="42" spans="1:14" ht="13.5" customHeight="1"/>
    <row r="43" spans="1:14" ht="13.5" customHeight="1"/>
    <row r="44" spans="1:14" ht="13.5" customHeight="1"/>
    <row r="45" spans="1:14" ht="13.5" customHeight="1"/>
    <row r="46" spans="1:14" ht="13.5" customHeight="1"/>
    <row r="47" spans="1:14" ht="13.5" customHeight="1"/>
    <row r="48" spans="1:1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sheetData>
  <sheetProtection password="C0AE" sheet="1" objects="1" scenarios="1"/>
  <mergeCells count="9">
    <mergeCell ref="B22:J23"/>
    <mergeCell ref="G8:J9"/>
    <mergeCell ref="B9:C9"/>
    <mergeCell ref="B11:J16"/>
    <mergeCell ref="B3:C3"/>
    <mergeCell ref="E4:F4"/>
    <mergeCell ref="E5:F5"/>
    <mergeCell ref="D7:F7"/>
    <mergeCell ref="E19:K20"/>
  </mergeCell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63"/>
  <sheetViews>
    <sheetView showGridLines="0" topLeftCell="A17" workbookViewId="0">
      <selection activeCell="A17" sqref="A17"/>
    </sheetView>
  </sheetViews>
  <sheetFormatPr baseColWidth="10" defaultColWidth="11.44140625" defaultRowHeight="15.6"/>
  <cols>
    <col min="1" max="1" width="6.44140625" style="564" customWidth="1"/>
    <col min="2" max="2" width="4.21875" style="2442" customWidth="1"/>
    <col min="3" max="3" width="11.44140625" style="244"/>
    <col min="4" max="4" width="18" style="244" customWidth="1"/>
    <col min="5" max="11" width="11.44140625" style="244"/>
    <col min="12" max="12" width="13.5546875" style="244" customWidth="1"/>
    <col min="13" max="27" width="11.44140625" style="244"/>
    <col min="28" max="28" width="13.44140625" style="244" bestFit="1" customWidth="1"/>
    <col min="29" max="16384" width="11.44140625" style="244"/>
  </cols>
  <sheetData>
    <row r="1" spans="1:28" ht="23.4">
      <c r="C1" s="391" t="s">
        <v>875</v>
      </c>
      <c r="AA1" s="397">
        <f ca="1">Start!M16</f>
        <v>45300</v>
      </c>
      <c r="AB1" s="397">
        <f ca="1">Start!O28</f>
        <v>44939</v>
      </c>
    </row>
    <row r="2" spans="1:28" ht="11.25" customHeight="1">
      <c r="AA2" s="398" t="str">
        <f ca="1">IF('1 Erklärung'!AA1&gt;AB1,"gut","")</f>
        <v>gut</v>
      </c>
      <c r="AB2" s="398"/>
    </row>
    <row r="3" spans="1:28" ht="30" customHeight="1">
      <c r="A3" s="3265" t="s">
        <v>1083</v>
      </c>
      <c r="B3" s="3265"/>
      <c r="C3" s="3259" t="s">
        <v>876</v>
      </c>
      <c r="D3" s="3259"/>
      <c r="E3" s="3259"/>
      <c r="F3" s="3259"/>
      <c r="G3" s="3259"/>
      <c r="H3" s="3259"/>
      <c r="I3" s="3259"/>
      <c r="J3" s="3259"/>
      <c r="K3" s="3259"/>
      <c r="L3" s="3259"/>
      <c r="Q3" s="1861" t="str">
        <f>IF(Start!K29="ü","Passwort Preise","")</f>
        <v/>
      </c>
      <c r="R3" s="1862"/>
      <c r="S3" s="568" t="b">
        <f>IF(Start!K29="ü",R3)</f>
        <v>0</v>
      </c>
    </row>
    <row r="4" spans="1:28" ht="37.049999999999997" customHeight="1">
      <c r="A4" s="3265"/>
      <c r="B4" s="3265"/>
      <c r="C4" s="3259"/>
      <c r="D4" s="3259"/>
      <c r="E4" s="3259"/>
      <c r="F4" s="3259"/>
      <c r="G4" s="3259"/>
      <c r="H4" s="3259"/>
      <c r="I4" s="3259"/>
      <c r="J4" s="3259"/>
      <c r="K4" s="3259"/>
      <c r="L4" s="3259"/>
      <c r="Q4" s="1861" t="str">
        <f>IF(Start!K29="ü","Passwort Mitarbeiter","")</f>
        <v/>
      </c>
      <c r="R4" s="1862"/>
      <c r="S4" s="568" t="b">
        <f>IF(Start!K29="ü",R4)</f>
        <v>0</v>
      </c>
    </row>
    <row r="5" spans="1:28" ht="37.049999999999997" customHeight="1">
      <c r="A5" s="3265"/>
      <c r="B5" s="3265"/>
      <c r="C5" s="3259"/>
      <c r="D5" s="3259"/>
      <c r="E5" s="3259"/>
      <c r="F5" s="3259"/>
      <c r="G5" s="3259"/>
      <c r="H5" s="3259"/>
      <c r="I5" s="3259"/>
      <c r="J5" s="3259"/>
      <c r="K5" s="3259"/>
      <c r="L5" s="3259"/>
    </row>
    <row r="6" spans="1:28" ht="9.75" customHeight="1"/>
    <row r="7" spans="1:28" ht="30.75" customHeight="1">
      <c r="C7" s="3259" t="s">
        <v>1341</v>
      </c>
      <c r="D7" s="3259"/>
      <c r="E7" s="3259"/>
      <c r="F7" s="3259"/>
      <c r="G7" s="3259"/>
      <c r="H7" s="3259"/>
      <c r="I7" s="3259"/>
      <c r="J7" s="3259"/>
      <c r="K7" s="3259"/>
      <c r="L7" s="3259"/>
      <c r="M7" s="3259"/>
    </row>
    <row r="8" spans="1:28" ht="30.75" customHeight="1">
      <c r="C8" s="3259"/>
      <c r="D8" s="3259"/>
      <c r="E8" s="3259"/>
      <c r="F8" s="3259"/>
      <c r="G8" s="3259"/>
      <c r="H8" s="3259"/>
      <c r="I8" s="3259"/>
      <c r="J8" s="3259"/>
      <c r="K8" s="3259"/>
      <c r="L8" s="3259"/>
      <c r="M8" s="3259"/>
    </row>
    <row r="9" spans="1:28" ht="53.25" customHeight="1">
      <c r="C9" s="3263" t="s">
        <v>877</v>
      </c>
      <c r="D9" s="3263"/>
      <c r="E9" s="3263"/>
      <c r="F9" s="3263"/>
      <c r="G9" s="3263"/>
      <c r="H9" s="3263"/>
      <c r="I9" s="3263"/>
      <c r="J9" s="3263"/>
      <c r="K9" s="3263"/>
      <c r="L9" s="3263"/>
      <c r="M9" s="3263"/>
    </row>
    <row r="10" spans="1:28" s="625" customFormat="1" ht="33.75" customHeight="1">
      <c r="A10" s="3261"/>
      <c r="B10" s="3261"/>
      <c r="C10" s="3264" t="s">
        <v>433</v>
      </c>
      <c r="D10" s="3264"/>
      <c r="E10" s="3264"/>
      <c r="F10" s="3264"/>
      <c r="G10" s="3264"/>
      <c r="H10" s="3264"/>
      <c r="I10" s="3264"/>
      <c r="J10" s="3264"/>
      <c r="K10" s="3264"/>
      <c r="L10" s="3264"/>
      <c r="N10" s="747"/>
    </row>
    <row r="11" spans="1:28" ht="21.6" customHeight="1">
      <c r="A11" s="3261"/>
      <c r="B11" s="3261"/>
      <c r="C11" s="3262"/>
      <c r="D11" s="3262"/>
      <c r="E11" s="3262"/>
      <c r="F11" s="3262"/>
      <c r="G11" s="3262"/>
      <c r="H11" s="3262"/>
      <c r="I11" s="3262"/>
      <c r="J11" s="3262"/>
      <c r="K11" s="3262"/>
      <c r="L11" s="3262"/>
      <c r="M11" s="625"/>
      <c r="N11" s="747"/>
    </row>
    <row r="12" spans="1:28" ht="9.75" customHeight="1">
      <c r="A12" s="3261"/>
      <c r="B12" s="3261"/>
      <c r="C12" s="245"/>
      <c r="M12" s="747"/>
      <c r="N12" s="747"/>
    </row>
    <row r="13" spans="1:28" ht="28.5" customHeight="1">
      <c r="C13" s="622" t="s">
        <v>289</v>
      </c>
      <c r="D13" s="623" t="s">
        <v>291</v>
      </c>
      <c r="E13" s="624" t="s">
        <v>290</v>
      </c>
      <c r="F13" s="625"/>
      <c r="G13" s="625"/>
      <c r="H13" s="625"/>
      <c r="I13" s="625"/>
      <c r="J13" s="625"/>
      <c r="K13" s="625"/>
    </row>
    <row r="14" spans="1:28" ht="8.25" customHeight="1"/>
    <row r="15" spans="1:28">
      <c r="C15" s="244" t="s">
        <v>221</v>
      </c>
    </row>
    <row r="16" spans="1:28">
      <c r="A16" s="1326">
        <v>1</v>
      </c>
      <c r="C16" s="244" t="s">
        <v>222</v>
      </c>
      <c r="E16" s="244" t="s">
        <v>223</v>
      </c>
    </row>
    <row r="17" spans="1:10">
      <c r="A17" s="1326">
        <f>IF(B17="a",A16,A16+1)</f>
        <v>2</v>
      </c>
      <c r="C17" s="244" t="s">
        <v>1273</v>
      </c>
      <c r="E17" s="244" t="s">
        <v>1274</v>
      </c>
    </row>
    <row r="18" spans="1:10">
      <c r="A18" s="1326">
        <f>IF(B18="a",A17,A17+1)</f>
        <v>2</v>
      </c>
      <c r="B18" s="2442" t="s">
        <v>1276</v>
      </c>
      <c r="C18" s="244" t="s">
        <v>1272</v>
      </c>
      <c r="E18" s="244" t="s">
        <v>1275</v>
      </c>
    </row>
    <row r="19" spans="1:10">
      <c r="A19" s="1326">
        <f t="shared" ref="A19:A62" si="0">IF(B19="a",A18,A18+1)</f>
        <v>3</v>
      </c>
      <c r="C19" s="244" t="s">
        <v>26</v>
      </c>
      <c r="E19" s="244" t="s">
        <v>316</v>
      </c>
    </row>
    <row r="20" spans="1:10">
      <c r="A20" s="1326">
        <f t="shared" si="0"/>
        <v>4</v>
      </c>
      <c r="C20" s="244" t="s">
        <v>279</v>
      </c>
      <c r="E20" s="244" t="s">
        <v>280</v>
      </c>
    </row>
    <row r="21" spans="1:10">
      <c r="A21" s="1326">
        <f t="shared" si="0"/>
        <v>5</v>
      </c>
      <c r="C21" s="244" t="s">
        <v>281</v>
      </c>
      <c r="E21" s="244" t="s">
        <v>282</v>
      </c>
    </row>
    <row r="22" spans="1:10">
      <c r="A22" s="1326">
        <f t="shared" si="0"/>
        <v>6</v>
      </c>
      <c r="C22" s="244" t="s">
        <v>283</v>
      </c>
      <c r="E22" s="244" t="s">
        <v>284</v>
      </c>
    </row>
    <row r="23" spans="1:10">
      <c r="A23" s="1326">
        <f t="shared" si="0"/>
        <v>7</v>
      </c>
      <c r="C23" s="244" t="s">
        <v>224</v>
      </c>
      <c r="E23" s="3260" t="s">
        <v>395</v>
      </c>
      <c r="F23" s="3260"/>
      <c r="G23" s="3260"/>
      <c r="H23" s="3260"/>
      <c r="I23" s="3260"/>
      <c r="J23" s="3260"/>
    </row>
    <row r="24" spans="1:10">
      <c r="A24" s="1326">
        <f t="shared" si="0"/>
        <v>8</v>
      </c>
      <c r="C24" s="244" t="s">
        <v>225</v>
      </c>
      <c r="E24" s="3260"/>
      <c r="F24" s="3260"/>
      <c r="G24" s="3260"/>
      <c r="H24" s="3260"/>
      <c r="I24" s="3260"/>
      <c r="J24" s="3260"/>
    </row>
    <row r="25" spans="1:10">
      <c r="A25" s="1326">
        <f t="shared" si="0"/>
        <v>9</v>
      </c>
      <c r="C25" s="244" t="s">
        <v>226</v>
      </c>
      <c r="E25" s="3260"/>
      <c r="F25" s="3260"/>
      <c r="G25" s="3260"/>
      <c r="H25" s="3260"/>
      <c r="I25" s="3260"/>
      <c r="J25" s="3260"/>
    </row>
    <row r="26" spans="1:10">
      <c r="A26" s="1326">
        <f t="shared" si="0"/>
        <v>10</v>
      </c>
      <c r="C26" s="244" t="s">
        <v>286</v>
      </c>
      <c r="E26" s="244" t="s">
        <v>287</v>
      </c>
      <c r="F26" s="621"/>
      <c r="G26" s="621"/>
      <c r="H26" s="621"/>
      <c r="I26" s="621"/>
      <c r="J26" s="621"/>
    </row>
    <row r="27" spans="1:10" ht="15.75" customHeight="1">
      <c r="A27" s="1326">
        <f t="shared" si="0"/>
        <v>11</v>
      </c>
      <c r="C27" s="244" t="s">
        <v>285</v>
      </c>
      <c r="E27" s="244" t="s">
        <v>1208</v>
      </c>
    </row>
    <row r="28" spans="1:10">
      <c r="A28" s="1326">
        <f t="shared" si="0"/>
        <v>12</v>
      </c>
      <c r="C28" s="244" t="s">
        <v>227</v>
      </c>
      <c r="E28" s="244" t="s">
        <v>231</v>
      </c>
    </row>
    <row r="29" spans="1:10">
      <c r="A29" s="1326">
        <f t="shared" si="0"/>
        <v>13</v>
      </c>
      <c r="C29" s="244" t="s">
        <v>228</v>
      </c>
      <c r="E29" s="244" t="s">
        <v>232</v>
      </c>
    </row>
    <row r="30" spans="1:10">
      <c r="A30" s="1326">
        <f t="shared" si="0"/>
        <v>14</v>
      </c>
      <c r="C30" s="244" t="s">
        <v>230</v>
      </c>
      <c r="E30" s="244" t="s">
        <v>233</v>
      </c>
    </row>
    <row r="31" spans="1:10">
      <c r="A31" s="1326">
        <f t="shared" si="0"/>
        <v>15</v>
      </c>
      <c r="C31" s="244" t="s">
        <v>229</v>
      </c>
      <c r="E31" s="244" t="s">
        <v>1207</v>
      </c>
    </row>
    <row r="32" spans="1:10">
      <c r="A32" s="1326">
        <f t="shared" si="0"/>
        <v>16</v>
      </c>
      <c r="C32" s="244" t="s">
        <v>547</v>
      </c>
      <c r="E32" s="244" t="s">
        <v>1206</v>
      </c>
    </row>
    <row r="33" spans="1:5">
      <c r="A33" s="1326">
        <f t="shared" si="0"/>
        <v>16</v>
      </c>
      <c r="B33" s="2442" t="s">
        <v>1276</v>
      </c>
      <c r="C33" s="244" t="s">
        <v>404</v>
      </c>
      <c r="E33" s="244" t="s">
        <v>1205</v>
      </c>
    </row>
    <row r="34" spans="1:5">
      <c r="A34" s="1326">
        <f t="shared" si="0"/>
        <v>17</v>
      </c>
      <c r="C34" s="244" t="s">
        <v>308</v>
      </c>
      <c r="E34" s="244" t="s">
        <v>309</v>
      </c>
    </row>
    <row r="35" spans="1:5">
      <c r="A35" s="1326">
        <f t="shared" si="0"/>
        <v>18</v>
      </c>
      <c r="C35" s="244" t="s">
        <v>295</v>
      </c>
      <c r="E35" s="244" t="s">
        <v>288</v>
      </c>
    </row>
    <row r="36" spans="1:5">
      <c r="A36" s="1326">
        <f t="shared" si="0"/>
        <v>19</v>
      </c>
      <c r="C36" s="244" t="s">
        <v>234</v>
      </c>
      <c r="E36" s="244" t="s">
        <v>235</v>
      </c>
    </row>
    <row r="37" spans="1:5">
      <c r="A37" s="1326">
        <f t="shared" si="0"/>
        <v>20</v>
      </c>
      <c r="C37" s="244" t="s">
        <v>303</v>
      </c>
      <c r="E37" s="244" t="s">
        <v>304</v>
      </c>
    </row>
    <row r="38" spans="1:5">
      <c r="A38" s="1326">
        <f t="shared" si="0"/>
        <v>21</v>
      </c>
      <c r="C38" s="244" t="s">
        <v>219</v>
      </c>
      <c r="E38" s="244" t="s">
        <v>236</v>
      </c>
    </row>
    <row r="39" spans="1:5">
      <c r="A39" s="1326">
        <f t="shared" si="0"/>
        <v>22</v>
      </c>
      <c r="C39" s="244" t="s">
        <v>516</v>
      </c>
      <c r="E39" s="244" t="s">
        <v>519</v>
      </c>
    </row>
    <row r="40" spans="1:5">
      <c r="A40" s="1326">
        <f t="shared" si="0"/>
        <v>23</v>
      </c>
      <c r="C40" s="244" t="s">
        <v>517</v>
      </c>
      <c r="E40" s="244" t="s">
        <v>518</v>
      </c>
    </row>
    <row r="41" spans="1:5">
      <c r="A41" s="1326">
        <f t="shared" si="0"/>
        <v>24</v>
      </c>
      <c r="C41" s="244" t="s">
        <v>237</v>
      </c>
      <c r="E41" s="244" t="s">
        <v>238</v>
      </c>
    </row>
    <row r="42" spans="1:5">
      <c r="A42" s="1326">
        <f t="shared" si="0"/>
        <v>25</v>
      </c>
      <c r="C42" s="244" t="s">
        <v>1209</v>
      </c>
      <c r="E42" s="244" t="s">
        <v>1210</v>
      </c>
    </row>
    <row r="43" spans="1:5">
      <c r="A43" s="1326">
        <f t="shared" si="0"/>
        <v>25</v>
      </c>
      <c r="B43" s="2442" t="s">
        <v>1276</v>
      </c>
      <c r="C43" s="244" t="s">
        <v>1211</v>
      </c>
      <c r="E43" s="244" t="s">
        <v>1212</v>
      </c>
    </row>
    <row r="44" spans="1:5">
      <c r="A44" s="1326">
        <f>IF(B44="a",A42,A42+1)</f>
        <v>26</v>
      </c>
      <c r="C44" s="244" t="s">
        <v>1417</v>
      </c>
    </row>
    <row r="45" spans="1:5">
      <c r="A45" s="1326">
        <f t="shared" si="0"/>
        <v>27</v>
      </c>
      <c r="C45" s="244" t="s">
        <v>359</v>
      </c>
      <c r="E45" s="244" t="s">
        <v>391</v>
      </c>
    </row>
    <row r="46" spans="1:5">
      <c r="A46" s="1326">
        <f t="shared" si="0"/>
        <v>28</v>
      </c>
      <c r="C46" s="244" t="s">
        <v>383</v>
      </c>
      <c r="E46" s="244" t="s">
        <v>392</v>
      </c>
    </row>
    <row r="47" spans="1:5">
      <c r="A47" s="1326">
        <f t="shared" si="0"/>
        <v>29</v>
      </c>
      <c r="C47" s="244" t="s">
        <v>384</v>
      </c>
      <c r="E47" s="244" t="s">
        <v>393</v>
      </c>
    </row>
    <row r="48" spans="1:5">
      <c r="A48" s="1326">
        <f t="shared" si="0"/>
        <v>30</v>
      </c>
      <c r="C48" s="244" t="s">
        <v>385</v>
      </c>
      <c r="E48" s="244" t="s">
        <v>394</v>
      </c>
    </row>
    <row r="49" spans="1:5">
      <c r="A49" s="1326">
        <f t="shared" si="0"/>
        <v>31</v>
      </c>
      <c r="C49" s="244" t="s">
        <v>386</v>
      </c>
      <c r="E49" s="244" t="s">
        <v>501</v>
      </c>
    </row>
    <row r="50" spans="1:5">
      <c r="A50" s="1326">
        <f t="shared" si="0"/>
        <v>32</v>
      </c>
      <c r="C50" s="244" t="s">
        <v>387</v>
      </c>
      <c r="E50" s="244" t="s">
        <v>501</v>
      </c>
    </row>
    <row r="51" spans="1:5">
      <c r="A51" s="1326">
        <f t="shared" si="0"/>
        <v>33</v>
      </c>
      <c r="C51" s="244" t="s">
        <v>388</v>
      </c>
      <c r="E51" s="244" t="s">
        <v>501</v>
      </c>
    </row>
    <row r="52" spans="1:5">
      <c r="A52" s="1326">
        <f t="shared" si="0"/>
        <v>34</v>
      </c>
      <c r="C52" s="244" t="s">
        <v>389</v>
      </c>
      <c r="E52" s="244" t="s">
        <v>501</v>
      </c>
    </row>
    <row r="53" spans="1:5">
      <c r="A53" s="1326">
        <f t="shared" si="0"/>
        <v>35</v>
      </c>
      <c r="C53" s="244" t="s">
        <v>390</v>
      </c>
      <c r="E53" s="244" t="s">
        <v>501</v>
      </c>
    </row>
    <row r="54" spans="1:5">
      <c r="A54" s="1326">
        <f t="shared" si="0"/>
        <v>36</v>
      </c>
      <c r="C54" s="244" t="s">
        <v>431</v>
      </c>
      <c r="E54" s="244" t="s">
        <v>501</v>
      </c>
    </row>
    <row r="55" spans="1:5">
      <c r="A55" s="1326">
        <f t="shared" si="0"/>
        <v>37</v>
      </c>
      <c r="C55" s="244" t="s">
        <v>431</v>
      </c>
      <c r="E55" s="244" t="s">
        <v>432</v>
      </c>
    </row>
    <row r="56" spans="1:5">
      <c r="A56" s="1326">
        <f t="shared" si="0"/>
        <v>38</v>
      </c>
      <c r="C56" s="244" t="s">
        <v>761</v>
      </c>
      <c r="E56" s="244" t="s">
        <v>432</v>
      </c>
    </row>
    <row r="57" spans="1:5">
      <c r="A57" s="1326">
        <f t="shared" si="0"/>
        <v>39</v>
      </c>
      <c r="C57" s="244" t="s">
        <v>762</v>
      </c>
      <c r="E57" s="244" t="s">
        <v>765</v>
      </c>
    </row>
    <row r="58" spans="1:5">
      <c r="A58" s="1326">
        <f t="shared" si="0"/>
        <v>40</v>
      </c>
      <c r="C58" s="244" t="s">
        <v>763</v>
      </c>
      <c r="E58" s="244" t="s">
        <v>766</v>
      </c>
    </row>
    <row r="59" spans="1:5">
      <c r="A59" s="1326">
        <f t="shared" si="0"/>
        <v>41</v>
      </c>
      <c r="C59" s="244" t="s">
        <v>747</v>
      </c>
      <c r="E59" s="244" t="s">
        <v>767</v>
      </c>
    </row>
    <row r="60" spans="1:5">
      <c r="A60" s="1326">
        <f t="shared" si="0"/>
        <v>42</v>
      </c>
      <c r="C60" s="244" t="s">
        <v>750</v>
      </c>
      <c r="E60" s="244" t="s">
        <v>768</v>
      </c>
    </row>
    <row r="61" spans="1:5">
      <c r="A61" s="1326">
        <f t="shared" si="0"/>
        <v>43</v>
      </c>
      <c r="C61" s="244" t="s">
        <v>752</v>
      </c>
      <c r="E61" s="244" t="s">
        <v>769</v>
      </c>
    </row>
    <row r="62" spans="1:5">
      <c r="A62" s="1326">
        <f t="shared" si="0"/>
        <v>44</v>
      </c>
      <c r="C62" s="244" t="s">
        <v>764</v>
      </c>
      <c r="E62" s="244" t="s">
        <v>770</v>
      </c>
    </row>
    <row r="63" spans="1:5">
      <c r="A63" s="1326"/>
      <c r="E63" s="244" t="s">
        <v>771</v>
      </c>
    </row>
  </sheetData>
  <sheetProtection algorithmName="SHA-512" hashValue="YcyofjEF1rEvjkxyCpIbnV6t4tWYKj9RPOityeyhzVLP8d3fqRjbB78Ue2XdxCKAasrFgI5pOCCS9vgpL5vRjQ==" saltValue="hl6sGn4kNzCEGibgJubXyA==" spinCount="100000" sheet="1" objects="1" scenarios="1"/>
  <customSheetViews>
    <customSheetView guid="{91EE9386-9500-473B-B86C-27DB8DF0BA46}" showGridLines="0">
      <selection activeCell="B11" sqref="B11"/>
      <pageMargins left="0.7" right="0.7" top="0.78740157499999996" bottom="0.78740157499999996" header="0.3" footer="0.3"/>
      <pageSetup paperSize="9" orientation="portrait" r:id="rId1"/>
    </customSheetView>
    <customSheetView guid="{B8019777-F14C-4393-8CE3-CE0081D0CD28}" showGridLines="0">
      <selection activeCell="B11" sqref="B11"/>
      <pageMargins left="0.7" right="0.7" top="0.78740157499999996" bottom="0.78740157499999996" header="0.3" footer="0.3"/>
      <pageSetup paperSize="9" orientation="portrait" r:id="rId2"/>
    </customSheetView>
  </customSheetViews>
  <mergeCells count="8">
    <mergeCell ref="C3:L5"/>
    <mergeCell ref="E23:J25"/>
    <mergeCell ref="A10:B12"/>
    <mergeCell ref="C11:L11"/>
    <mergeCell ref="C7:M8"/>
    <mergeCell ref="C9:M9"/>
    <mergeCell ref="C10:L10"/>
    <mergeCell ref="A3:B5"/>
  </mergeCells>
  <pageMargins left="0.7" right="0.7" top="0.78740157499999996" bottom="0.78740157499999996" header="0.3" footer="0.3"/>
  <pageSetup paperSize="9" scale="80" orientation="landscape"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77"/>
  <sheetViews>
    <sheetView showGridLines="0" zoomScaleNormal="100" workbookViewId="0"/>
  </sheetViews>
  <sheetFormatPr baseColWidth="10" defaultColWidth="11" defaultRowHeight="13.2"/>
  <cols>
    <col min="1" max="1" width="45.44140625" style="34" customWidth="1"/>
    <col min="2" max="3" width="12" style="34" customWidth="1"/>
    <col min="4" max="4" width="3.44140625" style="34" customWidth="1"/>
    <col min="5" max="6" width="11.77734375" style="34" customWidth="1"/>
    <col min="7" max="7" width="3.44140625" customWidth="1"/>
    <col min="8" max="8" width="12.21875" customWidth="1"/>
    <col min="9" max="9" width="12.44140625" style="34" customWidth="1"/>
    <col min="10" max="10" width="11.77734375" style="34" customWidth="1"/>
    <col min="11" max="11" width="11" style="34"/>
    <col min="12" max="12" width="13.88671875" style="34" customWidth="1"/>
    <col min="13" max="13" width="10.88671875" style="34" customWidth="1"/>
    <col min="14" max="14" width="10.44140625" style="34" customWidth="1"/>
    <col min="15" max="17" width="11" style="34"/>
    <col min="18" max="18" width="12.33203125" style="34" customWidth="1"/>
    <col min="19" max="16384" width="11" style="34"/>
  </cols>
  <sheetData>
    <row r="1" spans="1:27" s="2914" customFormat="1" ht="49.8" customHeight="1">
      <c r="A1" s="2911" t="str">
        <f>IF('2 Unternehmensdaten'!F5="ja","","Bitte lesen Sie die Texte")</f>
        <v>Bitte lesen Sie die Texte</v>
      </c>
      <c r="B1" s="2912" t="str">
        <f>IF('2 Unternehmensdaten'!F5="ja","","①  ②  ③ ④")</f>
        <v>①  ②  ③ ④</v>
      </c>
      <c r="C1" s="1675"/>
      <c r="D1" s="3999" t="str">
        <f>Start!M2</f>
        <v>Demo Version</v>
      </c>
      <c r="E1" s="3999"/>
      <c r="F1" s="3978" t="str">
        <f>IF('2 Unternehmensdaten'!F5="ja","Hier geben Sie den geplanten betriebswirtschaftlichen Gewinn Ihrer GmbH ein. Sonst sind auf dieser Seite keinen Eingaben nötig.","")</f>
        <v/>
      </c>
      <c r="G1" s="3978"/>
      <c r="H1" s="3978"/>
      <c r="I1" s="3978"/>
      <c r="J1" s="3978"/>
      <c r="K1" s="2913"/>
      <c r="L1" s="2913"/>
      <c r="M1" s="2913"/>
      <c r="N1" s="2913"/>
      <c r="O1" s="2913"/>
    </row>
    <row r="2" spans="1:27" s="619" customFormat="1" ht="38.549999999999997" customHeight="1">
      <c r="A2" s="3983" t="str">
        <f>IF(E2="","Planung des Chefumsatzes, der persönlichen Entnahmen und eventuelle Rücklage","Keine Chef-Umsatz und Privatentnahmen, für eine GmbH lesen Sie bitte rechts")</f>
        <v>Planung des Chefumsatzes, der persönlichen Entnahmen und eventuelle Rücklage</v>
      </c>
      <c r="B2" s="3983"/>
      <c r="C2" s="3983"/>
      <c r="D2" s="1868" t="str">
        <f>IF(Start!O20&gt;0,"!","")</f>
        <v/>
      </c>
      <c r="E2" s="1418" t="str">
        <f>IF('2 Unternehmensdaten'!F5="ja","GmbH - Eingabe!","")</f>
        <v/>
      </c>
      <c r="F2" s="3979" t="str">
        <f>IF(E2="","Hier keine Eingabe,                 nur für eine GmbH","Geben Sie hier den geplanten betriebswirtschaftlichen Gewinn der GmbH  ein")</f>
        <v>Hier keine Eingabe,                 nur für eine GmbH</v>
      </c>
      <c r="G2" s="3980"/>
      <c r="H2" s="1290"/>
      <c r="I2" s="2909" t="str">
        <f>IF('2 Unternehmensdaten'!F5="ja",_xlfn.CONCAT(L2,"         ",M2),"")</f>
        <v/>
      </c>
      <c r="J2" s="1852">
        <f>SUM(H2,C40)</f>
        <v>90000</v>
      </c>
      <c r="K2" s="2918">
        <f>IF('2 Unternehmensdaten'!F6="ja","GbR",0)</f>
        <v>0</v>
      </c>
      <c r="L2" s="2910" t="str">
        <f>IF('2 Unternehmensdaten'!F5="ja","Vorjahr","")</f>
        <v/>
      </c>
      <c r="M2" s="2910" t="str">
        <f>IF('2 Unternehmensdaten'!F5="ja",'3 Vorjahr'!K41,"")</f>
        <v/>
      </c>
      <c r="P2" s="3966" t="s">
        <v>1410</v>
      </c>
      <c r="Q2" s="3966"/>
      <c r="R2" s="3966"/>
      <c r="S2" s="3966"/>
      <c r="T2" s="3966"/>
      <c r="U2" s="3966"/>
      <c r="V2" s="3966"/>
    </row>
    <row r="3" spans="1:27" s="142" customFormat="1" ht="27.75" customHeight="1">
      <c r="A3" s="3998" t="str">
        <f>IF('2 Unternehmensdaten'!F6="ja","Ihre Unternehmensform ist eine GbR.","")</f>
        <v/>
      </c>
      <c r="B3" s="3998"/>
      <c r="C3" s="3998"/>
      <c r="D3" s="2915"/>
      <c r="F3" s="2916"/>
      <c r="G3" s="2916"/>
      <c r="H3" s="2916"/>
      <c r="I3" s="2916"/>
      <c r="P3" s="3967"/>
      <c r="Q3" s="3967"/>
      <c r="R3" s="3967"/>
      <c r="S3" s="3967"/>
      <c r="T3" s="3967"/>
      <c r="U3" s="3967"/>
      <c r="V3" s="3967"/>
      <c r="W3" s="1188"/>
      <c r="X3" s="1188"/>
    </row>
    <row r="4" spans="1:27" s="142" customFormat="1" ht="28.5" customHeight="1">
      <c r="A4" s="1867" t="s">
        <v>935</v>
      </c>
      <c r="B4" s="3984" t="str">
        <f>IF(Start!O20&gt;0,"Als Solo-Selbstständiger ohne MA hier keine Eingabe, nur in Zelle C40 + C41",IF('2 Unternehmensdaten'!F5="ja","Hier keine Eingaben",IF('2 Unternehmensdaten'!F6="nein","Wie viel Umsatz wollen Sie selbst im Jahr erarbeiten?",IF(X4="MA","Wie viel Umsatz wollen Sie selbst im Jahr erarbeiten?","Hier keine Eingaben, ..... wichtige Eingaben ab Zeile 40"))))</f>
        <v>Wie viel Umsatz wollen Sie selbst im Jahr erarbeiten?</v>
      </c>
      <c r="C4" s="3985"/>
      <c r="D4" s="3985"/>
      <c r="E4" s="3985"/>
      <c r="F4" s="3985"/>
      <c r="G4" s="3985"/>
      <c r="H4" s="3985"/>
      <c r="I4" s="3986"/>
      <c r="K4" s="392" t="s">
        <v>302</v>
      </c>
      <c r="L4" s="393"/>
      <c r="M4" s="393"/>
      <c r="N4" s="393"/>
      <c r="O4" s="3184" t="str">
        <f>IF('4 Eingabe Friseure'!BB7=0,"! ! !","")</f>
        <v/>
      </c>
      <c r="P4" s="3952" t="s">
        <v>1407</v>
      </c>
      <c r="Q4" s="2919"/>
      <c r="R4" s="2920"/>
      <c r="S4" s="3952" t="s">
        <v>1408</v>
      </c>
      <c r="T4" s="2919"/>
      <c r="U4" s="3180" t="s">
        <v>2</v>
      </c>
      <c r="V4" s="3952" t="s">
        <v>1409</v>
      </c>
      <c r="W4" s="873" t="str">
        <f>IF(X4="MA",'11 Gesamt PK'!F6,"")</f>
        <v/>
      </c>
      <c r="X4" s="1284" t="str">
        <f>IF('2 Unternehmensdaten'!P13="ja","MA",IF('2 Unternehmensdaten'!F6="nein","","ok"))</f>
        <v/>
      </c>
      <c r="Y4" s="1284"/>
      <c r="Z4" s="1188"/>
      <c r="AA4" s="1188"/>
    </row>
    <row r="5" spans="1:27" s="142" customFormat="1" ht="41.25" customHeight="1">
      <c r="A5" s="1289" t="str">
        <f>IF(A8="Hier bitte keine Eingabe","","Bitte geben Sie Ihren persönlichen Umsatz am Kunden als Gesamtwert ein.
Gesamtwert = Dienstleistungs- + Verkaufsumsatz")</f>
        <v>Bitte geben Sie Ihren persönlichen Umsatz am Kunden als Gesamtwert ein.
Gesamtwert = Dienstleistungs- + Verkaufsumsatz</v>
      </c>
      <c r="B5" s="3971" t="str">
        <f>IF(D2="!","Zur Ermittlung Ihrer notwendigen Privatentnahmen können auch die Zeile 22 - 36 nutzen","")</f>
        <v/>
      </c>
      <c r="C5" s="3972"/>
      <c r="D5" s="2932"/>
      <c r="E5" s="2933"/>
      <c r="F5" s="2933"/>
      <c r="G5" s="2934"/>
      <c r="H5" s="2933"/>
      <c r="I5" s="2935"/>
      <c r="J5" s="34"/>
      <c r="K5" s="2900" t="s">
        <v>1333</v>
      </c>
      <c r="L5" s="2998"/>
      <c r="M5" s="3788" t="str">
        <f>IF('4 Eingabe Friseure'!BD7=0,"Auf Seite - 2a Chefeingabe - wurde keine Chef-Anwesenheitszeit für das Planjahr angegeben. Holen Sie das bitte nach.","Auf Seite - 2a Chefeingabe - wurden diese Chef-Anwesenheitszeiten für das Planjahr angegeben.")</f>
        <v>Auf Seite - 2a Chefeingabe - wurden diese Chef-Anwesenheitszeiten für das Planjahr angegeben.</v>
      </c>
      <c r="N5" s="3788"/>
      <c r="O5" s="3788"/>
      <c r="P5" s="3521"/>
      <c r="Q5" s="2900" t="s">
        <v>1334</v>
      </c>
      <c r="R5" s="619"/>
      <c r="S5" s="3521"/>
      <c r="T5" s="3179" t="s">
        <v>1406</v>
      </c>
      <c r="U5" s="3203"/>
      <c r="V5" s="3521"/>
      <c r="W5" s="3253">
        <f>SUM(W6+W9)</f>
        <v>95000</v>
      </c>
      <c r="X5" s="3253">
        <f>SUM(X6+X9)</f>
        <v>0</v>
      </c>
      <c r="Y5" s="3253">
        <f>SUM(Y6+Y9)</f>
        <v>0</v>
      </c>
      <c r="Z5" s="1188"/>
      <c r="AA5" s="1188"/>
    </row>
    <row r="6" spans="1:27" ht="18" customHeight="1">
      <c r="A6" s="1292" t="str">
        <f>IF(A8="Hier bitte keine Eingabe","","Bitte geben Sie Ihren Umsatz jährlich oder monatlich ein")</f>
        <v>Bitte geben Sie Ihren Umsatz jährlich oder monatlich ein</v>
      </c>
      <c r="B6" s="3992" t="str">
        <f>IF('2 Unternehmensdaten'!F5="ja","Hier keine Eingaben",B23)</f>
        <v xml:space="preserve">Linda </v>
      </c>
      <c r="C6" s="3993"/>
      <c r="D6" s="2763"/>
      <c r="E6" s="3994" t="str">
        <f>IF('2 Unternehmensdaten'!F5="ja","",E23)</f>
        <v>hier keine Eingabe</v>
      </c>
      <c r="F6" s="3995"/>
      <c r="G6" s="2698"/>
      <c r="H6" s="3994" t="str">
        <f>IF('2 Unternehmensdaten'!I5="ja","",H23)</f>
        <v>hier keine Eingabe</v>
      </c>
      <c r="I6" s="3995"/>
      <c r="J6" s="365"/>
      <c r="K6" s="2900"/>
      <c r="L6" s="57" t="str">
        <f>IF('4 Eingabe Friseure'!A7="","","Arbeitsmonate")</f>
        <v>Arbeitsmonate</v>
      </c>
      <c r="M6" s="57" t="str">
        <f>IF('4 Eingabe Friseure'!BB7="","","Wochenstd.")</f>
        <v>Wochenstd.</v>
      </c>
      <c r="N6" s="57" t="str">
        <f>IF('4 Eingabe Friseure'!BC7="","","Tage")</f>
        <v>Tage</v>
      </c>
      <c r="O6" s="57" t="s">
        <v>1327</v>
      </c>
      <c r="P6" s="3521"/>
      <c r="Q6" s="2921" t="str">
        <f>IF('4 Eingabe Friseure'!BE7="","","Wochenstd.")</f>
        <v>Wochenstd.</v>
      </c>
      <c r="R6" s="2923" t="s">
        <v>1327</v>
      </c>
      <c r="S6" s="3521"/>
      <c r="T6" s="2922" t="s">
        <v>1335</v>
      </c>
      <c r="U6" s="2923" t="s">
        <v>1405</v>
      </c>
      <c r="V6" s="3521"/>
      <c r="W6" s="3254">
        <f>'17 Chef-Ums.-Entn. od. GmbHgew.'!C40</f>
        <v>90000</v>
      </c>
      <c r="X6" s="3254">
        <f>'17 Chef-Ums.-Entn. od. GmbHgew.'!F40</f>
        <v>0</v>
      </c>
      <c r="Y6" s="3254">
        <f>'17 Chef-Ums.-Entn. od. GmbHgew.'!I40</f>
        <v>0</v>
      </c>
      <c r="Z6" s="619"/>
      <c r="AA6" s="619"/>
    </row>
    <row r="7" spans="1:27" ht="21.75" customHeight="1">
      <c r="A7" s="2764" t="str">
        <f>IF(SUM(J47,K47)=0,"","Eingaben vorhanden")</f>
        <v>Eingaben vorhanden</v>
      </c>
      <c r="B7" s="3969" t="str">
        <f>IF(D9="!","bitte nur monatlich oder 
jährlich eingben","")</f>
        <v/>
      </c>
      <c r="C7" s="3970"/>
      <c r="D7" s="2765">
        <f>IF(B9&gt;0,1,0)</f>
        <v>1</v>
      </c>
      <c r="E7" s="3969" t="str">
        <f>IF(G9="!","bitte nur monatlich oder 
jährlich eingben","")</f>
        <v/>
      </c>
      <c r="F7" s="3970"/>
      <c r="G7" s="2765">
        <f>IF(E9&gt;0,1,0)</f>
        <v>0</v>
      </c>
      <c r="H7" s="3969" t="str">
        <f>IF(J9="!","bitte nur monatlich oder 
jährlich eingben","")</f>
        <v/>
      </c>
      <c r="I7" s="3970"/>
      <c r="J7" s="2762">
        <f>IF(H9&gt;0,1,0)</f>
        <v>0</v>
      </c>
      <c r="K7" s="1507" t="str">
        <f>IF('4 Eingabe Friseure'!A7="","",'4 Eingabe Friseure'!A7)</f>
        <v xml:space="preserve">Linda </v>
      </c>
      <c r="L7" s="2850">
        <f>IF('4 Eingabe Friseure'!A7="","",IF('2 Unternehmensdaten'!F6="ja",'2a Chefeingaben'!S14,'2a Chefeingaben'!N21))</f>
        <v>9.9995999999999992</v>
      </c>
      <c r="M7" s="2850">
        <f>IF('4 Eingabe Friseure'!BB7="","",'4 Eingabe Friseure'!BB7)</f>
        <v>40</v>
      </c>
      <c r="N7" s="2850">
        <f>IF('4 Eingabe Friseure'!A7="","",'4 Eingabe Friseure'!BC7)</f>
        <v>5</v>
      </c>
      <c r="O7" s="2850">
        <f>IF(M7="",0,M7*4.33)</f>
        <v>173.2</v>
      </c>
      <c r="P7" s="3181">
        <f>IF(K7="","",W7/L7/O7)</f>
        <v>46.191224092381717</v>
      </c>
      <c r="Q7" s="2926">
        <f>'2a Chefeingaben'!S17</f>
        <v>5</v>
      </c>
      <c r="R7" s="2924">
        <f>Q7*4.33</f>
        <v>21.65</v>
      </c>
      <c r="S7" s="3181">
        <f>IF(K7="","",W8/L7/R7)</f>
        <v>46.191224092381717</v>
      </c>
      <c r="T7" s="2851">
        <f>R7+O7</f>
        <v>194.85</v>
      </c>
      <c r="U7" s="2924">
        <f>IF(K7="","",T7*L7)</f>
        <v>1948.4220599999999</v>
      </c>
      <c r="V7" s="3181">
        <f>IF(K7="","",IF(W6=0,"Entnahme C40+41",SUM(C40,C41)/U7))</f>
        <v>48.757403208625142</v>
      </c>
      <c r="W7" s="3254">
        <f>W6/T7*O7</f>
        <v>80000</v>
      </c>
      <c r="X7" s="3254" t="e">
        <f>X6/T8*O8</f>
        <v>#DIV/0!</v>
      </c>
      <c r="Y7" s="3254" t="e">
        <f>Y6/T9*O9</f>
        <v>#DIV/0!</v>
      </c>
      <c r="Z7" s="619"/>
      <c r="AA7" s="619"/>
    </row>
    <row r="8" spans="1:27" ht="16.05" customHeight="1">
      <c r="A8" s="3996" t="str">
        <f>IF(B4="Wie viel Umsatz wollen Sie selbst im Jahr erarbeiten?","Ihr geplanten Chefumsatz in €                                  als Gesamtwert DL+VK","Hier bitte keine Eingabe")</f>
        <v>Ihr geplanten Chefumsatz in €                                  als Gesamtwert DL+VK</v>
      </c>
      <c r="B8" s="1295" t="s">
        <v>22</v>
      </c>
      <c r="C8" s="1296" t="s">
        <v>21</v>
      </c>
      <c r="D8" s="2762">
        <f>IF(C9&gt;0,1,0)</f>
        <v>0</v>
      </c>
      <c r="E8" s="1294" t="str">
        <f>IF(E6="","",B8)</f>
        <v>jährlich</v>
      </c>
      <c r="F8" s="1293" t="str">
        <f>IF(E6="","",C8)</f>
        <v>monatlich</v>
      </c>
      <c r="G8" s="2762">
        <f>IF(F9&gt;0,1,0)</f>
        <v>0</v>
      </c>
      <c r="H8" s="1294" t="str">
        <f>IF(H6="hier keine Eingabe","",E8)</f>
        <v/>
      </c>
      <c r="I8" s="1293" t="str">
        <f>IF(H6="hier keine Eingabe","",F8)</f>
        <v/>
      </c>
      <c r="J8" s="2762">
        <f>IF(I9&gt;0,1,0)</f>
        <v>0</v>
      </c>
      <c r="K8" s="1507" t="str">
        <f>IF('4 Eingabe Friseure'!A8="","",'4 Eingabe Friseure'!A8)</f>
        <v/>
      </c>
      <c r="L8" s="2850" t="str">
        <f>IF('4 Eingabe Friseure'!A8="","",IF('2 Unternehmensdaten'!F6="ja",'2a Chefeingaben'!S32,'2a Chefeingaben'!N39))</f>
        <v/>
      </c>
      <c r="M8" s="2850" t="str">
        <f>IF('4 Eingabe Friseure'!BB8="","",'4 Eingabe Friseure'!BB8)</f>
        <v/>
      </c>
      <c r="N8" s="2850" t="str">
        <f>IF('4 Eingabe Friseure'!A8="","",'4 Eingabe Friseure'!BC8)</f>
        <v/>
      </c>
      <c r="O8" s="2850">
        <f>IF(M8="",0,M8*4.33)</f>
        <v>0</v>
      </c>
      <c r="P8" s="2851" t="str">
        <f>IF(K8="","",X7/L8/O8)</f>
        <v/>
      </c>
      <c r="Q8" s="2926">
        <f>'2a Chefeingaben'!S35</f>
        <v>0</v>
      </c>
      <c r="R8" s="2924">
        <f>Q8*4.33</f>
        <v>0</v>
      </c>
      <c r="S8" s="2851" t="str">
        <f>IF(K8="","",X8/L8/R8)</f>
        <v/>
      </c>
      <c r="T8" s="2851">
        <f>R8+O8</f>
        <v>0</v>
      </c>
      <c r="U8" s="2924" t="str">
        <f>IF(K8="","",T8*L8)</f>
        <v/>
      </c>
      <c r="V8" s="2851" t="str">
        <f>IF(K8="","",IF(X6=0,"Entnahme f40+41",SUM(F40,F41)/U8))</f>
        <v/>
      </c>
      <c r="W8" s="3254">
        <f>W6-W7</f>
        <v>10000</v>
      </c>
      <c r="X8" s="3254" t="e">
        <f>X6-X7</f>
        <v>#DIV/0!</v>
      </c>
      <c r="Y8" s="3254" t="e">
        <f>Y6-Y7</f>
        <v>#DIV/0!</v>
      </c>
      <c r="Z8" s="619"/>
      <c r="AA8" s="619"/>
    </row>
    <row r="9" spans="1:27" ht="26.4" customHeight="1">
      <c r="A9" s="3997"/>
      <c r="B9" s="1290">
        <v>95000</v>
      </c>
      <c r="C9" s="1290"/>
      <c r="D9" s="2931" t="str">
        <f>IF(SUM(B9:C9)&gt;B9,"!","")</f>
        <v/>
      </c>
      <c r="E9" s="1290"/>
      <c r="F9" s="1290"/>
      <c r="G9" s="2930" t="str">
        <f>IF(SUM(E9:F9)&gt;E9,"!","")</f>
        <v/>
      </c>
      <c r="H9" s="1290"/>
      <c r="I9" s="1290"/>
      <c r="J9" s="2931" t="str">
        <f>IF(SUM(H9:I9)&gt;H9,"!","")</f>
        <v/>
      </c>
      <c r="K9" s="2901" t="str">
        <f>IF('4 Eingabe Friseure'!A9="","",'4 Eingabe Friseure'!A9)</f>
        <v/>
      </c>
      <c r="L9" s="2852" t="str">
        <f>IF('4 Eingabe Friseure'!A9="","",IF('2 Unternehmensdaten'!F6="ja",'2a Chefeingaben'!S50,'2a Chefeingaben'!N57))</f>
        <v/>
      </c>
      <c r="M9" s="2852" t="str">
        <f>IF('4 Eingabe Friseure'!BB9="","",'4 Eingabe Friseure'!BB9)</f>
        <v/>
      </c>
      <c r="N9" s="2852" t="str">
        <f>IF('4 Eingabe Friseure'!A9="","",'4 Eingabe Friseure'!BC9)</f>
        <v/>
      </c>
      <c r="O9" s="2852">
        <f>IF(M9="",0,M9*4.33)</f>
        <v>0</v>
      </c>
      <c r="P9" s="1373" t="str">
        <f>IF(K9="","",Y7/L9/O9)</f>
        <v/>
      </c>
      <c r="Q9" s="2927">
        <f>'2a Chefeingaben'!S53</f>
        <v>0</v>
      </c>
      <c r="R9" s="2925">
        <f>Q9*4.33</f>
        <v>0</v>
      </c>
      <c r="S9" s="1373" t="str">
        <f>IF(K9="","",Y8/L9/R9)</f>
        <v/>
      </c>
      <c r="T9" s="1373">
        <f>R9+O9</f>
        <v>0</v>
      </c>
      <c r="U9" s="2925" t="str">
        <f>IF(K9="","",T9*L9)</f>
        <v/>
      </c>
      <c r="V9" s="1373" t="str">
        <f>IF(K9="","",IF(Y6=0,"Entnahme i40+41",SUM(I40,I41)/U9))</f>
        <v/>
      </c>
      <c r="W9" s="3254">
        <f>'17 Chef-Ums.-Entn. od. GmbHgew.'!C41</f>
        <v>5000</v>
      </c>
      <c r="X9" s="3254">
        <f>'17 Chef-Ums.-Entn. od. GmbHgew.'!F41</f>
        <v>0</v>
      </c>
      <c r="Y9" s="3254">
        <f>'17 Chef-Ums.-Entn. od. GmbHgew.'!I41</f>
        <v>0</v>
      </c>
      <c r="Z9" s="619"/>
      <c r="AA9" s="619"/>
    </row>
    <row r="10" spans="1:27" ht="31.05" customHeight="1">
      <c r="A10" s="1432" t="str">
        <f ca="1">IF(J39=1,"Als Solo-Selbstständige/r ohne MA hier bitte keine Eingabe","Geplanter Chefumsatz brutto DL (jährlich) in €")</f>
        <v>Geplanter Chefumsatz brutto DL (jährlich) in €</v>
      </c>
      <c r="B10" s="3186"/>
      <c r="C10" s="1291"/>
      <c r="D10" s="1435" t="s">
        <v>205</v>
      </c>
      <c r="E10" s="1291"/>
      <c r="F10" s="1291"/>
      <c r="G10" s="95"/>
      <c r="H10" s="1291"/>
      <c r="I10" s="1291"/>
      <c r="J10" s="1433" t="str">
        <f>IF(J11="","","VK % ")</f>
        <v/>
      </c>
      <c r="K10" s="873">
        <f>L15</f>
        <v>95000</v>
      </c>
      <c r="L10" s="873">
        <f>M15</f>
        <v>0</v>
      </c>
      <c r="M10" s="615" t="str">
        <f>IF(SUM(B9,E9,C9,F9)&gt;0,"Ges","DL")</f>
        <v>Ges</v>
      </c>
      <c r="N10" s="619"/>
      <c r="S10" s="619"/>
      <c r="T10" s="619"/>
      <c r="U10" s="619"/>
      <c r="V10" s="619"/>
      <c r="W10" s="619"/>
      <c r="X10" s="619"/>
    </row>
    <row r="11" spans="1:27" ht="23.25" customHeight="1">
      <c r="A11" s="1432" t="str">
        <f ca="1">IF(J39=1,"Als Solo-Selbstständige/r ohne MA hier bitte keine Eingabe","Geplanter Chefumsatz brutto Verkauf (jährlich) in €")</f>
        <v>Geplanter Chefumsatz brutto Verkauf (jährlich) in €</v>
      </c>
      <c r="B11" s="1291"/>
      <c r="C11" s="1291"/>
      <c r="D11" s="1436"/>
      <c r="E11" s="1291"/>
      <c r="F11" s="1291"/>
      <c r="G11" s="95"/>
      <c r="H11" s="1291"/>
      <c r="I11" s="1291"/>
      <c r="J11" s="1434" t="str">
        <f>IF(SUM(E11:F11)=0,"",IF(E11&gt;0,E11/E14,F11/F12))</f>
        <v/>
      </c>
      <c r="K11" s="399" t="s">
        <v>841</v>
      </c>
      <c r="L11" s="400"/>
      <c r="M11" s="400"/>
      <c r="N11" s="400"/>
      <c r="O11" s="400"/>
      <c r="P11" s="400"/>
      <c r="Q11" s="1505"/>
      <c r="S11" s="619"/>
      <c r="T11" s="619"/>
      <c r="U11" s="619"/>
      <c r="V11" s="619"/>
      <c r="W11" s="619"/>
      <c r="X11" s="619"/>
    </row>
    <row r="12" spans="1:27" ht="17.55" customHeight="1">
      <c r="A12" s="1297" t="str">
        <f>IF(SUM(C12,F12)&gt;0,"Gesamtumsatz monatlich","")</f>
        <v/>
      </c>
      <c r="B12" s="1291">
        <f>IF(SUM(B9:B11)=0,0,IF(SUM(B10,B11,)=0,B9,(SUM(B10,B11,))))</f>
        <v>95000</v>
      </c>
      <c r="C12" s="1291">
        <f>IF(SUM(C9:C11)=0,0,IF(SUM(C10,C11,)=0,C9,(SUM(C10,C11,))))</f>
        <v>0</v>
      </c>
      <c r="E12" s="1291">
        <f>IF(SUM(E9:E11)=0,0,IF(SUM(E10,E11,)=0,E9,(SUM(E10,E11,))))</f>
        <v>0</v>
      </c>
      <c r="F12" s="1291">
        <f>IF(SUM(F9:F11)=0,0,IF(SUM(F10,F11,)=0,F9,(SUM(F10,F11,))))</f>
        <v>0</v>
      </c>
      <c r="G12" s="2699"/>
      <c r="H12" s="1291">
        <f>IF(SUM(H9:H11)=0,0,IF(SUM(H10,H11,)=0,H9,(SUM(H10,H11,))))</f>
        <v>0</v>
      </c>
      <c r="I12" s="1291">
        <f>IF(SUM(I9:I11)=0,0,IF(SUM(I10,I11,)=0,I9,(SUM(I10,I11,))))</f>
        <v>0</v>
      </c>
      <c r="J12"/>
      <c r="K12" s="706"/>
      <c r="L12" s="57" t="str">
        <f>B6</f>
        <v xml:space="preserve">Linda </v>
      </c>
      <c r="M12" s="381" t="str">
        <f>IF(E6="hier keine Eingabe","kein 2. Chef",E6)</f>
        <v>kein 2. Chef</v>
      </c>
      <c r="N12" s="381" t="str">
        <f>IF(G6="hier keine Eingabe","kein 2. Chef",H6)</f>
        <v>hier keine Eingabe</v>
      </c>
      <c r="O12" s="381" t="s">
        <v>94</v>
      </c>
      <c r="P12" s="3444" t="s">
        <v>508</v>
      </c>
      <c r="Q12" s="3950"/>
    </row>
    <row r="13" spans="1:27" ht="17.25" customHeight="1">
      <c r="A13" s="1299" t="s">
        <v>842</v>
      </c>
      <c r="B13" s="1291">
        <f>IF(L13&gt;0,L13,IF(SUM(B9:B11)=0,C10*B18,B10))</f>
        <v>89772.952265285407</v>
      </c>
      <c r="C13" s="1291">
        <f>IF(L14&gt;0,L14,IF(SUM(B9:B11)=0,C11*B18,B11))</f>
        <v>5227.0477347145998</v>
      </c>
      <c r="D13" s="250"/>
      <c r="E13" s="1291">
        <f>IF('2a Chefeingaben'!M38="","",M13)</f>
        <v>0</v>
      </c>
      <c r="F13" s="1291">
        <f>IF('2a Chefeingaben'!M38="","",M14)</f>
        <v>0</v>
      </c>
      <c r="G13" s="2699"/>
      <c r="H13" s="1291">
        <f>IF('2a Chefeingaben'!M56="","",N13)</f>
        <v>0</v>
      </c>
      <c r="I13" s="1291">
        <f>IF('2a Chefeingaben'!M56="","",N14)</f>
        <v>0</v>
      </c>
      <c r="J13"/>
      <c r="K13" s="358" t="s">
        <v>317</v>
      </c>
      <c r="L13" s="401">
        <f>L15-L14</f>
        <v>89772.952265285407</v>
      </c>
      <c r="M13" s="401">
        <f>M15-M14</f>
        <v>0</v>
      </c>
      <c r="N13" s="401">
        <f>N15-N14</f>
        <v>0</v>
      </c>
      <c r="O13" s="401">
        <f>SUM(L13:N13)</f>
        <v>89772.952265285407</v>
      </c>
      <c r="P13" s="3444"/>
      <c r="Q13" s="3950"/>
    </row>
    <row r="14" spans="1:27" ht="25.5" customHeight="1">
      <c r="A14" s="1298" t="str">
        <f ca="1">IF(J39=1,"Als Solo-Selbstständige/r ohne MA hier bitte keine Eingabe","Geplanter Chefumsatz brutto Gesamt (jährlich)")</f>
        <v>Geplanter Chefumsatz brutto Gesamt (jährlich)</v>
      </c>
      <c r="B14" s="1291">
        <f>IF(C12&gt;0,C12*B18,IF(SUM(B10,B11,)=0,B12,(SUM(B10,B11,))))</f>
        <v>95000</v>
      </c>
      <c r="C14" s="1508" t="str">
        <f>IF(B14="","","Pro Tag")</f>
        <v>Pro Tag</v>
      </c>
      <c r="D14" s="174"/>
      <c r="E14" s="1291">
        <f>IF(F12&gt;0,F12*E18,IF(SUM(E10,E11,)=0,E12,(SUM(E10,E11,))))</f>
        <v>0</v>
      </c>
      <c r="F14" s="1508" t="str">
        <f>IF(E14=0,"","Pro Tag")</f>
        <v/>
      </c>
      <c r="G14" s="2700"/>
      <c r="H14" s="1291">
        <f>IF(I12&gt;0,I12*H18,IF(SUM(H10,H11,)=0,H12,(SUM(H10,H11,))))</f>
        <v>0</v>
      </c>
      <c r="I14" s="1508" t="str">
        <f>IF(H14=0,"","Pro Tag")</f>
        <v/>
      </c>
      <c r="J14"/>
      <c r="K14" s="358" t="s">
        <v>318</v>
      </c>
      <c r="L14" s="1438">
        <f>L15*Q16/100</f>
        <v>5227.0477347145998</v>
      </c>
      <c r="M14" s="1438">
        <f>M15*Q16/100</f>
        <v>0</v>
      </c>
      <c r="N14" s="1438">
        <f>N15*Q16/100</f>
        <v>0</v>
      </c>
      <c r="O14" s="401">
        <f>SUM(L14:N14)</f>
        <v>5227.0477347145998</v>
      </c>
      <c r="P14" s="3444"/>
      <c r="Q14" s="3950"/>
    </row>
    <row r="15" spans="1:27" ht="25.5" customHeight="1">
      <c r="A15" s="1286" t="s">
        <v>495</v>
      </c>
      <c r="B15" s="1291">
        <f>IF(B14="","",IF(B14=0,0,B14/B18))</f>
        <v>9500</v>
      </c>
      <c r="C15" s="1509">
        <f>IF(B14="","",IF(B15=0,"",B15/4.33/N7))</f>
        <v>438.79907621247111</v>
      </c>
      <c r="D15" s="174"/>
      <c r="E15" s="1291">
        <f>IF(E14="","",IF(E14=0,0,E14/E18))</f>
        <v>0</v>
      </c>
      <c r="F15" s="1509" t="str">
        <f>IF(E14="","",IF(E15=0,"",E15/4.33/N8))</f>
        <v/>
      </c>
      <c r="G15" s="2701"/>
      <c r="H15" s="1291">
        <f>IF(H14="","",IF(H14=0,0,H14/H18))</f>
        <v>0</v>
      </c>
      <c r="I15" s="1509" t="str">
        <f>IF(H14="","",IF(H15=0,"",H15/4.33/N9))</f>
        <v/>
      </c>
      <c r="J15"/>
      <c r="K15" s="706" t="s">
        <v>319</v>
      </c>
      <c r="L15" s="1431">
        <f>B14</f>
        <v>95000</v>
      </c>
      <c r="M15" s="1431">
        <f>E14</f>
        <v>0</v>
      </c>
      <c r="N15" s="1431">
        <f>H14</f>
        <v>0</v>
      </c>
      <c r="O15" s="1431">
        <f>SUM(L15:N15)</f>
        <v>95000</v>
      </c>
      <c r="P15" s="3444"/>
      <c r="Q15" s="3950"/>
    </row>
    <row r="16" spans="1:27" ht="25.5" customHeight="1">
      <c r="A16" s="414" t="s">
        <v>305</v>
      </c>
      <c r="B16" s="390">
        <f>B15*Q16/100</f>
        <v>522.70477347146004</v>
      </c>
      <c r="C16" s="1510">
        <f>IF(B16="","",B16/4.33/N7)</f>
        <v>24.143407550644802</v>
      </c>
      <c r="D16" s="250"/>
      <c r="E16" s="390">
        <f>E15*Q16/100</f>
        <v>0</v>
      </c>
      <c r="F16" s="1510" t="str">
        <f>IF(E16=0,"",E16/4.33/N8)</f>
        <v/>
      </c>
      <c r="G16" s="2701"/>
      <c r="H16" s="390">
        <f>H15*Q16/100</f>
        <v>0</v>
      </c>
      <c r="I16" s="1510" t="str">
        <f>IF(H16=0,"",H16/4.33/N9)</f>
        <v/>
      </c>
      <c r="K16" s="1371" t="s">
        <v>507</v>
      </c>
      <c r="L16" s="1506">
        <f>O15</f>
        <v>95000</v>
      </c>
      <c r="M16" s="1372"/>
      <c r="N16" s="1372"/>
      <c r="O16" s="1372"/>
      <c r="P16" s="2708" t="s">
        <v>320</v>
      </c>
      <c r="Q16" s="1373">
        <f>'18 Zielumsatz Planungsjahr'!AA10</f>
        <v>5.5021555102258946</v>
      </c>
    </row>
    <row r="17" spans="1:28" ht="25.5" customHeight="1">
      <c r="A17" s="414" t="s">
        <v>306</v>
      </c>
      <c r="B17" s="236">
        <f>IF(B16="","",B15-B16)</f>
        <v>8977.2952265285403</v>
      </c>
      <c r="C17" s="1510">
        <f>IF(B17="","",B17/4.33/N7)</f>
        <v>414.65566866182633</v>
      </c>
      <c r="D17" s="250"/>
      <c r="E17" s="236">
        <f>IF(E16="","",E15-E16)</f>
        <v>0</v>
      </c>
      <c r="F17" s="1510" t="str">
        <f>IF(E17=0,"",E17/4.33/N8)</f>
        <v/>
      </c>
      <c r="G17" s="2701"/>
      <c r="H17" s="236">
        <f>IF(H16="","",H15-H16)</f>
        <v>0</v>
      </c>
      <c r="I17" s="1510" t="str">
        <f>IF(H17=0,"",H17/4.33/N9)</f>
        <v/>
      </c>
      <c r="K17" s="615">
        <f>K10</f>
        <v>95000</v>
      </c>
      <c r="L17" s="615">
        <f>L10</f>
        <v>0</v>
      </c>
      <c r="M17" s="615"/>
      <c r="N17" s="615">
        <f>SUM(K17:L17)</f>
        <v>95000</v>
      </c>
      <c r="O17" s="615"/>
    </row>
    <row r="18" spans="1:28" ht="25.5" customHeight="1">
      <c r="A18" s="1511" t="s">
        <v>989</v>
      </c>
      <c r="B18" s="3990">
        <f>ROUND('2a Chefeingaben'!N21,1)</f>
        <v>10</v>
      </c>
      <c r="C18" s="3991"/>
      <c r="D18" s="250"/>
      <c r="E18" s="3990">
        <f>IF('2a Chefeingaben'!M38="","",IF('2a Chefeingaben'!M38&gt;10,10,ROUND('2a Chefeingaben'!M38,1)))</f>
        <v>0</v>
      </c>
      <c r="F18" s="3991"/>
      <c r="G18" s="2702"/>
      <c r="H18" s="3990">
        <f>IF('2a Chefeingaben'!M56="","",IF('2a Chefeingaben'!M56&gt;10,10,ROUND('2a Chefeingaben'!M56,1)))</f>
        <v>0</v>
      </c>
      <c r="I18" s="3991"/>
    </row>
    <row r="19" spans="1:28" ht="38.549999999999997" customHeight="1">
      <c r="A19" s="1536" t="str">
        <f>IF(E2="","②","")</f>
        <v>②</v>
      </c>
      <c r="B19" s="1826">
        <f>'2a Chefeingaben'!O17</f>
        <v>12</v>
      </c>
      <c r="C19" s="1826"/>
      <c r="D19" s="1826"/>
      <c r="E19" s="1826">
        <f>'2a Chefeingaben'!O35</f>
        <v>12</v>
      </c>
      <c r="F19" s="1182"/>
      <c r="G19" s="1182"/>
      <c r="H19" s="1826">
        <f>'2a Chefeingaben'!O53</f>
        <v>12</v>
      </c>
      <c r="I19" s="1182"/>
    </row>
    <row r="20" spans="1:28" s="1181" customFormat="1" ht="75" customHeight="1">
      <c r="A20" s="3326" t="str">
        <f>IF('2 Unternehmensdaten'!F5="ja","Falls Sie für eine GmbH planen, nutzen Sie bitte nur die Eingabe in -Zelle H2- Betriebswirtschaftlicher Gewinn. Bei Privatentnahme brauchen Sie nichts einzugeben.",X24)</f>
        <v>In den Zeilen 25 bis 33 können Sie Ihre einzelnen privaten Ausgaben auflisten. 
Der monatliche Wert wird aufs Jahr (x12) hochgerechnet.
Anschließend geben Sie bitte unten in die Zellen C40- C44 ein, welchen Eurobetrag Sie selbst verdienen wollen für 
- Ihre eigene Arbeit an Ihren Kunden (Meisterlohn) und 
- für Ihre unternehmerische Arbeit. (Unternehmerlohn)
Der Unternehmerlohn wird später in den Preis kalkuliert werden, damit Ihre Mitarbeiter diesen für Sie erwirtschaften können. 
Bedenken Sie bitte, dass es sich um Privatentnahmen handelt, von denen Sie alle privaten Ausgaben decken müssen, auch die eigenen Versicherungen und die Einkommensteuer. 
Wenn Sie darüber hinaus noch einen betriebswirtschaftlichen Gewinn oder eine Rücklage einplanen wollen, geben Sie den Wert dort ein. Der betriebswirtschaftliche Gewinn (oder die Rücklage), der über den Cheflohn hinausgeht, ist der wirkliche Gewinn des Unternehmens.</v>
      </c>
      <c r="B20" s="3326"/>
      <c r="C20" s="3326"/>
      <c r="D20" s="3326"/>
      <c r="E20" s="3326"/>
      <c r="F20" s="3326"/>
      <c r="G20" s="3326"/>
      <c r="H20" s="3326"/>
      <c r="I20" s="1568"/>
      <c r="J20" s="3977" t="str">
        <f>IF(E2="","","!")</f>
        <v/>
      </c>
      <c r="K20" s="1145"/>
      <c r="L20" s="1145"/>
      <c r="M20" s="34"/>
      <c r="N20" s="34"/>
      <c r="O20" s="34"/>
      <c r="P20" s="34"/>
      <c r="Q20" s="34"/>
    </row>
    <row r="21" spans="1:28" s="1181" customFormat="1" ht="120" customHeight="1">
      <c r="A21" s="3326"/>
      <c r="B21" s="3326"/>
      <c r="C21" s="3326"/>
      <c r="D21" s="3326"/>
      <c r="E21" s="3326"/>
      <c r="F21" s="3326"/>
      <c r="G21" s="3326"/>
      <c r="H21" s="3326"/>
      <c r="I21" s="1568"/>
      <c r="J21" s="3977"/>
      <c r="K21" s="1180"/>
      <c r="L21" s="1180"/>
    </row>
    <row r="22" spans="1:28" ht="22.05" customHeight="1">
      <c r="A22" s="3981" t="s">
        <v>1339</v>
      </c>
      <c r="B22" s="3987" t="str">
        <f>IF('2a Chefeingaben'!O5&gt;1,"In diesem Salon arbeitet mehrere Chefs, die vom Gewinn leben","")</f>
        <v/>
      </c>
      <c r="C22" s="3988"/>
      <c r="D22" s="3988"/>
      <c r="E22" s="3988"/>
      <c r="F22" s="3988"/>
      <c r="G22" s="3988"/>
      <c r="H22" s="3988"/>
      <c r="I22" s="3989"/>
      <c r="K22" s="1180"/>
      <c r="L22" s="1180"/>
      <c r="M22" s="1181"/>
      <c r="N22" s="1181"/>
      <c r="O22" s="1181"/>
      <c r="P22" s="1181"/>
      <c r="Q22" s="1181"/>
    </row>
    <row r="23" spans="1:28" ht="31.8" customHeight="1">
      <c r="A23" s="3981"/>
      <c r="B23" s="3960" t="str">
        <f>IF('2a Chefeingaben'!C5="","Chef/in",'2a Chefeingaben'!C5)</f>
        <v xml:space="preserve">Linda </v>
      </c>
      <c r="C23" s="3961"/>
      <c r="D23" s="13"/>
      <c r="E23" s="3960" t="str">
        <f>IF(B22="","hier keine Eingabe",'2a Chefeingaben'!C26)</f>
        <v>hier keine Eingabe</v>
      </c>
      <c r="F23" s="3961"/>
      <c r="G23" s="2703"/>
      <c r="H23" s="3960" t="str">
        <f>IF(B22="","hier keine Eingabe",'2a Chefeingaben'!C44)</f>
        <v>hier keine Eingabe</v>
      </c>
      <c r="I23" s="3961"/>
      <c r="K23" s="3955" t="s">
        <v>788</v>
      </c>
      <c r="L23" s="3956"/>
      <c r="M23" s="3957"/>
    </row>
    <row r="24" spans="1:28" ht="28.8" customHeight="1">
      <c r="A24" s="3982"/>
      <c r="B24" s="95" t="s">
        <v>21</v>
      </c>
      <c r="C24" s="139" t="s">
        <v>22</v>
      </c>
      <c r="D24" s="13"/>
      <c r="E24" s="95" t="s">
        <v>21</v>
      </c>
      <c r="F24" s="139" t="s">
        <v>73</v>
      </c>
      <c r="G24" s="2699"/>
      <c r="H24" s="95" t="s">
        <v>21</v>
      </c>
      <c r="I24" s="139" t="s">
        <v>73</v>
      </c>
      <c r="J24" s="170"/>
      <c r="K24" s="3959" t="str">
        <f>IF('3 Vorjahr'!C16&lt;12,"Die Einzelwerte der Privatentnahmen sind kum. Werte des Eingabemonats, ohne Hochrechnung.","")</f>
        <v>Die Einzelwerte der Privatentnahmen sind kum. Werte des Eingabemonats, ohne Hochrechnung.</v>
      </c>
      <c r="L24" s="3959"/>
      <c r="M24" s="3959"/>
      <c r="X24" s="3951" t="s">
        <v>1054</v>
      </c>
      <c r="Y24" s="3951"/>
      <c r="Z24" s="3951"/>
      <c r="AA24" s="3951"/>
      <c r="AB24" s="3951"/>
    </row>
    <row r="25" spans="1:28" ht="16.5" customHeight="1">
      <c r="A25" s="412" t="s">
        <v>23</v>
      </c>
      <c r="B25" s="411"/>
      <c r="C25" s="140" t="str">
        <f t="shared" ref="C25:C33" si="0">IF(B25="","",B25*12)</f>
        <v/>
      </c>
      <c r="D25" s="13"/>
      <c r="E25" s="411"/>
      <c r="F25" s="140" t="str">
        <f t="shared" ref="F25:F33" si="1">IF(E25="","",E25*12)</f>
        <v/>
      </c>
      <c r="G25" s="2704"/>
      <c r="H25" s="411"/>
      <c r="I25" s="140" t="str">
        <f t="shared" ref="I25:I33" si="2">IF(H25="","",H25*12)</f>
        <v/>
      </c>
      <c r="J25" s="170"/>
      <c r="K25" s="1215" t="str">
        <f>IF('3 Vorjahr'!A222="","",'3 Vorjahr'!A222)</f>
        <v>Privatentnahmen allgemein</v>
      </c>
      <c r="L25" s="1183"/>
      <c r="M25" s="1274">
        <f>IF('3 Vorjahr'!C222="","",'3 Vorjahr'!C222)</f>
        <v>63698.8</v>
      </c>
      <c r="X25" s="3951"/>
      <c r="Y25" s="3951"/>
      <c r="Z25" s="3951"/>
      <c r="AA25" s="3951"/>
      <c r="AB25" s="3951"/>
    </row>
    <row r="26" spans="1:28" ht="16.5" customHeight="1">
      <c r="A26" s="370" t="s">
        <v>150</v>
      </c>
      <c r="B26" s="411"/>
      <c r="C26" s="140" t="str">
        <f t="shared" si="0"/>
        <v/>
      </c>
      <c r="D26" s="13"/>
      <c r="E26" s="411"/>
      <c r="F26" s="140" t="str">
        <f t="shared" si="1"/>
        <v/>
      </c>
      <c r="G26" s="2704"/>
      <c r="H26" s="411"/>
      <c r="I26" s="140" t="str">
        <f t="shared" si="2"/>
        <v/>
      </c>
      <c r="J26" s="170"/>
      <c r="K26" s="1215" t="str">
        <f>IF('3 Vorjahr'!A223="","",'3 Vorjahr'!A223)</f>
        <v>Privatsteuern</v>
      </c>
      <c r="L26" s="1183"/>
      <c r="M26" s="1274">
        <f>IF('3 Vorjahr'!C223="","",'3 Vorjahr'!C223)</f>
        <v>5451</v>
      </c>
      <c r="X26" s="3951"/>
      <c r="Y26" s="3951"/>
      <c r="Z26" s="3951"/>
      <c r="AA26" s="3951"/>
      <c r="AB26" s="3951"/>
    </row>
    <row r="27" spans="1:28" ht="16.5" customHeight="1">
      <c r="A27" s="370" t="s">
        <v>151</v>
      </c>
      <c r="B27" s="411"/>
      <c r="C27" s="140" t="str">
        <f t="shared" si="0"/>
        <v/>
      </c>
      <c r="D27" s="13"/>
      <c r="E27" s="411"/>
      <c r="F27" s="140" t="str">
        <f t="shared" si="1"/>
        <v/>
      </c>
      <c r="G27" s="2704"/>
      <c r="H27" s="411"/>
      <c r="I27" s="140" t="str">
        <f t="shared" si="2"/>
        <v/>
      </c>
      <c r="J27" s="170"/>
      <c r="K27" s="1215" t="str">
        <f>IF('3 Vorjahr'!A224="","",'3 Vorjahr'!A224)</f>
        <v>Renteversicherung</v>
      </c>
      <c r="L27" s="1183"/>
      <c r="M27" s="1274" t="str">
        <f>IF('3 Vorjahr'!C224="","",'3 Vorjahr'!C224)</f>
        <v/>
      </c>
      <c r="X27" s="3951"/>
      <c r="Y27" s="3951"/>
      <c r="Z27" s="3951"/>
      <c r="AA27" s="3951"/>
      <c r="AB27" s="3951"/>
    </row>
    <row r="28" spans="1:28" ht="16.5" customHeight="1">
      <c r="A28" s="370" t="s">
        <v>152</v>
      </c>
      <c r="B28" s="411"/>
      <c r="C28" s="140" t="str">
        <f t="shared" si="0"/>
        <v/>
      </c>
      <c r="D28" s="13"/>
      <c r="E28" s="411"/>
      <c r="F28" s="140" t="str">
        <f t="shared" si="1"/>
        <v/>
      </c>
      <c r="G28" s="2704"/>
      <c r="H28" s="411"/>
      <c r="I28" s="140" t="str">
        <f t="shared" si="2"/>
        <v/>
      </c>
      <c r="J28" s="170"/>
      <c r="K28" s="1215" t="str">
        <f>IF('3 Vorjahr'!A225="","",'3 Vorjahr'!A225)</f>
        <v>Zuwendungen, Spenden</v>
      </c>
      <c r="L28" s="1183"/>
      <c r="M28" s="1274" t="str">
        <f>IF('3 Vorjahr'!C225="","",'3 Vorjahr'!C225)</f>
        <v/>
      </c>
      <c r="X28" s="3951"/>
      <c r="Y28" s="3951"/>
      <c r="Z28" s="3951"/>
      <c r="AA28" s="3951"/>
      <c r="AB28" s="3951"/>
    </row>
    <row r="29" spans="1:28" ht="16.5" customHeight="1">
      <c r="A29" s="370" t="s">
        <v>153</v>
      </c>
      <c r="B29" s="411"/>
      <c r="C29" s="140" t="str">
        <f t="shared" si="0"/>
        <v/>
      </c>
      <c r="D29" s="13"/>
      <c r="E29" s="411"/>
      <c r="F29" s="140" t="str">
        <f t="shared" si="1"/>
        <v/>
      </c>
      <c r="G29" s="2704"/>
      <c r="H29" s="411"/>
      <c r="I29" s="140" t="str">
        <f t="shared" si="2"/>
        <v/>
      </c>
      <c r="J29" s="170"/>
      <c r="K29" s="1215" t="str">
        <f>IF('3 Vorjahr'!A226="","",'3 Vorjahr'!A226)</f>
        <v>Grundstücksaufwand</v>
      </c>
      <c r="L29" s="1183"/>
      <c r="M29" s="1274" t="str">
        <f>IF('3 Vorjahr'!C226="","",'3 Vorjahr'!C226)</f>
        <v/>
      </c>
      <c r="X29" s="3951"/>
      <c r="Y29" s="3951"/>
      <c r="Z29" s="3951"/>
      <c r="AA29" s="3951"/>
      <c r="AB29" s="3951"/>
    </row>
    <row r="30" spans="1:28" ht="16.5" customHeight="1">
      <c r="A30" s="370" t="s">
        <v>523</v>
      </c>
      <c r="B30" s="411"/>
      <c r="C30" s="140" t="str">
        <f t="shared" si="0"/>
        <v/>
      </c>
      <c r="D30" s="13"/>
      <c r="E30" s="411"/>
      <c r="F30" s="140" t="str">
        <f t="shared" si="1"/>
        <v/>
      </c>
      <c r="G30" s="2704"/>
      <c r="H30" s="411"/>
      <c r="I30" s="140" t="str">
        <f t="shared" si="2"/>
        <v/>
      </c>
      <c r="J30" s="170"/>
      <c r="K30" s="1215" t="str">
        <f>IF('3 Vorjahr'!A227="","",'3 Vorjahr'!A227)</f>
        <v>Sonderausgaben beschränkt abzugsfähig</v>
      </c>
      <c r="L30" s="1183"/>
      <c r="M30" s="1274">
        <f>IF('3 Vorjahr'!C227="","",'3 Vorjahr'!C227)</f>
        <v>8209.27</v>
      </c>
      <c r="X30" s="3951"/>
      <c r="Y30" s="3951"/>
      <c r="Z30" s="3951"/>
      <c r="AA30" s="3951"/>
      <c r="AB30" s="3951"/>
    </row>
    <row r="31" spans="1:28" ht="16.5" customHeight="1">
      <c r="A31" s="370" t="s">
        <v>154</v>
      </c>
      <c r="B31" s="411"/>
      <c r="C31" s="140" t="str">
        <f t="shared" si="0"/>
        <v/>
      </c>
      <c r="D31" s="13"/>
      <c r="E31" s="411"/>
      <c r="F31" s="140" t="str">
        <f t="shared" si="1"/>
        <v/>
      </c>
      <c r="G31" s="2704"/>
      <c r="H31" s="411"/>
      <c r="I31" s="140" t="str">
        <f t="shared" si="2"/>
        <v/>
      </c>
      <c r="J31" s="170"/>
      <c r="K31" s="1215" t="str">
        <f>IF('3 Vorjahr'!A228="","",'3 Vorjahr'!A228)</f>
        <v>Sonderausgaben unbeschränkt abzugsfähig</v>
      </c>
      <c r="L31" s="1183"/>
      <c r="M31" s="1274">
        <f>IF('3 Vorjahr'!C228="","",'3 Vorjahr'!C228)</f>
        <v>2086.34</v>
      </c>
      <c r="X31" s="3951"/>
      <c r="Y31" s="3951"/>
      <c r="Z31" s="3951"/>
      <c r="AA31" s="3951"/>
      <c r="AB31" s="3951"/>
    </row>
    <row r="32" spans="1:28" ht="16.5" customHeight="1">
      <c r="A32" s="370" t="s">
        <v>155</v>
      </c>
      <c r="B32" s="411"/>
      <c r="C32" s="140" t="str">
        <f t="shared" si="0"/>
        <v/>
      </c>
      <c r="D32" s="13"/>
      <c r="E32" s="411"/>
      <c r="F32" s="140" t="str">
        <f t="shared" si="1"/>
        <v/>
      </c>
      <c r="G32" s="2704"/>
      <c r="H32" s="411"/>
      <c r="I32" s="140" t="str">
        <f t="shared" si="2"/>
        <v/>
      </c>
      <c r="J32" s="170"/>
      <c r="K32" s="1215" t="str">
        <f>IF('3 Vorjahr'!A229="","",'3 Vorjahr'!A229)</f>
        <v>Außergewöhnliche Belastungen</v>
      </c>
      <c r="L32" s="1183"/>
      <c r="M32" s="1274" t="str">
        <f>IF('3 Vorjahr'!C229="","",'3 Vorjahr'!C229)</f>
        <v/>
      </c>
      <c r="X32" s="3951"/>
      <c r="Y32" s="3951"/>
      <c r="Z32" s="3951"/>
      <c r="AA32" s="3951"/>
      <c r="AB32" s="3951"/>
    </row>
    <row r="33" spans="1:28" ht="16.5" customHeight="1">
      <c r="A33" s="370" t="s">
        <v>836</v>
      </c>
      <c r="B33" s="411"/>
      <c r="C33" s="140" t="str">
        <f t="shared" si="0"/>
        <v/>
      </c>
      <c r="D33" s="13"/>
      <c r="E33" s="411"/>
      <c r="F33" s="140" t="str">
        <f t="shared" si="1"/>
        <v/>
      </c>
      <c r="G33" s="2704"/>
      <c r="H33" s="411"/>
      <c r="I33" s="140" t="str">
        <f t="shared" si="2"/>
        <v/>
      </c>
      <c r="J33" s="170"/>
      <c r="K33" s="1215" t="str">
        <f>IF('3 Vorjahr'!A230="","",'3 Vorjahr'!A230)</f>
        <v>Unentgeltliche Wertabgaben</v>
      </c>
      <c r="L33" s="1183"/>
      <c r="M33" s="1274">
        <f>IF('3 Vorjahr'!C230="","",'3 Vorjahr'!C230)</f>
        <v>7105.6</v>
      </c>
      <c r="X33" s="3951"/>
      <c r="Y33" s="3951"/>
      <c r="Z33" s="3951"/>
      <c r="AA33" s="3951"/>
      <c r="AB33" s="3951"/>
    </row>
    <row r="34" spans="1:28" ht="16.5" customHeight="1">
      <c r="A34" s="193" t="s">
        <v>24</v>
      </c>
      <c r="B34" s="195">
        <f>SUM(B25:B33)</f>
        <v>0</v>
      </c>
      <c r="C34" s="141">
        <f>B34*12</f>
        <v>0</v>
      </c>
      <c r="D34" s="13"/>
      <c r="E34" s="195">
        <f>SUM(E25:E33)</f>
        <v>0</v>
      </c>
      <c r="F34" s="141">
        <f>E34*12</f>
        <v>0</v>
      </c>
      <c r="G34" s="1642"/>
      <c r="H34" s="195">
        <f>SUM(H25:H33)</f>
        <v>0</v>
      </c>
      <c r="I34" s="141">
        <f>H34*12</f>
        <v>0</v>
      </c>
      <c r="J34" s="170"/>
      <c r="K34" s="1215" t="str">
        <f>IF('3 Vorjahr'!A231="","",'3 Vorjahr'!A231)</f>
        <v/>
      </c>
      <c r="L34" s="1183"/>
      <c r="M34" s="1274" t="str">
        <f>IF('3 Vorjahr'!C231="","",'3 Vorjahr'!C231)</f>
        <v/>
      </c>
      <c r="N34" s="3973" t="str">
        <f>'15 Zins + Tilgung'!E13</f>
        <v>Die Hochrechnung basiert auf Daten aus</v>
      </c>
      <c r="O34" s="3974"/>
      <c r="X34" s="3951"/>
      <c r="Y34" s="3951"/>
      <c r="Z34" s="3951"/>
      <c r="AA34" s="3951"/>
      <c r="AB34" s="3951"/>
    </row>
    <row r="35" spans="1:28" ht="12.75" customHeight="1">
      <c r="C35" s="196"/>
      <c r="D35" s="13"/>
      <c r="F35" s="196"/>
      <c r="G35" s="34"/>
      <c r="H35" s="34"/>
      <c r="I35" s="196"/>
      <c r="K35" s="1215" t="str">
        <f>IF('3 Vorjahr'!A232="","",'3 Vorjahr'!A232)</f>
        <v/>
      </c>
      <c r="L35" s="1183"/>
      <c r="M35" s="1274" t="str">
        <f>IF('3 Vorjahr'!C232="","",'3 Vorjahr'!C232)</f>
        <v/>
      </c>
      <c r="N35" s="3975"/>
      <c r="O35" s="3976"/>
      <c r="X35" s="3951"/>
      <c r="Y35" s="3951"/>
      <c r="Z35" s="3951"/>
      <c r="AA35" s="3951"/>
      <c r="AB35" s="3951"/>
    </row>
    <row r="36" spans="1:28" ht="16.5" customHeight="1" thickBot="1">
      <c r="A36" s="194" t="s">
        <v>156</v>
      </c>
      <c r="B36" s="411"/>
      <c r="C36" s="140">
        <f>IF(B36="",0,B36*12)</f>
        <v>0</v>
      </c>
      <c r="D36" s="13"/>
      <c r="E36" s="411"/>
      <c r="F36" s="140">
        <f>IF(E36="",0,E36*12)</f>
        <v>0</v>
      </c>
      <c r="G36" s="2704"/>
      <c r="H36" s="411"/>
      <c r="I36" s="140">
        <f>IF(H36="",0,H36*12)</f>
        <v>0</v>
      </c>
      <c r="K36" s="2342" t="s">
        <v>655</v>
      </c>
      <c r="L36" s="2343"/>
      <c r="M36" s="2481">
        <f>IF('3 Vorjahr'!K37="","",SUM(M25:M35))</f>
        <v>86551.010000000009</v>
      </c>
      <c r="N36" s="1579" t="str">
        <f>'15 Zins + Tilgung'!E15</f>
        <v>Oktober</v>
      </c>
      <c r="O36" s="2480">
        <f>'3 Vorjahr'!C16</f>
        <v>10</v>
      </c>
      <c r="X36" s="3951"/>
      <c r="Y36" s="3951"/>
      <c r="Z36" s="3951"/>
      <c r="AA36" s="3951"/>
      <c r="AB36" s="3951"/>
    </row>
    <row r="37" spans="1:28" ht="12" customHeight="1" thickTop="1">
      <c r="A37" s="214"/>
      <c r="G37" s="34"/>
      <c r="H37" s="34"/>
      <c r="K37" s="2344" t="str">
        <f>IF('3 Vorjahr'!A233="","",'3 Vorjahr'!A233)</f>
        <v>Privateinlagen</v>
      </c>
      <c r="L37" s="2343"/>
      <c r="M37" s="2481">
        <f>IF('3 Vorjahr'!C233="",0,'3 Vorjahr'!C233)</f>
        <v>7250</v>
      </c>
      <c r="N37" s="3249">
        <f>IF(N36="","",M36/$O$36*12)</f>
        <v>103861.212</v>
      </c>
      <c r="X37" s="3951"/>
      <c r="Y37" s="3951"/>
      <c r="Z37" s="3951"/>
      <c r="AA37" s="3951"/>
      <c r="AB37" s="3951"/>
    </row>
    <row r="38" spans="1:28" ht="16.5" customHeight="1" thickBot="1">
      <c r="A38" s="194" t="s">
        <v>837</v>
      </c>
      <c r="B38" s="215">
        <f>B34-B36</f>
        <v>0</v>
      </c>
      <c r="C38" s="215">
        <f>IF(C36="",C34,SUM(C34,-C36))</f>
        <v>0</v>
      </c>
      <c r="D38" s="1504"/>
      <c r="E38" s="215">
        <f>E34-E36</f>
        <v>0</v>
      </c>
      <c r="F38" s="215">
        <f>IF(F36="",F34,SUM(F34,-F36))</f>
        <v>0</v>
      </c>
      <c r="G38" s="2704"/>
      <c r="H38" s="215">
        <f>H34-H36</f>
        <v>0</v>
      </c>
      <c r="I38" s="215">
        <f>IF(I36="",I34,SUM(I34,-I36))</f>
        <v>0</v>
      </c>
      <c r="K38" s="2345" t="s">
        <v>1160</v>
      </c>
      <c r="L38" s="2346"/>
      <c r="M38" s="2482">
        <f>M36-M37</f>
        <v>79301.010000000009</v>
      </c>
      <c r="N38" s="3250">
        <f>IF(N36="","",M37/$O$36*12)</f>
        <v>8700</v>
      </c>
      <c r="X38" s="3951"/>
      <c r="Y38" s="3951"/>
      <c r="Z38" s="3951"/>
      <c r="AA38" s="3951"/>
      <c r="AB38" s="3951"/>
    </row>
    <row r="39" spans="1:28" s="94" customFormat="1" ht="24" customHeight="1" thickBot="1">
      <c r="A39" s="1514" t="str">
        <f>IF(B41="","Eingaben Privatentnahmen für die Planung","")</f>
        <v>Eingaben Privatentnahmen für die Planung</v>
      </c>
      <c r="B39" s="1285" t="s">
        <v>936</v>
      </c>
      <c r="C39" s="1503" t="str">
        <f>IF(B41="","Jahreszahlen","" )</f>
        <v>Jahreszahlen</v>
      </c>
      <c r="D39" s="586"/>
      <c r="E39" s="585"/>
      <c r="F39" s="1503" t="str">
        <f>IF(B41="","Jahreszahlen","" )</f>
        <v>Jahreszahlen</v>
      </c>
      <c r="G39" s="586"/>
      <c r="H39" s="585"/>
      <c r="I39" s="1503" t="str">
        <f>IF(B41="","Jahreszahlen","" )</f>
        <v>Jahreszahlen</v>
      </c>
      <c r="J39" s="615">
        <f ca="1">IF('11 Gesamt PK'!F10=0,"",IF(('11 Gesamt PK'!F10-'11 Gesamt PK'!F7)=0,1,2))</f>
        <v>2</v>
      </c>
      <c r="K39" s="3958" t="str">
        <f>IF(SUM(K40:K42)=0,"","Vorjahr zum Vergleich")</f>
        <v>Vorjahr zum Vergleich</v>
      </c>
      <c r="L39" s="3958"/>
      <c r="M39" s="1682"/>
      <c r="N39" s="3251">
        <f>IF(N36="","",M38/$O$36*12)</f>
        <v>95161.212</v>
      </c>
      <c r="O39" s="34"/>
      <c r="P39" s="34"/>
      <c r="Q39" s="34"/>
      <c r="U39" s="34"/>
      <c r="V39" s="34"/>
      <c r="W39" s="34"/>
      <c r="X39" s="3951"/>
      <c r="Y39" s="3951"/>
      <c r="Z39" s="3951"/>
      <c r="AA39" s="3951"/>
      <c r="AB39" s="3951"/>
    </row>
    <row r="40" spans="1:28" s="94" customFormat="1" ht="28.95" customHeight="1" thickTop="1">
      <c r="A40" s="1515" t="str">
        <f>IF(Start!O20&gt;0,"Eingabe Privatentahmen Solo-Selbstständige",IF(B41="","In welchen Höhe planen Sie Ihre Privatentnahmen im Planungszeitraum?",""))</f>
        <v>In welchen Höhe planen Sie Ihre Privatentnahmen im Planungszeitraum?</v>
      </c>
      <c r="B40" s="1540">
        <f>IF(E2="",1,"")</f>
        <v>1</v>
      </c>
      <c r="C40" s="1518">
        <v>90000</v>
      </c>
      <c r="D40" s="586"/>
      <c r="E40" s="1540">
        <f>IF(E2="",1,"")</f>
        <v>1</v>
      </c>
      <c r="F40" s="1518"/>
      <c r="G40" s="586"/>
      <c r="H40" s="1540">
        <f>IF(H2="",1,"")</f>
        <v>1</v>
      </c>
      <c r="I40" s="1518"/>
      <c r="J40" s="1184"/>
      <c r="K40" s="2347">
        <f>IF(N39="",M38,IF(M38=0,"keine Angabe",N39))</f>
        <v>95161.212</v>
      </c>
      <c r="L40" s="2348" t="s">
        <v>1161</v>
      </c>
      <c r="M40" s="2766" t="str">
        <f>IF(N39="","","Auf das Jahr hochgerechnete Privatentnahmen.")</f>
        <v>Auf das Jahr hochgerechnete Privatentnahmen.</v>
      </c>
      <c r="N40" s="1683"/>
      <c r="O40" s="1682"/>
      <c r="P40" s="2767" t="s">
        <v>91</v>
      </c>
      <c r="Q40" s="1682"/>
      <c r="U40" s="34"/>
      <c r="V40" s="34"/>
      <c r="W40" s="34"/>
      <c r="X40" s="1279"/>
      <c r="Y40" s="1279"/>
      <c r="Z40" s="1279"/>
      <c r="AA40" s="1279"/>
      <c r="AB40" s="1279"/>
    </row>
    <row r="41" spans="1:28" s="94" customFormat="1" ht="22.5" customHeight="1">
      <c r="A41" s="1516" t="str">
        <f>IF(B41="","Betriebswirtschaftlicher Gewinn oder Rücklage","")</f>
        <v>Betriebswirtschaftlicher Gewinn oder Rücklage</v>
      </c>
      <c r="B41" s="1611" t="str">
        <f>IF(E2="","","keine Eing.")</f>
        <v/>
      </c>
      <c r="C41" s="1518">
        <v>5000</v>
      </c>
      <c r="D41" s="1186"/>
      <c r="E41" s="1611"/>
      <c r="F41" s="1518"/>
      <c r="G41" s="1186"/>
      <c r="H41" s="1611"/>
      <c r="I41" s="1518"/>
      <c r="K41" s="1513">
        <f>IF('3 Vorjahr'!K41="","keine Angabe",'3 Vorjahr'!K41)</f>
        <v>-4723.6040000000394</v>
      </c>
      <c r="L41" s="1526" t="s">
        <v>468</v>
      </c>
      <c r="M41" s="2768">
        <f>C40</f>
        <v>90000</v>
      </c>
      <c r="N41" s="2768">
        <f>F40</f>
        <v>0</v>
      </c>
      <c r="O41" s="2769">
        <f>I40</f>
        <v>0</v>
      </c>
      <c r="P41" s="2770">
        <f>SUM(M41:O41)</f>
        <v>90000</v>
      </c>
      <c r="Q41" s="1682"/>
      <c r="U41" s="34"/>
      <c r="V41" s="34"/>
      <c r="W41" s="34"/>
      <c r="X41" s="34"/>
    </row>
    <row r="42" spans="1:28" s="94" customFormat="1" ht="72.599999999999994" customHeight="1">
      <c r="A42" s="2899" t="str">
        <f>IF(D2="!","",IF(B41="keine Eing.","",IF(C40="","","Wie unterteilen Sie Ihre Privatentnahmen in den kalkulatorischen Meisterlohn für die Arbeit am Kunden und den kalkulatorischen Unternehmerlohn für die weitere Planung?")))</f>
        <v>Wie unterteilen Sie Ihre Privatentnahmen in den kalkulatorischen Meisterlohn für die Arbeit am Kunden und den kalkulatorischen Unternehmerlohn für die weitere Planung?</v>
      </c>
      <c r="B42" s="3953" t="str">
        <f>IF(D2="!","",IF(A42="","",J42))</f>
        <v>Meine Empfehlung für Ihren kalkulatorischen Meisterlohn nach dem Lohnfaktor für Ihre Mitarbeiter sehen Sie links unten. Übertragen Sie diese Werte bitte unten in die grauen Zellen rechts.</v>
      </c>
      <c r="C42" s="3954"/>
      <c r="D42" s="1186"/>
      <c r="E42" s="3953" t="str">
        <f>IF(F40="","",J42)</f>
        <v/>
      </c>
      <c r="F42" s="3954"/>
      <c r="G42" s="1186"/>
      <c r="H42" s="3953" t="str">
        <f>IF(I40="","",J42)</f>
        <v/>
      </c>
      <c r="I42" s="3954"/>
      <c r="J42" s="2903" t="str">
        <f>IF(W4=0,K42,L42)</f>
        <v>Meine Empfehlung für Ihren kalkulatorischen Meisterlohn nach dem Lohnfaktor für Ihre Mitarbeiter sehen Sie links unten. Übertragen Sie diese Werte bitte unten in die grauen Zellen rechts.</v>
      </c>
      <c r="K42" s="2904" t="s">
        <v>1337</v>
      </c>
      <c r="L42" s="2904" t="s">
        <v>1336</v>
      </c>
      <c r="M42" s="2768">
        <f>C41</f>
        <v>5000</v>
      </c>
      <c r="N42" s="2768">
        <f>F41</f>
        <v>0</v>
      </c>
      <c r="O42" s="2769">
        <f>I41</f>
        <v>0</v>
      </c>
      <c r="P42" s="2771">
        <f>SUM(M42:O42)</f>
        <v>5000</v>
      </c>
      <c r="Q42" s="1682"/>
      <c r="U42" s="34"/>
      <c r="V42" s="34"/>
      <c r="W42" s="34"/>
      <c r="X42" s="34"/>
    </row>
    <row r="43" spans="1:28" s="142" customFormat="1" ht="19.5" customHeight="1">
      <c r="A43" s="1517" t="str">
        <f>IF(D2="!","hier nichts eingeben",IF(B41="","Kalkulatorischer Lohn für Arbeit am Kunden (Meisterlohn)",""))</f>
        <v>Kalkulatorischer Lohn für Arbeit am Kunden (Meisterlohn)</v>
      </c>
      <c r="B43" s="2563">
        <f ca="1">IF(B40="","",IF(X4="ok",W7,IF(ROUND(C51*B19*C53,0)&gt;C40,C40,ROUND(C51*B19*C53,0))))</f>
        <v>30778</v>
      </c>
      <c r="C43" s="1518">
        <v>30778</v>
      </c>
      <c r="D43" s="1608" t="str">
        <f>IF(C43=0,"",IF(C43="","!",""))</f>
        <v/>
      </c>
      <c r="E43" s="2563" t="str">
        <f>IF(F40="","",IF(X4="ok",X7,IF(E19=0,0,IF(ROUND(F51*E19*1.25,0)&gt;F40,F40,ROUND(F51*E19*1.25,0)))))</f>
        <v/>
      </c>
      <c r="F43" s="1518"/>
      <c r="G43" s="1608" t="str">
        <f>IF(F43=0,"",IF(F43="","!",""))</f>
        <v/>
      </c>
      <c r="H43" s="2563" t="str">
        <f>IF(I40="","",IF(X4="ok",Y7,IF(H19=0,0,IF(ROUND(I51*H19*1.25,0)&gt;I40,I40,ROUND(I51*H19*1.25,0)))))</f>
        <v/>
      </c>
      <c r="I43" s="1518"/>
      <c r="J43" s="3964" t="str">
        <f ca="1">IF(SUM(L43:L44)=0,"","Sie haben links nicht die gleichen Werte eingetragen")</f>
        <v/>
      </c>
      <c r="K43" s="2696"/>
      <c r="L43" s="1284">
        <f ca="1">IF(SUM(B43,E43,H43)=SUM(C43,F43,I43),0,1)</f>
        <v>0</v>
      </c>
      <c r="M43" s="2772">
        <f>C43</f>
        <v>30778</v>
      </c>
      <c r="N43" s="2772">
        <f>F43</f>
        <v>0</v>
      </c>
      <c r="O43" s="2773">
        <f>I43</f>
        <v>0</v>
      </c>
      <c r="P43" s="2770">
        <f>SUM(M43:O43)</f>
        <v>30778</v>
      </c>
      <c r="Q43" s="1682"/>
      <c r="U43" s="34"/>
      <c r="V43" s="34"/>
      <c r="W43" s="34"/>
      <c r="X43" s="34"/>
    </row>
    <row r="44" spans="1:28" s="142" customFormat="1" ht="26.25" customHeight="1">
      <c r="A44" s="1523" t="str">
        <f ca="1">IF(D2="!","hier nichts eingeben",IF(J39=1,"",IF(B41="","Kalkulatorischer Lohn für Büroarbeit (Unternehmerlohn)","")))</f>
        <v>Kalkulatorischer Lohn für Büroarbeit (Unternehmerlohn)</v>
      </c>
      <c r="B44" s="2564">
        <f ca="1">IF(E2="",SUM(C40)-B43,"")</f>
        <v>59222</v>
      </c>
      <c r="C44" s="1524">
        <v>59222</v>
      </c>
      <c r="D44" s="1609" t="str">
        <f>IF(C44=0,"",IF(C44="","!",""))</f>
        <v/>
      </c>
      <c r="E44" s="2564" t="str">
        <f>IF(F40="","",IF(E2="",SUM(F40)-E43,""))</f>
        <v/>
      </c>
      <c r="F44" s="1524"/>
      <c r="G44" s="1609" t="str">
        <f>IF(F44=0,"",IF(F44="","!",""))</f>
        <v/>
      </c>
      <c r="H44" s="2564" t="str">
        <f>IF(I40="","",IF(E2="",SUM(I40)-H43,""))</f>
        <v/>
      </c>
      <c r="I44" s="1524"/>
      <c r="J44" s="3965"/>
      <c r="K44" s="2697"/>
      <c r="L44" s="1284">
        <f ca="1">IF(SUM(B44,E44,H44)=SUM(C44,F44,I44),0,1)</f>
        <v>0</v>
      </c>
      <c r="M44" s="2772">
        <f>C44</f>
        <v>59222</v>
      </c>
      <c r="N44" s="2772">
        <f>F44</f>
        <v>0</v>
      </c>
      <c r="O44" s="2773">
        <f>I44</f>
        <v>0</v>
      </c>
      <c r="P44" s="2770">
        <f>SUM(M44:O44)</f>
        <v>59222</v>
      </c>
      <c r="Q44" s="1284"/>
      <c r="U44" s="34"/>
      <c r="V44" s="34"/>
      <c r="W44" s="34"/>
      <c r="X44" s="34"/>
    </row>
    <row r="45" spans="1:28" s="142" customFormat="1" ht="24" customHeight="1">
      <c r="A45" s="1519" t="str">
        <f>IF(D2="!","hier nichts eingeben",IF(B41="","Private Einlagen",""
))</f>
        <v>Private Einlagen</v>
      </c>
      <c r="B45" s="1520" t="str">
        <f>IF(B41="","(ich empfehle erst mal ohne Einlagen zu planen)","")</f>
        <v>(ich empfehle erst mal ohne Einlagen zu planen)</v>
      </c>
      <c r="C45" s="1521"/>
      <c r="D45" s="1522"/>
      <c r="E45" s="1520" t="str">
        <f>IF(E41="","(ich empfehle erst mal ohne Einlagen zu planen)","")</f>
        <v>(ich empfehle erst mal ohne Einlagen zu planen)</v>
      </c>
      <c r="F45" s="1521"/>
      <c r="G45" s="1522"/>
      <c r="H45" s="1520" t="str">
        <f>IF(H41="","(ich empfehle erst mal ohne Einlagen zu planen)","")</f>
        <v>(ich empfehle erst mal ohne Einlagen zu planen)</v>
      </c>
      <c r="I45" s="1521"/>
      <c r="K45" s="1185">
        <f>IF('3 Vorjahr'!K40="","keine Angabe",-'3 Vorjahr'!K40)</f>
        <v>-7250</v>
      </c>
      <c r="L45" s="1527" t="s">
        <v>254</v>
      </c>
      <c r="M45" s="2768">
        <f>C45</f>
        <v>0</v>
      </c>
      <c r="N45" s="2773">
        <f>F45</f>
        <v>0</v>
      </c>
      <c r="O45" s="2773">
        <f>I45</f>
        <v>0</v>
      </c>
      <c r="P45" s="2770">
        <f>SUM(M45:O45)</f>
        <v>0</v>
      </c>
      <c r="Q45" s="1284"/>
      <c r="U45" s="34"/>
      <c r="V45" s="34"/>
      <c r="W45" s="34"/>
      <c r="X45" s="34"/>
    </row>
    <row r="46" spans="1:28" s="142" customFormat="1" ht="15" customHeight="1">
      <c r="A46" s="1529" t="s">
        <v>937</v>
      </c>
      <c r="B46" s="1530"/>
      <c r="C46" s="1531">
        <f>SUM(C43:C44)</f>
        <v>90000</v>
      </c>
      <c r="D46" s="1532"/>
      <c r="E46" s="1533"/>
      <c r="F46" s="1531">
        <f>SUM(F43:F44)</f>
        <v>0</v>
      </c>
      <c r="G46" s="2705"/>
      <c r="H46" s="1533"/>
      <c r="I46" s="1531">
        <f>SUM(I43:I45)</f>
        <v>0</v>
      </c>
      <c r="K46" s="1512">
        <f>SUM(K40:K45)</f>
        <v>83187.607999999964</v>
      </c>
      <c r="L46" s="1528" t="s">
        <v>322</v>
      </c>
      <c r="M46" s="1284"/>
      <c r="N46" s="2768"/>
      <c r="O46" s="1284"/>
      <c r="P46" s="2771">
        <f>SUM(P42:P45)</f>
        <v>95000</v>
      </c>
      <c r="Q46" s="1284"/>
      <c r="U46" s="34"/>
      <c r="V46" s="34"/>
      <c r="W46" s="34"/>
      <c r="X46" s="34"/>
    </row>
    <row r="47" spans="1:28" ht="32.549999999999997" customHeight="1" thickBot="1">
      <c r="A47" s="3968" t="s">
        <v>938</v>
      </c>
      <c r="B47" s="3968"/>
      <c r="C47" s="1534">
        <f>SUM(C40:C41)</f>
        <v>95000</v>
      </c>
      <c r="D47" s="1535"/>
      <c r="E47" s="1535"/>
      <c r="F47" s="1534">
        <f>SUM(F40:F41)</f>
        <v>0</v>
      </c>
      <c r="G47" s="1534"/>
      <c r="H47" s="1534"/>
      <c r="I47" s="1534">
        <f>SUM(I40:I41)</f>
        <v>0</v>
      </c>
      <c r="J47" s="2908">
        <f>SUM(C43:C44,F43:F44,I43:I44)</f>
        <v>90000</v>
      </c>
      <c r="K47" s="971">
        <f>SUM(M47,N47,O47)</f>
        <v>90000</v>
      </c>
      <c r="L47" s="972" t="s">
        <v>675</v>
      </c>
      <c r="M47" s="2768">
        <f>SUM(M43:M44)-M45</f>
        <v>90000</v>
      </c>
      <c r="N47" s="2768">
        <f>SUM(N43:N44)-N45</f>
        <v>0</v>
      </c>
      <c r="O47" s="2768">
        <f>SUM(O43:O44)-O45</f>
        <v>0</v>
      </c>
      <c r="P47" s="2770">
        <f>SUM(M47:O47)</f>
        <v>90000</v>
      </c>
      <c r="Q47" s="1284"/>
    </row>
    <row r="48" spans="1:28" ht="28.2" customHeight="1" thickTop="1">
      <c r="A48" s="3962" t="s">
        <v>1325</v>
      </c>
      <c r="B48" s="3963"/>
      <c r="C48" s="3963"/>
      <c r="D48" s="3963"/>
      <c r="E48" s="3963"/>
      <c r="F48" s="3963"/>
      <c r="G48" s="3963"/>
      <c r="H48" s="3963"/>
      <c r="I48" s="2695"/>
      <c r="N48" s="216"/>
      <c r="O48" s="216"/>
      <c r="P48" s="216"/>
    </row>
    <row r="49" spans="1:11" ht="20.399999999999999" customHeight="1">
      <c r="A49" s="2841"/>
      <c r="B49" s="2843" t="str">
        <f>B6</f>
        <v xml:space="preserve">Linda </v>
      </c>
      <c r="C49" s="2842"/>
      <c r="D49" s="2842"/>
      <c r="E49" s="2843" t="str">
        <f>E6</f>
        <v>hier keine Eingabe</v>
      </c>
      <c r="F49" s="2842"/>
      <c r="G49" s="2695"/>
      <c r="H49" s="2843" t="str">
        <f>H6</f>
        <v>hier keine Eingabe</v>
      </c>
      <c r="I49" s="2695"/>
      <c r="J49"/>
      <c r="K49"/>
    </row>
    <row r="50" spans="1:11" ht="19.5" customHeight="1">
      <c r="A50" s="158" t="s">
        <v>1318</v>
      </c>
      <c r="B50" s="2825">
        <f ca="1">IF('1 Erklärung'!AA$2="","",B14)</f>
        <v>95000</v>
      </c>
      <c r="C50" s="1349"/>
      <c r="D50" s="1352"/>
      <c r="E50" s="2833">
        <f ca="1">IF('1 Erklärung'!AA$2="","",E14)</f>
        <v>0</v>
      </c>
      <c r="F50" s="1349"/>
      <c r="G50" s="1349"/>
      <c r="H50" s="2817">
        <f ca="1">IF('1 Erklärung'!AA$2="","",H14)</f>
        <v>0</v>
      </c>
      <c r="I50" s="1349"/>
      <c r="J50"/>
      <c r="K50"/>
    </row>
    <row r="51" spans="1:11" ht="19.5" customHeight="1">
      <c r="A51" s="42" t="s">
        <v>307</v>
      </c>
      <c r="B51" s="2826">
        <f ca="1">IF(B18=0,0,B50/B18)</f>
        <v>9500</v>
      </c>
      <c r="C51" s="2832">
        <f ca="1">IF($A59="","",B51/$A59)</f>
        <v>2051.8358531317494</v>
      </c>
      <c r="D51" s="1352"/>
      <c r="E51" s="2834">
        <f>IF(E18=0,0,E50/E18)</f>
        <v>0</v>
      </c>
      <c r="F51" s="2832">
        <f ca="1">IF($A59="","",E51/$A59)</f>
        <v>0</v>
      </c>
      <c r="G51" s="1525"/>
      <c r="H51" s="2818">
        <f>IF(H18=0,0,H50/H18)</f>
        <v>0</v>
      </c>
      <c r="I51" s="2832">
        <f ca="1">IF($A59="","",H51/$A59)</f>
        <v>0</v>
      </c>
      <c r="J51"/>
      <c r="K51"/>
    </row>
    <row r="52" spans="1:11" ht="19.5" customHeight="1">
      <c r="A52" s="2814" t="s">
        <v>1319</v>
      </c>
      <c r="B52" s="2827">
        <f>C43</f>
        <v>30778</v>
      </c>
      <c r="C52" s="267"/>
      <c r="D52" s="1352"/>
      <c r="E52" s="2835">
        <f>F43</f>
        <v>0</v>
      </c>
      <c r="G52" s="34"/>
      <c r="H52" s="2819">
        <f>I43</f>
        <v>0</v>
      </c>
      <c r="J52"/>
      <c r="K52"/>
    </row>
    <row r="53" spans="1:11" ht="19.5" customHeight="1">
      <c r="A53" s="2815" t="str">
        <f>IF('2 Unternehmensdaten'!F10="x","Umrechnung in Bruttolohn (:1,304) Ö.","Umrechnung in Bruttolohn (:1,25)")</f>
        <v>Umrechnung in Bruttolohn (:1,25)</v>
      </c>
      <c r="B53" s="2828">
        <f>IF(B52="","",B52/C53)</f>
        <v>24622.400000000001</v>
      </c>
      <c r="C53" s="267">
        <f>IF('2 Unternehmensdaten'!F9="x",'2 Unternehmensdaten'!D15+1,'2 Unternehmensdaten'!D14+1)</f>
        <v>1.25</v>
      </c>
      <c r="D53" s="1352"/>
      <c r="E53" s="2836">
        <f>IF(E52="","",E52/1.25)</f>
        <v>0</v>
      </c>
      <c r="F53" s="267">
        <f>IF('2 Unternehmensdaten'!F9="x",'2 Unternehmensdaten'!D15+1,'2 Unternehmensdaten'!D14+1)</f>
        <v>1.25</v>
      </c>
      <c r="G53" s="267"/>
      <c r="H53" s="2820">
        <f>IF(H52="","",H52/1.25)</f>
        <v>0</v>
      </c>
      <c r="I53" s="267">
        <f>IF('2 Unternehmensdaten'!F9="x",'2 Unternehmensdaten'!D15+1,'2 Unternehmensdaten'!D14+1)</f>
        <v>1.25</v>
      </c>
      <c r="J53"/>
      <c r="K53"/>
    </row>
    <row r="54" spans="1:11" ht="27" customHeight="1">
      <c r="A54" s="2816" t="s">
        <v>1411</v>
      </c>
      <c r="B54" s="2829">
        <f>IF(B53="","",B53/B19)</f>
        <v>2051.8666666666668</v>
      </c>
      <c r="C54" s="3"/>
      <c r="D54" s="2840"/>
      <c r="E54" s="2837" t="str">
        <f>IF(E53=0,"",E53/E19)</f>
        <v/>
      </c>
      <c r="G54" s="34"/>
      <c r="H54" s="2821" t="str">
        <f>IF(H53=0,"",H53/H19)</f>
        <v/>
      </c>
      <c r="J54"/>
      <c r="K54"/>
    </row>
    <row r="55" spans="1:11" ht="15">
      <c r="A55" s="158" t="s">
        <v>1317</v>
      </c>
      <c r="B55" s="2825">
        <f ca="1">B51</f>
        <v>9500</v>
      </c>
      <c r="C55" s="3"/>
      <c r="D55" s="1352"/>
      <c r="E55" s="2838">
        <f>E51</f>
        <v>0</v>
      </c>
      <c r="G55" s="34"/>
      <c r="H55" s="2822">
        <f>H51</f>
        <v>0</v>
      </c>
      <c r="J55"/>
      <c r="K55"/>
    </row>
    <row r="56" spans="1:11">
      <c r="A56" s="42" t="s">
        <v>1</v>
      </c>
      <c r="B56" s="2826">
        <f>B54</f>
        <v>2051.8666666666668</v>
      </c>
      <c r="D56" s="753"/>
      <c r="E56" s="2834" t="str">
        <f>E54</f>
        <v/>
      </c>
      <c r="G56" s="34"/>
      <c r="H56" s="2818" t="str">
        <f>H54</f>
        <v/>
      </c>
      <c r="J56"/>
      <c r="K56"/>
    </row>
    <row r="57" spans="1:11" ht="26.55" customHeight="1">
      <c r="A57" s="212" t="s">
        <v>204</v>
      </c>
      <c r="B57" s="2823">
        <f ca="1">IF(B55=0,0,IF(B53=0,0,(B14/B18)/B54))</f>
        <v>4.6299304698161023</v>
      </c>
      <c r="C57" s="1437"/>
      <c r="D57" s="753"/>
      <c r="E57" s="2839">
        <f>IF(E55=0,0,IF(E53=0,0,(E14/E18)/E54))</f>
        <v>0</v>
      </c>
      <c r="G57" s="34"/>
      <c r="H57" s="2823">
        <f>IF(H51=0,0,IF(H53=0,0,(H14/H18)/H54))</f>
        <v>0</v>
      </c>
      <c r="J57"/>
      <c r="K57"/>
    </row>
    <row r="58" spans="1:11" ht="21" customHeight="1">
      <c r="A58" s="34" t="s">
        <v>934</v>
      </c>
      <c r="B58" s="1587">
        <f>R7</f>
        <v>21.65</v>
      </c>
      <c r="C58" s="615"/>
      <c r="D58" s="615"/>
      <c r="E58" s="1587">
        <f>R8</f>
        <v>0</v>
      </c>
      <c r="F58" s="615"/>
      <c r="G58" s="615"/>
      <c r="H58" s="1587">
        <f>R9</f>
        <v>0</v>
      </c>
      <c r="I58" s="3204"/>
      <c r="J58"/>
      <c r="K58"/>
    </row>
    <row r="59" spans="1:11" ht="21" customHeight="1">
      <c r="A59" s="2831">
        <f ca="1">IF('21 Lohnfaktor'!O11="","",IF('21 Lohnfaktor'!O11=0,"",'21 Lohnfaktor'!P13))</f>
        <v>4.63</v>
      </c>
      <c r="B59" s="1819">
        <f>O7</f>
        <v>173.2</v>
      </c>
      <c r="C59" s="1819"/>
      <c r="D59" s="615"/>
      <c r="E59" s="1819">
        <f>O8</f>
        <v>0</v>
      </c>
      <c r="F59" s="615"/>
      <c r="G59" s="615"/>
      <c r="H59" s="1819">
        <f>O9</f>
        <v>0</v>
      </c>
      <c r="I59" s="3204"/>
      <c r="J59"/>
      <c r="K59"/>
    </row>
    <row r="60" spans="1:11" ht="29.4" customHeight="1">
      <c r="A60" s="2853" t="s">
        <v>1320</v>
      </c>
      <c r="B60" s="2845">
        <f>C43</f>
        <v>30778</v>
      </c>
      <c r="C60" s="2846" t="s">
        <v>1329</v>
      </c>
      <c r="D60" s="1303"/>
      <c r="E60" s="2845">
        <f>F43</f>
        <v>0</v>
      </c>
      <c r="F60" s="2846" t="s">
        <v>1329</v>
      </c>
      <c r="G60" s="2706"/>
      <c r="H60" s="2845">
        <f>I43</f>
        <v>0</v>
      </c>
      <c r="I60" s="2846" t="s">
        <v>1329</v>
      </c>
      <c r="J60"/>
      <c r="K60"/>
    </row>
    <row r="61" spans="1:11" ht="29.4" customHeight="1">
      <c r="A61" s="2854" t="s">
        <v>1321</v>
      </c>
      <c r="B61" s="2847">
        <f>IF(B19=0,"",B60/B19/C53)</f>
        <v>2051.8666666666668</v>
      </c>
      <c r="C61" s="2848" t="s">
        <v>71</v>
      </c>
      <c r="D61" s="1303"/>
      <c r="E61" s="2847">
        <f>IF(E19=0,"",E60/E19/F53)</f>
        <v>0</v>
      </c>
      <c r="F61" s="2848" t="s">
        <v>71</v>
      </c>
      <c r="G61" s="2707"/>
      <c r="H61" s="2847">
        <f>IF(H19=0,"",H60/H19/I53)</f>
        <v>0</v>
      </c>
      <c r="I61" s="2848" t="s">
        <v>71</v>
      </c>
      <c r="J61"/>
      <c r="K61"/>
    </row>
    <row r="62" spans="1:11" ht="29.4" customHeight="1" thickBot="1">
      <c r="A62" s="2858" t="s">
        <v>1296</v>
      </c>
      <c r="B62" s="2859">
        <f>IF(B60=0,0,B61/B59)</f>
        <v>11.846805234795998</v>
      </c>
      <c r="C62" s="2860" t="s">
        <v>1328</v>
      </c>
      <c r="D62" s="1303"/>
      <c r="E62" s="2859">
        <f>IF(E60=0,0,E61/E59)</f>
        <v>0</v>
      </c>
      <c r="F62" s="2860" t="s">
        <v>1328</v>
      </c>
      <c r="G62" s="2707"/>
      <c r="H62" s="2859">
        <f>IF(H60=0,0,H61/H59)</f>
        <v>0</v>
      </c>
      <c r="I62" s="2860" t="s">
        <v>1328</v>
      </c>
      <c r="J62"/>
      <c r="K62"/>
    </row>
    <row r="63" spans="1:11" ht="29.4" customHeight="1">
      <c r="A63" s="2855" t="s">
        <v>1330</v>
      </c>
      <c r="B63" s="2856">
        <f>C44</f>
        <v>59222</v>
      </c>
      <c r="C63" s="2857" t="str">
        <f>C60</f>
        <v>Jahr</v>
      </c>
      <c r="D63" s="1303"/>
      <c r="E63" s="2856">
        <f>F44</f>
        <v>0</v>
      </c>
      <c r="F63" s="2857" t="str">
        <f>F60</f>
        <v>Jahr</v>
      </c>
      <c r="G63" s="2706"/>
      <c r="H63" s="2856">
        <f>I44</f>
        <v>0</v>
      </c>
      <c r="I63" s="2857" t="str">
        <f>I60</f>
        <v>Jahr</v>
      </c>
      <c r="J63"/>
      <c r="K63"/>
    </row>
    <row r="64" spans="1:11" ht="29.4" customHeight="1">
      <c r="A64" s="2830" t="s">
        <v>1323</v>
      </c>
      <c r="B64" s="2824">
        <f>IF(B63=0,"",B63/D64/C53)</f>
        <v>3948.1333333333337</v>
      </c>
      <c r="C64" s="335" t="str">
        <f>C61</f>
        <v>Monat</v>
      </c>
      <c r="D64" s="1847">
        <f>IF(B19=0,12,B19)</f>
        <v>12</v>
      </c>
      <c r="E64" s="2824" t="str">
        <f>IF(E63=0,"",E63/G64/F53)</f>
        <v/>
      </c>
      <c r="F64" s="335" t="str">
        <f>F61</f>
        <v>Monat</v>
      </c>
      <c r="G64" s="1847">
        <f>IF(E19=0,12,E19)</f>
        <v>12</v>
      </c>
      <c r="H64" s="2824" t="str">
        <f>IF(H63=0,"",H63/J64/I53)</f>
        <v/>
      </c>
      <c r="I64" s="335" t="str">
        <f>I61</f>
        <v>Monat</v>
      </c>
      <c r="J64" s="1592">
        <f>IF(H19=0,12,H19)</f>
        <v>12</v>
      </c>
      <c r="K64"/>
    </row>
    <row r="65" spans="1:16" ht="29.4" customHeight="1" thickBot="1">
      <c r="A65" s="3200" t="s">
        <v>1296</v>
      </c>
      <c r="B65" s="3201">
        <f>IF(B58=0,"",IF(B63=0,0,B64/B58))</f>
        <v>182.36181678214012</v>
      </c>
      <c r="C65" s="3202" t="s">
        <v>1328</v>
      </c>
      <c r="D65" s="1303"/>
      <c r="E65" s="3201">
        <f>IF(E63=0,0,E64/E58)</f>
        <v>0</v>
      </c>
      <c r="F65" s="3202" t="s">
        <v>1328</v>
      </c>
      <c r="G65" s="2706"/>
      <c r="H65" s="3201">
        <f>IF(H63=0,0,H64/H58)</f>
        <v>0</v>
      </c>
      <c r="I65" s="3202" t="s">
        <v>1328</v>
      </c>
      <c r="J65" s="1592"/>
      <c r="K65"/>
    </row>
    <row r="66" spans="1:16" ht="29.4" customHeight="1">
      <c r="A66" s="2844" t="s">
        <v>1326</v>
      </c>
      <c r="B66" s="2845">
        <f>IF(SUM(B60,B63)=0,0,SUM(B60,B63))</f>
        <v>90000</v>
      </c>
      <c r="C66" s="2846" t="str">
        <f>C63</f>
        <v>Jahr</v>
      </c>
      <c r="D66" s="610"/>
      <c r="E66" s="2845">
        <f>IF(SUM(E60,E63)=0,0,SUM(E60,E63))</f>
        <v>0</v>
      </c>
      <c r="F66" s="2846" t="str">
        <f>F63</f>
        <v>Jahr</v>
      </c>
      <c r="G66" s="2706"/>
      <c r="H66" s="2845">
        <f>IF(SUM(H60,H63)=0,0,SUM(H60,H63))</f>
        <v>0</v>
      </c>
      <c r="I66" s="2846" t="str">
        <f>I63</f>
        <v>Jahr</v>
      </c>
      <c r="J66"/>
      <c r="K66"/>
    </row>
    <row r="67" spans="1:16" ht="29.4" customHeight="1" thickBot="1">
      <c r="A67" s="2862" t="s">
        <v>1324</v>
      </c>
      <c r="B67" s="2859">
        <f>IF(B19=0,"",B66/B19/C53)</f>
        <v>6000</v>
      </c>
      <c r="C67" s="2860" t="str">
        <f>C64</f>
        <v>Monat</v>
      </c>
      <c r="D67" s="610"/>
      <c r="E67" s="2859">
        <f>IF(E19=0,"",E66/E19/F53)</f>
        <v>0</v>
      </c>
      <c r="F67" s="2860" t="str">
        <f>F64</f>
        <v>Monat</v>
      </c>
      <c r="G67" s="2707"/>
      <c r="H67" s="2859">
        <f>IF(H19=0,"",H66/H19/I53)</f>
        <v>0</v>
      </c>
      <c r="I67" s="2860" t="str">
        <f>I64</f>
        <v>Monat</v>
      </c>
      <c r="J67"/>
      <c r="K67"/>
    </row>
    <row r="68" spans="1:16" ht="29.4" customHeight="1">
      <c r="A68" s="2861" t="str">
        <f>IF(B68="","","Der Jahreswert 
Rücklage oder betriebswirtschaftlicher Gewinn")</f>
        <v>Der Jahreswert 
Rücklage oder betriebswirtschaftlicher Gewinn</v>
      </c>
      <c r="B68" s="2856">
        <f>IF(C41="","",C41)</f>
        <v>5000</v>
      </c>
      <c r="C68" s="2857" t="str">
        <f>C66</f>
        <v>Jahr</v>
      </c>
      <c r="D68" s="610"/>
      <c r="E68" s="2856" t="str">
        <f>IF(F41="","",F41)</f>
        <v/>
      </c>
      <c r="F68" s="2857" t="str">
        <f>F66</f>
        <v>Jahr</v>
      </c>
      <c r="G68" s="2706"/>
      <c r="H68" s="2856" t="str">
        <f>IF(I41="","",I41)</f>
        <v/>
      </c>
      <c r="I68" s="2857" t="str">
        <f>I66</f>
        <v>Jahr</v>
      </c>
      <c r="J68"/>
      <c r="K68"/>
    </row>
    <row r="69" spans="1:16" ht="29.4" customHeight="1">
      <c r="A69" s="2830" t="s">
        <v>1324</v>
      </c>
      <c r="B69" s="2824">
        <f>IF(B19=0,"",B68/B19/C53)</f>
        <v>333.33333333333337</v>
      </c>
      <c r="C69" s="335" t="str">
        <f>C67</f>
        <v>Monat</v>
      </c>
      <c r="D69" s="610"/>
      <c r="E69" s="2824" t="e">
        <f>IF(E19=0,"",E68/E19/F53)</f>
        <v>#VALUE!</v>
      </c>
      <c r="F69" s="335" t="str">
        <f>F67</f>
        <v>Monat</v>
      </c>
      <c r="G69" s="2707"/>
      <c r="H69" s="2824" t="e">
        <f>IF(H19=0,"",H68/H19/I53)</f>
        <v>#VALUE!</v>
      </c>
      <c r="I69" s="335" t="str">
        <f>I67</f>
        <v>Monat</v>
      </c>
      <c r="J69"/>
    </row>
    <row r="70" spans="1:16" ht="29.4" customHeight="1">
      <c r="A70" s="2849" t="s">
        <v>1338</v>
      </c>
      <c r="B70" s="2845">
        <f>IF(C43="","",B68+C40)</f>
        <v>95000</v>
      </c>
      <c r="C70" s="2846" t="str">
        <f t="shared" ref="C70:C71" si="3">C68</f>
        <v>Jahr</v>
      </c>
      <c r="D70" s="610"/>
      <c r="E70" s="2845" t="str">
        <f>IF(F43="","",E68+F40)</f>
        <v/>
      </c>
      <c r="F70" s="2846" t="str">
        <f t="shared" ref="F70:F71" si="4">F68</f>
        <v>Jahr</v>
      </c>
      <c r="G70" s="2706"/>
      <c r="H70" s="2845" t="str">
        <f>IF(I43="","",H68+I40)</f>
        <v/>
      </c>
      <c r="I70" s="2846" t="str">
        <f t="shared" ref="I70:I71" si="5">I68</f>
        <v>Jahr</v>
      </c>
      <c r="J70"/>
      <c r="K70"/>
    </row>
    <row r="71" spans="1:16" ht="29.4" customHeight="1">
      <c r="A71" s="2854" t="s">
        <v>1322</v>
      </c>
      <c r="B71" s="2847">
        <f>IF(B19=0,"",B70/B19/C53)</f>
        <v>6333.3333333333339</v>
      </c>
      <c r="C71" s="2848" t="str">
        <f t="shared" si="3"/>
        <v>Monat</v>
      </c>
      <c r="D71" s="1303"/>
      <c r="E71" s="2847" t="e">
        <f>IF(E19=0,"",E70/E19/F53)</f>
        <v>#VALUE!</v>
      </c>
      <c r="F71" s="2848" t="str">
        <f t="shared" si="4"/>
        <v>Monat</v>
      </c>
      <c r="G71" s="2707"/>
      <c r="H71" s="2847" t="e">
        <f>IF(H19=0,"",H70/H19/I53)</f>
        <v>#VALUE!</v>
      </c>
      <c r="I71" s="2848" t="str">
        <f t="shared" si="5"/>
        <v>Monat</v>
      </c>
      <c r="J71"/>
    </row>
    <row r="72" spans="1:16" ht="29.4" customHeight="1" thickBot="1">
      <c r="A72" s="2858" t="s">
        <v>1296</v>
      </c>
      <c r="B72" s="2859">
        <f>IF(B70=0,0,B71/SUM(B59,B58))</f>
        <v>32.503635274997869</v>
      </c>
      <c r="C72" s="2860" t="s">
        <v>1328</v>
      </c>
      <c r="D72" s="1303"/>
      <c r="E72" s="2859" t="e">
        <f>IF(E70=0,0,E71/SUM(E59,E58))</f>
        <v>#VALUE!</v>
      </c>
      <c r="F72" s="2860" t="s">
        <v>1328</v>
      </c>
      <c r="G72" s="2707"/>
      <c r="H72" s="2859" t="e">
        <f>IF(H70=0,0,H71/SUM(H59,H58))</f>
        <v>#VALUE!</v>
      </c>
      <c r="I72" s="2860" t="s">
        <v>1328</v>
      </c>
      <c r="J72"/>
      <c r="K72"/>
    </row>
    <row r="73" spans="1:16">
      <c r="G73" s="34"/>
      <c r="H73" s="34"/>
      <c r="O73"/>
      <c r="P73"/>
    </row>
    <row r="74" spans="1:16">
      <c r="G74" s="34"/>
      <c r="H74" s="34"/>
      <c r="O74"/>
      <c r="P74"/>
    </row>
    <row r="75" spans="1:16">
      <c r="G75" s="34"/>
      <c r="H75" s="34"/>
      <c r="O75"/>
      <c r="P75"/>
    </row>
    <row r="76" spans="1:16">
      <c r="G76" s="34"/>
      <c r="H76" s="34"/>
      <c r="O76"/>
      <c r="P76"/>
    </row>
    <row r="77" spans="1:16">
      <c r="P77"/>
    </row>
  </sheetData>
  <customSheetViews>
    <customSheetView guid="{91EE9386-9500-473B-B86C-27DB8DF0BA46}" scale="110" showGridLines="0">
      <selection activeCell="C1" sqref="C1"/>
      <pageMargins left="0.25" right="0.25" top="0.75" bottom="0.75" header="0.3" footer="0.3"/>
      <pageSetup paperSize="9" scale="95" orientation="landscape" r:id="rId1"/>
    </customSheetView>
    <customSheetView guid="{B8019777-F14C-4393-8CE3-CE0081D0CD28}" scale="110" showGridLines="0">
      <selection activeCell="C1" sqref="C1"/>
      <pageMargins left="0.25" right="0.25" top="0.75" bottom="0.75" header="0.3" footer="0.3"/>
      <pageSetup paperSize="9" scale="95" orientation="landscape" r:id="rId2"/>
    </customSheetView>
  </customSheetViews>
  <mergeCells count="41">
    <mergeCell ref="F1:J1"/>
    <mergeCell ref="F2:G2"/>
    <mergeCell ref="A22:A24"/>
    <mergeCell ref="A2:C2"/>
    <mergeCell ref="B4:I4"/>
    <mergeCell ref="B22:I22"/>
    <mergeCell ref="E18:F18"/>
    <mergeCell ref="B6:C6"/>
    <mergeCell ref="E6:F6"/>
    <mergeCell ref="H6:I6"/>
    <mergeCell ref="A8:A9"/>
    <mergeCell ref="B18:C18"/>
    <mergeCell ref="A3:C3"/>
    <mergeCell ref="D1:E1"/>
    <mergeCell ref="H18:I18"/>
    <mergeCell ref="A48:H48"/>
    <mergeCell ref="B23:C23"/>
    <mergeCell ref="J43:J44"/>
    <mergeCell ref="H42:I42"/>
    <mergeCell ref="P2:V3"/>
    <mergeCell ref="M5:O5"/>
    <mergeCell ref="A47:B47"/>
    <mergeCell ref="E23:F23"/>
    <mergeCell ref="B7:C7"/>
    <mergeCell ref="E7:F7"/>
    <mergeCell ref="H7:I7"/>
    <mergeCell ref="B5:C5"/>
    <mergeCell ref="N34:O35"/>
    <mergeCell ref="J20:J21"/>
    <mergeCell ref="A20:H21"/>
    <mergeCell ref="B42:C42"/>
    <mergeCell ref="E42:F42"/>
    <mergeCell ref="K23:M23"/>
    <mergeCell ref="K39:L39"/>
    <mergeCell ref="K24:M24"/>
    <mergeCell ref="H23:I23"/>
    <mergeCell ref="P12:Q15"/>
    <mergeCell ref="X24:AB39"/>
    <mergeCell ref="P4:P6"/>
    <mergeCell ref="S4:S6"/>
    <mergeCell ref="V4:V6"/>
  </mergeCells>
  <phoneticPr fontId="4" type="noConversion"/>
  <pageMargins left="0.25" right="0.25" top="0.75" bottom="0.75" header="0.3" footer="0.3"/>
  <pageSetup paperSize="9" scale="95" orientation="landscape"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374C2-A7B5-43B1-BD58-AC7EF8853D3A}">
  <dimension ref="A1:BX96"/>
  <sheetViews>
    <sheetView showGridLines="0" topLeftCell="A2" workbookViewId="0">
      <selection activeCell="G12" sqref="G12"/>
    </sheetView>
  </sheetViews>
  <sheetFormatPr baseColWidth="10" defaultColWidth="11" defaultRowHeight="13.2"/>
  <cols>
    <col min="1" max="1" width="3.44140625" style="34" customWidth="1"/>
    <col min="2" max="2" width="20.21875" style="34" customWidth="1"/>
    <col min="3" max="3" width="0.77734375" style="56" customWidth="1"/>
    <col min="4" max="4" width="10.21875" style="34" bestFit="1" customWidth="1"/>
    <col min="5" max="5" width="1.21875" style="34" customWidth="1"/>
    <col min="6" max="6" width="6.21875" style="36" customWidth="1"/>
    <col min="7" max="7" width="9.44140625" style="34" customWidth="1"/>
    <col min="8" max="8" width="1.21875" style="34" customWidth="1"/>
    <col min="9" max="9" width="5" style="57" customWidth="1"/>
    <col min="10" max="10" width="3.44140625" style="76" customWidth="1"/>
    <col min="11" max="11" width="8.21875" style="76" customWidth="1"/>
    <col min="12" max="12" width="4.44140625" style="34" customWidth="1"/>
    <col min="13" max="13" width="19.21875" style="34" customWidth="1"/>
    <col min="14" max="14" width="4.109375" style="34" customWidth="1"/>
    <col min="15" max="15" width="5.21875" style="34" customWidth="1"/>
    <col min="16" max="16" width="13.44140625" style="34" customWidth="1"/>
    <col min="17" max="17" width="11" style="13"/>
    <col min="18" max="18" width="12.44140625" style="13" customWidth="1"/>
    <col min="19" max="19" width="11.21875" style="34" customWidth="1"/>
    <col min="20" max="20" width="6.77734375" style="34" customWidth="1"/>
    <col min="21" max="21" width="7.6640625" style="34" customWidth="1"/>
    <col min="22" max="22" width="4.44140625" style="34" customWidth="1"/>
    <col min="23" max="23" width="23.44140625" style="34" customWidth="1"/>
    <col min="24" max="24" width="1.21875" style="34" customWidth="1"/>
    <col min="25" max="25" width="10.44140625" style="34" customWidth="1"/>
    <col min="26" max="26" width="1" style="34" customWidth="1"/>
    <col min="27" max="27" width="5.44140625" style="34" customWidth="1"/>
    <col min="28" max="28" width="11" style="34"/>
    <col min="29" max="29" width="1.77734375" style="34" customWidth="1"/>
    <col min="30" max="30" width="3.44140625" style="34" customWidth="1"/>
    <col min="31" max="31" width="4" style="34" customWidth="1"/>
    <col min="32" max="32" width="5" style="34" customWidth="1"/>
    <col min="33" max="33" width="3.44140625" style="34" customWidth="1"/>
    <col min="34" max="34" width="4.21875" style="34" customWidth="1"/>
    <col min="35" max="35" width="3.77734375" style="34" customWidth="1"/>
    <col min="36" max="39" width="3.44140625" style="34" customWidth="1"/>
    <col min="40" max="40" width="11" style="34"/>
    <col min="41" max="41" width="12.44140625" style="34" customWidth="1"/>
    <col min="42" max="42" width="11" style="34"/>
    <col min="43" max="43" width="1.44140625" style="34" customWidth="1"/>
    <col min="44" max="44" width="5.44140625" style="34" customWidth="1"/>
    <col min="45" max="45" width="11" style="34"/>
    <col min="46" max="46" width="1.44140625" style="34" customWidth="1"/>
    <col min="47" max="47" width="5.44140625" style="34" customWidth="1"/>
    <col min="48" max="48" width="3.44140625" style="34" customWidth="1"/>
    <col min="49" max="49" width="8.44140625" style="34" customWidth="1"/>
    <col min="50" max="53" width="4.77734375" style="34" customWidth="1"/>
    <col min="54" max="54" width="13.44140625" style="34" customWidth="1"/>
    <col min="55" max="55" width="11" style="13"/>
    <col min="56" max="56" width="12.44140625" style="13" customWidth="1"/>
    <col min="57" max="57" width="9.44140625" style="34" customWidth="1"/>
    <col min="58" max="58" width="3.44140625" style="34" customWidth="1"/>
    <col min="59" max="59" width="5.44140625" style="34" customWidth="1"/>
    <col min="60" max="60" width="4.44140625" style="34" customWidth="1"/>
    <col min="61" max="61" width="23.44140625" style="34" customWidth="1"/>
    <col min="62" max="62" width="1.21875" style="34" customWidth="1"/>
    <col min="63" max="63" width="10.44140625" style="34" customWidth="1"/>
    <col min="64" max="64" width="1" style="34" customWidth="1"/>
    <col min="65" max="65" width="5.44140625" style="34" customWidth="1"/>
    <col min="66" max="66" width="11" style="34"/>
    <col min="67" max="67" width="1.77734375" style="34" customWidth="1"/>
    <col min="68" max="76" width="3.44140625" style="34" customWidth="1"/>
    <col min="77" max="16384" width="11" style="34"/>
  </cols>
  <sheetData>
    <row r="1" spans="1:76" ht="55.5" customHeight="1">
      <c r="A1" s="4000" t="s">
        <v>1061</v>
      </c>
      <c r="B1" s="4001"/>
      <c r="C1" s="4001"/>
      <c r="D1" s="4001"/>
      <c r="E1" s="4001"/>
      <c r="F1" s="4001"/>
      <c r="G1" s="4001"/>
      <c r="H1" s="4001"/>
      <c r="I1" s="4001"/>
      <c r="J1" s="4001"/>
      <c r="K1" s="4001"/>
      <c r="L1" s="4001"/>
      <c r="M1" s="4002"/>
      <c r="N1" s="615" t="s">
        <v>1061</v>
      </c>
      <c r="O1" s="1855" t="s">
        <v>1064</v>
      </c>
      <c r="P1" s="4000" t="s">
        <v>1063</v>
      </c>
      <c r="Q1" s="4001"/>
      <c r="R1" s="4001"/>
      <c r="S1" s="4002"/>
      <c r="T1" s="4012" t="s">
        <v>525</v>
      </c>
      <c r="U1" s="4013"/>
      <c r="V1" s="4000" t="s">
        <v>1062</v>
      </c>
      <c r="W1" s="4001"/>
      <c r="X1" s="4001"/>
      <c r="Y1" s="4001"/>
      <c r="Z1" s="4001"/>
      <c r="AA1" s="4002"/>
    </row>
    <row r="2" spans="1:76" s="3" customFormat="1" ht="18" customHeight="1">
      <c r="A2" s="1" t="s">
        <v>46</v>
      </c>
      <c r="B2" s="1"/>
      <c r="C2" s="30"/>
      <c r="E2" s="2"/>
      <c r="F2" s="31"/>
      <c r="G2" s="744" t="s">
        <v>1431</v>
      </c>
      <c r="H2" s="2"/>
      <c r="I2" s="4003">
        <v>44939</v>
      </c>
      <c r="J2" s="4003"/>
      <c r="K2" s="947" t="s">
        <v>525</v>
      </c>
      <c r="L2" s="932" t="s">
        <v>375</v>
      </c>
      <c r="M2" s="4004" t="s">
        <v>525</v>
      </c>
      <c r="N2" s="601"/>
      <c r="P2" s="1817" t="s">
        <v>447</v>
      </c>
      <c r="Q2" s="751" t="s">
        <v>526</v>
      </c>
      <c r="V2" s="14" t="s">
        <v>407</v>
      </c>
      <c r="W2" s="1"/>
      <c r="X2" s="30"/>
      <c r="Z2" s="2"/>
      <c r="AA2" s="31"/>
      <c r="AB2" s="267"/>
      <c r="AC2" s="267"/>
      <c r="AD2" s="267"/>
      <c r="AE2" s="880">
        <v>44927</v>
      </c>
      <c r="AF2" s="880">
        <v>44959</v>
      </c>
      <c r="AG2" s="880">
        <v>44991</v>
      </c>
      <c r="AH2" s="880">
        <v>45023</v>
      </c>
      <c r="AI2" s="880">
        <v>45055</v>
      </c>
      <c r="AJ2" s="880">
        <v>45087</v>
      </c>
      <c r="AK2" s="880">
        <v>45119</v>
      </c>
      <c r="AL2" s="924">
        <v>45151</v>
      </c>
      <c r="AM2" s="1815">
        <v>45183</v>
      </c>
      <c r="AN2" s="1815">
        <v>45215</v>
      </c>
      <c r="AO2" s="1815">
        <v>45247</v>
      </c>
      <c r="AP2" s="1815">
        <v>45279</v>
      </c>
      <c r="AQ2" s="1816"/>
      <c r="AR2" s="1816"/>
      <c r="AS2" s="1816"/>
      <c r="AT2" s="1816"/>
      <c r="AU2" s="1816"/>
      <c r="AV2" s="1816"/>
      <c r="AW2" s="1816"/>
      <c r="AX2" s="1805"/>
      <c r="AY2" s="1805"/>
      <c r="AZ2" s="1805"/>
      <c r="BA2" s="1805"/>
      <c r="BB2" s="1805"/>
      <c r="BC2" s="1806"/>
      <c r="BD2" s="1805"/>
      <c r="BE2" s="1805"/>
      <c r="BF2" s="1805"/>
      <c r="BG2" s="1805"/>
      <c r="BH2" s="1807" t="s">
        <v>407</v>
      </c>
      <c r="BI2" s="1808"/>
      <c r="BJ2" s="1809"/>
      <c r="BK2" s="1810"/>
      <c r="BL2" s="1810"/>
      <c r="BM2" s="1811"/>
      <c r="BQ2" s="880">
        <v>45139</v>
      </c>
      <c r="BR2" s="880">
        <v>45170</v>
      </c>
      <c r="BS2" s="880">
        <v>45200</v>
      </c>
      <c r="BT2" s="880">
        <v>45231</v>
      </c>
      <c r="BU2" s="880">
        <v>45261</v>
      </c>
      <c r="BV2" s="880">
        <v>0</v>
      </c>
      <c r="BW2" s="880">
        <v>0</v>
      </c>
      <c r="BX2" s="880">
        <v>0</v>
      </c>
    </row>
    <row r="3" spans="1:76" ht="21" customHeight="1" thickBot="1">
      <c r="A3" s="177" t="s">
        <v>75</v>
      </c>
      <c r="B3" s="13"/>
      <c r="C3" s="32"/>
      <c r="D3" s="13"/>
      <c r="E3" s="13"/>
      <c r="F3" s="3779"/>
      <c r="G3" s="3779"/>
      <c r="H3" s="3779"/>
      <c r="I3" s="3779"/>
      <c r="J3" s="3779"/>
      <c r="K3" s="3779"/>
      <c r="M3" s="4004"/>
      <c r="N3" s="601"/>
      <c r="P3" s="879">
        <v>44927</v>
      </c>
      <c r="Q3" s="879" t="s">
        <v>157</v>
      </c>
      <c r="R3" s="879">
        <v>45291</v>
      </c>
      <c r="V3" s="14" t="s">
        <v>411</v>
      </c>
      <c r="W3" s="13"/>
      <c r="X3" s="32"/>
      <c r="Y3" s="13"/>
      <c r="Z3" s="13"/>
      <c r="AA3" s="13"/>
      <c r="AB3" s="615"/>
      <c r="AC3" s="615"/>
      <c r="AD3" s="615"/>
      <c r="AE3" s="4014" t="s">
        <v>415</v>
      </c>
      <c r="AF3" s="4014"/>
      <c r="AG3" s="4014"/>
      <c r="AH3" s="4014"/>
      <c r="AI3" s="4014"/>
      <c r="AJ3" s="615"/>
      <c r="AK3" s="615"/>
      <c r="AL3" s="925"/>
      <c r="AM3" s="928"/>
      <c r="AN3" s="1812" t="s">
        <v>1432</v>
      </c>
      <c r="AO3" s="929"/>
      <c r="AP3" s="929"/>
      <c r="AQ3" s="929"/>
      <c r="AR3" s="929"/>
      <c r="AS3" s="929"/>
      <c r="AT3" s="929"/>
      <c r="AU3" s="929"/>
      <c r="AV3" s="929"/>
      <c r="AW3" s="929"/>
      <c r="AX3" s="929"/>
      <c r="AY3" s="929"/>
      <c r="AZ3" s="929"/>
      <c r="BA3" s="929"/>
      <c r="BB3" s="930"/>
      <c r="BC3" s="930"/>
      <c r="BD3" s="930"/>
      <c r="BE3" s="929"/>
      <c r="BF3" s="929"/>
      <c r="BG3" s="929"/>
      <c r="BH3" s="1807" t="s">
        <v>411</v>
      </c>
      <c r="BI3" s="1813"/>
      <c r="BJ3" s="1814"/>
      <c r="BK3" s="1813"/>
      <c r="BL3" s="1813"/>
      <c r="BM3" s="1813"/>
      <c r="BN3" s="615"/>
      <c r="BO3" s="615"/>
      <c r="BP3" s="615"/>
      <c r="BQ3" s="4014" t="s">
        <v>415</v>
      </c>
      <c r="BR3" s="4014"/>
      <c r="BS3" s="4014"/>
      <c r="BT3" s="4014"/>
      <c r="BU3" s="4014"/>
      <c r="BV3" s="615"/>
      <c r="BW3" s="615"/>
      <c r="BX3" s="615"/>
    </row>
    <row r="4" spans="1:76" ht="15.75" customHeight="1" thickBot="1">
      <c r="A4" s="13"/>
      <c r="B4" s="35" t="s">
        <v>25</v>
      </c>
      <c r="C4" s="32"/>
      <c r="D4" s="4015" t="s">
        <v>26</v>
      </c>
      <c r="E4" s="4016"/>
      <c r="F4" s="1358" t="s">
        <v>66</v>
      </c>
      <c r="G4" s="4017" t="s">
        <v>27</v>
      </c>
      <c r="H4" s="4017"/>
      <c r="I4" s="4018"/>
      <c r="J4" s="175"/>
      <c r="K4" s="922" t="s">
        <v>448</v>
      </c>
      <c r="L4" s="13"/>
      <c r="M4" s="4004"/>
      <c r="N4" s="601"/>
      <c r="O4" s="13"/>
      <c r="P4" s="681" t="s">
        <v>92</v>
      </c>
      <c r="Q4" s="682"/>
      <c r="R4" s="682" t="s">
        <v>76</v>
      </c>
      <c r="S4" s="2929">
        <v>1.19</v>
      </c>
      <c r="V4" s="647" t="s">
        <v>1433</v>
      </c>
      <c r="W4" s="35"/>
      <c r="X4" s="32"/>
      <c r="Y4" s="13"/>
      <c r="Z4" s="13"/>
      <c r="AA4" s="13"/>
      <c r="AB4" s="615"/>
      <c r="AC4" s="615"/>
      <c r="AD4" s="615"/>
      <c r="AE4" s="4014"/>
      <c r="AF4" s="4014"/>
      <c r="AG4" s="4014"/>
      <c r="AH4" s="4014"/>
      <c r="AI4" s="4014"/>
      <c r="AJ4" s="615"/>
      <c r="AK4" s="615"/>
      <c r="AL4" s="925"/>
      <c r="AM4" s="13"/>
      <c r="AN4" s="35"/>
      <c r="AO4" s="32"/>
      <c r="AP4" s="4015" t="s">
        <v>26</v>
      </c>
      <c r="AQ4" s="4016"/>
      <c r="AR4" s="884" t="s">
        <v>525</v>
      </c>
      <c r="AS4" s="4017" t="s">
        <v>27</v>
      </c>
      <c r="AT4" s="4017"/>
      <c r="AU4" s="4018"/>
      <c r="AV4" s="175"/>
      <c r="AW4" s="922" t="s">
        <v>448</v>
      </c>
      <c r="BB4" s="681" t="s">
        <v>92</v>
      </c>
      <c r="BC4" s="682"/>
      <c r="BD4" s="682" t="s">
        <v>76</v>
      </c>
      <c r="BE4" s="683">
        <v>1.19</v>
      </c>
      <c r="BH4" s="647" t="s">
        <v>1434</v>
      </c>
      <c r="BI4" s="35"/>
      <c r="BJ4" s="32"/>
      <c r="BK4" s="13"/>
      <c r="BL4" s="13"/>
      <c r="BM4" s="13"/>
      <c r="BN4" s="615"/>
      <c r="BO4" s="615"/>
      <c r="BP4" s="615"/>
      <c r="BQ4" s="4014"/>
      <c r="BR4" s="4014"/>
      <c r="BS4" s="4014"/>
      <c r="BT4" s="4014"/>
      <c r="BU4" s="4014"/>
      <c r="BV4" s="615"/>
      <c r="BW4" s="615"/>
      <c r="BX4" s="615"/>
    </row>
    <row r="5" spans="1:76" ht="15.6" thickBot="1">
      <c r="B5" s="4006" t="s">
        <v>1031</v>
      </c>
      <c r="C5" s="4006"/>
      <c r="D5" s="4006"/>
      <c r="E5" s="4006"/>
      <c r="F5" s="4007"/>
      <c r="G5" s="1684" t="s">
        <v>1016</v>
      </c>
      <c r="I5" s="111"/>
      <c r="J5" s="40"/>
      <c r="K5" s="634"/>
      <c r="L5" s="227"/>
      <c r="M5" s="4004"/>
      <c r="N5" s="601"/>
      <c r="O5" s="227"/>
      <c r="P5" s="684">
        <v>505036.70810055867</v>
      </c>
      <c r="R5" s="685">
        <v>600993.68263966474</v>
      </c>
      <c r="S5" s="4008" t="s">
        <v>525</v>
      </c>
      <c r="W5" s="35" t="s">
        <v>25</v>
      </c>
      <c r="X5" s="56"/>
      <c r="Y5" s="13"/>
      <c r="Z5" s="13"/>
      <c r="AA5" s="13"/>
      <c r="AB5" s="615"/>
      <c r="AC5" s="615"/>
      <c r="AD5" s="615"/>
      <c r="AE5" s="615"/>
      <c r="AF5" s="920" t="s">
        <v>330</v>
      </c>
      <c r="AG5" s="920"/>
      <c r="AH5" s="920" t="s">
        <v>28</v>
      </c>
      <c r="AI5" s="615"/>
      <c r="AJ5" s="615"/>
      <c r="AK5" s="615"/>
      <c r="AL5" s="925"/>
      <c r="AN5" s="923" t="s">
        <v>25</v>
      </c>
      <c r="AO5" s="56"/>
      <c r="AP5" s="885" t="s">
        <v>1031</v>
      </c>
      <c r="AR5" s="36"/>
      <c r="AS5" s="639" t="s">
        <v>1016</v>
      </c>
      <c r="AU5" s="111"/>
      <c r="AV5" s="40"/>
      <c r="AW5" s="634"/>
      <c r="BB5" s="684">
        <v>505036.70810055867</v>
      </c>
      <c r="BD5" s="685">
        <v>600993.68263966474</v>
      </c>
      <c r="BE5" s="686"/>
      <c r="BI5" s="35" t="s">
        <v>25</v>
      </c>
      <c r="BJ5" s="56"/>
      <c r="BK5" s="13"/>
      <c r="BL5" s="13"/>
      <c r="BM5" s="13"/>
      <c r="BN5" s="615"/>
      <c r="BO5" s="615"/>
      <c r="BP5" s="615"/>
      <c r="BQ5" s="615"/>
      <c r="BR5" s="920" t="s">
        <v>330</v>
      </c>
      <c r="BS5" s="920"/>
      <c r="BT5" s="920" t="s">
        <v>28</v>
      </c>
      <c r="BU5" s="615"/>
      <c r="BV5" s="615"/>
      <c r="BW5" s="615"/>
      <c r="BX5" s="615"/>
    </row>
    <row r="6" spans="1:76">
      <c r="A6" s="36" t="s">
        <v>19</v>
      </c>
      <c r="B6" s="37"/>
      <c r="C6" s="38"/>
      <c r="D6" s="39" t="s">
        <v>6</v>
      </c>
      <c r="E6" s="39"/>
      <c r="F6" s="40" t="s">
        <v>28</v>
      </c>
      <c r="G6" s="165" t="s">
        <v>6</v>
      </c>
      <c r="H6" s="39"/>
      <c r="I6" s="40" t="s">
        <v>28</v>
      </c>
      <c r="J6" s="59"/>
      <c r="K6" s="635" t="s">
        <v>6</v>
      </c>
      <c r="L6" s="13"/>
      <c r="M6" s="4004"/>
      <c r="N6" s="601"/>
      <c r="O6" s="13"/>
      <c r="P6" s="4009" t="s">
        <v>923</v>
      </c>
      <c r="Q6" s="3917"/>
      <c r="R6" s="34"/>
      <c r="S6" s="4008"/>
      <c r="V6" s="36" t="s">
        <v>19</v>
      </c>
      <c r="W6" s="37"/>
      <c r="X6" s="38"/>
      <c r="Y6" s="39" t="s">
        <v>6</v>
      </c>
      <c r="Z6" s="39"/>
      <c r="AA6" s="40" t="s">
        <v>28</v>
      </c>
      <c r="AB6" s="480"/>
      <c r="AC6" s="480"/>
      <c r="AD6" s="480"/>
      <c r="AE6" s="480" t="s">
        <v>414</v>
      </c>
      <c r="AF6" s="1754">
        <v>53028.854350558657</v>
      </c>
      <c r="AG6" s="1755" t="s">
        <v>94</v>
      </c>
      <c r="AH6" s="1756">
        <v>10.5</v>
      </c>
      <c r="AI6" s="480" t="s">
        <v>1020</v>
      </c>
      <c r="AJ6" s="480"/>
      <c r="AK6" s="615"/>
      <c r="AL6" s="925"/>
      <c r="AM6" s="36" t="s">
        <v>19</v>
      </c>
      <c r="AN6" s="37"/>
      <c r="AO6" s="38"/>
      <c r="AP6" s="39" t="s">
        <v>6</v>
      </c>
      <c r="AQ6" s="39"/>
      <c r="AR6" s="40" t="s">
        <v>28</v>
      </c>
      <c r="AS6" s="165" t="s">
        <v>6</v>
      </c>
      <c r="AT6" s="39"/>
      <c r="AU6" s="40" t="s">
        <v>28</v>
      </c>
      <c r="AV6" s="59"/>
      <c r="AW6" s="635" t="s">
        <v>6</v>
      </c>
      <c r="BB6" s="687" t="s">
        <v>115</v>
      </c>
      <c r="BD6" s="34"/>
      <c r="BE6" s="686"/>
      <c r="BH6" s="36" t="s">
        <v>19</v>
      </c>
      <c r="BI6" s="37"/>
      <c r="BJ6" s="38"/>
      <c r="BK6" s="39" t="s">
        <v>6</v>
      </c>
      <c r="BL6" s="39"/>
      <c r="BM6" s="40" t="s">
        <v>28</v>
      </c>
      <c r="BN6" s="480"/>
      <c r="BO6" s="480"/>
      <c r="BP6" s="480"/>
      <c r="BQ6" s="480" t="s">
        <v>414</v>
      </c>
      <c r="BR6" s="1754">
        <v>53028.854350558657</v>
      </c>
      <c r="BS6" s="1755" t="s">
        <v>94</v>
      </c>
      <c r="BT6" s="1756">
        <v>10.5</v>
      </c>
      <c r="BU6" s="480" t="s">
        <v>1020</v>
      </c>
      <c r="BV6" s="480"/>
      <c r="BW6" s="615"/>
      <c r="BX6" s="615"/>
    </row>
    <row r="7" spans="1:76" ht="20.25" customHeight="1" thickBot="1">
      <c r="A7" s="628" t="s">
        <v>525</v>
      </c>
      <c r="B7" s="42" t="s">
        <v>29</v>
      </c>
      <c r="C7" s="43"/>
      <c r="D7" s="109">
        <v>304149.44400000002</v>
      </c>
      <c r="E7" s="44"/>
      <c r="F7" s="1272">
        <v>75.759357492121211</v>
      </c>
      <c r="G7" s="109">
        <v>382612.56515634293</v>
      </c>
      <c r="H7" s="44"/>
      <c r="I7" s="60">
        <v>75.759357492121211</v>
      </c>
      <c r="J7" s="382" t="s">
        <v>525</v>
      </c>
      <c r="K7" s="637">
        <v>78463.12115634291</v>
      </c>
      <c r="L7" s="383">
        <v>0</v>
      </c>
      <c r="M7" s="4005"/>
      <c r="N7" s="601"/>
      <c r="O7" s="13"/>
      <c r="P7" s="4010"/>
      <c r="Q7" s="4011"/>
      <c r="R7" s="1212">
        <v>0.19</v>
      </c>
      <c r="S7" s="1849" t="s">
        <v>1435</v>
      </c>
      <c r="V7" s="41"/>
      <c r="W7" s="42" t="s">
        <v>29</v>
      </c>
      <c r="X7" s="43"/>
      <c r="Y7" s="109">
        <v>382612.56515634293</v>
      </c>
      <c r="Z7" s="1760"/>
      <c r="AA7" s="1764">
        <v>75.759357492121211</v>
      </c>
      <c r="AB7" s="1757">
        <v>382612.56515634293</v>
      </c>
      <c r="AC7" s="1758">
        <v>80.170460925507527</v>
      </c>
      <c r="AD7" s="480"/>
      <c r="AE7" s="480" t="s">
        <v>128</v>
      </c>
      <c r="AF7" s="1754">
        <v>13893.952531709177</v>
      </c>
      <c r="AG7" s="1755" t="s">
        <v>1021</v>
      </c>
      <c r="AH7" s="1756">
        <v>50</v>
      </c>
      <c r="AI7" s="480" t="s">
        <v>1025</v>
      </c>
      <c r="AJ7" s="480"/>
      <c r="AK7" s="615"/>
      <c r="AL7" s="925"/>
      <c r="AM7" s="41"/>
      <c r="AN7" s="42" t="s">
        <v>29</v>
      </c>
      <c r="AO7" s="43"/>
      <c r="AP7" s="109">
        <v>304149.44400000002</v>
      </c>
      <c r="AQ7" s="44"/>
      <c r="AR7" s="45">
        <v>75.759357492121211</v>
      </c>
      <c r="AS7" s="109">
        <v>382612.56515634293</v>
      </c>
      <c r="AT7" s="44"/>
      <c r="AU7" s="60">
        <v>75.759357492121211</v>
      </c>
      <c r="AV7" s="382" t="s">
        <v>525</v>
      </c>
      <c r="AW7" s="637">
        <v>78463.12115634291</v>
      </c>
      <c r="AX7" s="1722"/>
      <c r="AY7" s="615"/>
      <c r="BB7" s="688" t="s">
        <v>116</v>
      </c>
      <c r="BC7" s="689"/>
      <c r="BD7" s="689"/>
      <c r="BE7" s="690"/>
      <c r="BH7" s="41"/>
      <c r="BI7" s="42" t="s">
        <v>29</v>
      </c>
      <c r="BJ7" s="43"/>
      <c r="BK7" s="109">
        <v>382612.56515634293</v>
      </c>
      <c r="BL7" s="44"/>
      <c r="BM7" s="45">
        <v>75.759357492121211</v>
      </c>
      <c r="BN7" s="1757">
        <v>382612.56515634293</v>
      </c>
      <c r="BO7" s="1758">
        <v>80.170460925507527</v>
      </c>
      <c r="BP7" s="480"/>
      <c r="BQ7" s="480" t="s">
        <v>128</v>
      </c>
      <c r="BR7" s="1754">
        <v>13893.952531709177</v>
      </c>
      <c r="BS7" s="1755" t="s">
        <v>1021</v>
      </c>
      <c r="BT7" s="1756">
        <v>50</v>
      </c>
      <c r="BU7" s="480" t="s">
        <v>1025</v>
      </c>
      <c r="BV7" s="480"/>
      <c r="BW7" s="615"/>
      <c r="BX7" s="615"/>
    </row>
    <row r="8" spans="1:76" ht="21.75" customHeight="1">
      <c r="A8" s="46"/>
      <c r="B8" s="47" t="s">
        <v>30</v>
      </c>
      <c r="C8" s="48"/>
      <c r="D8" s="109">
        <v>75228.995999999999</v>
      </c>
      <c r="E8" s="49"/>
      <c r="F8" s="50">
        <v>18.738486997652892</v>
      </c>
      <c r="G8" s="110">
        <v>94636.237880797373</v>
      </c>
      <c r="H8" s="49"/>
      <c r="I8" s="60">
        <v>18.738486997652892</v>
      </c>
      <c r="J8" s="62"/>
      <c r="K8" s="637">
        <v>19407.241880797374</v>
      </c>
      <c r="L8" s="946"/>
      <c r="M8" s="533" t="s">
        <v>1436</v>
      </c>
      <c r="N8" s="602"/>
      <c r="O8" s="13"/>
      <c r="P8" s="1640" t="s">
        <v>985</v>
      </c>
      <c r="Q8" s="1641" t="s">
        <v>986</v>
      </c>
      <c r="R8" s="1639" t="s">
        <v>984</v>
      </c>
      <c r="S8" s="1211" t="s">
        <v>132</v>
      </c>
      <c r="V8" s="46"/>
      <c r="W8" s="47" t="s">
        <v>30</v>
      </c>
      <c r="X8" s="48"/>
      <c r="Y8" s="109">
        <v>94636.237880797373</v>
      </c>
      <c r="Z8" s="1761"/>
      <c r="AA8" s="1764">
        <v>18.738486997652892</v>
      </c>
      <c r="AB8" s="1757">
        <v>94636.237880797373</v>
      </c>
      <c r="AC8" s="1758">
        <v>19.829539074492477</v>
      </c>
      <c r="AD8" s="480"/>
      <c r="AE8" s="480" t="s">
        <v>127</v>
      </c>
      <c r="AF8" s="1754">
        <v>39134.901818849481</v>
      </c>
      <c r="AG8" s="1755" t="s">
        <v>1022</v>
      </c>
      <c r="AH8" s="1756">
        <v>8.2001047608293192</v>
      </c>
      <c r="AI8" s="480" t="s">
        <v>1023</v>
      </c>
      <c r="AJ8" s="480"/>
      <c r="AL8" s="925"/>
      <c r="AM8" s="46"/>
      <c r="AN8" s="47" t="s">
        <v>30</v>
      </c>
      <c r="AO8" s="48"/>
      <c r="AP8" s="109">
        <v>75228.995999999999</v>
      </c>
      <c r="AQ8" s="49"/>
      <c r="AR8" s="50">
        <v>18.738486997652892</v>
      </c>
      <c r="AS8" s="110">
        <v>94636.237880797373</v>
      </c>
      <c r="AT8" s="49"/>
      <c r="AU8" s="60">
        <v>18.738486997652892</v>
      </c>
      <c r="AV8" s="62"/>
      <c r="AW8" s="637">
        <v>19407.241880797374</v>
      </c>
      <c r="AX8" s="1722"/>
      <c r="AY8" s="615"/>
      <c r="BB8" s="691" t="s">
        <v>117</v>
      </c>
      <c r="BC8" s="692" t="s">
        <v>131</v>
      </c>
      <c r="BD8" s="33" t="s">
        <v>118</v>
      </c>
      <c r="BE8" s="693" t="s">
        <v>132</v>
      </c>
      <c r="BH8" s="46"/>
      <c r="BI8" s="47" t="s">
        <v>30</v>
      </c>
      <c r="BJ8" s="48"/>
      <c r="BK8" s="109">
        <v>94636.237880797373</v>
      </c>
      <c r="BL8" s="49"/>
      <c r="BM8" s="45">
        <v>18.738486997652892</v>
      </c>
      <c r="BN8" s="1757">
        <v>94636.237880797373</v>
      </c>
      <c r="BO8" s="1758">
        <v>19.829539074492477</v>
      </c>
      <c r="BP8" s="480"/>
      <c r="BQ8" s="480" t="s">
        <v>127</v>
      </c>
      <c r="BR8" s="1754">
        <v>39134.901818849481</v>
      </c>
      <c r="BS8" s="1755" t="s">
        <v>1022</v>
      </c>
      <c r="BT8" s="1756">
        <v>8.2001047608293192</v>
      </c>
      <c r="BU8" s="480" t="s">
        <v>1023</v>
      </c>
      <c r="BV8" s="480"/>
      <c r="BW8" s="615"/>
      <c r="BX8" s="615"/>
    </row>
    <row r="9" spans="1:76" ht="20.25" customHeight="1">
      <c r="A9" s="41"/>
      <c r="B9" s="42" t="s">
        <v>31</v>
      </c>
      <c r="C9" s="43"/>
      <c r="D9" s="109">
        <v>379378.44000000006</v>
      </c>
      <c r="E9" s="44"/>
      <c r="F9" s="45">
        <v>94.497844489774124</v>
      </c>
      <c r="G9" s="110">
        <v>477248.80303714029</v>
      </c>
      <c r="H9" s="44"/>
      <c r="I9" s="60">
        <v>94.49784448977411</v>
      </c>
      <c r="J9" s="61"/>
      <c r="K9" s="637">
        <v>97870.363037140225</v>
      </c>
      <c r="M9" s="4019" t="s">
        <v>525</v>
      </c>
      <c r="N9" s="4019"/>
      <c r="O9" s="4020"/>
      <c r="P9" s="1848">
        <v>300</v>
      </c>
      <c r="Q9" s="695">
        <v>2003.3122754655492</v>
      </c>
      <c r="R9" s="695">
        <v>25</v>
      </c>
      <c r="S9" s="697">
        <v>50082.806886638733</v>
      </c>
      <c r="T9" s="1539"/>
      <c r="V9" s="41"/>
      <c r="W9" s="42" t="s">
        <v>31</v>
      </c>
      <c r="X9" s="43"/>
      <c r="Y9" s="109">
        <v>477248.80303714029</v>
      </c>
      <c r="Z9" s="1760"/>
      <c r="AA9" s="1764">
        <v>94.497844489774096</v>
      </c>
      <c r="AB9" s="1853" t="s">
        <v>525</v>
      </c>
      <c r="AC9" s="1772"/>
      <c r="AD9" s="1772"/>
      <c r="AE9" s="1772"/>
      <c r="AF9" s="1772"/>
      <c r="AG9" s="1772"/>
      <c r="AH9" s="1772"/>
      <c r="AI9" s="1772"/>
      <c r="AJ9" s="1668"/>
      <c r="AL9" s="925"/>
      <c r="AM9" s="41"/>
      <c r="AN9" s="42" t="s">
        <v>31</v>
      </c>
      <c r="AO9" s="43"/>
      <c r="AP9" s="109">
        <v>379378.44000000006</v>
      </c>
      <c r="AQ9" s="44"/>
      <c r="AR9" s="45">
        <v>94.497844489774124</v>
      </c>
      <c r="AS9" s="109">
        <v>477248.80303714029</v>
      </c>
      <c r="AT9" s="44"/>
      <c r="AU9" s="60">
        <v>94.49784448977411</v>
      </c>
      <c r="AV9" s="61"/>
      <c r="AW9" s="637">
        <v>97870.363037140225</v>
      </c>
      <c r="BB9" s="694">
        <v>300</v>
      </c>
      <c r="BC9" s="695">
        <v>2003.3122754655492</v>
      </c>
      <c r="BD9" s="696">
        <v>25</v>
      </c>
      <c r="BE9" s="697">
        <v>50082.806886638733</v>
      </c>
      <c r="BH9" s="41"/>
      <c r="BI9" s="42" t="s">
        <v>31</v>
      </c>
      <c r="BJ9" s="43"/>
      <c r="BK9" s="109">
        <v>477248.80303714029</v>
      </c>
      <c r="BL9" s="44"/>
      <c r="BM9" s="45">
        <v>94.497844489774096</v>
      </c>
      <c r="BN9" s="1769" t="s">
        <v>525</v>
      </c>
      <c r="BO9" s="1772"/>
      <c r="BP9" s="1772"/>
      <c r="BQ9" s="1772"/>
      <c r="BR9" s="1772"/>
      <c r="BS9" s="1772"/>
      <c r="BT9" s="1772"/>
      <c r="BU9" s="1772"/>
      <c r="BV9" s="1668"/>
      <c r="BW9" s="615"/>
      <c r="BX9" s="615"/>
    </row>
    <row r="10" spans="1:76" ht="20.25" customHeight="1" thickBot="1">
      <c r="A10" s="51"/>
      <c r="B10" s="42" t="s">
        <v>32</v>
      </c>
      <c r="C10" s="52"/>
      <c r="D10" s="109">
        <v>22089.383999999998</v>
      </c>
      <c r="E10" s="44"/>
      <c r="F10" s="53">
        <v>5.5021555102258946</v>
      </c>
      <c r="G10" s="109">
        <v>27787.905063418355</v>
      </c>
      <c r="H10" s="44"/>
      <c r="I10" s="336">
        <v>5.5021555102258946</v>
      </c>
      <c r="J10" s="388" t="s">
        <v>525</v>
      </c>
      <c r="K10" s="637">
        <v>5698.5210634183568</v>
      </c>
      <c r="L10" s="628" t="s">
        <v>525</v>
      </c>
      <c r="M10" s="4019"/>
      <c r="N10" s="4019"/>
      <c r="O10" s="4020"/>
      <c r="P10" s="4021"/>
      <c r="Q10" s="4022"/>
      <c r="R10" s="4022"/>
      <c r="S10" s="4023"/>
      <c r="V10" s="51"/>
      <c r="W10" s="42" t="s">
        <v>32</v>
      </c>
      <c r="X10" s="52"/>
      <c r="Y10" s="1759">
        <v>27787.905063418355</v>
      </c>
      <c r="Z10" s="1762"/>
      <c r="AA10" s="1765">
        <v>5.5021555102258946</v>
      </c>
      <c r="AB10" s="1447" t="s">
        <v>525</v>
      </c>
      <c r="AC10" s="615"/>
      <c r="AD10" s="615"/>
      <c r="AE10" s="615"/>
      <c r="AF10" s="615"/>
      <c r="AG10" s="615"/>
      <c r="AH10" s="615"/>
      <c r="AI10" s="615"/>
      <c r="AJ10" s="1537"/>
      <c r="AL10" s="925"/>
      <c r="AM10" s="51"/>
      <c r="AN10" s="42" t="s">
        <v>32</v>
      </c>
      <c r="AO10" s="52"/>
      <c r="AP10" s="109">
        <v>22089.383999999998</v>
      </c>
      <c r="AQ10" s="44"/>
      <c r="AR10" s="53">
        <v>5.5021555102258946</v>
      </c>
      <c r="AS10" s="109">
        <v>27787.905063418355</v>
      </c>
      <c r="AT10" s="44"/>
      <c r="AU10" s="336">
        <v>5.5021555102258946</v>
      </c>
      <c r="AV10" s="388" t="s">
        <v>525</v>
      </c>
      <c r="AW10" s="637">
        <v>5698.5210634183568</v>
      </c>
      <c r="BB10" s="4024"/>
      <c r="BC10" s="4025"/>
      <c r="BD10" s="4025"/>
      <c r="BE10" s="4026"/>
      <c r="BH10" s="51"/>
      <c r="BI10" s="42" t="s">
        <v>32</v>
      </c>
      <c r="BJ10" s="52"/>
      <c r="BK10" s="109">
        <v>27787.905063418355</v>
      </c>
      <c r="BL10" s="44"/>
      <c r="BM10" s="45">
        <v>5.5021555102258946</v>
      </c>
      <c r="BN10" s="1770" t="s">
        <v>525</v>
      </c>
      <c r="BO10" s="615"/>
      <c r="BP10" s="615"/>
      <c r="BQ10" s="615"/>
      <c r="BR10" s="615"/>
      <c r="BS10" s="615"/>
      <c r="BT10" s="615"/>
      <c r="BU10" s="615"/>
      <c r="BV10" s="1537"/>
      <c r="BW10" s="615"/>
      <c r="BX10" s="615"/>
    </row>
    <row r="11" spans="1:76" ht="20.25" customHeight="1">
      <c r="A11" s="282"/>
      <c r="B11" s="283" t="s">
        <v>33</v>
      </c>
      <c r="C11" s="284"/>
      <c r="D11" s="285">
        <v>401467.82400000002</v>
      </c>
      <c r="E11" s="286"/>
      <c r="F11" s="287">
        <v>100</v>
      </c>
      <c r="G11" s="285">
        <v>505036.70810055867</v>
      </c>
      <c r="H11" s="286"/>
      <c r="I11" s="288">
        <v>100</v>
      </c>
      <c r="J11" s="289" t="s">
        <v>8</v>
      </c>
      <c r="K11" s="638">
        <v>103568.88410055864</v>
      </c>
      <c r="L11" s="387"/>
      <c r="M11" s="3758" t="s">
        <v>525</v>
      </c>
      <c r="N11" s="2468"/>
      <c r="O11" s="162"/>
      <c r="P11" s="698" t="s">
        <v>136</v>
      </c>
      <c r="Q11" s="4027" t="s">
        <v>134</v>
      </c>
      <c r="R11" s="4027"/>
      <c r="S11" s="699" t="s">
        <v>126</v>
      </c>
      <c r="V11" s="282"/>
      <c r="W11" s="283" t="s">
        <v>33</v>
      </c>
      <c r="X11" s="284"/>
      <c r="Y11" s="285">
        <v>505036.70810055867</v>
      </c>
      <c r="Z11" s="286"/>
      <c r="AA11" s="1766">
        <v>100</v>
      </c>
      <c r="AB11" s="615"/>
      <c r="AC11" s="615"/>
      <c r="AD11" s="615"/>
      <c r="AE11" s="615"/>
      <c r="AF11" s="615"/>
      <c r="AG11" s="615"/>
      <c r="AH11" s="615"/>
      <c r="AI11" s="615"/>
      <c r="AJ11" s="1537"/>
      <c r="AL11" s="925"/>
      <c r="AM11" s="282"/>
      <c r="AN11" s="283" t="s">
        <v>33</v>
      </c>
      <c r="AO11" s="284"/>
      <c r="AP11" s="285">
        <v>401467.82400000002</v>
      </c>
      <c r="AQ11" s="286"/>
      <c r="AR11" s="287">
        <v>100</v>
      </c>
      <c r="AS11" s="285">
        <v>505036.70810055867</v>
      </c>
      <c r="AT11" s="286"/>
      <c r="AU11" s="288">
        <v>100</v>
      </c>
      <c r="AV11" s="289" t="s">
        <v>8</v>
      </c>
      <c r="AW11" s="638">
        <v>103568.88410055864</v>
      </c>
      <c r="BB11" s="698" t="s">
        <v>136</v>
      </c>
      <c r="BC11" s="4027" t="s">
        <v>134</v>
      </c>
      <c r="BD11" s="4027"/>
      <c r="BE11" s="699" t="s">
        <v>126</v>
      </c>
      <c r="BH11" s="282"/>
      <c r="BI11" s="283" t="s">
        <v>33</v>
      </c>
      <c r="BJ11" s="284"/>
      <c r="BK11" s="285">
        <v>505036.70810055867</v>
      </c>
      <c r="BL11" s="286"/>
      <c r="BM11" s="287">
        <v>100</v>
      </c>
      <c r="BN11" s="619"/>
      <c r="BO11" s="615"/>
      <c r="BP11" s="615"/>
      <c r="BQ11" s="615"/>
      <c r="BR11" s="615"/>
      <c r="BS11" s="615"/>
      <c r="BT11" s="615"/>
      <c r="BU11" s="615"/>
      <c r="BV11" s="1537"/>
      <c r="BW11" s="615"/>
      <c r="BX11" s="615"/>
    </row>
    <row r="12" spans="1:76" ht="20.25" customHeight="1">
      <c r="A12" s="51"/>
      <c r="B12" s="47" t="s">
        <v>50</v>
      </c>
      <c r="C12" s="65"/>
      <c r="D12" s="109">
        <v>39607.032000000007</v>
      </c>
      <c r="E12" s="49"/>
      <c r="F12" s="53">
        <v>9.8655557512374905</v>
      </c>
      <c r="G12" s="110">
        <v>53028.854350558657</v>
      </c>
      <c r="H12" s="49"/>
      <c r="I12" s="66">
        <v>10.5</v>
      </c>
      <c r="J12" s="67" t="s">
        <v>17</v>
      </c>
      <c r="K12" s="637">
        <v>13421.82235055865</v>
      </c>
      <c r="L12" s="628" t="s">
        <v>525</v>
      </c>
      <c r="M12" s="3758"/>
      <c r="N12" s="2468"/>
      <c r="O12" s="162"/>
      <c r="P12" s="700">
        <v>401467.82400000002</v>
      </c>
      <c r="Q12" s="4028">
        <v>505036.70810055867</v>
      </c>
      <c r="R12" s="4028"/>
      <c r="S12" s="1359">
        <v>103568.88410055864</v>
      </c>
      <c r="V12" s="51"/>
      <c r="W12" s="47" t="s">
        <v>50</v>
      </c>
      <c r="X12" s="65"/>
      <c r="Y12" s="1759">
        <v>53028.854350558657</v>
      </c>
      <c r="Z12" s="1763"/>
      <c r="AA12" s="1767">
        <v>10.5</v>
      </c>
      <c r="AB12" s="1854" t="s">
        <v>525</v>
      </c>
      <c r="AC12" s="1621"/>
      <c r="AD12" s="1621"/>
      <c r="AE12" s="1621"/>
      <c r="AF12" s="1621"/>
      <c r="AG12" s="1621"/>
      <c r="AH12" s="1621"/>
      <c r="AI12" s="1621"/>
      <c r="AJ12" s="1773"/>
      <c r="AL12" s="925"/>
      <c r="AM12" s="51"/>
      <c r="AN12" s="47" t="s">
        <v>50</v>
      </c>
      <c r="AO12" s="65"/>
      <c r="AP12" s="109">
        <v>39607.032000000007</v>
      </c>
      <c r="AQ12" s="49"/>
      <c r="AR12" s="53">
        <v>9.8655557512374905</v>
      </c>
      <c r="AS12" s="110">
        <v>53028.854350558657</v>
      </c>
      <c r="AT12" s="49"/>
      <c r="AU12" s="66">
        <v>10.5</v>
      </c>
      <c r="AV12" s="67" t="s">
        <v>17</v>
      </c>
      <c r="AW12" s="637">
        <v>13421.82235055865</v>
      </c>
      <c r="BB12" s="700">
        <v>401467.82400000002</v>
      </c>
      <c r="BC12" s="4028">
        <v>505036.70810055867</v>
      </c>
      <c r="BD12" s="4028"/>
      <c r="BE12" s="701">
        <v>103568.88410055864</v>
      </c>
      <c r="BH12" s="51"/>
      <c r="BI12" s="47" t="s">
        <v>50</v>
      </c>
      <c r="BJ12" s="65"/>
      <c r="BK12" s="1759">
        <v>53028.854350558657</v>
      </c>
      <c r="BL12" s="49"/>
      <c r="BM12" s="45">
        <v>10.5</v>
      </c>
      <c r="BN12" s="1771" t="s">
        <v>525</v>
      </c>
      <c r="BO12" s="1621"/>
      <c r="BP12" s="1621"/>
      <c r="BQ12" s="1621"/>
      <c r="BR12" s="1621"/>
      <c r="BS12" s="1621"/>
      <c r="BT12" s="1621"/>
      <c r="BU12" s="1621"/>
      <c r="BV12" s="1773"/>
      <c r="BW12" s="615"/>
      <c r="BX12" s="615"/>
    </row>
    <row r="13" spans="1:76" ht="20.25" customHeight="1">
      <c r="A13" s="290"/>
      <c r="B13" s="283" t="s">
        <v>34</v>
      </c>
      <c r="C13" s="284"/>
      <c r="D13" s="285">
        <v>361860.79200000002</v>
      </c>
      <c r="E13" s="286"/>
      <c r="F13" s="287">
        <v>90.13444424876252</v>
      </c>
      <c r="G13" s="285">
        <v>452007.85375000001</v>
      </c>
      <c r="H13" s="286"/>
      <c r="I13" s="291">
        <v>89.5</v>
      </c>
      <c r="J13" s="289" t="s">
        <v>8</v>
      </c>
      <c r="K13" s="638">
        <v>90147.061749999993</v>
      </c>
      <c r="L13" s="31"/>
      <c r="M13" s="3758"/>
      <c r="N13" s="2468"/>
      <c r="O13" s="162"/>
      <c r="P13" s="702" t="s">
        <v>137</v>
      </c>
      <c r="Q13" s="4029" t="s">
        <v>135</v>
      </c>
      <c r="R13" s="4029"/>
      <c r="S13" s="185" t="s">
        <v>126</v>
      </c>
      <c r="V13" s="290"/>
      <c r="W13" s="283" t="s">
        <v>34</v>
      </c>
      <c r="X13" s="284"/>
      <c r="Y13" s="285">
        <v>452007.85375000001</v>
      </c>
      <c r="Z13" s="286">
        <v>0</v>
      </c>
      <c r="AA13" s="1766">
        <v>89.5</v>
      </c>
      <c r="AB13" s="615"/>
      <c r="AC13" s="615"/>
      <c r="AD13" s="615"/>
      <c r="AE13" s="615"/>
      <c r="AF13" s="615"/>
      <c r="AG13" s="615"/>
      <c r="AH13" s="615"/>
      <c r="AI13" s="615"/>
      <c r="AJ13" s="615"/>
      <c r="AL13" s="925"/>
      <c r="AM13" s="290"/>
      <c r="AN13" s="283" t="s">
        <v>34</v>
      </c>
      <c r="AO13" s="284"/>
      <c r="AP13" s="285">
        <v>361860.79200000002</v>
      </c>
      <c r="AQ13" s="286"/>
      <c r="AR13" s="287">
        <v>90.13444424876252</v>
      </c>
      <c r="AS13" s="285">
        <v>452007.85375000001</v>
      </c>
      <c r="AT13" s="286"/>
      <c r="AU13" s="291">
        <v>89.5</v>
      </c>
      <c r="AV13" s="289" t="s">
        <v>8</v>
      </c>
      <c r="AW13" s="638">
        <v>90147.061749999993</v>
      </c>
      <c r="BB13" s="702" t="s">
        <v>137</v>
      </c>
      <c r="BC13" s="4029" t="s">
        <v>135</v>
      </c>
      <c r="BD13" s="4029"/>
      <c r="BE13" s="185" t="s">
        <v>126</v>
      </c>
      <c r="BH13" s="290"/>
      <c r="BI13" s="283" t="s">
        <v>34</v>
      </c>
      <c r="BJ13" s="284"/>
      <c r="BK13" s="285">
        <v>452007.85375000001</v>
      </c>
      <c r="BL13" s="286">
        <v>0</v>
      </c>
      <c r="BM13" s="287">
        <v>89.5</v>
      </c>
      <c r="BN13" s="615"/>
      <c r="BO13" s="615"/>
      <c r="BP13" s="615"/>
      <c r="BQ13" s="615"/>
      <c r="BR13" s="615"/>
      <c r="BS13" s="615"/>
      <c r="BT13" s="615"/>
      <c r="BU13" s="615"/>
      <c r="BV13" s="615"/>
      <c r="BW13" s="615"/>
      <c r="BX13" s="615"/>
    </row>
    <row r="14" spans="1:76" ht="20.25" customHeight="1">
      <c r="A14" s="51"/>
      <c r="B14" s="47" t="s">
        <v>35</v>
      </c>
      <c r="C14" s="65"/>
      <c r="D14" s="109">
        <v>135052.58400000003</v>
      </c>
      <c r="E14" s="49"/>
      <c r="F14" s="53">
        <v>33.639703091124943</v>
      </c>
      <c r="G14" s="110">
        <v>211335.49775000001</v>
      </c>
      <c r="H14" s="49"/>
      <c r="I14" s="66">
        <v>41.845571690191015</v>
      </c>
      <c r="J14" s="67" t="s">
        <v>17</v>
      </c>
      <c r="K14" s="637">
        <v>76282.913749999978</v>
      </c>
      <c r="L14" s="628" t="s">
        <v>525</v>
      </c>
      <c r="M14" s="3917" t="s">
        <v>525</v>
      </c>
      <c r="N14" s="941"/>
      <c r="O14" s="162"/>
      <c r="P14" s="700">
        <v>477746.71055999998</v>
      </c>
      <c r="Q14" s="4028">
        <v>600993.68263966474</v>
      </c>
      <c r="R14" s="4028"/>
      <c r="S14" s="1359">
        <v>123246.97207966476</v>
      </c>
      <c r="V14" s="51"/>
      <c r="W14" s="47" t="s">
        <v>35</v>
      </c>
      <c r="X14" s="65"/>
      <c r="Y14" s="109">
        <v>211335.49775000001</v>
      </c>
      <c r="Z14" s="1763"/>
      <c r="AA14" s="1745">
        <v>41.845571690191015</v>
      </c>
      <c r="AB14" s="615"/>
      <c r="AC14" s="615"/>
      <c r="AD14" s="615"/>
      <c r="AE14" s="615"/>
      <c r="AF14" s="1346">
        <v>53028.854350558657</v>
      </c>
      <c r="AG14" s="1345"/>
      <c r="AH14" s="1345"/>
      <c r="AI14" s="615"/>
      <c r="AJ14" s="615"/>
      <c r="AL14" s="925"/>
      <c r="AM14" s="51"/>
      <c r="AN14" s="47" t="s">
        <v>35</v>
      </c>
      <c r="AO14" s="65"/>
      <c r="AP14" s="109">
        <v>135052.58400000003</v>
      </c>
      <c r="AQ14" s="49"/>
      <c r="AR14" s="53">
        <v>33.639703091124943</v>
      </c>
      <c r="AS14" s="110">
        <v>211335.49775000001</v>
      </c>
      <c r="AT14" s="49"/>
      <c r="AU14" s="66">
        <v>41.845571690191015</v>
      </c>
      <c r="AV14" s="67" t="s">
        <v>17</v>
      </c>
      <c r="AW14" s="637">
        <v>76282.913749999978</v>
      </c>
      <c r="BB14" s="700">
        <v>477746.71055999998</v>
      </c>
      <c r="BC14" s="4028">
        <v>600993.68263966474</v>
      </c>
      <c r="BD14" s="4028"/>
      <c r="BE14" s="701">
        <v>123246.97207966476</v>
      </c>
      <c r="BH14" s="51"/>
      <c r="BI14" s="47" t="s">
        <v>35</v>
      </c>
      <c r="BJ14" s="65"/>
      <c r="BK14" s="109">
        <v>211335.49775000001</v>
      </c>
      <c r="BL14" s="49"/>
      <c r="BM14" s="53">
        <v>41.845571690191015</v>
      </c>
      <c r="BN14" s="615"/>
      <c r="BO14" s="615"/>
      <c r="BP14" s="615"/>
      <c r="BQ14" s="615"/>
      <c r="BR14" s="1346">
        <v>53028.854350558657</v>
      </c>
      <c r="BS14" s="1345"/>
      <c r="BT14" s="1345"/>
      <c r="BU14" s="615"/>
      <c r="BV14" s="615"/>
      <c r="BW14" s="615"/>
      <c r="BX14" s="615"/>
    </row>
    <row r="15" spans="1:76" ht="20.25" customHeight="1" thickBot="1">
      <c r="A15" s="290"/>
      <c r="B15" s="292" t="s">
        <v>7</v>
      </c>
      <c r="C15" s="293"/>
      <c r="D15" s="285">
        <v>226808.20799999998</v>
      </c>
      <c r="E15" s="294"/>
      <c r="F15" s="287">
        <v>56.494741157637577</v>
      </c>
      <c r="G15" s="295">
        <v>240672.35599999997</v>
      </c>
      <c r="H15" s="294"/>
      <c r="I15" s="296">
        <v>47.654428309808985</v>
      </c>
      <c r="J15" s="297" t="s">
        <v>8</v>
      </c>
      <c r="K15" s="638">
        <v>13864.147999999986</v>
      </c>
      <c r="L15" s="653"/>
      <c r="M15" s="3917"/>
      <c r="N15" s="941"/>
      <c r="O15" s="13"/>
      <c r="P15" s="703">
        <v>0.25797555347937084</v>
      </c>
      <c r="Q15" s="4030" t="s">
        <v>1437</v>
      </c>
      <c r="R15" s="4030"/>
      <c r="S15" s="4031"/>
      <c r="V15" s="290"/>
      <c r="W15" s="292" t="s">
        <v>7</v>
      </c>
      <c r="X15" s="293"/>
      <c r="Y15" s="487">
        <v>240672.356</v>
      </c>
      <c r="Z15" s="294"/>
      <c r="AA15" s="1768">
        <v>47.654428309808985</v>
      </c>
      <c r="AB15" s="4032" t="s">
        <v>1018</v>
      </c>
      <c r="AC15" s="4032"/>
      <c r="AD15" s="4032"/>
      <c r="AE15" s="615" t="s">
        <v>414</v>
      </c>
      <c r="AF15" s="1346">
        <v>53028.854350558657</v>
      </c>
      <c r="AG15" s="1345"/>
      <c r="AH15" s="1347">
        <v>10.5</v>
      </c>
      <c r="AI15" s="615" t="s">
        <v>854</v>
      </c>
      <c r="AJ15" s="615"/>
      <c r="AK15" s="615"/>
      <c r="AL15" s="925"/>
      <c r="AM15" s="290"/>
      <c r="AN15" s="292" t="s">
        <v>7</v>
      </c>
      <c r="AO15" s="293"/>
      <c r="AP15" s="285">
        <v>226808.20799999998</v>
      </c>
      <c r="AQ15" s="294"/>
      <c r="AR15" s="287">
        <v>56.494741157637577</v>
      </c>
      <c r="AS15" s="487">
        <v>240672.356</v>
      </c>
      <c r="AT15" s="294"/>
      <c r="AU15" s="1685">
        <v>47.654428309808985</v>
      </c>
      <c r="AV15" s="297" t="s">
        <v>8</v>
      </c>
      <c r="AW15" s="638">
        <v>13864.148000000016</v>
      </c>
      <c r="BB15" s="703">
        <v>0.25797555347937084</v>
      </c>
      <c r="BC15" s="4030" t="s">
        <v>1437</v>
      </c>
      <c r="BD15" s="4030"/>
      <c r="BE15" s="4031"/>
      <c r="BH15" s="290"/>
      <c r="BI15" s="292" t="s">
        <v>7</v>
      </c>
      <c r="BJ15" s="293"/>
      <c r="BK15" s="487">
        <v>240672.356</v>
      </c>
      <c r="BL15" s="294"/>
      <c r="BM15" s="1685">
        <v>47.654428309808985</v>
      </c>
      <c r="BN15" s="4032" t="s">
        <v>1018</v>
      </c>
      <c r="BO15" s="4032"/>
      <c r="BP15" s="4032"/>
      <c r="BQ15" s="615" t="s">
        <v>414</v>
      </c>
      <c r="BR15" s="1346">
        <v>53028.854350558657</v>
      </c>
      <c r="BS15" s="1345"/>
      <c r="BT15" s="1347">
        <v>10.5</v>
      </c>
      <c r="BU15" s="615" t="s">
        <v>854</v>
      </c>
      <c r="BV15" s="615"/>
      <c r="BW15" s="615"/>
      <c r="BX15" s="615"/>
    </row>
    <row r="16" spans="1:76" ht="20.25" customHeight="1">
      <c r="A16" s="46"/>
      <c r="B16" s="68" t="s">
        <v>9</v>
      </c>
      <c r="C16" s="48"/>
      <c r="D16" s="109">
        <v>36205.944000000003</v>
      </c>
      <c r="E16" s="49"/>
      <c r="F16" s="50">
        <v>9.0183924677360938</v>
      </c>
      <c r="G16" s="110">
        <v>40064.055999999997</v>
      </c>
      <c r="H16" s="49"/>
      <c r="I16" s="69">
        <v>7.9328997986464742</v>
      </c>
      <c r="J16" s="63"/>
      <c r="K16" s="637">
        <v>3858.1119999999937</v>
      </c>
      <c r="L16" s="13"/>
      <c r="M16" s="3917"/>
      <c r="N16" s="13"/>
      <c r="O16" s="13"/>
      <c r="P16" s="4038" t="s">
        <v>852</v>
      </c>
      <c r="Q16" s="4039"/>
      <c r="R16" s="4040" t="s">
        <v>1046</v>
      </c>
      <c r="S16" s="4040"/>
      <c r="T16" s="4040"/>
      <c r="V16" s="46"/>
      <c r="W16" s="68" t="s">
        <v>9</v>
      </c>
      <c r="X16" s="48"/>
      <c r="Y16" s="109">
        <v>40064.055999999997</v>
      </c>
      <c r="Z16" s="1763"/>
      <c r="AA16" s="1745">
        <v>7.9328997986464742</v>
      </c>
      <c r="AB16" s="4032" t="s">
        <v>1019</v>
      </c>
      <c r="AC16" s="4032"/>
      <c r="AD16" s="4032"/>
      <c r="AE16" s="615" t="s">
        <v>128</v>
      </c>
      <c r="AF16" s="1346">
        <v>13893.952531709177</v>
      </c>
      <c r="AG16" s="1345"/>
      <c r="AH16" s="1347">
        <v>50</v>
      </c>
      <c r="AI16" s="615" t="s">
        <v>1025</v>
      </c>
      <c r="AJ16" s="615"/>
      <c r="AK16" s="615"/>
      <c r="AL16" s="925"/>
      <c r="AM16" s="46"/>
      <c r="AN16" s="68" t="s">
        <v>9</v>
      </c>
      <c r="AO16" s="48"/>
      <c r="AP16" s="109">
        <v>36205.944000000003</v>
      </c>
      <c r="AQ16" s="49"/>
      <c r="AR16" s="50">
        <v>9.0183924677360938</v>
      </c>
      <c r="AS16" s="109">
        <v>40064.055999999997</v>
      </c>
      <c r="AT16" s="49"/>
      <c r="AU16" s="69">
        <v>7.9328997986464742</v>
      </c>
      <c r="AV16" s="63"/>
      <c r="AW16" s="637">
        <v>3858.1119999999937</v>
      </c>
      <c r="BB16" s="4038" t="s">
        <v>1026</v>
      </c>
      <c r="BC16" s="4039"/>
      <c r="BD16" s="4039"/>
      <c r="BE16" s="4041"/>
      <c r="BH16" s="46"/>
      <c r="BI16" s="68" t="s">
        <v>9</v>
      </c>
      <c r="BJ16" s="48"/>
      <c r="BK16" s="109">
        <v>40064.055999999997</v>
      </c>
      <c r="BL16" s="49"/>
      <c r="BM16" s="69">
        <v>7.9328997986464742</v>
      </c>
      <c r="BN16" s="4032" t="s">
        <v>1019</v>
      </c>
      <c r="BO16" s="4032"/>
      <c r="BP16" s="4032"/>
      <c r="BQ16" s="615" t="s">
        <v>128</v>
      </c>
      <c r="BR16" s="1346">
        <v>13893.952531709177</v>
      </c>
      <c r="BS16" s="1345"/>
      <c r="BT16" s="1347">
        <v>50</v>
      </c>
      <c r="BU16" s="615" t="s">
        <v>1025</v>
      </c>
      <c r="BV16" s="615"/>
      <c r="BW16" s="615"/>
      <c r="BX16" s="615"/>
    </row>
    <row r="17" spans="1:76" ht="20.25" customHeight="1">
      <c r="A17" s="46"/>
      <c r="B17" s="70" t="s">
        <v>52</v>
      </c>
      <c r="C17" s="48"/>
      <c r="D17" s="109">
        <v>10718.1</v>
      </c>
      <c r="E17" s="49"/>
      <c r="F17" s="50">
        <v>2.6697282719224842</v>
      </c>
      <c r="G17" s="110">
        <v>11626.1</v>
      </c>
      <c r="H17" s="49"/>
      <c r="I17" s="69">
        <v>2.3020306867842781</v>
      </c>
      <c r="J17" s="63"/>
      <c r="K17" s="637">
        <v>908</v>
      </c>
      <c r="L17" s="13"/>
      <c r="M17" s="13"/>
      <c r="N17" s="13"/>
      <c r="O17" s="13"/>
      <c r="P17" s="1305">
        <v>477248.80303714029</v>
      </c>
      <c r="Q17" s="1304" t="s">
        <v>127</v>
      </c>
      <c r="R17" s="4040"/>
      <c r="S17" s="4040"/>
      <c r="T17" s="4040"/>
      <c r="V17" s="46"/>
      <c r="W17" s="70" t="s">
        <v>52</v>
      </c>
      <c r="X17" s="48"/>
      <c r="Y17" s="109">
        <v>11626.1</v>
      </c>
      <c r="Z17" s="1763"/>
      <c r="AA17" s="1745">
        <v>2.3020306867842781</v>
      </c>
      <c r="AB17" s="4032" t="s">
        <v>94</v>
      </c>
      <c r="AC17" s="4032"/>
      <c r="AD17" s="4032"/>
      <c r="AE17" s="615" t="s">
        <v>127</v>
      </c>
      <c r="AF17" s="1346">
        <v>39134.901818849481</v>
      </c>
      <c r="AG17" s="1345"/>
      <c r="AH17" s="1347">
        <v>8.2001047608293192</v>
      </c>
      <c r="AI17" s="615" t="s">
        <v>1024</v>
      </c>
      <c r="AJ17" s="615"/>
      <c r="AK17" s="615"/>
      <c r="AL17" s="925"/>
      <c r="AM17" s="46"/>
      <c r="AN17" s="70" t="s">
        <v>52</v>
      </c>
      <c r="AO17" s="48"/>
      <c r="AP17" s="109">
        <v>10718.1</v>
      </c>
      <c r="AQ17" s="49"/>
      <c r="AR17" s="50">
        <v>2.6697282719224842</v>
      </c>
      <c r="AS17" s="109">
        <v>11626.1</v>
      </c>
      <c r="AT17" s="49"/>
      <c r="AU17" s="69">
        <v>2.3020306867842781</v>
      </c>
      <c r="AV17" s="63"/>
      <c r="AW17" s="637">
        <v>908</v>
      </c>
      <c r="BB17" s="4042"/>
      <c r="BC17" s="3906"/>
      <c r="BD17" s="3906"/>
      <c r="BE17" s="4043"/>
      <c r="BH17" s="46"/>
      <c r="BI17" s="70" t="s">
        <v>52</v>
      </c>
      <c r="BJ17" s="48"/>
      <c r="BK17" s="109">
        <v>11626.1</v>
      </c>
      <c r="BL17" s="49"/>
      <c r="BM17" s="69">
        <v>2.3020306867842781</v>
      </c>
      <c r="BN17" s="4032" t="s">
        <v>94</v>
      </c>
      <c r="BO17" s="4032"/>
      <c r="BP17" s="4032"/>
      <c r="BQ17" s="615" t="s">
        <v>127</v>
      </c>
      <c r="BR17" s="1346">
        <v>39134.901818849481</v>
      </c>
      <c r="BS17" s="1345"/>
      <c r="BT17" s="1347">
        <v>8.2001047608293192</v>
      </c>
      <c r="BU17" s="615" t="s">
        <v>1024</v>
      </c>
      <c r="BV17" s="615"/>
      <c r="BW17" s="615"/>
      <c r="BX17" s="615"/>
    </row>
    <row r="18" spans="1:76" ht="20.25" customHeight="1">
      <c r="A18" s="46"/>
      <c r="B18" s="70" t="s">
        <v>10</v>
      </c>
      <c r="C18" s="48"/>
      <c r="D18" s="109">
        <v>2944.8600000000006</v>
      </c>
      <c r="E18" s="49"/>
      <c r="F18" s="50">
        <v>0.73352329226762647</v>
      </c>
      <c r="G18" s="110">
        <v>3100</v>
      </c>
      <c r="H18" s="49"/>
      <c r="I18" s="69">
        <v>0.61381676822247033</v>
      </c>
      <c r="J18" s="63"/>
      <c r="K18" s="637">
        <v>155.13999999999942</v>
      </c>
      <c r="L18" s="13"/>
      <c r="M18" s="4057" t="s">
        <v>1438</v>
      </c>
      <c r="N18" s="13"/>
      <c r="O18" s="13"/>
      <c r="P18" s="1305">
        <v>27787.905063418355</v>
      </c>
      <c r="Q18" s="1304" t="s">
        <v>128</v>
      </c>
      <c r="R18" s="4040"/>
      <c r="S18" s="4040"/>
      <c r="T18" s="4040"/>
      <c r="V18" s="46"/>
      <c r="W18" s="70" t="s">
        <v>10</v>
      </c>
      <c r="X18" s="48"/>
      <c r="Y18" s="109">
        <v>3100</v>
      </c>
      <c r="Z18" s="1763"/>
      <c r="AA18" s="1745">
        <v>0.61381676822247033</v>
      </c>
      <c r="AB18" s="615"/>
      <c r="AC18" s="615"/>
      <c r="AD18" s="615"/>
      <c r="AE18" s="615"/>
      <c r="AF18" s="1346">
        <v>39134.901818849481</v>
      </c>
      <c r="AG18" s="615"/>
      <c r="AH18" s="615">
        <v>8.2001047608293192</v>
      </c>
      <c r="AI18" s="615"/>
      <c r="AJ18" s="615"/>
      <c r="AK18" s="615"/>
      <c r="AL18" s="925"/>
      <c r="AM18" s="46"/>
      <c r="AN18" s="70" t="s">
        <v>10</v>
      </c>
      <c r="AO18" s="48"/>
      <c r="AP18" s="109">
        <v>2944.8600000000006</v>
      </c>
      <c r="AQ18" s="49"/>
      <c r="AR18" s="50">
        <v>0.73352329226762647</v>
      </c>
      <c r="AS18" s="109">
        <v>3100</v>
      </c>
      <c r="AT18" s="49"/>
      <c r="AU18" s="69">
        <v>0.61381676822247033</v>
      </c>
      <c r="AV18" s="63"/>
      <c r="AW18" s="637">
        <v>155.13999999999942</v>
      </c>
      <c r="BB18" s="4042"/>
      <c r="BC18" s="3906"/>
      <c r="BD18" s="3906"/>
      <c r="BE18" s="4043"/>
      <c r="BH18" s="46"/>
      <c r="BI18" s="70" t="s">
        <v>10</v>
      </c>
      <c r="BJ18" s="48"/>
      <c r="BK18" s="109">
        <v>3100</v>
      </c>
      <c r="BL18" s="49"/>
      <c r="BM18" s="69">
        <v>0.61381676822247033</v>
      </c>
      <c r="BN18" s="615"/>
      <c r="BO18" s="615"/>
      <c r="BP18" s="615"/>
      <c r="BQ18" s="615"/>
      <c r="BR18" s="1346">
        <v>39134.901818849481</v>
      </c>
      <c r="BS18" s="615"/>
      <c r="BT18" s="615">
        <v>8.2001047608293192</v>
      </c>
      <c r="BU18" s="615"/>
      <c r="BV18" s="615"/>
      <c r="BW18" s="615"/>
      <c r="BX18" s="615"/>
    </row>
    <row r="19" spans="1:76" ht="20.25" customHeight="1">
      <c r="A19" s="46"/>
      <c r="B19" s="70" t="s">
        <v>142</v>
      </c>
      <c r="C19" s="48"/>
      <c r="D19" s="109">
        <v>7429</v>
      </c>
      <c r="E19" s="49"/>
      <c r="F19" s="50">
        <v>1.8504596273697889</v>
      </c>
      <c r="G19" s="110">
        <v>7500</v>
      </c>
      <c r="H19" s="49"/>
      <c r="I19" s="69">
        <v>1.4850405682801702</v>
      </c>
      <c r="J19" s="63"/>
      <c r="K19" s="637">
        <v>71</v>
      </c>
      <c r="L19" s="737"/>
      <c r="M19" s="4057"/>
      <c r="N19" s="13"/>
      <c r="O19" s="13"/>
      <c r="P19" s="588"/>
      <c r="Q19" s="549" t="s">
        <v>127</v>
      </c>
      <c r="R19" s="2469" t="s">
        <v>525</v>
      </c>
      <c r="S19" s="552" t="s">
        <v>525</v>
      </c>
      <c r="T19" s="13"/>
      <c r="V19" s="46"/>
      <c r="W19" s="70" t="s">
        <v>142</v>
      </c>
      <c r="X19" s="48"/>
      <c r="Y19" s="109">
        <v>7500</v>
      </c>
      <c r="Z19" s="1763"/>
      <c r="AA19" s="1745">
        <v>1.4850405682801702</v>
      </c>
      <c r="AE19" s="3670" t="s">
        <v>525</v>
      </c>
      <c r="AF19" s="3670"/>
      <c r="AG19" s="3670"/>
      <c r="AK19" s="615"/>
      <c r="AL19" s="925"/>
      <c r="AM19" s="46"/>
      <c r="AN19" s="70" t="s">
        <v>142</v>
      </c>
      <c r="AO19" s="48"/>
      <c r="AP19" s="109">
        <v>7429</v>
      </c>
      <c r="AQ19" s="49"/>
      <c r="AR19" s="50">
        <v>1.8504596273697889</v>
      </c>
      <c r="AS19" s="109">
        <v>7500</v>
      </c>
      <c r="AT19" s="49"/>
      <c r="AU19" s="69">
        <v>1.4850405682801702</v>
      </c>
      <c r="AV19" s="63"/>
      <c r="AW19" s="637">
        <v>71</v>
      </c>
      <c r="AX19" s="4058" t="s">
        <v>525</v>
      </c>
      <c r="AY19" s="4059"/>
      <c r="AZ19" s="4059"/>
      <c r="BA19" s="4060"/>
      <c r="BB19" s="588"/>
      <c r="BC19" s="549" t="s">
        <v>127</v>
      </c>
      <c r="BD19" s="2469" t="s">
        <v>525</v>
      </c>
      <c r="BE19" s="552" t="s">
        <v>525</v>
      </c>
      <c r="BF19" s="13"/>
      <c r="BH19" s="46"/>
      <c r="BI19" s="70" t="s">
        <v>142</v>
      </c>
      <c r="BJ19" s="48"/>
      <c r="BK19" s="109">
        <v>7500</v>
      </c>
      <c r="BL19" s="49"/>
      <c r="BM19" s="69">
        <v>1.4850405682801702</v>
      </c>
      <c r="BN19" s="615"/>
      <c r="BO19" s="615"/>
      <c r="BP19" s="615"/>
      <c r="BQ19" s="4045" t="s">
        <v>525</v>
      </c>
      <c r="BR19" s="4045"/>
      <c r="BS19" s="4045"/>
      <c r="BT19" s="615"/>
      <c r="BU19" s="615"/>
      <c r="BV19" s="615"/>
      <c r="BW19" s="615"/>
      <c r="BX19" s="615"/>
    </row>
    <row r="20" spans="1:76" ht="20.25" customHeight="1">
      <c r="A20" s="46"/>
      <c r="B20" s="70" t="s">
        <v>59</v>
      </c>
      <c r="C20" s="48"/>
      <c r="D20" s="109">
        <v>8327.0519999999997</v>
      </c>
      <c r="E20" s="49"/>
      <c r="F20" s="50">
        <v>2.0741517756102912</v>
      </c>
      <c r="G20" s="110">
        <v>8000</v>
      </c>
      <c r="H20" s="49"/>
      <c r="I20" s="69">
        <v>1.5840432728321814</v>
      </c>
      <c r="J20" s="63"/>
      <c r="K20" s="637">
        <v>-327.05199999999968</v>
      </c>
      <c r="L20" s="628" t="s">
        <v>1260</v>
      </c>
      <c r="M20" s="4057"/>
      <c r="N20" s="13"/>
      <c r="O20" s="13"/>
      <c r="P20" s="588"/>
      <c r="Q20" s="395" t="s">
        <v>128</v>
      </c>
      <c r="R20" s="2483" t="s">
        <v>525</v>
      </c>
      <c r="S20" s="2484" t="s">
        <v>525</v>
      </c>
      <c r="T20" s="13"/>
      <c r="U20" s="522"/>
      <c r="V20" s="46"/>
      <c r="W20" s="70" t="s">
        <v>59</v>
      </c>
      <c r="X20" s="48"/>
      <c r="Y20" s="109">
        <v>8000</v>
      </c>
      <c r="Z20" s="1763"/>
      <c r="AA20" s="1745">
        <v>1.5840432728321814</v>
      </c>
      <c r="AE20" s="3670"/>
      <c r="AF20" s="3670"/>
      <c r="AG20" s="3670"/>
      <c r="AK20" s="615"/>
      <c r="AL20" s="925"/>
      <c r="AM20" s="46"/>
      <c r="AN20" s="70" t="s">
        <v>59</v>
      </c>
      <c r="AO20" s="48"/>
      <c r="AP20" s="109">
        <v>8327.0519999999997</v>
      </c>
      <c r="AQ20" s="49"/>
      <c r="AR20" s="50">
        <v>2.0741517756102912</v>
      </c>
      <c r="AS20" s="109">
        <v>8000</v>
      </c>
      <c r="AT20" s="49"/>
      <c r="AU20" s="69">
        <v>1.5840432728321814</v>
      </c>
      <c r="AV20" s="63"/>
      <c r="AW20" s="637">
        <v>-327.05199999999968</v>
      </c>
      <c r="AX20" s="4058"/>
      <c r="AY20" s="4059"/>
      <c r="AZ20" s="4059"/>
      <c r="BA20" s="4060"/>
      <c r="BB20" s="588"/>
      <c r="BC20" s="395" t="s">
        <v>128</v>
      </c>
      <c r="BD20" s="2469" t="s">
        <v>525</v>
      </c>
      <c r="BE20" s="553" t="s">
        <v>525</v>
      </c>
      <c r="BF20" s="13"/>
      <c r="BG20" s="522"/>
      <c r="BH20" s="46"/>
      <c r="BI20" s="70" t="s">
        <v>59</v>
      </c>
      <c r="BJ20" s="48"/>
      <c r="BK20" s="109">
        <v>8000</v>
      </c>
      <c r="BL20" s="49"/>
      <c r="BM20" s="69">
        <v>1.5840432728321814</v>
      </c>
      <c r="BN20" s="615"/>
      <c r="BO20" s="615"/>
      <c r="BP20" s="615"/>
      <c r="BQ20" s="4045"/>
      <c r="BR20" s="4045"/>
      <c r="BS20" s="4045"/>
      <c r="BT20" s="615"/>
      <c r="BU20" s="615"/>
      <c r="BV20" s="615"/>
      <c r="BW20" s="615"/>
      <c r="BX20" s="615"/>
    </row>
    <row r="21" spans="1:76" ht="20.25" customHeight="1">
      <c r="A21" s="46"/>
      <c r="B21" s="70" t="s">
        <v>12</v>
      </c>
      <c r="C21" s="48"/>
      <c r="D21" s="109">
        <v>914.02800000000013</v>
      </c>
      <c r="E21" s="49"/>
      <c r="F21" s="50">
        <v>0.22767154560311664</v>
      </c>
      <c r="G21" s="110">
        <v>900</v>
      </c>
      <c r="H21" s="49"/>
      <c r="I21" s="69">
        <v>0.17820486819362039</v>
      </c>
      <c r="J21" s="63"/>
      <c r="K21" s="637">
        <v>-14.028000000000134</v>
      </c>
      <c r="L21" s="737"/>
      <c r="M21" s="4061" t="s">
        <v>1215</v>
      </c>
      <c r="N21" s="4062"/>
      <c r="O21" s="13"/>
      <c r="P21" s="4065" t="s">
        <v>525</v>
      </c>
      <c r="Q21" s="4067" t="s">
        <v>525</v>
      </c>
      <c r="R21" s="4068"/>
      <c r="S21" s="4071" t="s">
        <v>525</v>
      </c>
      <c r="T21" s="13"/>
      <c r="V21" s="46"/>
      <c r="W21" s="70" t="s">
        <v>12</v>
      </c>
      <c r="X21" s="48"/>
      <c r="Y21" s="109">
        <v>900</v>
      </c>
      <c r="Z21" s="1763"/>
      <c r="AA21" s="1745">
        <v>0.17820486819362039</v>
      </c>
      <c r="AE21" s="3670"/>
      <c r="AF21" s="3670"/>
      <c r="AG21" s="3670"/>
      <c r="AK21" s="615"/>
      <c r="AL21" s="925"/>
      <c r="AM21" s="46"/>
      <c r="AN21" s="70" t="s">
        <v>12</v>
      </c>
      <c r="AO21" s="48"/>
      <c r="AP21" s="109">
        <v>914.02800000000013</v>
      </c>
      <c r="AQ21" s="49"/>
      <c r="AR21" s="50">
        <v>0.22767154560311664</v>
      </c>
      <c r="AS21" s="109">
        <v>900</v>
      </c>
      <c r="AT21" s="49"/>
      <c r="AU21" s="69">
        <v>0.17820486819362039</v>
      </c>
      <c r="AV21" s="63"/>
      <c r="AW21" s="637">
        <v>-14.028000000000134</v>
      </c>
      <c r="BB21" s="4065" t="s">
        <v>525</v>
      </c>
      <c r="BC21" s="4073" t="s">
        <v>525</v>
      </c>
      <c r="BD21" s="4074"/>
      <c r="BE21" s="4033" t="s">
        <v>525</v>
      </c>
      <c r="BF21" s="13"/>
      <c r="BH21" s="46"/>
      <c r="BI21" s="70" t="s">
        <v>12</v>
      </c>
      <c r="BJ21" s="48"/>
      <c r="BK21" s="109">
        <v>900</v>
      </c>
      <c r="BL21" s="49"/>
      <c r="BM21" s="69">
        <v>0.17820486819362039</v>
      </c>
      <c r="BN21" s="615"/>
      <c r="BO21" s="615"/>
      <c r="BP21" s="615"/>
      <c r="BQ21" s="4045"/>
      <c r="BR21" s="4045"/>
      <c r="BS21" s="4045"/>
      <c r="BT21" s="615"/>
      <c r="BU21" s="615"/>
      <c r="BV21" s="615"/>
      <c r="BW21" s="615"/>
      <c r="BX21" s="615"/>
    </row>
    <row r="22" spans="1:76" ht="20.25" customHeight="1">
      <c r="A22" s="46"/>
      <c r="B22" s="70" t="s">
        <v>133</v>
      </c>
      <c r="C22" s="48"/>
      <c r="D22" s="109">
        <v>1166.7719999999999</v>
      </c>
      <c r="E22" s="49"/>
      <c r="F22" s="50">
        <v>0.29062652851601872</v>
      </c>
      <c r="G22" s="110">
        <v>1200</v>
      </c>
      <c r="H22" s="49"/>
      <c r="I22" s="69">
        <v>0.23760649092482719</v>
      </c>
      <c r="J22" s="63"/>
      <c r="K22" s="637">
        <v>33.228000000000065</v>
      </c>
      <c r="L22" s="13"/>
      <c r="M22" s="4063"/>
      <c r="N22" s="4064"/>
      <c r="O22" s="1683" t="s">
        <v>1215</v>
      </c>
      <c r="P22" s="4066"/>
      <c r="Q22" s="4069"/>
      <c r="R22" s="4070"/>
      <c r="S22" s="4072"/>
      <c r="T22" s="13"/>
      <c r="V22" s="46"/>
      <c r="W22" s="70" t="s">
        <v>133</v>
      </c>
      <c r="X22" s="48"/>
      <c r="Y22" s="109">
        <v>1200</v>
      </c>
      <c r="Z22" s="1763"/>
      <c r="AA22" s="1745">
        <v>0.23760649092482719</v>
      </c>
      <c r="AE22" s="3670"/>
      <c r="AF22" s="3670"/>
      <c r="AG22" s="3670"/>
      <c r="AK22" s="615"/>
      <c r="AL22" s="925"/>
      <c r="AM22" s="46"/>
      <c r="AN22" s="70" t="s">
        <v>133</v>
      </c>
      <c r="AO22" s="48"/>
      <c r="AP22" s="109">
        <v>1166.7719999999999</v>
      </c>
      <c r="AQ22" s="49"/>
      <c r="AR22" s="50">
        <v>0.29062652851601872</v>
      </c>
      <c r="AS22" s="109">
        <v>1200</v>
      </c>
      <c r="AT22" s="49"/>
      <c r="AU22" s="69">
        <v>0.23760649092482719</v>
      </c>
      <c r="AV22" s="63"/>
      <c r="AW22" s="637">
        <v>33.228000000000065</v>
      </c>
      <c r="BB22" s="4066"/>
      <c r="BC22" s="4075"/>
      <c r="BD22" s="4076"/>
      <c r="BE22" s="4034"/>
      <c r="BF22" s="13"/>
      <c r="BH22" s="46"/>
      <c r="BI22" s="70" t="s">
        <v>133</v>
      </c>
      <c r="BJ22" s="48"/>
      <c r="BK22" s="109">
        <v>1200</v>
      </c>
      <c r="BL22" s="49"/>
      <c r="BM22" s="69">
        <v>0.23760649092482719</v>
      </c>
      <c r="BN22" s="615"/>
      <c r="BO22" s="615"/>
      <c r="BP22" s="615"/>
      <c r="BQ22" s="4045"/>
      <c r="BR22" s="4045"/>
      <c r="BS22" s="4045"/>
      <c r="BT22" s="615"/>
      <c r="BU22" s="615"/>
      <c r="BV22" s="615"/>
      <c r="BW22" s="615"/>
      <c r="BX22" s="615"/>
    </row>
    <row r="23" spans="1:76" ht="20.25" customHeight="1" thickBot="1">
      <c r="A23" s="46"/>
      <c r="B23" s="70" t="s">
        <v>14</v>
      </c>
      <c r="C23" s="48"/>
      <c r="D23" s="109">
        <v>11272.763999999999</v>
      </c>
      <c r="E23" s="49"/>
      <c r="F23" s="50">
        <v>2.8078872891193387</v>
      </c>
      <c r="G23" s="110">
        <v>11300</v>
      </c>
      <c r="H23" s="49"/>
      <c r="I23" s="69">
        <v>2.2374611228754562</v>
      </c>
      <c r="J23" s="63"/>
      <c r="K23" s="637">
        <v>27.236000000000786</v>
      </c>
      <c r="L23" s="13"/>
      <c r="M23" s="4063"/>
      <c r="N23" s="4064"/>
      <c r="O23" s="13"/>
      <c r="P23" s="550" t="s">
        <v>525</v>
      </c>
      <c r="Q23" s="4035" t="s">
        <v>525</v>
      </c>
      <c r="R23" s="4035"/>
      <c r="S23" s="4036"/>
      <c r="T23" s="13"/>
      <c r="V23" s="46"/>
      <c r="W23" s="70" t="s">
        <v>14</v>
      </c>
      <c r="X23" s="48"/>
      <c r="Y23" s="109">
        <v>11300</v>
      </c>
      <c r="Z23" s="1763"/>
      <c r="AA23" s="1745">
        <v>2.2374611228754562</v>
      </c>
      <c r="AE23" s="4037" t="s">
        <v>525</v>
      </c>
      <c r="AF23" s="4037"/>
      <c r="AL23" s="925"/>
      <c r="AM23" s="46"/>
      <c r="AN23" s="70" t="s">
        <v>14</v>
      </c>
      <c r="AO23" s="48"/>
      <c r="AP23" s="109">
        <v>11272.763999999999</v>
      </c>
      <c r="AQ23" s="49"/>
      <c r="AR23" s="50">
        <v>2.8078872891193387</v>
      </c>
      <c r="AS23" s="109">
        <v>11300</v>
      </c>
      <c r="AT23" s="49"/>
      <c r="AU23" s="69">
        <v>2.2374611228754562</v>
      </c>
      <c r="AV23" s="63"/>
      <c r="AW23" s="637">
        <v>27.236000000000786</v>
      </c>
      <c r="BB23" s="550" t="s">
        <v>525</v>
      </c>
      <c r="BC23" s="4035" t="s">
        <v>525</v>
      </c>
      <c r="BD23" s="4035"/>
      <c r="BE23" s="4036"/>
      <c r="BF23" s="13"/>
      <c r="BH23" s="46"/>
      <c r="BI23" s="70" t="s">
        <v>14</v>
      </c>
      <c r="BJ23" s="48"/>
      <c r="BK23" s="109">
        <v>11300</v>
      </c>
      <c r="BL23" s="49"/>
      <c r="BM23" s="69">
        <v>2.2374611228754562</v>
      </c>
      <c r="BN23" s="615"/>
      <c r="BO23" s="615"/>
      <c r="BP23" s="615"/>
      <c r="BQ23" s="4044" t="s">
        <v>525</v>
      </c>
      <c r="BR23" s="4044"/>
      <c r="BS23" s="615"/>
      <c r="BT23" s="615"/>
      <c r="BU23" s="615"/>
      <c r="BV23" s="615"/>
      <c r="BW23" s="615"/>
      <c r="BX23" s="615"/>
    </row>
    <row r="24" spans="1:76" ht="20.25" customHeight="1" thickBot="1">
      <c r="A24" s="46"/>
      <c r="B24" s="70" t="s">
        <v>15</v>
      </c>
      <c r="C24" s="48"/>
      <c r="D24" s="109">
        <v>62833.044000000009</v>
      </c>
      <c r="E24" s="49"/>
      <c r="F24" s="50">
        <v>15.650829342677286</v>
      </c>
      <c r="G24" s="110">
        <v>60000</v>
      </c>
      <c r="H24" s="49"/>
      <c r="I24" s="69">
        <v>11.880324546241361</v>
      </c>
      <c r="J24" s="63"/>
      <c r="K24" s="637">
        <v>-2833.044000000009</v>
      </c>
      <c r="L24" s="13"/>
      <c r="M24" s="4063"/>
      <c r="N24" s="4064"/>
      <c r="O24" s="13"/>
      <c r="P24" s="4051" t="s">
        <v>525</v>
      </c>
      <c r="Q24" s="4052"/>
      <c r="R24" s="4052"/>
      <c r="S24" s="4053"/>
      <c r="T24" s="13"/>
      <c r="V24" s="46"/>
      <c r="W24" s="70" t="s">
        <v>15</v>
      </c>
      <c r="X24" s="48"/>
      <c r="Y24" s="109">
        <v>60000</v>
      </c>
      <c r="Z24" s="1763"/>
      <c r="AA24" s="1745">
        <v>11.880324546241361</v>
      </c>
      <c r="AE24" s="384"/>
      <c r="AL24" s="925"/>
      <c r="AM24" s="46"/>
      <c r="AN24" s="70" t="s">
        <v>15</v>
      </c>
      <c r="AO24" s="48"/>
      <c r="AP24" s="109">
        <v>62833.044000000009</v>
      </c>
      <c r="AQ24" s="49"/>
      <c r="AR24" s="50">
        <v>15.650829342677286</v>
      </c>
      <c r="AS24" s="109">
        <v>60000</v>
      </c>
      <c r="AT24" s="49"/>
      <c r="AU24" s="69">
        <v>11.880324546241361</v>
      </c>
      <c r="AV24" s="63"/>
      <c r="AW24" s="637">
        <v>-2833.044000000009</v>
      </c>
      <c r="BB24" s="4054" t="s">
        <v>525</v>
      </c>
      <c r="BC24" s="4055"/>
      <c r="BD24" s="4055"/>
      <c r="BE24" s="4056"/>
      <c r="BF24" s="13"/>
      <c r="BH24" s="46"/>
      <c r="BI24" s="70" t="s">
        <v>15</v>
      </c>
      <c r="BJ24" s="48"/>
      <c r="BK24" s="109">
        <v>60000</v>
      </c>
      <c r="BL24" s="49"/>
      <c r="BM24" s="69">
        <v>11.880324546241361</v>
      </c>
      <c r="BN24" s="615"/>
      <c r="BO24" s="615"/>
      <c r="BP24" s="615"/>
      <c r="BQ24" s="645"/>
      <c r="BR24" s="615"/>
      <c r="BS24" s="615"/>
      <c r="BT24" s="615"/>
      <c r="BU24" s="615"/>
      <c r="BV24" s="615"/>
      <c r="BW24" s="615"/>
      <c r="BX24" s="615"/>
    </row>
    <row r="25" spans="1:76" ht="20.25" customHeight="1" thickBot="1">
      <c r="A25" s="51"/>
      <c r="B25" s="181" t="s">
        <v>16</v>
      </c>
      <c r="C25" s="71"/>
      <c r="D25" s="109">
        <v>141811.56400000001</v>
      </c>
      <c r="E25" s="44"/>
      <c r="F25" s="53">
        <v>35.323270140822046</v>
      </c>
      <c r="G25" s="109">
        <v>143690.15599999999</v>
      </c>
      <c r="H25" s="44"/>
      <c r="I25" s="66">
        <v>28.451428123000838</v>
      </c>
      <c r="J25" s="67" t="s">
        <v>17</v>
      </c>
      <c r="K25" s="637">
        <v>1878.5919999999751</v>
      </c>
      <c r="M25" s="4063"/>
      <c r="N25" s="4064"/>
      <c r="O25" s="13"/>
      <c r="P25" s="4046" t="s">
        <v>470</v>
      </c>
      <c r="Q25" s="4047"/>
      <c r="R25" s="4047"/>
      <c r="S25" s="4048"/>
      <c r="T25" s="13"/>
      <c r="V25" s="51"/>
      <c r="W25" s="181" t="s">
        <v>16</v>
      </c>
      <c r="X25" s="71"/>
      <c r="Y25" s="109">
        <v>143690.15599999999</v>
      </c>
      <c r="Z25" s="1762"/>
      <c r="AA25" s="1745">
        <v>28.451428123000838</v>
      </c>
      <c r="AB25" s="615"/>
      <c r="AC25" s="615"/>
      <c r="AD25" s="615"/>
      <c r="AE25" s="645">
        <v>600993.68263966474</v>
      </c>
      <c r="AF25" s="645" t="s">
        <v>525</v>
      </c>
      <c r="AG25" s="615">
        <v>52</v>
      </c>
      <c r="AH25" s="615"/>
      <c r="AI25" s="615"/>
      <c r="AJ25" s="615"/>
      <c r="AK25" s="615"/>
      <c r="AL25" s="925"/>
      <c r="AM25" s="51"/>
      <c r="AN25" s="181" t="s">
        <v>16</v>
      </c>
      <c r="AO25" s="71"/>
      <c r="AP25" s="109">
        <v>141811.56400000001</v>
      </c>
      <c r="AQ25" s="44"/>
      <c r="AR25" s="53">
        <v>35.323270140822046</v>
      </c>
      <c r="AS25" s="109">
        <v>143690.15599999999</v>
      </c>
      <c r="AT25" s="44"/>
      <c r="AU25" s="66">
        <v>28.451428123000838</v>
      </c>
      <c r="AV25" s="67" t="s">
        <v>17</v>
      </c>
      <c r="AW25" s="637">
        <v>1878.5919999999751</v>
      </c>
      <c r="BB25" s="4046" t="s">
        <v>470</v>
      </c>
      <c r="BC25" s="4047"/>
      <c r="BD25" s="4047"/>
      <c r="BE25" s="4048"/>
      <c r="BF25" s="13"/>
      <c r="BH25" s="51"/>
      <c r="BI25" s="181" t="s">
        <v>16</v>
      </c>
      <c r="BJ25" s="71"/>
      <c r="BK25" s="109">
        <v>143690.15599999999</v>
      </c>
      <c r="BL25" s="44"/>
      <c r="BM25" s="66">
        <v>28.451428123000838</v>
      </c>
      <c r="BQ25" s="384">
        <v>600993.68263966474</v>
      </c>
      <c r="BR25" s="384" t="s">
        <v>525</v>
      </c>
      <c r="BX25" s="615"/>
    </row>
    <row r="26" spans="1:76" ht="20.25" customHeight="1">
      <c r="A26" s="282"/>
      <c r="B26" s="298" t="s">
        <v>18</v>
      </c>
      <c r="C26" s="284"/>
      <c r="D26" s="487">
        <v>84996.643999999971</v>
      </c>
      <c r="E26" s="286"/>
      <c r="F26" s="287">
        <v>21.171471016815527</v>
      </c>
      <c r="G26" s="487">
        <v>96982.2</v>
      </c>
      <c r="H26" s="286"/>
      <c r="I26" s="288">
        <v>19.203000186808147</v>
      </c>
      <c r="J26" s="289" t="s">
        <v>8</v>
      </c>
      <c r="K26" s="638">
        <v>11985.556000000026</v>
      </c>
      <c r="L26" s="640"/>
      <c r="M26" s="4049" t="s">
        <v>1439</v>
      </c>
      <c r="N26" s="4050"/>
      <c r="O26" s="13"/>
      <c r="P26" s="611"/>
      <c r="S26" s="185"/>
      <c r="T26" s="13"/>
      <c r="V26" s="282"/>
      <c r="W26" s="298" t="s">
        <v>18</v>
      </c>
      <c r="X26" s="284"/>
      <c r="Y26" s="487">
        <v>96982.200000000012</v>
      </c>
      <c r="Z26" s="286"/>
      <c r="AA26" s="1768">
        <v>19.203000186808151</v>
      </c>
      <c r="AB26" s="615"/>
      <c r="AC26" s="615"/>
      <c r="AD26" s="615"/>
      <c r="AE26" s="615">
        <v>12</v>
      </c>
      <c r="AF26" s="615">
        <v>12</v>
      </c>
      <c r="AG26" s="615">
        <v>12</v>
      </c>
      <c r="AH26" s="615">
        <v>12</v>
      </c>
      <c r="AI26" s="615">
        <v>12</v>
      </c>
      <c r="AJ26" s="615">
        <v>9</v>
      </c>
      <c r="AK26" s="615">
        <v>69</v>
      </c>
      <c r="AL26" s="925"/>
      <c r="AM26" s="282"/>
      <c r="AN26" s="298" t="s">
        <v>18</v>
      </c>
      <c r="AO26" s="284"/>
      <c r="AP26" s="285">
        <v>84996.643999999971</v>
      </c>
      <c r="AQ26" s="286"/>
      <c r="AR26" s="287">
        <v>21.171471016815527</v>
      </c>
      <c r="AS26" s="487">
        <v>96982.200000000012</v>
      </c>
      <c r="AT26" s="286"/>
      <c r="AU26" s="1685">
        <v>19.203000186808151</v>
      </c>
      <c r="AV26" s="289" t="s">
        <v>8</v>
      </c>
      <c r="AW26" s="638">
        <v>11985.556000000041</v>
      </c>
      <c r="BB26" s="611"/>
      <c r="BE26" s="185"/>
      <c r="BF26" s="13"/>
      <c r="BH26" s="282"/>
      <c r="BI26" s="298" t="s">
        <v>18</v>
      </c>
      <c r="BJ26" s="284"/>
      <c r="BK26" s="487">
        <v>96982.200000000012</v>
      </c>
      <c r="BL26" s="286"/>
      <c r="BM26" s="1685">
        <v>19.203000186808151</v>
      </c>
      <c r="BP26" s="615"/>
      <c r="BQ26" s="615">
        <v>0</v>
      </c>
      <c r="BR26" s="615">
        <v>0</v>
      </c>
      <c r="BS26" s="615">
        <v>0</v>
      </c>
      <c r="BT26" s="615">
        <v>0</v>
      </c>
      <c r="BU26" s="615">
        <v>0</v>
      </c>
      <c r="BV26" s="615">
        <v>0</v>
      </c>
      <c r="BW26" s="615">
        <v>0</v>
      </c>
      <c r="BX26" s="615"/>
    </row>
    <row r="27" spans="1:76" ht="20.25" customHeight="1">
      <c r="A27" s="1301" t="s">
        <v>525</v>
      </c>
      <c r="B27" s="603" t="s">
        <v>36</v>
      </c>
      <c r="C27" s="73"/>
      <c r="D27" s="109">
        <v>0</v>
      </c>
      <c r="E27" s="49">
        <v>0</v>
      </c>
      <c r="F27" s="50" t="s">
        <v>525</v>
      </c>
      <c r="G27" s="110">
        <v>0</v>
      </c>
      <c r="H27" s="49">
        <v>0</v>
      </c>
      <c r="I27" s="69">
        <v>0</v>
      </c>
      <c r="J27" s="2408" t="s">
        <v>1057</v>
      </c>
      <c r="K27" s="637" t="s">
        <v>525</v>
      </c>
      <c r="L27" s="628" t="s">
        <v>1260</v>
      </c>
      <c r="M27" s="4049"/>
      <c r="N27" s="4050"/>
      <c r="O27" s="2443" t="s">
        <v>1057</v>
      </c>
      <c r="P27" s="611"/>
      <c r="S27" s="185"/>
      <c r="T27" s="13"/>
      <c r="V27" s="46"/>
      <c r="W27" s="47" t="s">
        <v>36</v>
      </c>
      <c r="X27" s="73"/>
      <c r="Y27" s="109">
        <v>0</v>
      </c>
      <c r="Z27" s="1763"/>
      <c r="AA27" s="1745"/>
      <c r="AB27" s="615"/>
      <c r="AC27" s="615"/>
      <c r="AD27" s="615"/>
      <c r="AE27" s="615" t="s">
        <v>461</v>
      </c>
      <c r="AF27" s="615" t="s">
        <v>462</v>
      </c>
      <c r="AG27" s="615" t="s">
        <v>463</v>
      </c>
      <c r="AH27" s="615" t="s">
        <v>464</v>
      </c>
      <c r="AI27" s="615" t="s">
        <v>465</v>
      </c>
      <c r="AJ27" s="615" t="s">
        <v>466</v>
      </c>
      <c r="AK27" s="615"/>
      <c r="AL27" s="925"/>
      <c r="AM27" s="46"/>
      <c r="AN27" s="603">
        <v>0</v>
      </c>
      <c r="AO27" s="73"/>
      <c r="AP27" s="110">
        <v>0</v>
      </c>
      <c r="AQ27" s="49"/>
      <c r="AR27" s="50">
        <v>0</v>
      </c>
      <c r="AS27" s="110">
        <v>0</v>
      </c>
      <c r="AT27" s="49"/>
      <c r="AU27" s="69"/>
      <c r="AV27" s="63"/>
      <c r="AW27" s="637">
        <v>0</v>
      </c>
      <c r="BB27" s="611"/>
      <c r="BE27" s="185"/>
      <c r="BF27" s="13"/>
      <c r="BH27" s="46"/>
      <c r="BI27" s="47" t="s">
        <v>36</v>
      </c>
      <c r="BJ27" s="73"/>
      <c r="BK27" s="109">
        <v>0</v>
      </c>
      <c r="BL27" s="1763"/>
      <c r="BM27" s="1745"/>
      <c r="BN27" s="1859"/>
      <c r="BO27" s="1859"/>
      <c r="BP27" s="615"/>
      <c r="BQ27" s="615" t="s">
        <v>461</v>
      </c>
      <c r="BR27" s="615" t="s">
        <v>462</v>
      </c>
      <c r="BS27" s="615" t="s">
        <v>463</v>
      </c>
      <c r="BT27" s="615" t="s">
        <v>464</v>
      </c>
      <c r="BU27" s="615" t="s">
        <v>465</v>
      </c>
      <c r="BV27" s="615" t="s">
        <v>466</v>
      </c>
      <c r="BW27" s="615"/>
      <c r="BX27" s="615"/>
    </row>
    <row r="28" spans="1:76" ht="20.25" customHeight="1">
      <c r="A28" s="1301" t="s">
        <v>844</v>
      </c>
      <c r="B28" s="603" t="s">
        <v>37</v>
      </c>
      <c r="C28" s="73"/>
      <c r="D28" s="109">
        <v>1500</v>
      </c>
      <c r="E28" s="49"/>
      <c r="F28" s="50">
        <v>0.37362894616431325</v>
      </c>
      <c r="G28" s="110">
        <v>0</v>
      </c>
      <c r="H28" s="49">
        <v>0</v>
      </c>
      <c r="I28" s="69">
        <v>0</v>
      </c>
      <c r="J28" s="2408" t="s">
        <v>1057</v>
      </c>
      <c r="K28" s="637">
        <v>-1500</v>
      </c>
      <c r="L28" s="628" t="s">
        <v>1260</v>
      </c>
      <c r="M28" s="4049"/>
      <c r="N28" s="4050"/>
      <c r="O28" s="2443" t="s">
        <v>1057</v>
      </c>
      <c r="P28" s="611"/>
      <c r="S28" s="185"/>
      <c r="T28" s="13"/>
      <c r="V28" s="46"/>
      <c r="W28" s="47" t="s">
        <v>37</v>
      </c>
      <c r="X28" s="73"/>
      <c r="Y28" s="109">
        <v>0</v>
      </c>
      <c r="Z28" s="1763"/>
      <c r="AA28" s="1745"/>
      <c r="AB28" s="615"/>
      <c r="AC28" s="615"/>
      <c r="AD28" s="615"/>
      <c r="AE28" s="646">
        <v>2010.0123165206176</v>
      </c>
      <c r="AF28" s="646">
        <v>2010.0123165206176</v>
      </c>
      <c r="AG28" s="646">
        <v>2010.0123165206176</v>
      </c>
      <c r="AH28" s="646">
        <v>2010.0123165206176</v>
      </c>
      <c r="AI28" s="646">
        <v>2010.0123165206176</v>
      </c>
      <c r="AJ28" s="646">
        <v>1507.5092373904631</v>
      </c>
      <c r="AK28" s="615"/>
      <c r="AL28" s="925"/>
      <c r="AM28" s="46"/>
      <c r="AN28" s="603">
        <v>0</v>
      </c>
      <c r="AO28" s="73"/>
      <c r="AP28" s="110">
        <v>1500</v>
      </c>
      <c r="AQ28" s="49"/>
      <c r="AR28" s="50">
        <v>0.37362894616431325</v>
      </c>
      <c r="AS28" s="110">
        <v>0</v>
      </c>
      <c r="AT28" s="49"/>
      <c r="AU28" s="69"/>
      <c r="AV28" s="63"/>
      <c r="AW28" s="637">
        <v>-1500</v>
      </c>
      <c r="BB28" s="611"/>
      <c r="BE28" s="185"/>
      <c r="BF28" s="13"/>
      <c r="BH28" s="46"/>
      <c r="BI28" s="47" t="s">
        <v>37</v>
      </c>
      <c r="BJ28" s="73"/>
      <c r="BK28" s="109">
        <v>0</v>
      </c>
      <c r="BL28" s="1763"/>
      <c r="BM28" s="1745"/>
      <c r="BN28" s="1859"/>
      <c r="BO28" s="1859"/>
      <c r="BP28" s="615" t="s">
        <v>27</v>
      </c>
      <c r="BQ28" s="646">
        <v>0</v>
      </c>
      <c r="BR28" s="646">
        <v>0</v>
      </c>
      <c r="BS28" s="646">
        <v>0</v>
      </c>
      <c r="BT28" s="646">
        <v>0</v>
      </c>
      <c r="BU28" s="646">
        <v>0</v>
      </c>
      <c r="BV28" s="646">
        <v>0</v>
      </c>
      <c r="BW28" s="615"/>
      <c r="BX28" s="615"/>
    </row>
    <row r="29" spans="1:76" ht="20.25" customHeight="1">
      <c r="A29" s="1301" t="s">
        <v>1440</v>
      </c>
      <c r="B29" s="604" t="s">
        <v>39</v>
      </c>
      <c r="C29" s="73"/>
      <c r="D29" s="109">
        <v>7400.4000000000005</v>
      </c>
      <c r="E29" s="49">
        <v>2</v>
      </c>
      <c r="F29" s="50">
        <v>1.8433357687962559</v>
      </c>
      <c r="G29" s="110">
        <v>7400.4</v>
      </c>
      <c r="H29" s="49">
        <v>0</v>
      </c>
      <c r="I29" s="69">
        <v>1.4653192295334092</v>
      </c>
      <c r="J29" s="2408" t="s">
        <v>1057</v>
      </c>
      <c r="K29" s="637">
        <v>-9.0949470177292824E-13</v>
      </c>
      <c r="L29" s="628" t="s">
        <v>1260</v>
      </c>
      <c r="M29" s="4077" t="s">
        <v>1441</v>
      </c>
      <c r="N29" s="4078"/>
      <c r="O29" s="2443" t="s">
        <v>1057</v>
      </c>
      <c r="P29" s="611"/>
      <c r="S29" s="185"/>
      <c r="V29" s="46"/>
      <c r="W29" s="47" t="s">
        <v>39</v>
      </c>
      <c r="X29" s="73"/>
      <c r="Y29" s="109">
        <v>0</v>
      </c>
      <c r="Z29" s="1762"/>
      <c r="AA29" s="1745"/>
      <c r="AB29" s="615"/>
      <c r="AC29" s="615"/>
      <c r="AD29" s="615"/>
      <c r="AE29" s="646">
        <v>0</v>
      </c>
      <c r="AF29" s="646">
        <v>0</v>
      </c>
      <c r="AG29" s="646">
        <v>0</v>
      </c>
      <c r="AH29" s="646">
        <v>0</v>
      </c>
      <c r="AI29" s="646">
        <v>0</v>
      </c>
      <c r="AJ29" s="646">
        <v>0</v>
      </c>
      <c r="AK29" s="615"/>
      <c r="AL29" s="925"/>
      <c r="AM29" s="46"/>
      <c r="AN29" s="604" t="s">
        <v>39</v>
      </c>
      <c r="AO29" s="73"/>
      <c r="AP29" s="110">
        <v>7400.4000000000005</v>
      </c>
      <c r="AQ29" s="49"/>
      <c r="AR29" s="50">
        <v>1.8433357687962559</v>
      </c>
      <c r="AS29" s="110">
        <v>0</v>
      </c>
      <c r="AT29" s="49"/>
      <c r="AU29" s="69"/>
      <c r="AV29" s="63"/>
      <c r="AW29" s="637">
        <v>-7400.4000000000005</v>
      </c>
      <c r="BB29" s="611"/>
      <c r="BE29" s="185"/>
      <c r="BH29" s="46"/>
      <c r="BI29" s="47" t="s">
        <v>39</v>
      </c>
      <c r="BJ29" s="73"/>
      <c r="BK29" s="109">
        <v>0</v>
      </c>
      <c r="BL29" s="1762"/>
      <c r="BM29" s="1745"/>
      <c r="BN29" s="1859"/>
      <c r="BO29" s="1859"/>
      <c r="BP29" s="615" t="s">
        <v>525</v>
      </c>
      <c r="BQ29" s="646">
        <v>0</v>
      </c>
      <c r="BR29" s="646">
        <v>0</v>
      </c>
      <c r="BS29" s="646">
        <v>0</v>
      </c>
      <c r="BT29" s="646">
        <v>0</v>
      </c>
      <c r="BU29" s="646">
        <v>0</v>
      </c>
      <c r="BV29" s="646">
        <v>0</v>
      </c>
      <c r="BW29" s="615"/>
      <c r="BX29" s="615"/>
    </row>
    <row r="30" spans="1:76" ht="20.25" customHeight="1">
      <c r="A30" s="282"/>
      <c r="B30" s="283" t="s">
        <v>40</v>
      </c>
      <c r="C30" s="284"/>
      <c r="D30" s="487">
        <v>93897.043999999965</v>
      </c>
      <c r="E30" s="286"/>
      <c r="F30" s="287">
        <v>23.388435731776095</v>
      </c>
      <c r="G30" s="487">
        <v>96982.2</v>
      </c>
      <c r="H30" s="286"/>
      <c r="I30" s="288">
        <v>19.203000186808147</v>
      </c>
      <c r="J30" s="289" t="s">
        <v>8</v>
      </c>
      <c r="K30" s="638">
        <v>3085.1560000000318</v>
      </c>
      <c r="L30" s="640"/>
      <c r="M30" s="4077"/>
      <c r="N30" s="4078"/>
      <c r="O30" s="13"/>
      <c r="P30" s="611"/>
      <c r="S30" s="185"/>
      <c r="V30" s="282"/>
      <c r="W30" s="283" t="s">
        <v>40</v>
      </c>
      <c r="X30" s="284"/>
      <c r="Y30" s="487">
        <v>96982.200000000012</v>
      </c>
      <c r="Z30" s="286"/>
      <c r="AA30" s="1768">
        <v>19.203000186808151</v>
      </c>
      <c r="AB30" s="615"/>
      <c r="AC30" s="615"/>
      <c r="AD30" s="615"/>
      <c r="AE30" s="615"/>
      <c r="AF30" s="615"/>
      <c r="AG30" s="615"/>
      <c r="AH30" s="615"/>
      <c r="AI30" s="615"/>
      <c r="AJ30" s="615"/>
      <c r="AK30" s="615"/>
      <c r="AL30" s="925"/>
      <c r="AM30" s="282"/>
      <c r="AN30" s="283" t="s">
        <v>40</v>
      </c>
      <c r="AO30" s="284"/>
      <c r="AP30" s="285">
        <v>93897.043999999965</v>
      </c>
      <c r="AQ30" s="286"/>
      <c r="AR30" s="287">
        <v>23.388435731776095</v>
      </c>
      <c r="AS30" s="487">
        <v>96982.200000000012</v>
      </c>
      <c r="AT30" s="286"/>
      <c r="AU30" s="1685">
        <v>19.203000186808151</v>
      </c>
      <c r="AV30" s="289" t="s">
        <v>8</v>
      </c>
      <c r="AW30" s="638">
        <v>3085.1560000000463</v>
      </c>
      <c r="BB30" s="611"/>
      <c r="BE30" s="185"/>
      <c r="BH30" s="282"/>
      <c r="BI30" s="283" t="s">
        <v>40</v>
      </c>
      <c r="BJ30" s="284"/>
      <c r="BK30" s="487">
        <v>96982.200000000012</v>
      </c>
      <c r="BL30" s="286"/>
      <c r="BM30" s="1685">
        <v>19.203000186808151</v>
      </c>
      <c r="BP30" s="615"/>
      <c r="BQ30" s="615"/>
      <c r="BR30" s="615"/>
      <c r="BS30" s="615"/>
      <c r="BT30" s="615"/>
      <c r="BU30" s="615"/>
      <c r="BV30" s="615"/>
      <c r="BW30" s="615"/>
      <c r="BX30" s="615"/>
    </row>
    <row r="31" spans="1:76" ht="20.25" customHeight="1">
      <c r="A31" s="46"/>
      <c r="B31" s="47" t="s">
        <v>14</v>
      </c>
      <c r="C31" s="73"/>
      <c r="D31" s="110">
        <v>11272.763999999999</v>
      </c>
      <c r="E31" s="49"/>
      <c r="F31" s="50">
        <v>2.8078872891193387</v>
      </c>
      <c r="G31" s="110">
        <v>11300</v>
      </c>
      <c r="H31" s="49"/>
      <c r="I31" s="69"/>
      <c r="J31" s="74" t="s">
        <v>41</v>
      </c>
      <c r="K31" s="637">
        <v>27.236000000000786</v>
      </c>
      <c r="L31" s="640"/>
      <c r="M31" s="4079"/>
      <c r="N31" s="4080"/>
      <c r="O31" s="13"/>
      <c r="P31" s="611"/>
      <c r="S31" s="185"/>
      <c r="V31" s="46"/>
      <c r="W31" s="47" t="s">
        <v>14</v>
      </c>
      <c r="X31" s="73"/>
      <c r="Y31" s="109">
        <v>11300</v>
      </c>
      <c r="Z31" s="1763"/>
      <c r="AA31" s="1745"/>
      <c r="AB31" s="615"/>
      <c r="AC31" s="615"/>
      <c r="AD31" s="615"/>
      <c r="AE31" s="2544">
        <v>600993.68263966474</v>
      </c>
      <c r="AF31" s="645" t="s">
        <v>525</v>
      </c>
      <c r="AG31" s="615"/>
      <c r="AH31" s="615"/>
      <c r="AI31" s="615"/>
      <c r="AJ31" s="615"/>
      <c r="AK31" s="615"/>
      <c r="AL31" s="925"/>
      <c r="AM31" s="46"/>
      <c r="AN31" s="47" t="s">
        <v>14</v>
      </c>
      <c r="AO31" s="73"/>
      <c r="AP31" s="110">
        <v>11272.763999999999</v>
      </c>
      <c r="AQ31" s="49"/>
      <c r="AR31" s="50">
        <v>2.8078872891193387</v>
      </c>
      <c r="AS31" s="109">
        <v>11300</v>
      </c>
      <c r="AT31" s="49"/>
      <c r="AU31" s="69"/>
      <c r="AV31" s="74" t="s">
        <v>41</v>
      </c>
      <c r="AW31" s="637">
        <v>27.236000000000786</v>
      </c>
      <c r="BB31" s="611"/>
      <c r="BE31" s="185"/>
      <c r="BH31" s="46"/>
      <c r="BI31" s="47" t="s">
        <v>14</v>
      </c>
      <c r="BJ31" s="73"/>
      <c r="BK31" s="109">
        <v>11300</v>
      </c>
      <c r="BL31" s="49"/>
      <c r="BM31" s="69">
        <v>2.2374611228754562</v>
      </c>
      <c r="BP31" s="615"/>
      <c r="BQ31" s="645">
        <v>600993.68263966474</v>
      </c>
      <c r="BR31" s="645" t="s">
        <v>525</v>
      </c>
      <c r="BS31" s="615"/>
      <c r="BT31" s="615"/>
      <c r="BU31" s="615"/>
      <c r="BV31" s="615"/>
      <c r="BW31" s="615"/>
      <c r="BX31" s="615"/>
    </row>
    <row r="32" spans="1:76" ht="20.25" customHeight="1">
      <c r="A32" s="51"/>
      <c r="B32" s="42"/>
      <c r="C32" s="71"/>
      <c r="D32" s="110" t="s">
        <v>525</v>
      </c>
      <c r="E32" s="44"/>
      <c r="F32" s="53" t="s">
        <v>525</v>
      </c>
      <c r="G32" s="109"/>
      <c r="H32" s="44"/>
      <c r="I32" s="66"/>
      <c r="J32" s="67"/>
      <c r="K32" s="637" t="s">
        <v>525</v>
      </c>
      <c r="L32" s="13"/>
      <c r="M32" s="2409"/>
      <c r="N32" s="2409"/>
      <c r="O32" s="13"/>
      <c r="P32" s="4081" t="s">
        <v>469</v>
      </c>
      <c r="Q32" s="4082"/>
      <c r="R32" s="4082"/>
      <c r="S32" s="4083"/>
      <c r="V32" s="51"/>
      <c r="W32" s="42"/>
      <c r="X32" s="71"/>
      <c r="Y32" s="109" t="s">
        <v>525</v>
      </c>
      <c r="Z32" s="1762"/>
      <c r="AA32" s="1745"/>
      <c r="AB32" s="615"/>
      <c r="AC32" s="615"/>
      <c r="AD32" s="615"/>
      <c r="AE32" s="615">
        <v>36</v>
      </c>
      <c r="AF32" s="615">
        <v>31</v>
      </c>
      <c r="AG32" s="615">
        <v>58</v>
      </c>
      <c r="AH32" s="615">
        <v>83</v>
      </c>
      <c r="AI32" s="615">
        <v>89</v>
      </c>
      <c r="AJ32" s="615">
        <v>87</v>
      </c>
      <c r="AK32" s="615">
        <v>384</v>
      </c>
      <c r="AL32" s="925"/>
      <c r="AM32" s="51"/>
      <c r="AN32" s="42"/>
      <c r="AO32" s="71"/>
      <c r="AP32" s="110" t="s">
        <v>525</v>
      </c>
      <c r="AQ32" s="44"/>
      <c r="AR32" s="53" t="s">
        <v>525</v>
      </c>
      <c r="AS32" s="109"/>
      <c r="AT32" s="44"/>
      <c r="AU32" s="66"/>
      <c r="AV32" s="67"/>
      <c r="AW32" s="637" t="s">
        <v>525</v>
      </c>
      <c r="BB32" s="4081" t="s">
        <v>469</v>
      </c>
      <c r="BC32" s="4082"/>
      <c r="BD32" s="4082"/>
      <c r="BE32" s="4083"/>
      <c r="BH32" s="51"/>
      <c r="BI32" s="42"/>
      <c r="BJ32" s="71"/>
      <c r="BK32" s="109" t="s">
        <v>525</v>
      </c>
      <c r="BL32" s="44"/>
      <c r="BM32" s="66" t="s">
        <v>525</v>
      </c>
      <c r="BP32" s="615"/>
      <c r="BQ32" s="615" t="s">
        <v>525</v>
      </c>
      <c r="BR32" s="615" t="s">
        <v>525</v>
      </c>
      <c r="BS32" s="615" t="s">
        <v>525</v>
      </c>
      <c r="BT32" s="615" t="s">
        <v>525</v>
      </c>
      <c r="BU32" s="615" t="s">
        <v>525</v>
      </c>
      <c r="BV32" s="615">
        <v>0</v>
      </c>
      <c r="BW32" s="615">
        <v>0</v>
      </c>
      <c r="BX32" s="615"/>
    </row>
    <row r="33" spans="1:76" ht="20.25" customHeight="1">
      <c r="A33" s="282"/>
      <c r="B33" s="283" t="s">
        <v>42</v>
      </c>
      <c r="C33" s="284"/>
      <c r="D33" s="487">
        <v>105169.80799999996</v>
      </c>
      <c r="E33" s="286"/>
      <c r="F33" s="287">
        <v>26.196323020895427</v>
      </c>
      <c r="G33" s="487">
        <v>108282.2</v>
      </c>
      <c r="H33" s="286"/>
      <c r="I33" s="288">
        <v>21.440461309683602</v>
      </c>
      <c r="J33" s="289" t="s">
        <v>8</v>
      </c>
      <c r="K33" s="638">
        <v>3112.3920000000362</v>
      </c>
      <c r="L33" s="2458">
        <v>90000</v>
      </c>
      <c r="M33" s="2457"/>
      <c r="O33" s="13"/>
      <c r="P33" s="611"/>
      <c r="S33" s="185"/>
      <c r="V33" s="282"/>
      <c r="W33" s="283" t="s">
        <v>42</v>
      </c>
      <c r="X33" s="284"/>
      <c r="Y33" s="487">
        <v>108282.20000000001</v>
      </c>
      <c r="Z33" s="286"/>
      <c r="AA33" s="1768">
        <v>21.440461309683606</v>
      </c>
      <c r="AB33" s="615"/>
      <c r="AC33" s="615"/>
      <c r="AD33" s="615"/>
      <c r="AE33" s="615" t="s">
        <v>461</v>
      </c>
      <c r="AF33" s="615" t="s">
        <v>462</v>
      </c>
      <c r="AG33" s="615" t="s">
        <v>463</v>
      </c>
      <c r="AH33" s="615" t="s">
        <v>464</v>
      </c>
      <c r="AI33" s="615" t="s">
        <v>465</v>
      </c>
      <c r="AJ33" s="615" t="s">
        <v>466</v>
      </c>
      <c r="AK33" s="615"/>
      <c r="AL33" s="925"/>
      <c r="AM33" s="282"/>
      <c r="AN33" s="283" t="s">
        <v>42</v>
      </c>
      <c r="AO33" s="284"/>
      <c r="AP33" s="285">
        <v>105169.80799999996</v>
      </c>
      <c r="AQ33" s="286"/>
      <c r="AR33" s="287">
        <v>26.196323020895427</v>
      </c>
      <c r="AS33" s="487">
        <v>108282.20000000001</v>
      </c>
      <c r="AT33" s="286"/>
      <c r="AU33" s="1685">
        <v>21.440461309683606</v>
      </c>
      <c r="AV33" s="289" t="s">
        <v>8</v>
      </c>
      <c r="AW33" s="638">
        <v>3112.3920000000508</v>
      </c>
      <c r="BB33" s="611"/>
      <c r="BE33" s="185"/>
      <c r="BH33" s="282"/>
      <c r="BI33" s="283" t="s">
        <v>42</v>
      </c>
      <c r="BJ33" s="284"/>
      <c r="BK33" s="487">
        <v>108282.20000000001</v>
      </c>
      <c r="BL33" s="286"/>
      <c r="BM33" s="1685">
        <v>21.440461309683606</v>
      </c>
      <c r="BP33" s="615"/>
      <c r="BQ33" s="615" t="s">
        <v>461</v>
      </c>
      <c r="BR33" s="615" t="s">
        <v>462</v>
      </c>
      <c r="BS33" s="615" t="s">
        <v>463</v>
      </c>
      <c r="BT33" s="615" t="s">
        <v>464</v>
      </c>
      <c r="BU33" s="615" t="s">
        <v>465</v>
      </c>
      <c r="BV33" s="615" t="s">
        <v>466</v>
      </c>
      <c r="BW33" s="615"/>
      <c r="BX33" s="615"/>
    </row>
    <row r="34" spans="1:76" ht="20.25" customHeight="1">
      <c r="A34" s="46"/>
      <c r="B34" s="104" t="s">
        <v>1442</v>
      </c>
      <c r="C34" s="73"/>
      <c r="D34" s="110">
        <v>103861.212</v>
      </c>
      <c r="E34" s="49"/>
      <c r="F34" s="50">
        <v>25.87037012460555</v>
      </c>
      <c r="G34" s="110">
        <v>30778</v>
      </c>
      <c r="H34" s="49"/>
      <c r="I34" s="125">
        <v>6.0942104814036098</v>
      </c>
      <c r="J34" s="74" t="s">
        <v>17</v>
      </c>
      <c r="K34" s="637">
        <v>-73083.212</v>
      </c>
      <c r="L34" s="4084" t="s">
        <v>1443</v>
      </c>
      <c r="M34" s="4085"/>
      <c r="N34" s="4091" t="s">
        <v>525</v>
      </c>
      <c r="O34" s="13"/>
      <c r="P34" s="611"/>
      <c r="S34" s="185"/>
      <c r="V34" s="46"/>
      <c r="W34" s="104" t="s">
        <v>90</v>
      </c>
      <c r="X34" s="73"/>
      <c r="Y34" s="109">
        <v>30778</v>
      </c>
      <c r="Z34" s="1763"/>
      <c r="AA34" s="1745">
        <v>6.0942104814036098</v>
      </c>
      <c r="AB34" s="615"/>
      <c r="AC34" s="615"/>
      <c r="AD34" s="615" t="s">
        <v>27</v>
      </c>
      <c r="AE34" s="646">
        <v>1083.5222643743955</v>
      </c>
      <c r="AF34" s="646">
        <v>933.03306098906285</v>
      </c>
      <c r="AG34" s="646">
        <v>1745.6747592698596</v>
      </c>
      <c r="AH34" s="646">
        <v>2498.1207761965229</v>
      </c>
      <c r="AI34" s="646">
        <v>2678.7078202589223</v>
      </c>
      <c r="AJ34" s="646">
        <v>2618.512138904789</v>
      </c>
      <c r="AK34" s="615"/>
      <c r="AL34" s="925"/>
      <c r="AM34" s="46"/>
      <c r="AN34" s="104" t="s">
        <v>90</v>
      </c>
      <c r="AO34" s="73"/>
      <c r="AP34" s="110">
        <v>103861.212</v>
      </c>
      <c r="AQ34" s="49"/>
      <c r="AR34" s="50">
        <v>25.87037012460555</v>
      </c>
      <c r="AS34" s="109">
        <v>30778</v>
      </c>
      <c r="AT34" s="49"/>
      <c r="AU34" s="125">
        <v>6.0942104814036098</v>
      </c>
      <c r="AV34" s="74" t="s">
        <v>17</v>
      </c>
      <c r="AW34" s="637">
        <v>-73083.212</v>
      </c>
      <c r="BB34" s="611"/>
      <c r="BE34" s="185"/>
      <c r="BH34" s="46"/>
      <c r="BI34" s="104" t="s">
        <v>90</v>
      </c>
      <c r="BJ34" s="73"/>
      <c r="BK34" s="109">
        <v>30778</v>
      </c>
      <c r="BL34" s="49"/>
      <c r="BM34" s="125">
        <v>6.0942104814036098</v>
      </c>
      <c r="BP34" s="615" t="s">
        <v>27</v>
      </c>
      <c r="BQ34" s="646">
        <v>0</v>
      </c>
      <c r="BR34" s="646">
        <v>0</v>
      </c>
      <c r="BS34" s="646">
        <v>0</v>
      </c>
      <c r="BT34" s="646">
        <v>0</v>
      </c>
      <c r="BU34" s="646">
        <v>0</v>
      </c>
      <c r="BV34" s="646">
        <v>0</v>
      </c>
      <c r="BW34" s="615"/>
      <c r="BX34" s="615"/>
    </row>
    <row r="35" spans="1:76" ht="20.25" customHeight="1">
      <c r="A35" s="46"/>
      <c r="B35" s="124" t="s">
        <v>1444</v>
      </c>
      <c r="C35" s="73"/>
      <c r="D35" s="110">
        <v>0</v>
      </c>
      <c r="E35" s="49"/>
      <c r="F35" s="50" t="s">
        <v>525</v>
      </c>
      <c r="G35" s="110">
        <v>59222</v>
      </c>
      <c r="H35" s="49"/>
      <c r="I35" s="125">
        <v>11.72627633795843</v>
      </c>
      <c r="J35" s="74" t="s">
        <v>17</v>
      </c>
      <c r="K35" s="637">
        <v>59222</v>
      </c>
      <c r="L35" s="4089" t="s">
        <v>525</v>
      </c>
      <c r="M35" s="4090"/>
      <c r="N35" s="4091"/>
      <c r="O35" s="13"/>
      <c r="P35" s="611"/>
      <c r="S35" s="185"/>
      <c r="V35" s="46"/>
      <c r="W35" s="124" t="s">
        <v>95</v>
      </c>
      <c r="X35" s="73"/>
      <c r="Y35" s="109">
        <v>59222</v>
      </c>
      <c r="Z35" s="1763"/>
      <c r="AA35" s="1745">
        <v>11.72627633795843</v>
      </c>
      <c r="AB35" s="615"/>
      <c r="AC35" s="615"/>
      <c r="AD35" s="615" t="s">
        <v>525</v>
      </c>
      <c r="AE35" s="646">
        <v>0</v>
      </c>
      <c r="AF35" s="646">
        <v>0</v>
      </c>
      <c r="AG35" s="646">
        <v>0</v>
      </c>
      <c r="AH35" s="646">
        <v>0</v>
      </c>
      <c r="AI35" s="646">
        <v>0</v>
      </c>
      <c r="AJ35" s="646">
        <v>0</v>
      </c>
      <c r="AK35" s="615"/>
      <c r="AL35" s="925"/>
      <c r="AM35" s="46"/>
      <c r="AN35" s="124" t="s">
        <v>95</v>
      </c>
      <c r="AO35" s="73"/>
      <c r="AP35" s="110">
        <v>0</v>
      </c>
      <c r="AQ35" s="49"/>
      <c r="AR35" s="50">
        <v>0</v>
      </c>
      <c r="AS35" s="109">
        <v>59222</v>
      </c>
      <c r="AT35" s="49"/>
      <c r="AU35" s="125">
        <v>11.72627633795843</v>
      </c>
      <c r="AV35" s="74" t="s">
        <v>17</v>
      </c>
      <c r="AW35" s="637">
        <v>59222</v>
      </c>
      <c r="BB35" s="611"/>
      <c r="BE35" s="185"/>
      <c r="BH35" s="46"/>
      <c r="BI35" s="124" t="s">
        <v>95</v>
      </c>
      <c r="BJ35" s="73"/>
      <c r="BK35" s="109">
        <v>59222</v>
      </c>
      <c r="BL35" s="49"/>
      <c r="BM35" s="125">
        <v>11.72627633795843</v>
      </c>
      <c r="BP35" s="615" t="s">
        <v>525</v>
      </c>
      <c r="BQ35" s="646">
        <v>0</v>
      </c>
      <c r="BR35" s="646">
        <v>0</v>
      </c>
      <c r="BS35" s="646">
        <v>0</v>
      </c>
      <c r="BT35" s="646">
        <v>0</v>
      </c>
      <c r="BU35" s="646">
        <v>0</v>
      </c>
      <c r="BV35" s="646">
        <v>0</v>
      </c>
      <c r="BW35" s="615"/>
      <c r="BX35" s="615"/>
    </row>
    <row r="36" spans="1:76" ht="20.25" customHeight="1">
      <c r="A36" s="46"/>
      <c r="B36" s="171" t="s">
        <v>111</v>
      </c>
      <c r="C36" s="73"/>
      <c r="D36" s="110">
        <v>13282.2</v>
      </c>
      <c r="E36" s="49"/>
      <c r="F36" s="50">
        <v>3.3084095924957611</v>
      </c>
      <c r="G36" s="110">
        <v>13282.2</v>
      </c>
      <c r="H36" s="49"/>
      <c r="I36" s="125">
        <v>2.6299474448014499</v>
      </c>
      <c r="J36" s="74" t="s">
        <v>17</v>
      </c>
      <c r="K36" s="637">
        <v>0</v>
      </c>
      <c r="L36" s="4089"/>
      <c r="M36" s="4090"/>
      <c r="N36" s="4091"/>
      <c r="O36" s="13"/>
      <c r="P36" s="611"/>
      <c r="S36" s="185"/>
      <c r="V36" s="46"/>
      <c r="W36" s="171" t="s">
        <v>111</v>
      </c>
      <c r="X36" s="73"/>
      <c r="Y36" s="109">
        <v>13282.2</v>
      </c>
      <c r="Z36" s="1763"/>
      <c r="AA36" s="1745"/>
      <c r="AB36" s="615"/>
      <c r="AC36" s="615"/>
      <c r="AD36" s="615"/>
      <c r="AE36" s="615"/>
      <c r="AF36" s="615"/>
      <c r="AG36" s="615"/>
      <c r="AH36" s="615"/>
      <c r="AI36" s="615"/>
      <c r="AJ36" s="615"/>
      <c r="AK36" s="615"/>
      <c r="AL36" s="925"/>
      <c r="AM36" s="46"/>
      <c r="AN36" s="171" t="s">
        <v>111</v>
      </c>
      <c r="AO36" s="73"/>
      <c r="AP36" s="110">
        <v>13282.2</v>
      </c>
      <c r="AQ36" s="49"/>
      <c r="AR36" s="50">
        <v>3.3084095924957611</v>
      </c>
      <c r="AS36" s="109">
        <v>13282.2</v>
      </c>
      <c r="AT36" s="49"/>
      <c r="AU36" s="125">
        <v>2.6299474448014499</v>
      </c>
      <c r="AV36" s="74" t="s">
        <v>17</v>
      </c>
      <c r="AW36" s="637">
        <v>0</v>
      </c>
      <c r="BB36" s="611"/>
      <c r="BE36" s="185"/>
      <c r="BH36" s="46"/>
      <c r="BI36" s="171" t="s">
        <v>111</v>
      </c>
      <c r="BJ36" s="73"/>
      <c r="BK36" s="109">
        <v>13282.2</v>
      </c>
      <c r="BL36" s="49"/>
      <c r="BM36" s="125">
        <v>2.6299474448014499</v>
      </c>
      <c r="BQ36" s="615"/>
      <c r="BR36" s="615"/>
      <c r="BS36" s="615"/>
      <c r="BT36" s="615"/>
      <c r="BU36" s="615"/>
      <c r="BV36" s="615"/>
      <c r="BW36" s="615"/>
      <c r="BX36" s="615"/>
    </row>
    <row r="37" spans="1:76" ht="20.25" customHeight="1">
      <c r="A37" s="51"/>
      <c r="B37" s="42" t="s">
        <v>43</v>
      </c>
      <c r="C37" s="71"/>
      <c r="D37" s="110">
        <v>7250</v>
      </c>
      <c r="E37" s="44"/>
      <c r="F37" s="125">
        <v>1.8058732397941808</v>
      </c>
      <c r="G37" s="110">
        <v>0</v>
      </c>
      <c r="H37" s="44"/>
      <c r="I37" s="75"/>
      <c r="J37" s="67" t="s">
        <v>38</v>
      </c>
      <c r="K37" s="637">
        <v>-7250</v>
      </c>
      <c r="L37" s="4087" t="s">
        <v>449</v>
      </c>
      <c r="M37" s="4088"/>
      <c r="N37" s="13"/>
      <c r="O37" s="13"/>
      <c r="P37" s="611"/>
      <c r="S37" s="185"/>
      <c r="V37" s="51"/>
      <c r="W37" s="42" t="s">
        <v>43</v>
      </c>
      <c r="X37" s="71"/>
      <c r="Y37" s="109">
        <v>0</v>
      </c>
      <c r="Z37" s="1762"/>
      <c r="AA37" s="1745"/>
      <c r="AL37" s="925"/>
      <c r="AM37" s="51"/>
      <c r="AN37" s="42" t="s">
        <v>43</v>
      </c>
      <c r="AO37" s="71"/>
      <c r="AP37" s="110">
        <v>7250</v>
      </c>
      <c r="AQ37" s="44"/>
      <c r="AR37" s="125">
        <v>1.8058732397941808</v>
      </c>
      <c r="AS37" s="109">
        <v>0</v>
      </c>
      <c r="AT37" s="44"/>
      <c r="AU37" s="1686"/>
      <c r="AV37" s="67" t="s">
        <v>38</v>
      </c>
      <c r="AW37" s="637">
        <v>-7250</v>
      </c>
      <c r="BB37" s="611"/>
      <c r="BE37" s="185"/>
      <c r="BH37" s="51"/>
      <c r="BI37" s="42" t="s">
        <v>43</v>
      </c>
      <c r="BJ37" s="71"/>
      <c r="BK37" s="109">
        <v>0</v>
      </c>
      <c r="BL37" s="44"/>
      <c r="BM37" s="1686">
        <v>0</v>
      </c>
      <c r="BP37" s="615"/>
      <c r="BQ37" s="615"/>
      <c r="BR37" s="615"/>
      <c r="BS37" s="615"/>
      <c r="BT37" s="615"/>
      <c r="BU37" s="615"/>
      <c r="BV37" s="615"/>
      <c r="BW37" s="615"/>
      <c r="BX37" s="615"/>
    </row>
    <row r="38" spans="1:76" ht="30.6">
      <c r="A38" s="290"/>
      <c r="B38" s="300" t="s">
        <v>773</v>
      </c>
      <c r="C38" s="301"/>
      <c r="D38" s="487">
        <v>-4723.6040000000394</v>
      </c>
      <c r="E38" s="286"/>
      <c r="F38" s="303">
        <v>-1.1765834564116997</v>
      </c>
      <c r="G38" s="487">
        <v>5000</v>
      </c>
      <c r="H38" s="286"/>
      <c r="I38" s="288">
        <v>0.99002704552011334</v>
      </c>
      <c r="J38" s="404" t="s">
        <v>44</v>
      </c>
      <c r="K38" s="638">
        <v>9723.6040000000394</v>
      </c>
      <c r="L38" s="4087"/>
      <c r="M38" s="4088"/>
      <c r="N38" s="13"/>
      <c r="O38" s="13"/>
      <c r="P38" s="611"/>
      <c r="S38" s="185"/>
      <c r="V38" s="290"/>
      <c r="W38" s="300" t="s">
        <v>81</v>
      </c>
      <c r="X38" s="301"/>
      <c r="Y38" s="302">
        <v>5000.0000000000109</v>
      </c>
      <c r="Z38" s="294"/>
      <c r="AA38" s="1768">
        <v>0.99002704552011556</v>
      </c>
      <c r="AB38" s="4086" t="s">
        <v>525</v>
      </c>
      <c r="AC38" s="4086"/>
      <c r="AD38" s="4086"/>
      <c r="AE38" s="615"/>
      <c r="AF38" s="615"/>
      <c r="AG38" s="615"/>
      <c r="AH38" s="615"/>
      <c r="AI38" s="615"/>
      <c r="AJ38" s="615"/>
      <c r="AK38" s="615"/>
      <c r="AL38" s="925"/>
      <c r="AM38" s="290"/>
      <c r="AN38" s="300" t="s">
        <v>81</v>
      </c>
      <c r="AO38" s="301"/>
      <c r="AP38" s="487">
        <v>-4723.6040000000394</v>
      </c>
      <c r="AQ38" s="286"/>
      <c r="AR38" s="303">
        <v>-1.1765834564116997</v>
      </c>
      <c r="AS38" s="302">
        <v>5000.0000000000109</v>
      </c>
      <c r="AT38" s="286"/>
      <c r="AU38" s="1685">
        <v>0.99002704552011556</v>
      </c>
      <c r="AV38" s="404" t="s">
        <v>44</v>
      </c>
      <c r="AW38" s="638">
        <v>9723.6040000000503</v>
      </c>
      <c r="BB38" s="611"/>
      <c r="BE38" s="185"/>
      <c r="BH38" s="290"/>
      <c r="BI38" s="300" t="s">
        <v>81</v>
      </c>
      <c r="BJ38" s="301"/>
      <c r="BK38" s="302">
        <v>5000.0000000000109</v>
      </c>
      <c r="BL38" s="294"/>
      <c r="BM38" s="1685">
        <v>0.99002704552011556</v>
      </c>
      <c r="BN38" s="4092"/>
      <c r="BO38" s="4092"/>
      <c r="BP38" s="4092"/>
      <c r="BQ38" s="615"/>
      <c r="BR38" s="615"/>
      <c r="BS38" s="615"/>
      <c r="BT38" s="615"/>
      <c r="BU38" s="615"/>
      <c r="BV38" s="615"/>
      <c r="BW38" s="615"/>
      <c r="BX38" s="615"/>
    </row>
    <row r="39" spans="1:76">
      <c r="A39" s="306"/>
      <c r="B39" s="307"/>
      <c r="C39" s="308"/>
      <c r="D39" s="4093" t="s">
        <v>1031</v>
      </c>
      <c r="E39" s="4094"/>
      <c r="F39" s="4095"/>
      <c r="G39" s="311"/>
      <c r="H39" s="310"/>
      <c r="I39" s="405"/>
      <c r="J39" s="886" t="s">
        <v>1016</v>
      </c>
      <c r="K39" s="636"/>
      <c r="L39" s="4087"/>
      <c r="M39" s="4088"/>
      <c r="N39" s="13"/>
      <c r="O39" s="13"/>
      <c r="P39" s="611"/>
      <c r="S39" s="185"/>
      <c r="V39" s="306"/>
      <c r="W39" s="307"/>
      <c r="X39" s="308"/>
      <c r="Y39" s="309"/>
      <c r="Z39" s="310"/>
      <c r="AA39" s="303"/>
      <c r="AB39" s="4086"/>
      <c r="AC39" s="4086"/>
      <c r="AD39" s="4086"/>
      <c r="AE39" s="615"/>
      <c r="AF39" s="615"/>
      <c r="AG39" s="615"/>
      <c r="AH39" s="615"/>
      <c r="AI39" s="615"/>
      <c r="AJ39" s="615"/>
      <c r="AK39" s="615"/>
      <c r="AL39" s="925"/>
      <c r="AM39" s="306"/>
      <c r="AN39" s="307"/>
      <c r="AO39" s="308"/>
      <c r="AP39" s="4093" t="s">
        <v>1031</v>
      </c>
      <c r="AQ39" s="4094"/>
      <c r="AR39" s="4095"/>
      <c r="AS39" s="309"/>
      <c r="AT39" s="310"/>
      <c r="AU39" s="405"/>
      <c r="AV39" s="886" t="s">
        <v>1016</v>
      </c>
      <c r="AW39" s="636"/>
      <c r="BB39" s="611"/>
      <c r="BE39" s="185"/>
      <c r="BH39" s="306"/>
      <c r="BI39" s="307"/>
      <c r="BJ39" s="308"/>
      <c r="BK39" s="309"/>
      <c r="BL39" s="310"/>
      <c r="BM39" s="303"/>
      <c r="BN39" s="4092"/>
      <c r="BO39" s="4092"/>
      <c r="BP39" s="4092"/>
      <c r="BQ39" s="615"/>
      <c r="BR39" s="615"/>
      <c r="BS39" s="615"/>
      <c r="BT39" s="615"/>
      <c r="BU39" s="615"/>
      <c r="BV39" s="615"/>
      <c r="BW39" s="615"/>
      <c r="BX39" s="615"/>
    </row>
    <row r="40" spans="1:76" ht="13.8" thickBot="1">
      <c r="A40" s="13"/>
      <c r="B40" s="13"/>
      <c r="C40" s="32"/>
      <c r="D40" s="4100" t="s">
        <v>26</v>
      </c>
      <c r="E40" s="3958"/>
      <c r="F40" s="4101"/>
      <c r="G40" s="4100" t="s">
        <v>27</v>
      </c>
      <c r="H40" s="3958"/>
      <c r="I40" s="4101"/>
      <c r="J40" s="40"/>
      <c r="K40" s="13"/>
      <c r="L40" s="13"/>
      <c r="M40" s="13"/>
      <c r="N40" s="13"/>
      <c r="O40" s="13"/>
      <c r="P40" s="612"/>
      <c r="Q40" s="613"/>
      <c r="R40" s="613"/>
      <c r="S40" s="614"/>
      <c r="AB40" s="615"/>
      <c r="AC40" s="615"/>
      <c r="AD40" s="615"/>
      <c r="AE40" s="615"/>
      <c r="AF40" s="615"/>
      <c r="AG40" s="615"/>
      <c r="AH40" s="615"/>
      <c r="AI40" s="615"/>
      <c r="AJ40" s="615"/>
      <c r="AK40" s="615"/>
      <c r="AL40" s="925"/>
      <c r="AM40" s="615"/>
      <c r="AN40" s="615"/>
      <c r="BB40" s="612"/>
      <c r="BC40" s="613"/>
      <c r="BD40" s="613"/>
      <c r="BE40" s="614"/>
      <c r="BQ40" s="615"/>
      <c r="BR40" s="615"/>
      <c r="BS40" s="615"/>
      <c r="BT40" s="615"/>
      <c r="BU40" s="615"/>
      <c r="BV40" s="615"/>
      <c r="BW40" s="615"/>
      <c r="BX40" s="615"/>
    </row>
    <row r="41" spans="1:76">
      <c r="A41" s="13"/>
      <c r="B41" s="176"/>
      <c r="D41" s="79"/>
      <c r="K41" s="34"/>
      <c r="Y41" s="887"/>
      <c r="AL41" s="926"/>
      <c r="BK41" s="887"/>
    </row>
    <row r="42" spans="1:76">
      <c r="A42" s="13"/>
      <c r="B42" s="176"/>
      <c r="AL42" s="926"/>
    </row>
    <row r="43" spans="1:76">
      <c r="A43" s="4102" t="s">
        <v>1445</v>
      </c>
      <c r="B43" s="4102"/>
      <c r="C43" s="4102"/>
      <c r="D43" s="4102"/>
      <c r="E43" s="4102"/>
      <c r="F43" s="4102"/>
      <c r="G43" s="4102"/>
      <c r="H43" s="4102"/>
      <c r="I43" s="4102"/>
      <c r="J43" s="4102"/>
      <c r="K43" s="4102"/>
      <c r="L43" s="4102"/>
      <c r="M43" s="600"/>
      <c r="N43" s="600"/>
      <c r="O43" s="600"/>
      <c r="P43" s="600"/>
      <c r="Q43" s="600"/>
      <c r="R43" s="600"/>
      <c r="BB43" s="600"/>
      <c r="BC43" s="600"/>
      <c r="BD43" s="600"/>
    </row>
    <row r="44" spans="1:76">
      <c r="A44" s="4102"/>
      <c r="B44" s="4102"/>
      <c r="C44" s="4102"/>
      <c r="D44" s="4102"/>
      <c r="E44" s="4102"/>
      <c r="F44" s="4102"/>
      <c r="G44" s="4102"/>
      <c r="H44" s="4102"/>
      <c r="I44" s="4102"/>
      <c r="J44" s="4102"/>
      <c r="K44" s="4102"/>
      <c r="L44" s="4102"/>
      <c r="M44" s="600"/>
      <c r="N44" s="600"/>
      <c r="O44" s="600"/>
      <c r="P44" s="600"/>
      <c r="Q44" s="600"/>
      <c r="R44" s="600"/>
      <c r="BB44" s="600"/>
      <c r="BC44" s="600"/>
      <c r="BD44" s="600"/>
    </row>
    <row r="45" spans="1:76">
      <c r="A45" s="4102"/>
      <c r="B45" s="4102"/>
      <c r="C45" s="4102"/>
      <c r="D45" s="4102"/>
      <c r="E45" s="4102"/>
      <c r="F45" s="4102"/>
      <c r="G45" s="4102"/>
      <c r="H45" s="4102"/>
      <c r="I45" s="4102"/>
      <c r="J45" s="4102"/>
      <c r="K45" s="4102"/>
      <c r="L45" s="4102"/>
      <c r="M45" s="13"/>
      <c r="N45" s="13"/>
      <c r="O45" s="13"/>
      <c r="P45" s="13"/>
      <c r="BB45" s="13"/>
    </row>
    <row r="46" spans="1:76">
      <c r="A46" s="4102"/>
      <c r="B46" s="4102"/>
      <c r="C46" s="4102"/>
      <c r="D46" s="4102"/>
      <c r="E46" s="4102"/>
      <c r="F46" s="4102"/>
      <c r="G46" s="4102"/>
      <c r="H46" s="4102"/>
      <c r="I46" s="4102"/>
      <c r="J46" s="4102"/>
      <c r="K46" s="4102"/>
      <c r="L46" s="4102"/>
      <c r="M46" s="13"/>
      <c r="N46" s="13"/>
      <c r="O46" s="13"/>
      <c r="P46" s="13"/>
      <c r="BB46" s="13"/>
    </row>
    <row r="47" spans="1:76">
      <c r="A47" s="13"/>
      <c r="B47" s="13"/>
      <c r="C47" s="32"/>
      <c r="D47" s="13"/>
      <c r="E47" s="13"/>
      <c r="F47" s="31"/>
      <c r="G47" s="13"/>
      <c r="H47" s="13"/>
      <c r="I47" s="33"/>
      <c r="J47" s="40"/>
      <c r="K47" s="40"/>
      <c r="L47" s="13"/>
      <c r="M47" s="13"/>
      <c r="N47" s="13"/>
      <c r="O47" s="13"/>
      <c r="P47" s="13"/>
      <c r="BB47" s="13"/>
    </row>
    <row r="48" spans="1:76">
      <c r="A48" s="13"/>
      <c r="B48" s="13"/>
      <c r="C48" s="13"/>
      <c r="D48" s="13"/>
      <c r="E48" s="13"/>
      <c r="F48" s="13"/>
      <c r="G48" s="13"/>
      <c r="H48" s="13"/>
      <c r="I48" s="13"/>
      <c r="J48" s="13"/>
      <c r="K48" s="13"/>
      <c r="L48" s="13"/>
      <c r="M48" s="13"/>
      <c r="N48" s="13"/>
      <c r="O48" s="13"/>
      <c r="P48" s="13"/>
      <c r="S48" s="13"/>
      <c r="T48" s="13"/>
      <c r="BB48" s="13"/>
      <c r="BE48" s="13"/>
      <c r="BF48" s="13"/>
    </row>
    <row r="49" spans="1:76">
      <c r="A49" s="13"/>
      <c r="B49" s="13"/>
      <c r="C49" s="13"/>
      <c r="D49" s="13"/>
      <c r="E49" s="13"/>
      <c r="F49" s="13"/>
      <c r="G49" s="13"/>
      <c r="H49" s="13"/>
      <c r="I49" s="13"/>
      <c r="J49" s="13"/>
      <c r="K49" s="13"/>
      <c r="L49" s="13"/>
      <c r="M49" s="13"/>
      <c r="N49" s="13"/>
      <c r="O49" s="13"/>
      <c r="T49" s="13"/>
      <c r="BF49" s="13"/>
    </row>
    <row r="50" spans="1:76" ht="15" customHeight="1">
      <c r="A50" s="13"/>
      <c r="B50" s="4103" t="s">
        <v>1015</v>
      </c>
      <c r="C50" s="4103"/>
      <c r="D50" s="4103"/>
      <c r="E50" s="4103"/>
      <c r="F50" s="4103"/>
      <c r="G50" s="4103"/>
      <c r="H50" s="4103"/>
      <c r="I50" s="4103"/>
      <c r="J50" s="4103"/>
      <c r="K50" s="4103"/>
      <c r="L50" s="13"/>
      <c r="M50" s="13"/>
      <c r="N50" s="13"/>
      <c r="O50" s="13"/>
      <c r="T50" s="13"/>
      <c r="BF50" s="13"/>
    </row>
    <row r="51" spans="1:76" ht="12.6" customHeight="1">
      <c r="A51" s="13"/>
      <c r="B51" s="4103"/>
      <c r="C51" s="4103"/>
      <c r="D51" s="4103"/>
      <c r="E51" s="4103"/>
      <c r="F51" s="4103"/>
      <c r="G51" s="4103"/>
      <c r="H51" s="4103"/>
      <c r="I51" s="4103"/>
      <c r="J51" s="4103"/>
      <c r="K51" s="4103"/>
      <c r="L51" s="13"/>
      <c r="M51" s="13"/>
      <c r="N51" s="13"/>
      <c r="O51" s="13"/>
      <c r="T51" s="13"/>
      <c r="BF51" s="13"/>
    </row>
    <row r="52" spans="1:76">
      <c r="A52" s="13"/>
      <c r="B52" s="4103"/>
      <c r="C52" s="4103"/>
      <c r="D52" s="4103"/>
      <c r="E52" s="4103"/>
      <c r="F52" s="4103"/>
      <c r="G52" s="4103"/>
      <c r="H52" s="4103"/>
      <c r="I52" s="4103"/>
      <c r="J52" s="4103"/>
      <c r="K52" s="4103"/>
      <c r="L52" s="13"/>
      <c r="M52" s="13"/>
      <c r="N52" s="13"/>
      <c r="O52" s="13"/>
    </row>
    <row r="53" spans="1:76">
      <c r="A53" s="13"/>
      <c r="B53" s="4103"/>
      <c r="C53" s="4103"/>
      <c r="D53" s="4103"/>
      <c r="E53" s="4103"/>
      <c r="F53" s="4103"/>
      <c r="G53" s="4103"/>
      <c r="H53" s="4103"/>
      <c r="I53" s="4103"/>
      <c r="J53" s="4103"/>
      <c r="K53" s="4103"/>
      <c r="L53" s="13"/>
      <c r="M53" s="13"/>
      <c r="N53" s="13"/>
      <c r="O53" s="13"/>
    </row>
    <row r="54" spans="1:76">
      <c r="A54" s="13"/>
      <c r="B54" s="13"/>
      <c r="C54" s="32"/>
      <c r="D54" s="1718"/>
      <c r="E54" s="1718"/>
      <c r="F54" s="1718"/>
      <c r="G54" s="1718"/>
      <c r="H54" s="1718"/>
      <c r="I54" s="1718"/>
      <c r="J54" s="1718"/>
      <c r="K54" s="1718"/>
      <c r="L54" s="13"/>
      <c r="M54" s="13"/>
      <c r="N54" s="13"/>
      <c r="O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BF54" s="13"/>
      <c r="BG54" s="13"/>
      <c r="BH54" s="13"/>
      <c r="BI54" s="13"/>
      <c r="BJ54" s="13"/>
      <c r="BK54" s="13"/>
      <c r="BL54" s="13"/>
      <c r="BM54" s="13"/>
      <c r="BN54" s="13"/>
      <c r="BO54" s="13"/>
      <c r="BP54" s="13"/>
      <c r="BQ54" s="13"/>
      <c r="BR54" s="13"/>
      <c r="BS54" s="13"/>
      <c r="BT54" s="13"/>
      <c r="BU54" s="13"/>
      <c r="BV54" s="13"/>
      <c r="BW54" s="13"/>
      <c r="BX54" s="13"/>
    </row>
    <row r="55" spans="1:76" s="3" customFormat="1" ht="17.399999999999999">
      <c r="A55" s="1" t="s">
        <v>46</v>
      </c>
      <c r="B55" s="1"/>
      <c r="C55" s="30"/>
      <c r="E55" s="2"/>
      <c r="F55" s="31"/>
      <c r="G55" s="131" t="e">
        <v>#REF!</v>
      </c>
      <c r="H55" s="2"/>
      <c r="I55" s="31"/>
      <c r="J55" s="1"/>
      <c r="K55" s="1"/>
      <c r="L55" s="2"/>
      <c r="M55" s="2"/>
      <c r="N55" s="2"/>
      <c r="O55" s="2"/>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BF55" s="13"/>
      <c r="BG55" s="13"/>
      <c r="BH55" s="13"/>
      <c r="BI55" s="13"/>
      <c r="BJ55" s="13"/>
      <c r="BK55" s="13"/>
      <c r="BL55" s="13"/>
      <c r="BM55" s="13"/>
      <c r="BN55" s="13"/>
      <c r="BO55" s="13"/>
      <c r="BP55" s="13"/>
      <c r="BQ55" s="13"/>
      <c r="BR55" s="13"/>
      <c r="BS55" s="13"/>
      <c r="BT55" s="13"/>
      <c r="BU55" s="13"/>
      <c r="BV55" s="13"/>
      <c r="BW55" s="13"/>
      <c r="BX55" s="13"/>
    </row>
    <row r="56" spans="1:76" ht="15.75" customHeight="1" thickBot="1">
      <c r="A56" s="177" t="s">
        <v>75</v>
      </c>
      <c r="B56" s="13"/>
      <c r="C56" s="32"/>
      <c r="D56" s="13"/>
      <c r="E56" s="13"/>
      <c r="F56" s="31"/>
      <c r="I56" s="34"/>
      <c r="J56" s="34"/>
      <c r="K56" s="3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BF56" s="13"/>
      <c r="BG56" s="13"/>
      <c r="BH56" s="13"/>
      <c r="BI56" s="13"/>
      <c r="BJ56" s="13"/>
      <c r="BK56" s="13"/>
      <c r="BL56" s="13"/>
      <c r="BM56" s="13"/>
      <c r="BN56" s="13"/>
      <c r="BO56" s="13"/>
      <c r="BP56" s="13"/>
      <c r="BQ56" s="13"/>
      <c r="BR56" s="13"/>
      <c r="BS56" s="13"/>
      <c r="BT56" s="13"/>
      <c r="BU56" s="13"/>
      <c r="BV56" s="13"/>
      <c r="BW56" s="13"/>
      <c r="BX56" s="13"/>
    </row>
    <row r="57" spans="1:76" ht="15.75" customHeight="1" thickBot="1">
      <c r="A57" s="13"/>
      <c r="B57" s="35" t="s">
        <v>25</v>
      </c>
      <c r="C57" s="32"/>
      <c r="D57" s="4015">
        <v>0</v>
      </c>
      <c r="E57" s="4016">
        <v>0</v>
      </c>
      <c r="F57" s="4104">
        <v>0</v>
      </c>
      <c r="G57" s="4105" t="s">
        <v>27</v>
      </c>
      <c r="H57" s="4017"/>
      <c r="I57" s="4018"/>
      <c r="J57" s="175" t="s">
        <v>1446</v>
      </c>
      <c r="K57" s="175"/>
      <c r="L57" s="13"/>
      <c r="M57" s="13"/>
      <c r="N57" s="13"/>
      <c r="O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BF57" s="13"/>
      <c r="BG57" s="13"/>
      <c r="BH57" s="13"/>
      <c r="BI57" s="13"/>
      <c r="BJ57" s="13"/>
      <c r="BK57" s="13"/>
      <c r="BL57" s="13"/>
      <c r="BM57" s="13"/>
      <c r="BN57" s="13"/>
      <c r="BO57" s="13"/>
      <c r="BP57" s="13"/>
      <c r="BQ57" s="13"/>
      <c r="BR57" s="13"/>
      <c r="BS57" s="13"/>
      <c r="BT57" s="13"/>
      <c r="BU57" s="13"/>
      <c r="BV57" s="13"/>
      <c r="BW57" s="13"/>
      <c r="BX57" s="13"/>
    </row>
    <row r="58" spans="1:76" ht="13.8" thickBot="1">
      <c r="D58" s="255" t="s">
        <v>66</v>
      </c>
      <c r="G58" s="164"/>
      <c r="I58" s="111"/>
      <c r="J58" s="40"/>
      <c r="K58" s="40"/>
      <c r="L58" s="13"/>
      <c r="M58" s="13"/>
      <c r="N58" s="13"/>
      <c r="O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BF58" s="13"/>
      <c r="BG58" s="13"/>
      <c r="BH58" s="13"/>
      <c r="BI58" s="13"/>
      <c r="BJ58" s="13"/>
      <c r="BK58" s="13"/>
      <c r="BL58" s="13"/>
      <c r="BM58" s="13"/>
      <c r="BN58" s="13"/>
      <c r="BO58" s="13"/>
      <c r="BP58" s="13"/>
      <c r="BQ58" s="13"/>
      <c r="BR58" s="13"/>
      <c r="BS58" s="13"/>
      <c r="BT58" s="13"/>
      <c r="BU58" s="13"/>
      <c r="BV58" s="13"/>
      <c r="BW58" s="13"/>
      <c r="BX58" s="13"/>
    </row>
    <row r="59" spans="1:76">
      <c r="A59" s="36" t="s">
        <v>19</v>
      </c>
      <c r="B59" s="37"/>
      <c r="C59" s="38"/>
      <c r="D59" s="39" t="s">
        <v>6</v>
      </c>
      <c r="E59" s="39"/>
      <c r="F59" s="40" t="s">
        <v>28</v>
      </c>
      <c r="G59" s="165" t="s">
        <v>6</v>
      </c>
      <c r="H59" s="39"/>
      <c r="I59" s="40" t="s">
        <v>28</v>
      </c>
      <c r="J59" s="59"/>
      <c r="K59" s="59"/>
      <c r="L59" s="13"/>
      <c r="M59" s="13"/>
      <c r="N59" s="13"/>
      <c r="O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BF59" s="13"/>
      <c r="BG59" s="13"/>
      <c r="BH59" s="13"/>
      <c r="BI59" s="13"/>
      <c r="BJ59" s="13"/>
      <c r="BK59" s="13"/>
      <c r="BL59" s="13"/>
      <c r="BM59" s="13"/>
      <c r="BN59" s="13"/>
      <c r="BO59" s="13"/>
      <c r="BP59" s="13"/>
      <c r="BQ59" s="13"/>
      <c r="BR59" s="13"/>
      <c r="BS59" s="13"/>
      <c r="BT59" s="13"/>
      <c r="BU59" s="13"/>
      <c r="BV59" s="13"/>
      <c r="BW59" s="13"/>
      <c r="BX59" s="13"/>
    </row>
    <row r="60" spans="1:76" ht="20.25" customHeight="1">
      <c r="A60" s="41">
        <v>1</v>
      </c>
      <c r="B60" s="42" t="s">
        <v>29</v>
      </c>
      <c r="C60" s="43"/>
      <c r="D60" s="109">
        <v>304149.44400000002</v>
      </c>
      <c r="E60" s="44"/>
      <c r="F60" s="45">
        <v>75.759357492121211</v>
      </c>
      <c r="G60" s="109">
        <v>382612.56515634293</v>
      </c>
      <c r="H60" s="44" t="s">
        <v>525</v>
      </c>
      <c r="I60" s="60" t="s">
        <v>525</v>
      </c>
      <c r="J60" s="61"/>
      <c r="L60" s="13"/>
      <c r="M60" s="13"/>
      <c r="N60" s="13"/>
      <c r="O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BF60" s="13"/>
      <c r="BG60" s="13"/>
      <c r="BH60" s="13"/>
      <c r="BI60" s="13"/>
      <c r="BJ60" s="13"/>
      <c r="BK60" s="13"/>
      <c r="BL60" s="13"/>
      <c r="BM60" s="13"/>
      <c r="BN60" s="13"/>
      <c r="BO60" s="13"/>
      <c r="BP60" s="13"/>
      <c r="BQ60" s="13"/>
      <c r="BR60" s="13"/>
      <c r="BS60" s="13"/>
      <c r="BT60" s="13"/>
      <c r="BU60" s="13"/>
      <c r="BV60" s="13"/>
      <c r="BW60" s="13"/>
      <c r="BX60" s="13"/>
    </row>
    <row r="61" spans="1:76" ht="20.25" customHeight="1">
      <c r="A61" s="46">
        <v>2</v>
      </c>
      <c r="B61" s="47" t="s">
        <v>30</v>
      </c>
      <c r="C61" s="48"/>
      <c r="D61" s="109">
        <v>75228.995999999999</v>
      </c>
      <c r="E61" s="49"/>
      <c r="F61" s="50">
        <v>18.738486997652892</v>
      </c>
      <c r="G61" s="110">
        <v>94636.237880797373</v>
      </c>
      <c r="H61" s="49" t="s">
        <v>525</v>
      </c>
      <c r="I61" s="62" t="s">
        <v>525</v>
      </c>
      <c r="J61" s="105">
        <v>0.21</v>
      </c>
      <c r="K61" s="631"/>
      <c r="L61" s="13"/>
      <c r="M61" s="13"/>
      <c r="N61" s="13"/>
      <c r="O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BF61" s="13"/>
      <c r="BG61" s="13"/>
      <c r="BH61" s="13"/>
      <c r="BI61" s="13"/>
      <c r="BJ61" s="13"/>
      <c r="BK61" s="13"/>
      <c r="BL61" s="13"/>
      <c r="BM61" s="13"/>
      <c r="BN61" s="13"/>
      <c r="BO61" s="13"/>
      <c r="BP61" s="13"/>
      <c r="BQ61" s="13"/>
      <c r="BR61" s="13"/>
      <c r="BS61" s="13"/>
      <c r="BT61" s="13"/>
      <c r="BU61" s="13"/>
      <c r="BV61" s="13"/>
      <c r="BW61" s="13"/>
      <c r="BX61" s="13"/>
    </row>
    <row r="62" spans="1:76" ht="20.25" customHeight="1">
      <c r="A62" s="41">
        <v>3</v>
      </c>
      <c r="B62" s="42" t="s">
        <v>31</v>
      </c>
      <c r="C62" s="43"/>
      <c r="D62" s="109">
        <v>379378.44000000006</v>
      </c>
      <c r="E62" s="44"/>
      <c r="F62" s="45">
        <v>94.497844489774124</v>
      </c>
      <c r="G62" s="109">
        <v>477248.80303714029</v>
      </c>
      <c r="H62" s="44" t="s">
        <v>525</v>
      </c>
      <c r="I62" s="60">
        <v>94.49784448977411</v>
      </c>
      <c r="J62" s="61"/>
      <c r="L62" s="13"/>
      <c r="M62" s="13"/>
      <c r="N62" s="13"/>
      <c r="O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BF62" s="13"/>
      <c r="BG62" s="13"/>
      <c r="BH62" s="13"/>
      <c r="BI62" s="13"/>
      <c r="BJ62" s="13"/>
      <c r="BK62" s="13"/>
      <c r="BL62" s="13"/>
      <c r="BM62" s="13"/>
      <c r="BN62" s="13"/>
      <c r="BO62" s="13"/>
      <c r="BP62" s="13"/>
      <c r="BQ62" s="13"/>
      <c r="BR62" s="13"/>
      <c r="BS62" s="13"/>
      <c r="BT62" s="13"/>
      <c r="BU62" s="13"/>
      <c r="BV62" s="13"/>
      <c r="BW62" s="13"/>
      <c r="BX62" s="13"/>
    </row>
    <row r="63" spans="1:76" ht="20.25" customHeight="1">
      <c r="A63" s="51">
        <v>4</v>
      </c>
      <c r="B63" s="42" t="s">
        <v>32</v>
      </c>
      <c r="C63" s="52"/>
      <c r="D63" s="109">
        <v>22089.383999999998</v>
      </c>
      <c r="E63" s="44"/>
      <c r="F63" s="53">
        <v>5.5021555102258946</v>
      </c>
      <c r="G63" s="109">
        <v>27787.905063418355</v>
      </c>
      <c r="H63" s="44" t="s">
        <v>525</v>
      </c>
      <c r="I63" s="336">
        <v>5.5021555102258946</v>
      </c>
      <c r="J63" s="64"/>
      <c r="L63" s="13"/>
      <c r="M63" s="13"/>
      <c r="N63" s="13"/>
      <c r="O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BF63" s="13"/>
      <c r="BG63" s="13"/>
      <c r="BH63" s="13"/>
      <c r="BI63" s="13"/>
      <c r="BJ63" s="13"/>
      <c r="BK63" s="13"/>
      <c r="BL63" s="13"/>
      <c r="BM63" s="13"/>
      <c r="BN63" s="13"/>
      <c r="BO63" s="13"/>
      <c r="BP63" s="13"/>
      <c r="BQ63" s="13"/>
      <c r="BR63" s="13"/>
      <c r="BS63" s="13"/>
      <c r="BT63" s="13"/>
      <c r="BU63" s="13"/>
      <c r="BV63" s="13"/>
      <c r="BW63" s="13"/>
      <c r="BX63" s="13"/>
    </row>
    <row r="64" spans="1:76" ht="20.25" customHeight="1">
      <c r="A64" s="282">
        <v>5</v>
      </c>
      <c r="B64" s="283" t="s">
        <v>33</v>
      </c>
      <c r="C64" s="284"/>
      <c r="D64" s="285">
        <v>401467.82400000002</v>
      </c>
      <c r="E64" s="286"/>
      <c r="F64" s="287">
        <v>100</v>
      </c>
      <c r="G64" s="285">
        <v>497536.70810055867</v>
      </c>
      <c r="H64" s="286"/>
      <c r="I64" s="288">
        <v>100</v>
      </c>
      <c r="J64" s="289" t="s">
        <v>8</v>
      </c>
      <c r="K64" s="629"/>
      <c r="L64" s="13"/>
      <c r="M64" s="13"/>
      <c r="N64" s="13"/>
      <c r="O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BF64" s="13"/>
      <c r="BG64" s="13"/>
      <c r="BH64" s="13"/>
      <c r="BI64" s="13"/>
      <c r="BJ64" s="13"/>
      <c r="BK64" s="13"/>
      <c r="BL64" s="13"/>
      <c r="BM64" s="13"/>
      <c r="BN64" s="13"/>
      <c r="BO64" s="13"/>
      <c r="BP64" s="13"/>
      <c r="BQ64" s="13"/>
      <c r="BR64" s="13"/>
      <c r="BS64" s="13"/>
      <c r="BT64" s="13"/>
      <c r="BU64" s="13"/>
      <c r="BV64" s="13"/>
      <c r="BW64" s="13"/>
      <c r="BX64" s="13"/>
    </row>
    <row r="65" spans="1:76" ht="20.25" customHeight="1">
      <c r="A65" s="51">
        <v>6</v>
      </c>
      <c r="B65" s="47" t="s">
        <v>50</v>
      </c>
      <c r="C65" s="65"/>
      <c r="D65" s="109">
        <v>39607.032000000007</v>
      </c>
      <c r="E65" s="49"/>
      <c r="F65" s="53">
        <v>9.8655557512374905</v>
      </c>
      <c r="G65" s="110">
        <v>53028.854350558657</v>
      </c>
      <c r="H65" s="49" t="s">
        <v>525</v>
      </c>
      <c r="I65" s="66">
        <v>10.5</v>
      </c>
      <c r="J65" s="67" t="s">
        <v>17</v>
      </c>
      <c r="K65" s="630"/>
      <c r="L65" s="13"/>
      <c r="M65" s="13"/>
      <c r="N65" s="13"/>
      <c r="O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BF65" s="13"/>
      <c r="BG65" s="13"/>
      <c r="BH65" s="13"/>
      <c r="BI65" s="13"/>
      <c r="BJ65" s="13"/>
      <c r="BK65" s="13"/>
      <c r="BL65" s="13"/>
      <c r="BM65" s="13"/>
      <c r="BN65" s="13"/>
      <c r="BO65" s="13"/>
      <c r="BP65" s="13"/>
      <c r="BQ65" s="13"/>
      <c r="BR65" s="13"/>
      <c r="BS65" s="13"/>
      <c r="BT65" s="13"/>
      <c r="BU65" s="13"/>
      <c r="BV65" s="13"/>
      <c r="BW65" s="13"/>
      <c r="BX65" s="13"/>
    </row>
    <row r="66" spans="1:76" ht="20.25" customHeight="1">
      <c r="A66" s="290">
        <v>7</v>
      </c>
      <c r="B66" s="283" t="s">
        <v>34</v>
      </c>
      <c r="C66" s="284"/>
      <c r="D66" s="285">
        <v>361860.79200000002</v>
      </c>
      <c r="E66" s="286"/>
      <c r="F66" s="287">
        <v>90.13444424876252</v>
      </c>
      <c r="G66" s="285">
        <v>444507.85375000001</v>
      </c>
      <c r="H66" s="286"/>
      <c r="I66" s="291">
        <v>89.5</v>
      </c>
      <c r="J66" s="289" t="s">
        <v>8</v>
      </c>
      <c r="K66" s="629"/>
      <c r="L66" s="13"/>
      <c r="M66" s="13"/>
      <c r="N66" s="13"/>
      <c r="O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BF66" s="13"/>
      <c r="BG66" s="13"/>
      <c r="BH66" s="13"/>
      <c r="BI66" s="13"/>
      <c r="BJ66" s="13"/>
      <c r="BK66" s="13"/>
      <c r="BL66" s="13"/>
      <c r="BM66" s="13"/>
      <c r="BN66" s="13"/>
      <c r="BO66" s="13"/>
      <c r="BP66" s="13"/>
      <c r="BQ66" s="13"/>
      <c r="BR66" s="13"/>
      <c r="BS66" s="13"/>
      <c r="BT66" s="13"/>
      <c r="BU66" s="13"/>
      <c r="BV66" s="13"/>
      <c r="BW66" s="13"/>
      <c r="BX66" s="13"/>
    </row>
    <row r="67" spans="1:76" ht="20.25" customHeight="1">
      <c r="A67" s="51">
        <v>8</v>
      </c>
      <c r="B67" s="47" t="s">
        <v>35</v>
      </c>
      <c r="C67" s="65"/>
      <c r="D67" s="109">
        <v>135052.58400000003</v>
      </c>
      <c r="E67" s="49"/>
      <c r="F67" s="53">
        <v>33.639703091124943</v>
      </c>
      <c r="G67" s="110">
        <v>211335.49775000001</v>
      </c>
      <c r="H67" s="49" t="s">
        <v>525</v>
      </c>
      <c r="I67" s="66">
        <v>41.845571690191015</v>
      </c>
      <c r="J67" s="67" t="s">
        <v>17</v>
      </c>
      <c r="K67" s="630"/>
      <c r="L67" s="13"/>
      <c r="M67" s="13"/>
      <c r="N67" s="13"/>
      <c r="O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BF67" s="13"/>
      <c r="BG67" s="13"/>
      <c r="BH67" s="13"/>
      <c r="BI67" s="13"/>
      <c r="BJ67" s="13"/>
      <c r="BK67" s="13"/>
      <c r="BL67" s="13"/>
      <c r="BM67" s="13"/>
      <c r="BN67" s="13"/>
      <c r="BO67" s="13"/>
      <c r="BP67" s="13"/>
      <c r="BQ67" s="13"/>
      <c r="BR67" s="13"/>
      <c r="BS67" s="13"/>
      <c r="BT67" s="13"/>
      <c r="BU67" s="13"/>
      <c r="BV67" s="13"/>
      <c r="BW67" s="13"/>
      <c r="BX67" s="13"/>
    </row>
    <row r="68" spans="1:76" ht="20.25" customHeight="1" thickBot="1">
      <c r="A68" s="290">
        <v>9</v>
      </c>
      <c r="B68" s="292" t="s">
        <v>7</v>
      </c>
      <c r="C68" s="293"/>
      <c r="D68" s="285">
        <v>226808.20799999998</v>
      </c>
      <c r="E68" s="294"/>
      <c r="F68" s="287">
        <v>56.494741157637577</v>
      </c>
      <c r="G68" s="295">
        <v>233172.35599999997</v>
      </c>
      <c r="H68" s="294"/>
      <c r="I68" s="296">
        <v>47.654428309808985</v>
      </c>
      <c r="J68" s="297" t="s">
        <v>8</v>
      </c>
      <c r="K68" s="629"/>
      <c r="L68" s="13"/>
      <c r="M68" s="13"/>
      <c r="N68" s="13"/>
      <c r="O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BF68" s="13"/>
      <c r="BG68" s="13"/>
      <c r="BH68" s="13"/>
      <c r="BI68" s="13"/>
      <c r="BJ68" s="13"/>
      <c r="BK68" s="13"/>
      <c r="BL68" s="13"/>
      <c r="BM68" s="13"/>
      <c r="BN68" s="13"/>
      <c r="BO68" s="13"/>
      <c r="BP68" s="13"/>
      <c r="BQ68" s="13"/>
      <c r="BR68" s="13"/>
      <c r="BS68" s="13"/>
      <c r="BT68" s="13"/>
      <c r="BU68" s="13"/>
      <c r="BV68" s="13"/>
      <c r="BW68" s="13"/>
      <c r="BX68" s="13"/>
    </row>
    <row r="69" spans="1:76" ht="20.25" customHeight="1">
      <c r="A69" s="46">
        <v>10</v>
      </c>
      <c r="B69" s="68" t="s">
        <v>9</v>
      </c>
      <c r="C69" s="48"/>
      <c r="D69" s="109">
        <v>36205.944000000003</v>
      </c>
      <c r="E69" s="49"/>
      <c r="F69" s="50">
        <v>9.0183924677360938</v>
      </c>
      <c r="G69" s="110">
        <v>40064.055999999997</v>
      </c>
      <c r="H69" s="49" t="s">
        <v>525</v>
      </c>
      <c r="I69" s="69">
        <v>7.9328997986464742</v>
      </c>
      <c r="J69" s="63"/>
      <c r="L69" s="13"/>
      <c r="M69" s="13"/>
      <c r="N69" s="13"/>
      <c r="O69" s="13"/>
      <c r="P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BB69" s="13"/>
      <c r="BE69" s="13"/>
      <c r="BF69" s="13"/>
      <c r="BG69" s="13"/>
      <c r="BH69" s="13"/>
      <c r="BI69" s="13"/>
      <c r="BJ69" s="13"/>
      <c r="BK69" s="13"/>
      <c r="BL69" s="13"/>
      <c r="BM69" s="13"/>
      <c r="BN69" s="13"/>
      <c r="BO69" s="13"/>
      <c r="BP69" s="13"/>
      <c r="BQ69" s="13"/>
      <c r="BR69" s="13"/>
      <c r="BS69" s="13"/>
      <c r="BT69" s="13"/>
      <c r="BU69" s="13"/>
      <c r="BV69" s="13"/>
      <c r="BW69" s="13"/>
      <c r="BX69" s="13"/>
    </row>
    <row r="70" spans="1:76" ht="20.25" customHeight="1">
      <c r="A70" s="46">
        <v>11</v>
      </c>
      <c r="B70" s="70" t="s">
        <v>52</v>
      </c>
      <c r="C70" s="48"/>
      <c r="D70" s="109">
        <v>10718.1</v>
      </c>
      <c r="E70" s="49"/>
      <c r="F70" s="50">
        <v>2.6697282719224842</v>
      </c>
      <c r="G70" s="110">
        <v>11626.1</v>
      </c>
      <c r="H70" s="49" t="s">
        <v>525</v>
      </c>
      <c r="I70" s="69">
        <v>2.3020306867842781</v>
      </c>
      <c r="J70" s="63"/>
      <c r="L70" s="13"/>
      <c r="M70" s="13"/>
      <c r="N70" s="13"/>
      <c r="O70" s="13"/>
      <c r="P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BB70" s="13"/>
      <c r="BE70" s="13"/>
      <c r="BF70" s="13"/>
      <c r="BG70" s="13"/>
      <c r="BH70" s="13"/>
      <c r="BI70" s="13"/>
      <c r="BJ70" s="13"/>
      <c r="BK70" s="13"/>
      <c r="BL70" s="13"/>
      <c r="BM70" s="13"/>
      <c r="BN70" s="13"/>
      <c r="BO70" s="13"/>
      <c r="BP70" s="13"/>
      <c r="BQ70" s="13"/>
      <c r="BR70" s="13"/>
      <c r="BS70" s="13"/>
      <c r="BT70" s="13"/>
      <c r="BU70" s="13"/>
      <c r="BV70" s="13"/>
      <c r="BW70" s="13"/>
      <c r="BX70" s="13"/>
    </row>
    <row r="71" spans="1:76" ht="20.25" customHeight="1">
      <c r="A71" s="46">
        <v>12</v>
      </c>
      <c r="B71" s="70" t="s">
        <v>10</v>
      </c>
      <c r="C71" s="48"/>
      <c r="D71" s="109">
        <v>2944.8600000000006</v>
      </c>
      <c r="E71" s="49"/>
      <c r="F71" s="50">
        <v>0.73352329226762647</v>
      </c>
      <c r="G71" s="110">
        <v>3100</v>
      </c>
      <c r="H71" s="49" t="s">
        <v>525</v>
      </c>
      <c r="I71" s="69">
        <v>0.61381676822247033</v>
      </c>
      <c r="J71" s="63"/>
      <c r="L71" s="13"/>
      <c r="M71" s="13"/>
      <c r="N71" s="13"/>
      <c r="O71" s="13"/>
      <c r="P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BB71" s="13"/>
      <c r="BE71" s="13"/>
      <c r="BF71" s="13"/>
      <c r="BG71" s="13"/>
      <c r="BH71" s="13"/>
      <c r="BI71" s="13"/>
      <c r="BJ71" s="13"/>
      <c r="BK71" s="13"/>
      <c r="BL71" s="13"/>
      <c r="BM71" s="13"/>
      <c r="BN71" s="13"/>
      <c r="BO71" s="13"/>
      <c r="BP71" s="13"/>
      <c r="BQ71" s="13"/>
      <c r="BR71" s="13"/>
      <c r="BS71" s="13"/>
      <c r="BT71" s="13"/>
      <c r="BU71" s="13"/>
      <c r="BV71" s="13"/>
      <c r="BW71" s="13"/>
      <c r="BX71" s="13"/>
    </row>
    <row r="72" spans="1:76" ht="20.25" customHeight="1">
      <c r="A72" s="46">
        <v>13</v>
      </c>
      <c r="B72" s="70" t="s">
        <v>11</v>
      </c>
      <c r="C72" s="48"/>
      <c r="D72" s="109">
        <v>7429</v>
      </c>
      <c r="E72" s="49"/>
      <c r="F72" s="50">
        <v>1.8504596273697889</v>
      </c>
      <c r="G72" s="110">
        <v>0</v>
      </c>
      <c r="H72" s="49" t="s">
        <v>525</v>
      </c>
      <c r="I72" s="69">
        <v>1.4850405682801702</v>
      </c>
      <c r="J72" s="63"/>
      <c r="L72" s="13"/>
      <c r="M72" s="13"/>
      <c r="N72" s="13"/>
      <c r="O72" s="13"/>
      <c r="P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BB72" s="13"/>
      <c r="BE72" s="13"/>
      <c r="BF72" s="13"/>
      <c r="BG72" s="13"/>
      <c r="BH72" s="13"/>
      <c r="BI72" s="13"/>
      <c r="BJ72" s="13"/>
      <c r="BK72" s="13"/>
      <c r="BL72" s="13"/>
      <c r="BM72" s="13"/>
      <c r="BN72" s="13"/>
      <c r="BO72" s="13"/>
      <c r="BP72" s="13"/>
      <c r="BQ72" s="13"/>
      <c r="BR72" s="13"/>
      <c r="BS72" s="13"/>
      <c r="BT72" s="13"/>
      <c r="BU72" s="13"/>
      <c r="BV72" s="13"/>
      <c r="BW72" s="13"/>
      <c r="BX72" s="13"/>
    </row>
    <row r="73" spans="1:76" ht="20.25" customHeight="1">
      <c r="A73" s="46">
        <v>14</v>
      </c>
      <c r="B73" s="70" t="s">
        <v>59</v>
      </c>
      <c r="C73" s="48"/>
      <c r="D73" s="350" t="s">
        <v>129</v>
      </c>
      <c r="E73" s="49"/>
      <c r="F73" s="50"/>
      <c r="G73" s="110"/>
      <c r="H73" s="49" t="s">
        <v>525</v>
      </c>
      <c r="I73" s="69"/>
      <c r="J73" s="63"/>
      <c r="L73" s="13"/>
      <c r="M73" s="13"/>
      <c r="N73" s="13"/>
      <c r="O73" s="13"/>
      <c r="P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BB73" s="13"/>
      <c r="BE73" s="13"/>
      <c r="BF73" s="13"/>
      <c r="BG73" s="13"/>
      <c r="BH73" s="13"/>
      <c r="BI73" s="13"/>
      <c r="BJ73" s="13"/>
      <c r="BK73" s="13"/>
      <c r="BL73" s="13"/>
      <c r="BM73" s="13"/>
      <c r="BN73" s="13"/>
      <c r="BO73" s="13"/>
      <c r="BP73" s="13"/>
      <c r="BQ73" s="13"/>
      <c r="BR73" s="13"/>
      <c r="BS73" s="13"/>
      <c r="BT73" s="13"/>
      <c r="BU73" s="13"/>
      <c r="BV73" s="13"/>
      <c r="BW73" s="13"/>
      <c r="BX73" s="13"/>
    </row>
    <row r="74" spans="1:76" ht="20.25" customHeight="1">
      <c r="A74" s="46">
        <v>15</v>
      </c>
      <c r="B74" s="70" t="s">
        <v>12</v>
      </c>
      <c r="C74" s="48"/>
      <c r="D74" s="109">
        <v>914.02800000000013</v>
      </c>
      <c r="E74" s="49"/>
      <c r="F74" s="50">
        <v>0.22767154560311664</v>
      </c>
      <c r="G74" s="110">
        <v>900</v>
      </c>
      <c r="H74" s="49" t="s">
        <v>525</v>
      </c>
      <c r="I74" s="69">
        <v>0.17820486819362039</v>
      </c>
      <c r="J74" s="63"/>
      <c r="L74" s="13"/>
      <c r="M74" s="13"/>
      <c r="N74" s="13"/>
      <c r="O74" s="13"/>
      <c r="P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BB74" s="13"/>
      <c r="BE74" s="13"/>
      <c r="BF74" s="13"/>
      <c r="BG74" s="13"/>
      <c r="BH74" s="13"/>
      <c r="BI74" s="13"/>
      <c r="BJ74" s="13"/>
      <c r="BK74" s="13"/>
      <c r="BL74" s="13"/>
      <c r="BM74" s="13"/>
      <c r="BN74" s="13"/>
      <c r="BO74" s="13"/>
      <c r="BP74" s="13"/>
      <c r="BQ74" s="13"/>
      <c r="BR74" s="13"/>
      <c r="BS74" s="13"/>
      <c r="BT74" s="13"/>
      <c r="BU74" s="13"/>
      <c r="BV74" s="13"/>
      <c r="BW74" s="13"/>
      <c r="BX74" s="13"/>
    </row>
    <row r="75" spans="1:76" ht="20.25" customHeight="1">
      <c r="A75" s="46">
        <v>16</v>
      </c>
      <c r="B75" s="70" t="s">
        <v>133</v>
      </c>
      <c r="C75" s="48"/>
      <c r="D75" s="109">
        <v>1166.7719999999999</v>
      </c>
      <c r="E75" s="49"/>
      <c r="F75" s="50">
        <v>0.29062652851601872</v>
      </c>
      <c r="G75" s="110">
        <v>1200</v>
      </c>
      <c r="H75" s="49" t="s">
        <v>525</v>
      </c>
      <c r="I75" s="69">
        <v>0.23760649092482719</v>
      </c>
      <c r="J75" s="63"/>
      <c r="L75" s="13"/>
      <c r="M75" s="13"/>
      <c r="N75" s="13"/>
      <c r="O75" s="13"/>
      <c r="P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BB75" s="13"/>
      <c r="BE75" s="13"/>
      <c r="BF75" s="13"/>
      <c r="BG75" s="13"/>
      <c r="BH75" s="13"/>
      <c r="BI75" s="13"/>
      <c r="BJ75" s="13"/>
      <c r="BK75" s="13"/>
      <c r="BL75" s="13"/>
      <c r="BM75" s="13"/>
      <c r="BN75" s="13"/>
      <c r="BO75" s="13"/>
      <c r="BP75" s="13"/>
      <c r="BQ75" s="13"/>
      <c r="BR75" s="13"/>
      <c r="BS75" s="13"/>
      <c r="BT75" s="13"/>
      <c r="BU75" s="13"/>
      <c r="BV75" s="13"/>
      <c r="BW75" s="13"/>
      <c r="BX75" s="13"/>
    </row>
    <row r="76" spans="1:76" ht="20.25" customHeight="1">
      <c r="A76" s="46">
        <v>17</v>
      </c>
      <c r="B76" s="70" t="s">
        <v>14</v>
      </c>
      <c r="C76" s="48"/>
      <c r="D76" s="109">
        <v>11272.763999999999</v>
      </c>
      <c r="E76" s="49"/>
      <c r="F76" s="50">
        <v>2.8078872891193387</v>
      </c>
      <c r="G76" s="110">
        <v>11300</v>
      </c>
      <c r="H76" s="49" t="s">
        <v>525</v>
      </c>
      <c r="I76" s="69">
        <v>2.2374611228754562</v>
      </c>
      <c r="J76" s="63"/>
      <c r="L76" s="13"/>
      <c r="M76" s="13"/>
      <c r="N76" s="13"/>
      <c r="O76" s="13"/>
      <c r="P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BB76" s="13"/>
      <c r="BE76" s="13"/>
      <c r="BF76" s="13"/>
      <c r="BG76" s="13"/>
      <c r="BH76" s="13"/>
      <c r="BI76" s="13"/>
      <c r="BJ76" s="13"/>
      <c r="BK76" s="13"/>
      <c r="BL76" s="13"/>
      <c r="BM76" s="13"/>
      <c r="BN76" s="13"/>
      <c r="BO76" s="13"/>
      <c r="BP76" s="13"/>
      <c r="BQ76" s="13"/>
      <c r="BR76" s="13"/>
      <c r="BS76" s="13"/>
      <c r="BT76" s="13"/>
      <c r="BU76" s="13"/>
      <c r="BV76" s="13"/>
      <c r="BW76" s="13"/>
      <c r="BX76" s="13"/>
    </row>
    <row r="77" spans="1:76" ht="20.25" customHeight="1">
      <c r="A77" s="46">
        <v>18</v>
      </c>
      <c r="B77" s="70" t="s">
        <v>15</v>
      </c>
      <c r="C77" s="48"/>
      <c r="D77" s="109">
        <v>71160.096000000005</v>
      </c>
      <c r="E77" s="49"/>
      <c r="F77" s="50"/>
      <c r="G77" s="110">
        <v>68000</v>
      </c>
      <c r="H77" s="49" t="s">
        <v>525</v>
      </c>
      <c r="I77" s="69">
        <v>13.464367819073541</v>
      </c>
      <c r="J77" s="63"/>
      <c r="L77" s="13"/>
      <c r="M77" s="13"/>
      <c r="N77" s="13"/>
      <c r="O77" s="13"/>
      <c r="P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BB77" s="13"/>
      <c r="BE77" s="13"/>
      <c r="BF77" s="13"/>
      <c r="BG77" s="13"/>
      <c r="BH77" s="13"/>
      <c r="BI77" s="13"/>
      <c r="BJ77" s="13"/>
      <c r="BK77" s="13"/>
      <c r="BL77" s="13"/>
      <c r="BM77" s="13"/>
      <c r="BN77" s="13"/>
      <c r="BO77" s="13"/>
      <c r="BP77" s="13"/>
      <c r="BQ77" s="13"/>
      <c r="BR77" s="13"/>
      <c r="BS77" s="13"/>
      <c r="BT77" s="13"/>
      <c r="BU77" s="13"/>
      <c r="BV77" s="13"/>
      <c r="BW77" s="13"/>
      <c r="BX77" s="13"/>
    </row>
    <row r="78" spans="1:76" ht="20.25" customHeight="1" thickBot="1">
      <c r="A78" s="51">
        <v>19</v>
      </c>
      <c r="B78" s="181" t="s">
        <v>16</v>
      </c>
      <c r="C78" s="71"/>
      <c r="D78" s="109">
        <v>141811.56400000001</v>
      </c>
      <c r="E78" s="44"/>
      <c r="F78" s="53">
        <v>35.323270140822046</v>
      </c>
      <c r="G78" s="109">
        <v>136190.15599999999</v>
      </c>
      <c r="H78" s="44"/>
      <c r="I78" s="66">
        <v>26.966387554720665</v>
      </c>
      <c r="J78" s="67" t="s">
        <v>17</v>
      </c>
      <c r="K78" s="630"/>
      <c r="L78" s="13"/>
      <c r="M78" s="13"/>
      <c r="N78" s="13"/>
      <c r="O78" s="13"/>
      <c r="P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BB78" s="13"/>
      <c r="BE78" s="13"/>
      <c r="BF78" s="13"/>
      <c r="BG78" s="13"/>
      <c r="BH78" s="13"/>
      <c r="BI78" s="13"/>
      <c r="BJ78" s="13"/>
      <c r="BK78" s="13"/>
      <c r="BL78" s="13"/>
      <c r="BM78" s="13"/>
      <c r="BN78" s="13"/>
      <c r="BO78" s="13"/>
      <c r="BP78" s="13"/>
      <c r="BQ78" s="13"/>
      <c r="BR78" s="13"/>
      <c r="BS78" s="13"/>
      <c r="BT78" s="13"/>
      <c r="BU78" s="13"/>
      <c r="BV78" s="13"/>
      <c r="BW78" s="13"/>
      <c r="BX78" s="13"/>
    </row>
    <row r="79" spans="1:76" ht="20.25" customHeight="1">
      <c r="A79" s="282">
        <v>20</v>
      </c>
      <c r="B79" s="298" t="s">
        <v>18</v>
      </c>
      <c r="C79" s="284"/>
      <c r="D79" s="285">
        <v>84996.643999999971</v>
      </c>
      <c r="E79" s="286"/>
      <c r="F79" s="287">
        <v>21.171471016815527</v>
      </c>
      <c r="G79" s="285">
        <v>96982.2</v>
      </c>
      <c r="H79" s="286"/>
      <c r="I79" s="288">
        <v>19.203000186808147</v>
      </c>
      <c r="J79" s="289" t="s">
        <v>8</v>
      </c>
      <c r="K79" s="629"/>
      <c r="L79" s="13"/>
      <c r="M79" s="13"/>
      <c r="N79" s="13"/>
      <c r="O79" s="13"/>
      <c r="P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BB79" s="13"/>
      <c r="BE79" s="13"/>
      <c r="BF79" s="13"/>
      <c r="BG79" s="13"/>
      <c r="BH79" s="13"/>
      <c r="BI79" s="13"/>
      <c r="BJ79" s="13"/>
      <c r="BK79" s="13"/>
      <c r="BL79" s="13"/>
      <c r="BM79" s="13"/>
      <c r="BN79" s="13"/>
      <c r="BO79" s="13"/>
      <c r="BP79" s="13"/>
      <c r="BQ79" s="13"/>
      <c r="BR79" s="13"/>
      <c r="BS79" s="13"/>
      <c r="BT79" s="13"/>
      <c r="BU79" s="13"/>
      <c r="BV79" s="13"/>
      <c r="BW79" s="13"/>
      <c r="BX79" s="13"/>
    </row>
    <row r="80" spans="1:76" ht="20.25" customHeight="1">
      <c r="A80" s="46">
        <v>21</v>
      </c>
      <c r="B80" s="47" t="s">
        <v>36</v>
      </c>
      <c r="C80" s="73"/>
      <c r="D80" s="109">
        <v>0</v>
      </c>
      <c r="E80" s="49"/>
      <c r="F80" s="50"/>
      <c r="G80" s="299"/>
      <c r="H80" s="4096"/>
      <c r="I80" s="4097"/>
      <c r="J80" s="4097"/>
      <c r="K80" s="2470"/>
      <c r="L80" s="13"/>
      <c r="M80" s="13"/>
      <c r="N80" s="13"/>
      <c r="O80" s="13"/>
      <c r="P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BB80" s="13"/>
      <c r="BE80" s="13"/>
      <c r="BF80" s="13"/>
      <c r="BG80" s="13"/>
      <c r="BH80" s="13"/>
      <c r="BI80" s="13"/>
      <c r="BJ80" s="13"/>
      <c r="BK80" s="13"/>
      <c r="BL80" s="13"/>
      <c r="BM80" s="13"/>
      <c r="BN80" s="13"/>
      <c r="BO80" s="13"/>
      <c r="BP80" s="13"/>
      <c r="BQ80" s="13"/>
      <c r="BR80" s="13"/>
      <c r="BS80" s="13"/>
      <c r="BT80" s="13"/>
      <c r="BU80" s="13"/>
      <c r="BV80" s="13"/>
      <c r="BW80" s="13"/>
      <c r="BX80" s="13"/>
    </row>
    <row r="81" spans="1:76" ht="20.25" customHeight="1">
      <c r="A81" s="46">
        <v>22</v>
      </c>
      <c r="B81" s="47" t="s">
        <v>37</v>
      </c>
      <c r="C81" s="73"/>
      <c r="D81" s="109">
        <v>1500</v>
      </c>
      <c r="E81" s="49"/>
      <c r="F81" s="50"/>
      <c r="G81" s="299"/>
      <c r="H81" s="4098"/>
      <c r="I81" s="4098"/>
      <c r="J81" s="4098"/>
      <c r="K81" s="2470"/>
      <c r="L81" s="13"/>
      <c r="M81" s="13"/>
      <c r="N81" s="13"/>
      <c r="O81" s="13"/>
      <c r="P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BB81" s="13"/>
      <c r="BE81" s="13"/>
      <c r="BF81" s="13"/>
      <c r="BG81" s="13"/>
      <c r="BH81" s="13"/>
      <c r="BI81" s="13"/>
      <c r="BJ81" s="13"/>
      <c r="BK81" s="13"/>
      <c r="BL81" s="13"/>
      <c r="BM81" s="13"/>
      <c r="BN81" s="13"/>
      <c r="BO81" s="13"/>
      <c r="BP81" s="13"/>
      <c r="BQ81" s="13"/>
      <c r="BR81" s="13"/>
      <c r="BS81" s="13"/>
      <c r="BT81" s="13"/>
      <c r="BU81" s="13"/>
      <c r="BV81" s="13"/>
      <c r="BW81" s="13"/>
      <c r="BX81" s="13"/>
    </row>
    <row r="82" spans="1:76" ht="20.25" customHeight="1">
      <c r="A82" s="46">
        <v>23</v>
      </c>
      <c r="B82" s="47" t="s">
        <v>39</v>
      </c>
      <c r="C82" s="73"/>
      <c r="D82" s="109">
        <v>7400.4000000000005</v>
      </c>
      <c r="E82" s="49"/>
      <c r="F82" s="50"/>
      <c r="G82" s="299"/>
      <c r="H82" s="4099"/>
      <c r="I82" s="4099"/>
      <c r="J82" s="4099"/>
      <c r="K82" s="2470"/>
      <c r="L82" s="13"/>
      <c r="M82" s="13"/>
      <c r="N82" s="13"/>
      <c r="O82" s="13"/>
      <c r="P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BB82" s="13"/>
      <c r="BE82" s="13"/>
      <c r="BF82" s="13"/>
      <c r="BG82" s="13"/>
      <c r="BH82" s="13"/>
      <c r="BI82" s="13"/>
      <c r="BJ82" s="13"/>
      <c r="BK82" s="13"/>
      <c r="BL82" s="13"/>
      <c r="BM82" s="13"/>
      <c r="BN82" s="13"/>
      <c r="BO82" s="13"/>
      <c r="BP82" s="13"/>
      <c r="BQ82" s="13"/>
      <c r="BR82" s="13"/>
      <c r="BS82" s="13"/>
      <c r="BT82" s="13"/>
      <c r="BU82" s="13"/>
      <c r="BV82" s="13"/>
      <c r="BW82" s="13"/>
      <c r="BX82" s="13"/>
    </row>
    <row r="83" spans="1:76" ht="20.25" customHeight="1">
      <c r="A83" s="282">
        <v>24</v>
      </c>
      <c r="B83" s="283" t="s">
        <v>40</v>
      </c>
      <c r="C83" s="284"/>
      <c r="D83" s="285">
        <v>93897.043999999965</v>
      </c>
      <c r="E83" s="286"/>
      <c r="F83" s="287"/>
      <c r="G83" s="285">
        <v>96982.2</v>
      </c>
      <c r="H83" s="286"/>
      <c r="I83" s="288">
        <v>19.203000186808147</v>
      </c>
      <c r="J83" s="289" t="s">
        <v>8</v>
      </c>
      <c r="K83" s="629"/>
      <c r="L83" s="13"/>
      <c r="M83" s="13"/>
      <c r="N83" s="13"/>
      <c r="O83" s="13"/>
      <c r="P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BB83" s="13"/>
      <c r="BE83" s="13"/>
      <c r="BF83" s="13"/>
      <c r="BG83" s="13"/>
      <c r="BH83" s="13"/>
      <c r="BI83" s="13"/>
      <c r="BJ83" s="13"/>
      <c r="BK83" s="13"/>
      <c r="BL83" s="13"/>
      <c r="BM83" s="13"/>
      <c r="BN83" s="13"/>
      <c r="BO83" s="13"/>
      <c r="BP83" s="13"/>
      <c r="BQ83" s="13"/>
      <c r="BR83" s="13"/>
      <c r="BS83" s="13"/>
      <c r="BT83" s="13"/>
      <c r="BU83" s="13"/>
      <c r="BV83" s="13"/>
      <c r="BW83" s="13"/>
      <c r="BX83" s="13"/>
    </row>
    <row r="84" spans="1:76" ht="20.25" customHeight="1">
      <c r="A84" s="46">
        <v>25</v>
      </c>
      <c r="B84" s="47" t="s">
        <v>14</v>
      </c>
      <c r="C84" s="73"/>
      <c r="D84" s="109">
        <v>11272.763999999999</v>
      </c>
      <c r="E84" s="49"/>
      <c r="F84" s="50"/>
      <c r="G84" s="110">
        <v>11300</v>
      </c>
      <c r="H84" s="49" t="s">
        <v>525</v>
      </c>
      <c r="I84" s="69" t="s">
        <v>525</v>
      </c>
      <c r="J84" s="74" t="s">
        <v>41</v>
      </c>
      <c r="K84" s="630"/>
      <c r="L84" s="13"/>
      <c r="M84" s="13"/>
      <c r="N84" s="13"/>
      <c r="O84" s="13"/>
      <c r="P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BB84" s="13"/>
      <c r="BE84" s="13"/>
      <c r="BF84" s="13"/>
      <c r="BG84" s="13"/>
      <c r="BH84" s="13"/>
      <c r="BI84" s="13"/>
      <c r="BJ84" s="13"/>
      <c r="BK84" s="13"/>
      <c r="BL84" s="13"/>
      <c r="BM84" s="13"/>
      <c r="BN84" s="13"/>
      <c r="BO84" s="13"/>
      <c r="BP84" s="13"/>
      <c r="BQ84" s="13"/>
      <c r="BR84" s="13"/>
      <c r="BS84" s="13"/>
      <c r="BT84" s="13"/>
      <c r="BU84" s="13"/>
      <c r="BV84" s="13"/>
      <c r="BW84" s="13"/>
      <c r="BX84" s="13"/>
    </row>
    <row r="85" spans="1:76" ht="20.25" customHeight="1">
      <c r="A85" s="51">
        <v>26</v>
      </c>
      <c r="B85" s="42"/>
      <c r="C85" s="71"/>
      <c r="D85" s="109" t="s">
        <v>525</v>
      </c>
      <c r="E85" s="44"/>
      <c r="F85" s="53"/>
      <c r="G85" s="109" t="s">
        <v>525</v>
      </c>
      <c r="H85" s="44" t="s">
        <v>525</v>
      </c>
      <c r="I85" s="66" t="s">
        <v>525</v>
      </c>
      <c r="J85" s="67"/>
      <c r="K85" s="630"/>
      <c r="L85" s="13"/>
      <c r="M85" s="13"/>
      <c r="N85" s="13"/>
      <c r="O85" s="13"/>
      <c r="P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BB85" s="13"/>
      <c r="BE85" s="13"/>
      <c r="BF85" s="13"/>
      <c r="BG85" s="13"/>
      <c r="BH85" s="13"/>
      <c r="BI85" s="13"/>
      <c r="BJ85" s="13"/>
      <c r="BK85" s="13"/>
      <c r="BL85" s="13"/>
      <c r="BM85" s="13"/>
      <c r="BN85" s="13"/>
      <c r="BO85" s="13"/>
      <c r="BP85" s="13"/>
      <c r="BQ85" s="13"/>
      <c r="BR85" s="13"/>
      <c r="BS85" s="13"/>
      <c r="BT85" s="13"/>
      <c r="BU85" s="13"/>
      <c r="BV85" s="13"/>
      <c r="BW85" s="13"/>
      <c r="BX85" s="13"/>
    </row>
    <row r="86" spans="1:76" ht="20.25" customHeight="1">
      <c r="A86" s="282">
        <v>27</v>
      </c>
      <c r="B86" s="283" t="s">
        <v>42</v>
      </c>
      <c r="C86" s="284"/>
      <c r="D86" s="285">
        <v>105169.80799999996</v>
      </c>
      <c r="E86" s="286"/>
      <c r="F86" s="287"/>
      <c r="G86" s="285">
        <v>108282.2</v>
      </c>
      <c r="H86" s="286"/>
      <c r="I86" s="288">
        <v>21.440461309683602</v>
      </c>
      <c r="J86" s="289" t="s">
        <v>8</v>
      </c>
      <c r="K86" s="629"/>
      <c r="L86" s="13"/>
      <c r="M86" s="13"/>
      <c r="N86" s="13"/>
      <c r="O86" s="13"/>
      <c r="P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BB86" s="13"/>
      <c r="BE86" s="13"/>
      <c r="BF86" s="13"/>
      <c r="BG86" s="13"/>
      <c r="BH86" s="13"/>
      <c r="BI86" s="13"/>
      <c r="BJ86" s="13"/>
      <c r="BK86" s="13"/>
      <c r="BL86" s="13"/>
      <c r="BM86" s="13"/>
      <c r="BN86" s="13"/>
      <c r="BO86" s="13"/>
      <c r="BP86" s="13"/>
      <c r="BQ86" s="13"/>
      <c r="BR86" s="13"/>
      <c r="BS86" s="13"/>
      <c r="BT86" s="13"/>
      <c r="BU86" s="13"/>
      <c r="BV86" s="13"/>
      <c r="BW86" s="13"/>
      <c r="BX86" s="13"/>
    </row>
    <row r="87" spans="1:76" ht="20.25" customHeight="1">
      <c r="A87" s="46">
        <v>27</v>
      </c>
      <c r="B87" s="104" t="s">
        <v>90</v>
      </c>
      <c r="C87" s="73"/>
      <c r="D87" s="109">
        <v>103861.212</v>
      </c>
      <c r="E87" s="49"/>
      <c r="F87" s="50"/>
      <c r="G87" s="110">
        <v>30778</v>
      </c>
      <c r="H87" s="49" t="s">
        <v>525</v>
      </c>
      <c r="I87" s="125">
        <v>6.0942104814036098</v>
      </c>
      <c r="J87" s="74" t="s">
        <v>17</v>
      </c>
      <c r="K87" s="630"/>
      <c r="L87" s="13"/>
      <c r="M87" s="13"/>
      <c r="N87" s="13"/>
      <c r="O87" s="13"/>
      <c r="P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BB87" s="13"/>
      <c r="BE87" s="13"/>
      <c r="BF87" s="13"/>
      <c r="BG87" s="13"/>
      <c r="BH87" s="13"/>
      <c r="BI87" s="13"/>
      <c r="BJ87" s="13"/>
      <c r="BK87" s="13"/>
      <c r="BL87" s="13"/>
      <c r="BM87" s="13"/>
      <c r="BN87" s="13"/>
      <c r="BO87" s="13"/>
      <c r="BP87" s="13"/>
      <c r="BQ87" s="13"/>
      <c r="BR87" s="13"/>
      <c r="BS87" s="13"/>
      <c r="BT87" s="13"/>
      <c r="BU87" s="13"/>
      <c r="BV87" s="13"/>
      <c r="BW87" s="13"/>
      <c r="BX87" s="13"/>
    </row>
    <row r="88" spans="1:76" ht="20.25" customHeight="1">
      <c r="A88" s="46">
        <v>28</v>
      </c>
      <c r="B88" s="124" t="s">
        <v>95</v>
      </c>
      <c r="C88" s="73"/>
      <c r="D88" s="109">
        <v>0</v>
      </c>
      <c r="E88" s="49"/>
      <c r="F88" s="50"/>
      <c r="G88" s="110">
        <v>59222</v>
      </c>
      <c r="H88" s="49" t="s">
        <v>525</v>
      </c>
      <c r="I88" s="125">
        <v>11.72627633795843</v>
      </c>
      <c r="J88" s="74" t="s">
        <v>17</v>
      </c>
      <c r="K88" s="630"/>
      <c r="L88" s="13"/>
      <c r="M88" s="13"/>
      <c r="N88" s="13"/>
      <c r="O88" s="13"/>
      <c r="P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BB88" s="13"/>
      <c r="BE88" s="13"/>
      <c r="BF88" s="13"/>
      <c r="BG88" s="13"/>
      <c r="BH88" s="13"/>
      <c r="BI88" s="13"/>
      <c r="BJ88" s="13"/>
      <c r="BK88" s="13"/>
      <c r="BL88" s="13"/>
      <c r="BM88" s="13"/>
      <c r="BN88" s="13"/>
      <c r="BO88" s="13"/>
      <c r="BP88" s="13"/>
      <c r="BQ88" s="13"/>
      <c r="BR88" s="13"/>
      <c r="BS88" s="13"/>
      <c r="BT88" s="13"/>
      <c r="BU88" s="13"/>
      <c r="BV88" s="13"/>
      <c r="BW88" s="13"/>
      <c r="BX88" s="13"/>
    </row>
    <row r="89" spans="1:76" ht="20.25" customHeight="1">
      <c r="A89" s="46">
        <v>29</v>
      </c>
      <c r="B89" s="171" t="s">
        <v>111</v>
      </c>
      <c r="C89" s="73"/>
      <c r="D89" s="109">
        <v>13282.2</v>
      </c>
      <c r="E89" s="49"/>
      <c r="F89" s="50"/>
      <c r="G89" s="110">
        <v>13282.2</v>
      </c>
      <c r="H89" s="49" t="s">
        <v>525</v>
      </c>
      <c r="I89" s="125">
        <v>2.6299474448014499</v>
      </c>
      <c r="J89" s="74" t="s">
        <v>17</v>
      </c>
      <c r="K89" s="630"/>
      <c r="L89" s="13"/>
      <c r="M89" s="13"/>
      <c r="N89" s="13"/>
      <c r="O89" s="13"/>
      <c r="P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BB89" s="13"/>
      <c r="BE89" s="13"/>
      <c r="BF89" s="13"/>
      <c r="BG89" s="13"/>
      <c r="BH89" s="13"/>
      <c r="BI89" s="13"/>
      <c r="BJ89" s="13"/>
      <c r="BK89" s="13"/>
      <c r="BL89" s="13"/>
      <c r="BM89" s="13"/>
      <c r="BN89" s="13"/>
      <c r="BO89" s="13"/>
      <c r="BP89" s="13"/>
      <c r="BQ89" s="13"/>
      <c r="BR89" s="13"/>
      <c r="BS89" s="13"/>
      <c r="BT89" s="13"/>
      <c r="BU89" s="13"/>
      <c r="BV89" s="13"/>
      <c r="BW89" s="13"/>
      <c r="BX89" s="13"/>
    </row>
    <row r="90" spans="1:76" ht="20.25" customHeight="1">
      <c r="A90" s="51">
        <v>30</v>
      </c>
      <c r="B90" s="42" t="s">
        <v>43</v>
      </c>
      <c r="C90" s="71"/>
      <c r="D90" s="109">
        <v>7250</v>
      </c>
      <c r="E90" s="44"/>
      <c r="F90" s="125"/>
      <c r="G90" s="109">
        <v>0</v>
      </c>
      <c r="H90" s="44" t="s">
        <v>525</v>
      </c>
      <c r="I90" s="75" t="s">
        <v>525</v>
      </c>
      <c r="J90" s="67" t="s">
        <v>38</v>
      </c>
      <c r="K90" s="630"/>
      <c r="L90" s="13"/>
      <c r="M90" s="13"/>
      <c r="N90" s="13"/>
      <c r="O90" s="13"/>
      <c r="P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BB90" s="13"/>
      <c r="BE90" s="13"/>
      <c r="BF90" s="13"/>
      <c r="BG90" s="13"/>
      <c r="BH90" s="13"/>
      <c r="BI90" s="13"/>
      <c r="BJ90" s="13"/>
      <c r="BK90" s="13"/>
      <c r="BL90" s="13"/>
      <c r="BM90" s="13"/>
      <c r="BN90" s="13"/>
      <c r="BO90" s="13"/>
      <c r="BP90" s="13"/>
      <c r="BQ90" s="13"/>
      <c r="BR90" s="13"/>
      <c r="BS90" s="13"/>
      <c r="BT90" s="13"/>
      <c r="BU90" s="13"/>
      <c r="BV90" s="13"/>
      <c r="BW90" s="13"/>
      <c r="BX90" s="13"/>
    </row>
    <row r="91" spans="1:76" ht="22.2">
      <c r="A91" s="290">
        <v>28</v>
      </c>
      <c r="B91" s="300" t="s">
        <v>81</v>
      </c>
      <c r="C91" s="301"/>
      <c r="D91" s="285">
        <v>-4723.6040000000394</v>
      </c>
      <c r="E91" s="294"/>
      <c r="F91" s="303">
        <v>-1.1765834564116997</v>
      </c>
      <c r="G91" s="304">
        <v>5000</v>
      </c>
      <c r="H91" s="294" t="s">
        <v>525</v>
      </c>
      <c r="I91" s="288">
        <v>0.99002704552011334</v>
      </c>
      <c r="J91" s="305" t="s">
        <v>44</v>
      </c>
      <c r="K91" s="632"/>
      <c r="L91" s="13"/>
      <c r="M91" s="13"/>
      <c r="N91" s="13"/>
      <c r="O91" s="13"/>
      <c r="P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BB91" s="13"/>
      <c r="BE91" s="13"/>
      <c r="BF91" s="13"/>
      <c r="BG91" s="13"/>
      <c r="BH91" s="13"/>
      <c r="BI91" s="13"/>
      <c r="BJ91" s="13"/>
      <c r="BK91" s="13"/>
      <c r="BL91" s="13"/>
      <c r="BM91" s="13"/>
      <c r="BN91" s="13"/>
      <c r="BO91" s="13"/>
      <c r="BP91" s="13"/>
      <c r="BQ91" s="13"/>
      <c r="BR91" s="13"/>
      <c r="BS91" s="13"/>
      <c r="BT91" s="13"/>
      <c r="BU91" s="13"/>
      <c r="BV91" s="13"/>
      <c r="BW91" s="13"/>
      <c r="BX91" s="13"/>
    </row>
    <row r="92" spans="1:76">
      <c r="A92" s="306"/>
      <c r="B92" s="307"/>
      <c r="C92" s="308"/>
      <c r="D92" s="309"/>
      <c r="E92" s="310"/>
      <c r="F92" s="303"/>
      <c r="G92" s="311"/>
      <c r="H92" s="310"/>
      <c r="I92" s="312"/>
      <c r="J92" s="313" t="s">
        <v>45</v>
      </c>
      <c r="K92" s="633"/>
      <c r="L92" s="13"/>
      <c r="M92" s="13"/>
      <c r="N92" s="13"/>
      <c r="O92" s="13"/>
      <c r="P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BB92" s="13"/>
      <c r="BE92" s="13"/>
      <c r="BF92" s="13"/>
      <c r="BG92" s="13"/>
      <c r="BH92" s="13"/>
      <c r="BI92" s="13"/>
      <c r="BJ92" s="13"/>
      <c r="BK92" s="13"/>
      <c r="BL92" s="13"/>
      <c r="BM92" s="13"/>
      <c r="BN92" s="13"/>
      <c r="BO92" s="13"/>
      <c r="BP92" s="13"/>
      <c r="BQ92" s="13"/>
      <c r="BR92" s="13"/>
      <c r="BS92" s="13"/>
      <c r="BT92" s="13"/>
      <c r="BU92" s="13"/>
      <c r="BV92" s="13"/>
      <c r="BW92" s="13"/>
      <c r="BX92" s="13"/>
    </row>
    <row r="93" spans="1:76">
      <c r="P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BB93" s="13"/>
      <c r="BE93" s="13"/>
      <c r="BF93" s="13"/>
      <c r="BG93" s="13"/>
      <c r="BH93" s="13"/>
      <c r="BI93" s="13"/>
      <c r="BJ93" s="13"/>
      <c r="BK93" s="13"/>
      <c r="BL93" s="13"/>
      <c r="BM93" s="13"/>
      <c r="BN93" s="13"/>
      <c r="BO93" s="13"/>
      <c r="BP93" s="13"/>
      <c r="BQ93" s="13"/>
      <c r="BR93" s="13"/>
      <c r="BS93" s="13"/>
      <c r="BT93" s="13"/>
      <c r="BU93" s="13"/>
      <c r="BV93" s="13"/>
      <c r="BW93" s="13"/>
      <c r="BX93" s="13"/>
    </row>
    <row r="94" spans="1:76">
      <c r="P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BB94" s="13"/>
      <c r="BE94" s="13"/>
      <c r="BF94" s="13"/>
      <c r="BG94" s="13"/>
      <c r="BH94" s="13"/>
      <c r="BI94" s="13"/>
      <c r="BJ94" s="13"/>
      <c r="BK94" s="13"/>
      <c r="BL94" s="13"/>
      <c r="BM94" s="13"/>
      <c r="BN94" s="13"/>
      <c r="BO94" s="13"/>
      <c r="BP94" s="13"/>
      <c r="BQ94" s="13"/>
      <c r="BR94" s="13"/>
      <c r="BS94" s="13"/>
      <c r="BT94" s="13"/>
      <c r="BU94" s="13"/>
      <c r="BV94" s="13"/>
      <c r="BW94" s="13"/>
      <c r="BX94" s="13"/>
    </row>
    <row r="95" spans="1:76">
      <c r="A95" s="34" t="s">
        <v>130</v>
      </c>
      <c r="P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BB95" s="13"/>
      <c r="BE95" s="13"/>
      <c r="BF95" s="13"/>
      <c r="BG95" s="13"/>
      <c r="BH95" s="13"/>
      <c r="BI95" s="13"/>
      <c r="BJ95" s="13"/>
      <c r="BK95" s="13"/>
      <c r="BL95" s="13"/>
      <c r="BM95" s="13"/>
      <c r="BN95" s="13"/>
      <c r="BO95" s="13"/>
      <c r="BP95" s="13"/>
      <c r="BQ95" s="13"/>
      <c r="BR95" s="13"/>
      <c r="BS95" s="13"/>
      <c r="BT95" s="13"/>
      <c r="BU95" s="13"/>
      <c r="BV95" s="13"/>
      <c r="BW95" s="13"/>
      <c r="BX95" s="13"/>
    </row>
    <row r="96" spans="1:76">
      <c r="P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BB96" s="13"/>
      <c r="BE96" s="13"/>
      <c r="BF96" s="13"/>
      <c r="BG96" s="13"/>
      <c r="BH96" s="13"/>
      <c r="BI96" s="13"/>
      <c r="BJ96" s="13"/>
      <c r="BK96" s="13"/>
      <c r="BL96" s="13"/>
      <c r="BM96" s="13"/>
      <c r="BN96" s="13"/>
      <c r="BO96" s="13"/>
      <c r="BP96" s="13"/>
      <c r="BQ96" s="13"/>
      <c r="BR96" s="13"/>
      <c r="BS96" s="13"/>
      <c r="BT96" s="13"/>
      <c r="BU96" s="13"/>
      <c r="BV96" s="13"/>
      <c r="BW96" s="13"/>
      <c r="BX96" s="13"/>
    </row>
  </sheetData>
  <sheetProtection algorithmName="SHA-512" hashValue="vyeUsLKAXNoXgy6VeQDvvJgIN4Jb7BhxwyTABjDcHiyhroWSUQbE9KmyONnizlC90HxNLjOEDCaZeKE40nMc4w==" saltValue="ADS4rJP7xiDaSjad/Mm/sA==" spinCount="100000" sheet="1" objects="1" scenarios="1"/>
  <mergeCells count="78">
    <mergeCell ref="BN38:BP39"/>
    <mergeCell ref="D39:F39"/>
    <mergeCell ref="AP39:AR39"/>
    <mergeCell ref="H80:J82"/>
    <mergeCell ref="D40:F40"/>
    <mergeCell ref="G40:I40"/>
    <mergeCell ref="A43:L46"/>
    <mergeCell ref="B50:K53"/>
    <mergeCell ref="D57:F57"/>
    <mergeCell ref="G57:I57"/>
    <mergeCell ref="M29:N31"/>
    <mergeCell ref="P32:S32"/>
    <mergeCell ref="BB32:BE32"/>
    <mergeCell ref="L34:M34"/>
    <mergeCell ref="AB38:AD39"/>
    <mergeCell ref="L37:M39"/>
    <mergeCell ref="L35:M36"/>
    <mergeCell ref="N34:N36"/>
    <mergeCell ref="BQ23:BR23"/>
    <mergeCell ref="BQ19:BS22"/>
    <mergeCell ref="P25:S25"/>
    <mergeCell ref="BB25:BE25"/>
    <mergeCell ref="M26:N28"/>
    <mergeCell ref="P24:S24"/>
    <mergeCell ref="BB24:BE24"/>
    <mergeCell ref="M18:M20"/>
    <mergeCell ref="AE19:AG22"/>
    <mergeCell ref="AX19:BA20"/>
    <mergeCell ref="M21:N25"/>
    <mergeCell ref="P21:P22"/>
    <mergeCell ref="Q21:R22"/>
    <mergeCell ref="S21:S22"/>
    <mergeCell ref="BB21:BB22"/>
    <mergeCell ref="BC21:BD22"/>
    <mergeCell ref="BE21:BE22"/>
    <mergeCell ref="Q23:S23"/>
    <mergeCell ref="AE23:AF23"/>
    <mergeCell ref="BC23:BE23"/>
    <mergeCell ref="BN15:BP15"/>
    <mergeCell ref="P16:Q16"/>
    <mergeCell ref="R16:T18"/>
    <mergeCell ref="AB16:AD16"/>
    <mergeCell ref="BB16:BE18"/>
    <mergeCell ref="BN16:BP16"/>
    <mergeCell ref="AB17:AD17"/>
    <mergeCell ref="BN17:BP17"/>
    <mergeCell ref="M14:M16"/>
    <mergeCell ref="Q14:R14"/>
    <mergeCell ref="BC14:BD14"/>
    <mergeCell ref="Q15:S15"/>
    <mergeCell ref="AB15:AD15"/>
    <mergeCell ref="BC15:BE15"/>
    <mergeCell ref="M9:O10"/>
    <mergeCell ref="P10:S10"/>
    <mergeCell ref="BB10:BE10"/>
    <mergeCell ref="M11:M13"/>
    <mergeCell ref="Q11:R11"/>
    <mergeCell ref="BC11:BD11"/>
    <mergeCell ref="Q12:R12"/>
    <mergeCell ref="BC12:BD12"/>
    <mergeCell ref="Q13:R13"/>
    <mergeCell ref="BC13:BD13"/>
    <mergeCell ref="AE3:AI4"/>
    <mergeCell ref="BQ3:BU4"/>
    <mergeCell ref="D4:E4"/>
    <mergeCell ref="G4:I4"/>
    <mergeCell ref="AP4:AQ4"/>
    <mergeCell ref="AS4:AU4"/>
    <mergeCell ref="A1:M1"/>
    <mergeCell ref="P1:S1"/>
    <mergeCell ref="V1:AA1"/>
    <mergeCell ref="I2:J2"/>
    <mergeCell ref="M2:M7"/>
    <mergeCell ref="F3:K3"/>
    <mergeCell ref="B5:F5"/>
    <mergeCell ref="S5:S6"/>
    <mergeCell ref="P6:Q7"/>
    <mergeCell ref="T1:U1"/>
  </mergeCells>
  <pageMargins left="0.7" right="0.7" top="0.78740157499999996" bottom="0.78740157499999996"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95"/>
  <sheetViews>
    <sheetView showGridLines="0" zoomScale="85" zoomScaleNormal="85" workbookViewId="0">
      <selection activeCell="K11" sqref="K11"/>
    </sheetView>
  </sheetViews>
  <sheetFormatPr baseColWidth="10" defaultColWidth="10.77734375" defaultRowHeight="13.2"/>
  <cols>
    <col min="1" max="1" width="4.44140625" style="34" customWidth="1"/>
    <col min="2" max="2" width="23.44140625" style="34" customWidth="1"/>
    <col min="3" max="3" width="12.77734375" style="34" customWidth="1"/>
    <col min="4" max="4" width="5.77734375" style="34" customWidth="1"/>
    <col min="5" max="5" width="26.21875" style="34" customWidth="1"/>
    <col min="6" max="6" width="4.44140625" style="34" customWidth="1"/>
    <col min="7" max="7" width="10.44140625" style="34" customWidth="1"/>
    <col min="8" max="8" width="1" style="34" customWidth="1"/>
    <col min="9" max="9" width="6.5546875" style="34" customWidth="1"/>
    <col min="10" max="10" width="10" style="34" customWidth="1"/>
    <col min="11" max="11" width="6.44140625" style="34" customWidth="1"/>
    <col min="12" max="12" width="13" style="34" customWidth="1"/>
    <col min="13" max="13" width="5.77734375" style="34" customWidth="1"/>
    <col min="14" max="14" width="6.5546875" style="34" customWidth="1"/>
    <col min="15" max="15" width="5.21875" style="34" customWidth="1"/>
    <col min="16" max="16" width="10.77734375" style="34"/>
    <col min="17" max="17" width="7.21875" style="34" customWidth="1"/>
    <col min="18" max="18" width="4.21875" style="34" customWidth="1"/>
    <col min="19" max="16384" width="10.77734375" style="34"/>
  </cols>
  <sheetData>
    <row r="1" spans="1:21" ht="157.5" customHeight="1" thickBot="1">
      <c r="A1" s="4107" t="s">
        <v>1027</v>
      </c>
      <c r="B1" s="4107"/>
      <c r="C1" s="4107"/>
      <c r="D1" s="4107"/>
      <c r="E1" s="4107"/>
      <c r="F1" s="1777"/>
      <c r="G1" s="3672" t="s">
        <v>1060</v>
      </c>
      <c r="H1" s="3672"/>
      <c r="I1" s="3672"/>
      <c r="J1" s="3672"/>
      <c r="K1" s="3672"/>
      <c r="L1" s="3672"/>
      <c r="M1" s="3672"/>
      <c r="N1" s="3672"/>
      <c r="O1" s="3672"/>
      <c r="P1" s="3672"/>
      <c r="Q1" s="4108" t="str">
        <f>IF(L6=0,"","Die grauen Pfeile zeigen welcher Wert sich bei Eingabe ändert.")</f>
        <v/>
      </c>
      <c r="R1" s="4108"/>
      <c r="S1" s="4108"/>
      <c r="T1" s="4108"/>
    </row>
    <row r="2" spans="1:21" ht="32.549999999999997" customHeight="1" thickTop="1">
      <c r="A2" s="4112" t="s">
        <v>1034</v>
      </c>
      <c r="B2" s="4112"/>
      <c r="C2" s="4112"/>
      <c r="D2" s="4113"/>
      <c r="F2" s="4109" t="s">
        <v>1033</v>
      </c>
      <c r="G2" s="4110"/>
      <c r="H2" s="4110"/>
      <c r="I2" s="4110"/>
      <c r="J2" s="4110"/>
      <c r="K2" s="4110"/>
      <c r="L2" s="4110"/>
      <c r="M2" s="4110"/>
      <c r="N2" s="4110"/>
      <c r="O2" s="4110"/>
      <c r="P2" s="4110"/>
      <c r="Q2" s="4110"/>
      <c r="R2" s="4111"/>
    </row>
    <row r="3" spans="1:21" ht="18" customHeight="1">
      <c r="A3" s="4114" t="str">
        <f>IF('18 Zielumsatz Planungsjahr'!P21="","","Mit Änderung der Umsätze DL-VK")</f>
        <v/>
      </c>
      <c r="B3" s="4116"/>
      <c r="C3" s="4114" t="str">
        <f>IF('11 Gesamt PK'!D5="","","Mit Provisionszahlungen")</f>
        <v/>
      </c>
      <c r="D3" s="4115"/>
      <c r="F3" s="1789" t="s">
        <v>1031</v>
      </c>
      <c r="G3" s="1738"/>
      <c r="H3" s="1739"/>
      <c r="I3" s="1739"/>
      <c r="J3" s="1740"/>
      <c r="K3" s="1739"/>
      <c r="L3" s="1739"/>
      <c r="M3" s="1739"/>
      <c r="N3" s="1739"/>
      <c r="O3" s="1739"/>
      <c r="P3" s="1790"/>
      <c r="Q3" s="1739"/>
      <c r="R3" s="1791" t="s">
        <v>1016</v>
      </c>
    </row>
    <row r="4" spans="1:21" ht="21.6" customHeight="1" thickBot="1">
      <c r="A4" s="1723"/>
      <c r="B4" s="35" t="s">
        <v>25</v>
      </c>
      <c r="C4" s="38" t="s">
        <v>27</v>
      </c>
      <c r="D4" s="1724"/>
      <c r="F4" s="1798" t="s">
        <v>673</v>
      </c>
      <c r="G4" s="1799" t="s">
        <v>1032</v>
      </c>
      <c r="H4" s="1799"/>
      <c r="I4" s="1799"/>
      <c r="J4" s="1799"/>
      <c r="K4" s="1799"/>
      <c r="L4" s="1804" t="s">
        <v>25</v>
      </c>
      <c r="M4" s="1799"/>
      <c r="N4" s="1799"/>
      <c r="O4" s="1799"/>
      <c r="P4" s="1799"/>
      <c r="Q4" s="1800" t="s">
        <v>1032</v>
      </c>
      <c r="R4" s="1801" t="s">
        <v>673</v>
      </c>
    </row>
    <row r="5" spans="1:21" ht="13.8">
      <c r="A5" s="1725" t="s">
        <v>19</v>
      </c>
      <c r="B5" s="37"/>
      <c r="C5" s="38"/>
      <c r="D5" s="1724"/>
      <c r="F5" s="1794"/>
      <c r="G5" s="1741"/>
      <c r="H5" s="39"/>
      <c r="I5" s="40" t="s">
        <v>28</v>
      </c>
      <c r="J5" s="1795"/>
      <c r="K5" s="615" t="s">
        <v>1028</v>
      </c>
      <c r="L5" s="1796" t="s">
        <v>931</v>
      </c>
      <c r="M5" s="1796" t="s">
        <v>1029</v>
      </c>
      <c r="N5" s="615" t="s">
        <v>1030</v>
      </c>
      <c r="O5" s="615"/>
      <c r="P5" s="1749" t="s">
        <v>6</v>
      </c>
      <c r="Q5" s="40" t="s">
        <v>28</v>
      </c>
      <c r="R5" s="1797"/>
      <c r="T5" s="615"/>
      <c r="U5" s="615"/>
    </row>
    <row r="6" spans="1:21" ht="19.05" customHeight="1">
      <c r="A6" s="1726"/>
      <c r="B6" s="42" t="s">
        <v>29</v>
      </c>
      <c r="C6" s="110">
        <f>'18 Zielumsatz Planungsjahr'!BK7</f>
        <v>382612.56515634293</v>
      </c>
      <c r="D6" s="1727">
        <f>'18 Zielumsatz Planungsjahr'!BM7</f>
        <v>75.759357492121211</v>
      </c>
      <c r="F6" s="1792" t="str">
        <f>IF($L$6=0,"",IF(C6&gt;G6,$N$5,IF(C6&lt;G6,$M$5,"--")))</f>
        <v/>
      </c>
      <c r="G6" s="1742">
        <f>IF(C6="","",G8/100*K6)</f>
        <v>382612.56515634293</v>
      </c>
      <c r="H6" s="44"/>
      <c r="I6" s="45">
        <f>IF(G6="","",G6/$G$10*100)</f>
        <v>75.759357492121211</v>
      </c>
      <c r="J6" s="1774">
        <f>IF(C6="","",C6)</f>
        <v>382612.56515634293</v>
      </c>
      <c r="K6" s="615">
        <f>J6/C8*100</f>
        <v>80.170460925507527</v>
      </c>
      <c r="L6" s="873">
        <f>SUM(L8:L11,L13:L37)</f>
        <v>0</v>
      </c>
      <c r="P6" s="1750">
        <f>IF(C6="","",P8*U6/100)</f>
        <v>382612.56515634293</v>
      </c>
      <c r="Q6" s="1765">
        <f>IF(P6="","",P6/$P$10*100)</f>
        <v>75.759357492121211</v>
      </c>
      <c r="R6" s="1802" t="str">
        <f t="shared" ref="R6:R37" si="0">IF($L$6=0,"",IF(C6&gt;P6,$K$5,IF(C6&lt;P6,$L$5,"--")))</f>
        <v/>
      </c>
      <c r="T6" s="1722">
        <f>IF(C6="","",C6)</f>
        <v>382612.56515634293</v>
      </c>
      <c r="U6" s="1775">
        <f>T6/C8*100</f>
        <v>80.170460925507527</v>
      </c>
    </row>
    <row r="7" spans="1:21" ht="19.05" customHeight="1">
      <c r="A7" s="1728"/>
      <c r="B7" s="47" t="s">
        <v>30</v>
      </c>
      <c r="C7" s="110">
        <f>'18 Zielumsatz Planungsjahr'!BK8</f>
        <v>94636.237880797373</v>
      </c>
      <c r="D7" s="1727">
        <f>'18 Zielumsatz Planungsjahr'!BM8</f>
        <v>18.738486997652892</v>
      </c>
      <c r="F7" s="1792" t="str">
        <f t="shared" ref="F7:F37" si="1">IF($L$6=0,"",IF(C7&gt;G7,$N$5,IF(C7&lt;G7,$M$5,"--")))</f>
        <v/>
      </c>
      <c r="G7" s="1742">
        <f>IF(C7="","",G8/100*K7)</f>
        <v>94636.237880797373</v>
      </c>
      <c r="H7" s="49"/>
      <c r="I7" s="45">
        <f>IF(G7="","",G7/$G$10*100)</f>
        <v>18.738486997652892</v>
      </c>
      <c r="J7" s="1774">
        <f>IF(C7="","",C7)</f>
        <v>94636.237880797373</v>
      </c>
      <c r="K7" s="615">
        <f>J7/C8*100</f>
        <v>19.829539074492477</v>
      </c>
      <c r="L7" s="76" t="s">
        <v>330</v>
      </c>
      <c r="N7" s="728" t="s">
        <v>28</v>
      </c>
      <c r="P7" s="1750">
        <f>IF(C7="","",P8*U7/100)</f>
        <v>94636.237880797373</v>
      </c>
      <c r="Q7" s="1765">
        <f>IF(P7="","",P7/$P$10*100)</f>
        <v>18.738486997652892</v>
      </c>
      <c r="R7" s="1802" t="str">
        <f t="shared" si="0"/>
        <v/>
      </c>
      <c r="T7" s="1722">
        <f>IF(C7="","",C7)</f>
        <v>94636.237880797373</v>
      </c>
      <c r="U7" s="1775">
        <f>T7/C8*100</f>
        <v>19.829539074492477</v>
      </c>
    </row>
    <row r="8" spans="1:21" ht="19.05" customHeight="1">
      <c r="A8" s="1726"/>
      <c r="B8" s="42" t="s">
        <v>31</v>
      </c>
      <c r="C8" s="110">
        <f>'18 Zielumsatz Planungsjahr'!BK9</f>
        <v>477248.80303714029</v>
      </c>
      <c r="D8" s="1727">
        <f>'18 Zielumsatz Planungsjahr'!BM9</f>
        <v>94.497844489774096</v>
      </c>
      <c r="F8" s="1792" t="str">
        <f t="shared" si="1"/>
        <v/>
      </c>
      <c r="G8" s="1742">
        <f>IF(L8="",'18 Zielumsatz Planungsjahr'!BK9,L8)</f>
        <v>477248.80303714029</v>
      </c>
      <c r="H8" s="44"/>
      <c r="I8" s="45">
        <f>IF(G8=0,"",G8/$G$10*100)</f>
        <v>94.497844489774096</v>
      </c>
      <c r="J8" s="1748"/>
      <c r="K8" s="1778" t="s">
        <v>843</v>
      </c>
      <c r="L8" s="1719"/>
      <c r="P8" s="1751">
        <f>P10-P9</f>
        <v>477248.80303714029</v>
      </c>
      <c r="Q8" s="1765">
        <f>Q10-Q9</f>
        <v>94.49784448977411</v>
      </c>
      <c r="R8" s="1802" t="str">
        <f t="shared" si="0"/>
        <v/>
      </c>
      <c r="T8" s="615"/>
      <c r="U8" s="615"/>
    </row>
    <row r="9" spans="1:21" ht="19.05" customHeight="1">
      <c r="A9" s="1729"/>
      <c r="B9" s="42" t="s">
        <v>32</v>
      </c>
      <c r="C9" s="110">
        <f>'18 Zielumsatz Planungsjahr'!BK10</f>
        <v>27787.905063418355</v>
      </c>
      <c r="D9" s="1727">
        <f>'18 Zielumsatz Planungsjahr'!BM10</f>
        <v>5.5021555102258946</v>
      </c>
      <c r="F9" s="1792" t="str">
        <f t="shared" si="1"/>
        <v/>
      </c>
      <c r="G9" s="1742">
        <f>IF(L9="",'18 Zielumsatz Planungsjahr'!BK10,L9)</f>
        <v>27787.905063418355</v>
      </c>
      <c r="H9" s="44"/>
      <c r="I9" s="45">
        <f t="shared" ref="I9:I37" si="2">IF(G9=0,"",G9/$G$10*100)</f>
        <v>5.5021555102258946</v>
      </c>
      <c r="J9" s="1748"/>
      <c r="K9" s="1778" t="s">
        <v>843</v>
      </c>
      <c r="L9" s="1719"/>
      <c r="O9" s="1778"/>
      <c r="P9" s="1750">
        <f>IF(C9="","",C9)</f>
        <v>27787.905063418355</v>
      </c>
      <c r="Q9" s="1765">
        <f>P9/P10*100</f>
        <v>5.5021555102258946</v>
      </c>
      <c r="R9" s="1802" t="str">
        <f t="shared" si="0"/>
        <v/>
      </c>
      <c r="T9" s="615"/>
      <c r="U9" s="615"/>
    </row>
    <row r="10" spans="1:21" ht="19.05" customHeight="1">
      <c r="A10" s="1730"/>
      <c r="B10" s="283" t="s">
        <v>33</v>
      </c>
      <c r="C10" s="285">
        <f>C12+C11</f>
        <v>505036.70810055867</v>
      </c>
      <c r="D10" s="1731">
        <f>'18 Zielumsatz Planungsjahr'!BM11</f>
        <v>100</v>
      </c>
      <c r="F10" s="1792" t="str">
        <f t="shared" si="1"/>
        <v/>
      </c>
      <c r="G10" s="1743">
        <f>SUM(G8:G9)</f>
        <v>505036.70810055867</v>
      </c>
      <c r="H10" s="286"/>
      <c r="I10" s="287">
        <f t="shared" si="2"/>
        <v>100</v>
      </c>
      <c r="J10" s="1747"/>
      <c r="P10" s="1752">
        <f>P12+P11</f>
        <v>505036.70810055867</v>
      </c>
      <c r="Q10" s="1766">
        <v>100</v>
      </c>
      <c r="R10" s="1802" t="str">
        <f t="shared" si="0"/>
        <v/>
      </c>
      <c r="T10" s="615">
        <f>IF(L11="",0,1)</f>
        <v>0</v>
      </c>
      <c r="U10" s="615"/>
    </row>
    <row r="11" spans="1:21" ht="19.05" customHeight="1">
      <c r="A11" s="1729"/>
      <c r="B11" s="47" t="s">
        <v>50</v>
      </c>
      <c r="C11" s="110">
        <f>'18 Zielumsatz Planungsjahr'!BK12</f>
        <v>53028.854350558657</v>
      </c>
      <c r="D11" s="1727">
        <f>'18 Zielumsatz Planungsjahr'!BM12</f>
        <v>10.5</v>
      </c>
      <c r="F11" s="1792" t="str">
        <f t="shared" si="1"/>
        <v/>
      </c>
      <c r="G11" s="1742">
        <f>IF(N11&gt;0,P11,IF(L11="",'18 Zielumsatz Planungsjahr'!BK12,L11))</f>
        <v>53028.854350558657</v>
      </c>
      <c r="H11" s="49"/>
      <c r="I11" s="45">
        <f t="shared" si="2"/>
        <v>10.5</v>
      </c>
      <c r="J11" s="1748"/>
      <c r="K11" s="1778" t="s">
        <v>843</v>
      </c>
      <c r="L11" s="1719"/>
      <c r="M11" s="1778" t="s">
        <v>1017</v>
      </c>
      <c r="N11" s="1720"/>
      <c r="O11" s="1779" t="s">
        <v>905</v>
      </c>
      <c r="P11" s="1750">
        <f>IF(SUM(T10:T11)=0,P12/Q12*Q11,IF(L11="",P12/Q12*Q11,L11))</f>
        <v>53028.854350558657</v>
      </c>
      <c r="Q11" s="1765">
        <f>IF(N11="",D11,N11)</f>
        <v>10.5</v>
      </c>
      <c r="R11" s="1802" t="str">
        <f t="shared" si="0"/>
        <v/>
      </c>
      <c r="T11" s="615">
        <f>IF(N11="",0,1)</f>
        <v>0</v>
      </c>
      <c r="U11" s="615"/>
    </row>
    <row r="12" spans="1:21" ht="19.05" customHeight="1">
      <c r="A12" s="1732"/>
      <c r="B12" s="283" t="s">
        <v>34</v>
      </c>
      <c r="C12" s="285">
        <f>C14+C13</f>
        <v>452007.85375000001</v>
      </c>
      <c r="D12" s="1731">
        <f>'18 Zielumsatz Planungsjahr'!BM13</f>
        <v>89.5</v>
      </c>
      <c r="F12" s="1792" t="str">
        <f t="shared" si="1"/>
        <v/>
      </c>
      <c r="G12" s="1743">
        <f>G10-G11</f>
        <v>452007.85375000001</v>
      </c>
      <c r="H12" s="286">
        <f>H10-H11</f>
        <v>0</v>
      </c>
      <c r="I12" s="287">
        <f t="shared" si="2"/>
        <v>89.5</v>
      </c>
      <c r="J12" s="1747"/>
      <c r="L12" s="4106" t="str">
        <f>IF(SUM(T10:T11)=2,"Oben nur eine Eingabe, € oder %","")</f>
        <v/>
      </c>
      <c r="M12" s="4106"/>
      <c r="N12" s="4106"/>
      <c r="P12" s="1752">
        <f>P14+P13</f>
        <v>452007.85375000001</v>
      </c>
      <c r="Q12" s="1766">
        <f>IF(N10="",D12,Q10-N11)</f>
        <v>89.5</v>
      </c>
      <c r="R12" s="1802" t="str">
        <f t="shared" si="0"/>
        <v/>
      </c>
    </row>
    <row r="13" spans="1:21" ht="19.05" customHeight="1">
      <c r="A13" s="1729"/>
      <c r="B13" s="47" t="s">
        <v>35</v>
      </c>
      <c r="C13" s="110">
        <f>'18 Zielumsatz Planungsjahr'!BK14</f>
        <v>211335.49775000001</v>
      </c>
      <c r="D13" s="1727">
        <f>'18 Zielumsatz Planungsjahr'!BM14</f>
        <v>41.845571690191015</v>
      </c>
      <c r="F13" s="1792" t="str">
        <f t="shared" si="1"/>
        <v/>
      </c>
      <c r="G13" s="1742">
        <f>IF(L13="",'18 Zielumsatz Planungsjahr'!BK14,L13)</f>
        <v>211335.49775000001</v>
      </c>
      <c r="H13" s="49"/>
      <c r="I13" s="53">
        <f t="shared" si="2"/>
        <v>41.845571690191015</v>
      </c>
      <c r="J13" s="1747"/>
      <c r="K13" s="1778" t="s">
        <v>843</v>
      </c>
      <c r="L13" s="1719"/>
      <c r="M13" s="1778" t="s">
        <v>905</v>
      </c>
      <c r="N13" s="1778"/>
      <c r="O13" s="1778"/>
      <c r="P13" s="1751">
        <f>IF(KG13="",G13,L13)</f>
        <v>211335.49775000001</v>
      </c>
      <c r="Q13" s="1776">
        <f>IF(P13=0,"",P13/$P$10*100)</f>
        <v>41.845571690191015</v>
      </c>
      <c r="R13" s="1802" t="str">
        <f t="shared" si="0"/>
        <v/>
      </c>
    </row>
    <row r="14" spans="1:21" ht="19.05" customHeight="1" thickBot="1">
      <c r="A14" s="1732"/>
      <c r="B14" s="292" t="s">
        <v>7</v>
      </c>
      <c r="C14" s="295">
        <f>C25+C24</f>
        <v>240672.356</v>
      </c>
      <c r="D14" s="1731">
        <f>'18 Zielumsatz Planungsjahr'!BM15</f>
        <v>47.654428309808985</v>
      </c>
      <c r="F14" s="1792" t="str">
        <f t="shared" si="1"/>
        <v/>
      </c>
      <c r="G14" s="1744">
        <f>G12-G13</f>
        <v>240672.356</v>
      </c>
      <c r="H14" s="294"/>
      <c r="I14" s="1685">
        <f t="shared" si="2"/>
        <v>47.654428309808985</v>
      </c>
      <c r="J14" s="1747"/>
      <c r="P14" s="1753">
        <f>P25+P24</f>
        <v>240672.356</v>
      </c>
      <c r="Q14" s="1768"/>
      <c r="R14" s="1802" t="str">
        <f t="shared" si="0"/>
        <v/>
      </c>
    </row>
    <row r="15" spans="1:21" ht="19.05" customHeight="1">
      <c r="A15" s="1728"/>
      <c r="B15" s="68" t="s">
        <v>9</v>
      </c>
      <c r="C15" s="110">
        <f>'18 Zielumsatz Planungsjahr'!BK16</f>
        <v>40064.055999999997</v>
      </c>
      <c r="D15" s="1727">
        <f>'18 Zielumsatz Planungsjahr'!BM16</f>
        <v>7.9328997986464742</v>
      </c>
      <c r="F15" s="1792" t="str">
        <f t="shared" si="1"/>
        <v/>
      </c>
      <c r="G15" s="1742">
        <f>IF(L15="",'18 Zielumsatz Planungsjahr'!BK16,L15)</f>
        <v>40064.055999999997</v>
      </c>
      <c r="H15" s="49"/>
      <c r="I15" s="50">
        <f t="shared" si="2"/>
        <v>7.9328997986464742</v>
      </c>
      <c r="J15" s="1747"/>
      <c r="K15" s="1778" t="s">
        <v>843</v>
      </c>
      <c r="L15" s="1719"/>
      <c r="M15" s="1778" t="s">
        <v>905</v>
      </c>
      <c r="N15" s="1778"/>
      <c r="O15" s="1778"/>
      <c r="P15" s="1751">
        <f t="shared" ref="P15:P23" si="3">IF(L15="",G15,L15)</f>
        <v>40064.055999999997</v>
      </c>
      <c r="Q15" s="1745">
        <f t="shared" ref="Q15:Q37" si="4">IF(P15=0,"",P15/$P$10*100)</f>
        <v>7.9328997986464742</v>
      </c>
      <c r="R15" s="1802" t="str">
        <f t="shared" si="0"/>
        <v/>
      </c>
    </row>
    <row r="16" spans="1:21" ht="19.05" customHeight="1">
      <c r="A16" s="1728"/>
      <c r="B16" s="70" t="s">
        <v>52</v>
      </c>
      <c r="C16" s="110">
        <f>'18 Zielumsatz Planungsjahr'!BK17</f>
        <v>11626.1</v>
      </c>
      <c r="D16" s="1727">
        <f>'18 Zielumsatz Planungsjahr'!BM17</f>
        <v>2.3020306867842781</v>
      </c>
      <c r="F16" s="1792" t="str">
        <f t="shared" si="1"/>
        <v/>
      </c>
      <c r="G16" s="1742">
        <f>IF(L16="",'18 Zielumsatz Planungsjahr'!BK17,L16)</f>
        <v>11626.1</v>
      </c>
      <c r="H16" s="49"/>
      <c r="I16" s="50">
        <f t="shared" si="2"/>
        <v>2.3020306867842781</v>
      </c>
      <c r="J16" s="1747"/>
      <c r="K16" s="1778" t="s">
        <v>843</v>
      </c>
      <c r="L16" s="1719"/>
      <c r="M16" s="1778" t="s">
        <v>905</v>
      </c>
      <c r="N16" s="1778"/>
      <c r="O16" s="1778"/>
      <c r="P16" s="1751">
        <f t="shared" si="3"/>
        <v>11626.1</v>
      </c>
      <c r="Q16" s="1745">
        <f t="shared" si="4"/>
        <v>2.3020306867842781</v>
      </c>
      <c r="R16" s="1802" t="str">
        <f t="shared" si="0"/>
        <v/>
      </c>
    </row>
    <row r="17" spans="1:18" ht="19.05" customHeight="1">
      <c r="A17" s="1728"/>
      <c r="B17" s="70" t="s">
        <v>10</v>
      </c>
      <c r="C17" s="110">
        <f>'18 Zielumsatz Planungsjahr'!BK18</f>
        <v>3100</v>
      </c>
      <c r="D17" s="1727">
        <f>'18 Zielumsatz Planungsjahr'!BM18</f>
        <v>0.61381676822247033</v>
      </c>
      <c r="F17" s="1792" t="str">
        <f t="shared" si="1"/>
        <v/>
      </c>
      <c r="G17" s="1742">
        <f>IF(L17="",'18 Zielumsatz Planungsjahr'!BK18,L17)</f>
        <v>3100</v>
      </c>
      <c r="H17" s="49"/>
      <c r="I17" s="50">
        <f t="shared" si="2"/>
        <v>0.61381676822247033</v>
      </c>
      <c r="J17" s="1747"/>
      <c r="K17" s="1778" t="s">
        <v>843</v>
      </c>
      <c r="L17" s="1719"/>
      <c r="M17" s="1778" t="s">
        <v>905</v>
      </c>
      <c r="N17" s="1778"/>
      <c r="O17" s="1778"/>
      <c r="P17" s="1751">
        <f t="shared" si="3"/>
        <v>3100</v>
      </c>
      <c r="Q17" s="1745">
        <f t="shared" si="4"/>
        <v>0.61381676822247033</v>
      </c>
      <c r="R17" s="1802" t="str">
        <f t="shared" si="0"/>
        <v/>
      </c>
    </row>
    <row r="18" spans="1:18" ht="19.05" customHeight="1">
      <c r="A18" s="1728"/>
      <c r="B18" s="70" t="s">
        <v>142</v>
      </c>
      <c r="C18" s="110">
        <f>'18 Zielumsatz Planungsjahr'!BK19</f>
        <v>7500</v>
      </c>
      <c r="D18" s="1727">
        <f>'18 Zielumsatz Planungsjahr'!BM19</f>
        <v>1.4850405682801702</v>
      </c>
      <c r="F18" s="1792" t="str">
        <f t="shared" si="1"/>
        <v/>
      </c>
      <c r="G18" s="1742">
        <f>IF(L18="",'18 Zielumsatz Planungsjahr'!BK19,L18)</f>
        <v>7500</v>
      </c>
      <c r="H18" s="49"/>
      <c r="I18" s="50">
        <f t="shared" si="2"/>
        <v>1.4850405682801702</v>
      </c>
      <c r="J18" s="1747"/>
      <c r="K18" s="1778" t="s">
        <v>843</v>
      </c>
      <c r="L18" s="1719"/>
      <c r="M18" s="1778" t="s">
        <v>905</v>
      </c>
      <c r="N18" s="1778"/>
      <c r="O18" s="1778"/>
      <c r="P18" s="1751">
        <f t="shared" si="3"/>
        <v>7500</v>
      </c>
      <c r="Q18" s="1745">
        <f t="shared" si="4"/>
        <v>1.4850405682801702</v>
      </c>
      <c r="R18" s="1802" t="str">
        <f t="shared" si="0"/>
        <v/>
      </c>
    </row>
    <row r="19" spans="1:18" ht="19.05" customHeight="1">
      <c r="A19" s="1728"/>
      <c r="B19" s="70" t="s">
        <v>59</v>
      </c>
      <c r="C19" s="110">
        <f>'18 Zielumsatz Planungsjahr'!BK20</f>
        <v>8000</v>
      </c>
      <c r="D19" s="1727">
        <f>'18 Zielumsatz Planungsjahr'!BM20</f>
        <v>1.5840432728321814</v>
      </c>
      <c r="F19" s="1792" t="str">
        <f t="shared" si="1"/>
        <v/>
      </c>
      <c r="G19" s="1742">
        <f>IF(L19="",'18 Zielumsatz Planungsjahr'!BK20,L19)</f>
        <v>8000</v>
      </c>
      <c r="H19" s="49"/>
      <c r="I19" s="50">
        <f t="shared" si="2"/>
        <v>1.5840432728321814</v>
      </c>
      <c r="J19" s="1747"/>
      <c r="K19" s="1778" t="s">
        <v>843</v>
      </c>
      <c r="L19" s="1719"/>
      <c r="M19" s="1778" t="s">
        <v>905</v>
      </c>
      <c r="N19" s="1778"/>
      <c r="O19" s="1778"/>
      <c r="P19" s="1751">
        <f t="shared" si="3"/>
        <v>8000</v>
      </c>
      <c r="Q19" s="1745">
        <f t="shared" si="4"/>
        <v>1.5840432728321814</v>
      </c>
      <c r="R19" s="1802" t="str">
        <f t="shared" si="0"/>
        <v/>
      </c>
    </row>
    <row r="20" spans="1:18" ht="19.05" customHeight="1">
      <c r="A20" s="1728"/>
      <c r="B20" s="70" t="s">
        <v>12</v>
      </c>
      <c r="C20" s="110">
        <f>'18 Zielumsatz Planungsjahr'!BK21</f>
        <v>900</v>
      </c>
      <c r="D20" s="1727">
        <f>'18 Zielumsatz Planungsjahr'!BM21</f>
        <v>0.17820486819362039</v>
      </c>
      <c r="F20" s="1792" t="str">
        <f t="shared" si="1"/>
        <v/>
      </c>
      <c r="G20" s="1742">
        <f>IF(L20="",'18 Zielumsatz Planungsjahr'!BK21,L20)</f>
        <v>900</v>
      </c>
      <c r="H20" s="49"/>
      <c r="I20" s="50">
        <f t="shared" si="2"/>
        <v>0.17820486819362039</v>
      </c>
      <c r="J20" s="1747"/>
      <c r="K20" s="1778" t="s">
        <v>843</v>
      </c>
      <c r="L20" s="1719"/>
      <c r="M20" s="1778" t="s">
        <v>905</v>
      </c>
      <c r="N20" s="1778"/>
      <c r="O20" s="1778"/>
      <c r="P20" s="1751">
        <f t="shared" si="3"/>
        <v>900</v>
      </c>
      <c r="Q20" s="1745">
        <f t="shared" si="4"/>
        <v>0.17820486819362039</v>
      </c>
      <c r="R20" s="1802" t="str">
        <f t="shared" si="0"/>
        <v/>
      </c>
    </row>
    <row r="21" spans="1:18" ht="19.05" customHeight="1">
      <c r="A21" s="1728"/>
      <c r="B21" s="70" t="s">
        <v>133</v>
      </c>
      <c r="C21" s="110">
        <f>'18 Zielumsatz Planungsjahr'!BK22</f>
        <v>1200</v>
      </c>
      <c r="D21" s="1727">
        <f>'18 Zielumsatz Planungsjahr'!BM22</f>
        <v>0.23760649092482719</v>
      </c>
      <c r="F21" s="1792" t="str">
        <f t="shared" si="1"/>
        <v/>
      </c>
      <c r="G21" s="1742">
        <f>IF(L21="",'18 Zielumsatz Planungsjahr'!BK22,L21)</f>
        <v>1200</v>
      </c>
      <c r="H21" s="49"/>
      <c r="I21" s="50">
        <f t="shared" si="2"/>
        <v>0.23760649092482719</v>
      </c>
      <c r="J21" s="1747"/>
      <c r="K21" s="1778" t="s">
        <v>843</v>
      </c>
      <c r="L21" s="1719"/>
      <c r="M21" s="1778" t="s">
        <v>905</v>
      </c>
      <c r="N21" s="1778"/>
      <c r="O21" s="1778"/>
      <c r="P21" s="1751">
        <f t="shared" si="3"/>
        <v>1200</v>
      </c>
      <c r="Q21" s="1745">
        <f t="shared" si="4"/>
        <v>0.23760649092482719</v>
      </c>
      <c r="R21" s="1802" t="str">
        <f t="shared" si="0"/>
        <v/>
      </c>
    </row>
    <row r="22" spans="1:18" ht="19.05" customHeight="1">
      <c r="A22" s="1728"/>
      <c r="B22" s="70" t="s">
        <v>14</v>
      </c>
      <c r="C22" s="110">
        <f>'18 Zielumsatz Planungsjahr'!BK23</f>
        <v>11300</v>
      </c>
      <c r="D22" s="1727">
        <f>'18 Zielumsatz Planungsjahr'!BM23</f>
        <v>2.2374611228754562</v>
      </c>
      <c r="F22" s="1792" t="str">
        <f t="shared" si="1"/>
        <v/>
      </c>
      <c r="G22" s="1742">
        <f>IF(L22="",'18 Zielumsatz Planungsjahr'!BK23,L22)</f>
        <v>11300</v>
      </c>
      <c r="H22" s="49"/>
      <c r="I22" s="50">
        <f t="shared" si="2"/>
        <v>2.2374611228754562</v>
      </c>
      <c r="J22" s="1747"/>
      <c r="K22" s="1778" t="s">
        <v>843</v>
      </c>
      <c r="L22" s="1719"/>
      <c r="M22" s="1778" t="s">
        <v>905</v>
      </c>
      <c r="N22" s="1778"/>
      <c r="O22" s="1778"/>
      <c r="P22" s="1751">
        <f t="shared" si="3"/>
        <v>11300</v>
      </c>
      <c r="Q22" s="1745">
        <f t="shared" si="4"/>
        <v>2.2374611228754562</v>
      </c>
      <c r="R22" s="1802" t="str">
        <f t="shared" si="0"/>
        <v/>
      </c>
    </row>
    <row r="23" spans="1:18" ht="19.05" customHeight="1">
      <c r="A23" s="1728"/>
      <c r="B23" s="70" t="s">
        <v>15</v>
      </c>
      <c r="C23" s="110">
        <f>'18 Zielumsatz Planungsjahr'!BK24</f>
        <v>60000</v>
      </c>
      <c r="D23" s="1727">
        <f>'18 Zielumsatz Planungsjahr'!BM24</f>
        <v>11.880324546241361</v>
      </c>
      <c r="F23" s="1792" t="str">
        <f t="shared" si="1"/>
        <v/>
      </c>
      <c r="G23" s="1742">
        <f>IF(L23="",'18 Zielumsatz Planungsjahr'!BK24,L23)</f>
        <v>60000</v>
      </c>
      <c r="H23" s="49"/>
      <c r="I23" s="50">
        <f t="shared" si="2"/>
        <v>11.880324546241361</v>
      </c>
      <c r="J23" s="1747"/>
      <c r="K23" s="1778" t="s">
        <v>843</v>
      </c>
      <c r="L23" s="1719"/>
      <c r="M23" s="1778" t="s">
        <v>905</v>
      </c>
      <c r="N23" s="1778"/>
      <c r="O23" s="1778"/>
      <c r="P23" s="1751">
        <f t="shared" si="3"/>
        <v>60000</v>
      </c>
      <c r="Q23" s="1745">
        <f t="shared" si="4"/>
        <v>11.880324546241361</v>
      </c>
      <c r="R23" s="1802" t="str">
        <f t="shared" si="0"/>
        <v/>
      </c>
    </row>
    <row r="24" spans="1:18" ht="19.05" customHeight="1" thickBot="1">
      <c r="A24" s="1729"/>
      <c r="B24" s="181" t="s">
        <v>16</v>
      </c>
      <c r="C24" s="110">
        <f>'18 Zielumsatz Planungsjahr'!BK25</f>
        <v>143690.15599999999</v>
      </c>
      <c r="D24" s="1727">
        <f>'18 Zielumsatz Planungsjahr'!BM25</f>
        <v>28.451428123000838</v>
      </c>
      <c r="F24" s="1792" t="str">
        <f t="shared" si="1"/>
        <v/>
      </c>
      <c r="G24" s="1742">
        <f>SUM(G15:G23)</f>
        <v>143690.15599999999</v>
      </c>
      <c r="H24" s="44"/>
      <c r="I24" s="53">
        <f t="shared" si="2"/>
        <v>28.451428123000838</v>
      </c>
      <c r="J24" s="1747"/>
      <c r="K24" s="615"/>
      <c r="P24" s="1750">
        <f>SUM(P15:P23)</f>
        <v>143690.15599999999</v>
      </c>
      <c r="Q24" s="1776">
        <f t="shared" si="4"/>
        <v>28.451428123000838</v>
      </c>
      <c r="R24" s="1802" t="str">
        <f t="shared" si="0"/>
        <v/>
      </c>
    </row>
    <row r="25" spans="1:18" ht="19.05" customHeight="1">
      <c r="A25" s="1730"/>
      <c r="B25" s="298" t="s">
        <v>18</v>
      </c>
      <c r="C25" s="1752">
        <f>C29-C27+C26-C28</f>
        <v>96982.200000000012</v>
      </c>
      <c r="D25" s="1731">
        <f>'18 Zielumsatz Planungsjahr'!BM26</f>
        <v>19.203000186808151</v>
      </c>
      <c r="F25" s="1792" t="str">
        <f t="shared" si="1"/>
        <v/>
      </c>
      <c r="G25" s="1744">
        <f>G14-G24</f>
        <v>96982.200000000012</v>
      </c>
      <c r="H25" s="286"/>
      <c r="I25" s="1685">
        <f t="shared" si="2"/>
        <v>19.203000186808151</v>
      </c>
      <c r="J25" s="1747"/>
      <c r="K25" s="615"/>
      <c r="P25" s="1752">
        <f>P29-P27+P26-P28</f>
        <v>96982.200000000012</v>
      </c>
      <c r="Q25" s="1768">
        <f t="shared" si="4"/>
        <v>19.203000186808151</v>
      </c>
      <c r="R25" s="1802" t="str">
        <f t="shared" si="0"/>
        <v/>
      </c>
    </row>
    <row r="26" spans="1:18" ht="19.05" customHeight="1">
      <c r="A26" s="1728"/>
      <c r="B26" s="47" t="s">
        <v>36</v>
      </c>
      <c r="C26" s="110">
        <f>'18 Zielumsatz Planungsjahr'!BK27</f>
        <v>0</v>
      </c>
      <c r="D26" s="1727">
        <f>'18 Zielumsatz Planungsjahr'!BM27</f>
        <v>0</v>
      </c>
      <c r="F26" s="1792" t="str">
        <f t="shared" si="1"/>
        <v/>
      </c>
      <c r="G26" s="1742">
        <f>IF(L26="",'18 Zielumsatz Planungsjahr'!BK27,L26)</f>
        <v>0</v>
      </c>
      <c r="H26" s="44"/>
      <c r="I26" s="50" t="str">
        <f t="shared" si="2"/>
        <v/>
      </c>
      <c r="J26" s="1747"/>
      <c r="K26" s="1778" t="s">
        <v>843</v>
      </c>
      <c r="L26" s="1719"/>
      <c r="M26" s="1778" t="s">
        <v>905</v>
      </c>
      <c r="N26" s="1778"/>
      <c r="O26" s="1778"/>
      <c r="P26" s="1751">
        <f>IF(L26="",G26,L26)</f>
        <v>0</v>
      </c>
      <c r="Q26" s="1745" t="str">
        <f t="shared" si="4"/>
        <v/>
      </c>
      <c r="R26" s="1802" t="str">
        <f t="shared" si="0"/>
        <v/>
      </c>
    </row>
    <row r="27" spans="1:18" ht="19.05" customHeight="1">
      <c r="A27" s="1728"/>
      <c r="B27" s="47" t="s">
        <v>37</v>
      </c>
      <c r="C27" s="110">
        <f>'18 Zielumsatz Planungsjahr'!BK28</f>
        <v>0</v>
      </c>
      <c r="D27" s="1727">
        <f>'18 Zielumsatz Planungsjahr'!BM28</f>
        <v>0</v>
      </c>
      <c r="F27" s="1792" t="str">
        <f t="shared" si="1"/>
        <v/>
      </c>
      <c r="G27" s="1742">
        <f>IF(L27="",'18 Zielumsatz Planungsjahr'!BK28,L27)</f>
        <v>0</v>
      </c>
      <c r="H27" s="44"/>
      <c r="I27" s="50" t="str">
        <f t="shared" si="2"/>
        <v/>
      </c>
      <c r="J27" s="1747"/>
      <c r="K27" s="1778" t="s">
        <v>843</v>
      </c>
      <c r="L27" s="1719"/>
      <c r="M27" s="1778" t="s">
        <v>905</v>
      </c>
      <c r="N27" s="1778"/>
      <c r="O27" s="1778"/>
      <c r="P27" s="1751">
        <f>IF(L27="",G27,L27)</f>
        <v>0</v>
      </c>
      <c r="Q27" s="1745" t="str">
        <f t="shared" si="4"/>
        <v/>
      </c>
      <c r="R27" s="1802" t="str">
        <f t="shared" si="0"/>
        <v/>
      </c>
    </row>
    <row r="28" spans="1:18" ht="19.05" customHeight="1">
      <c r="A28" s="1728"/>
      <c r="B28" s="47" t="s">
        <v>39</v>
      </c>
      <c r="C28" s="299">
        <f>'18 Zielumsatz Planungsjahr'!BK29</f>
        <v>0</v>
      </c>
      <c r="D28" s="1727">
        <f>'18 Zielumsatz Planungsjahr'!BM29</f>
        <v>0</v>
      </c>
      <c r="F28" s="1792" t="str">
        <f t="shared" si="1"/>
        <v/>
      </c>
      <c r="G28" s="1742">
        <f>IF(L28="",'18 Zielumsatz Planungsjahr'!BK29,L28)</f>
        <v>0</v>
      </c>
      <c r="H28" s="44"/>
      <c r="I28" s="50" t="str">
        <f t="shared" si="2"/>
        <v/>
      </c>
      <c r="J28" s="1747"/>
      <c r="K28" s="1778" t="s">
        <v>843</v>
      </c>
      <c r="L28" s="1719"/>
      <c r="M28" s="1778" t="s">
        <v>905</v>
      </c>
      <c r="N28" s="1778"/>
      <c r="O28" s="1778"/>
      <c r="P28" s="1751">
        <f>IF(L28="",G28,L28)</f>
        <v>0</v>
      </c>
      <c r="Q28" s="1745" t="str">
        <f t="shared" si="4"/>
        <v/>
      </c>
      <c r="R28" s="1802" t="str">
        <f t="shared" si="0"/>
        <v/>
      </c>
    </row>
    <row r="29" spans="1:18" ht="19.05" customHeight="1">
      <c r="A29" s="1730"/>
      <c r="B29" s="283" t="s">
        <v>40</v>
      </c>
      <c r="C29" s="285">
        <f>C32-C30</f>
        <v>96982.200000000012</v>
      </c>
      <c r="D29" s="1731">
        <f>'18 Zielumsatz Planungsjahr'!BM30</f>
        <v>19.203000186808151</v>
      </c>
      <c r="F29" s="1792" t="str">
        <f t="shared" si="1"/>
        <v/>
      </c>
      <c r="G29" s="1744">
        <f>G25-G26+G27+G28</f>
        <v>96982.200000000012</v>
      </c>
      <c r="H29" s="286"/>
      <c r="I29" s="1685">
        <f t="shared" si="2"/>
        <v>19.203000186808151</v>
      </c>
      <c r="J29" s="1747"/>
      <c r="K29" s="615"/>
      <c r="P29" s="1752">
        <f>P32-P30</f>
        <v>96982.200000000012</v>
      </c>
      <c r="Q29" s="1768">
        <f t="shared" si="4"/>
        <v>19.203000186808151</v>
      </c>
      <c r="R29" s="1802" t="str">
        <f t="shared" si="0"/>
        <v/>
      </c>
    </row>
    <row r="30" spans="1:18" ht="19.05" customHeight="1">
      <c r="A30" s="1728"/>
      <c r="B30" s="47" t="s">
        <v>14</v>
      </c>
      <c r="C30" s="110">
        <f>'18 Zielumsatz Planungsjahr'!BK31</f>
        <v>11300</v>
      </c>
      <c r="D30" s="1727">
        <f>'18 Zielumsatz Planungsjahr'!BM31</f>
        <v>2.2374611228754562</v>
      </c>
      <c r="F30" s="1792" t="str">
        <f t="shared" si="1"/>
        <v/>
      </c>
      <c r="G30" s="1742">
        <f>IF(L30="",'18 Zielumsatz Planungsjahr'!BK31,L30)</f>
        <v>11300</v>
      </c>
      <c r="H30" s="49"/>
      <c r="I30" s="50">
        <f t="shared" si="2"/>
        <v>2.2374611228754562</v>
      </c>
      <c r="J30" s="1747"/>
      <c r="K30" s="1778" t="s">
        <v>843</v>
      </c>
      <c r="L30" s="1719"/>
      <c r="M30" s="1778" t="s">
        <v>905</v>
      </c>
      <c r="N30" s="1778"/>
      <c r="O30" s="1778"/>
      <c r="P30" s="1751">
        <f>IF(L30="",G30,L30)</f>
        <v>11300</v>
      </c>
      <c r="Q30" s="1745">
        <f t="shared" si="4"/>
        <v>2.2374611228754562</v>
      </c>
      <c r="R30" s="1802" t="str">
        <f t="shared" si="0"/>
        <v/>
      </c>
    </row>
    <row r="31" spans="1:18" ht="19.05" customHeight="1">
      <c r="A31" s="1729"/>
      <c r="B31" s="42"/>
      <c r="C31" s="109"/>
      <c r="D31" s="1733" t="str">
        <f>'18 Zielumsatz Planungsjahr'!BM32</f>
        <v/>
      </c>
      <c r="F31" s="1792" t="str">
        <f t="shared" si="1"/>
        <v/>
      </c>
      <c r="G31" s="1742" t="str">
        <f>'18 Zielumsatz Planungsjahr'!BK32</f>
        <v/>
      </c>
      <c r="H31" s="44"/>
      <c r="I31" s="53" t="str">
        <f>IF(G31="","",G31/$G$10*100)</f>
        <v/>
      </c>
      <c r="J31" s="1747"/>
      <c r="K31" s="615"/>
      <c r="P31" s="1750"/>
      <c r="Q31" s="1776" t="str">
        <f t="shared" si="4"/>
        <v/>
      </c>
      <c r="R31" s="1802" t="str">
        <f t="shared" si="0"/>
        <v/>
      </c>
    </row>
    <row r="32" spans="1:18" ht="19.05" customHeight="1">
      <c r="A32" s="1730"/>
      <c r="B32" s="283" t="s">
        <v>42</v>
      </c>
      <c r="C32" s="285">
        <f>C37-C36+C35+C33+C34</f>
        <v>108282.20000000001</v>
      </c>
      <c r="D32" s="1731">
        <f>'18 Zielumsatz Planungsjahr'!BM33</f>
        <v>21.440461309683606</v>
      </c>
      <c r="F32" s="1792" t="str">
        <f t="shared" si="1"/>
        <v/>
      </c>
      <c r="G32" s="1744">
        <f>G29+G30</f>
        <v>108282.20000000001</v>
      </c>
      <c r="H32" s="286"/>
      <c r="I32" s="1685">
        <f t="shared" si="2"/>
        <v>21.440461309683606</v>
      </c>
      <c r="J32" s="1747"/>
      <c r="K32" s="615"/>
      <c r="P32" s="1752">
        <f>P37-P36+P35+P33+P34</f>
        <v>108282.20000000001</v>
      </c>
      <c r="Q32" s="1768">
        <f t="shared" si="4"/>
        <v>21.440461309683606</v>
      </c>
      <c r="R32" s="1802" t="str">
        <f t="shared" si="0"/>
        <v/>
      </c>
    </row>
    <row r="33" spans="1:18" ht="19.05" customHeight="1">
      <c r="A33" s="1728"/>
      <c r="B33" s="104" t="s">
        <v>90</v>
      </c>
      <c r="C33" s="110">
        <f>'18 Zielumsatz Planungsjahr'!BK34</f>
        <v>30778</v>
      </c>
      <c r="D33" s="1727">
        <f>'18 Zielumsatz Planungsjahr'!BM34</f>
        <v>6.0942104814036098</v>
      </c>
      <c r="F33" s="1792" t="str">
        <f t="shared" si="1"/>
        <v/>
      </c>
      <c r="G33" s="1742">
        <f>IF(L33="",'18 Zielumsatz Planungsjahr'!BK34,L33)</f>
        <v>30778</v>
      </c>
      <c r="H33" s="49"/>
      <c r="I33" s="1745">
        <f t="shared" si="2"/>
        <v>6.0942104814036098</v>
      </c>
      <c r="J33" s="1747"/>
      <c r="K33" s="1778" t="s">
        <v>843</v>
      </c>
      <c r="L33" s="1719"/>
      <c r="M33" s="1778" t="s">
        <v>905</v>
      </c>
      <c r="N33" s="1778"/>
      <c r="O33" s="1778"/>
      <c r="P33" s="1751">
        <f>IF(L33="",C33,L33)</f>
        <v>30778</v>
      </c>
      <c r="Q33" s="1745">
        <f t="shared" si="4"/>
        <v>6.0942104814036098</v>
      </c>
      <c r="R33" s="1802" t="str">
        <f t="shared" si="0"/>
        <v/>
      </c>
    </row>
    <row r="34" spans="1:18" ht="19.05" customHeight="1">
      <c r="A34" s="1728"/>
      <c r="B34" s="124" t="s">
        <v>95</v>
      </c>
      <c r="C34" s="110">
        <f>'18 Zielumsatz Planungsjahr'!BK35</f>
        <v>59222</v>
      </c>
      <c r="D34" s="1727">
        <f>'18 Zielumsatz Planungsjahr'!BM35</f>
        <v>11.72627633795843</v>
      </c>
      <c r="F34" s="1792" t="str">
        <f t="shared" si="1"/>
        <v/>
      </c>
      <c r="G34" s="1742">
        <f>IF(L34="",'18 Zielumsatz Planungsjahr'!BK35,L34)</f>
        <v>59222</v>
      </c>
      <c r="H34" s="49"/>
      <c r="I34" s="1745">
        <f t="shared" si="2"/>
        <v>11.72627633795843</v>
      </c>
      <c r="J34" s="1747"/>
      <c r="K34" s="1778" t="s">
        <v>843</v>
      </c>
      <c r="L34" s="1719"/>
      <c r="M34" s="1778" t="s">
        <v>905</v>
      </c>
      <c r="N34" s="1778"/>
      <c r="O34" s="1778"/>
      <c r="P34" s="1751">
        <f>IF(L34="",C34,L34)</f>
        <v>59222</v>
      </c>
      <c r="Q34" s="1745">
        <f t="shared" si="4"/>
        <v>11.72627633795843</v>
      </c>
      <c r="R34" s="1802" t="str">
        <f t="shared" si="0"/>
        <v/>
      </c>
    </row>
    <row r="35" spans="1:18" ht="19.05" customHeight="1">
      <c r="A35" s="1728"/>
      <c r="B35" s="171" t="s">
        <v>111</v>
      </c>
      <c r="C35" s="110">
        <f>'18 Zielumsatz Planungsjahr'!BK36</f>
        <v>13282.2</v>
      </c>
      <c r="D35" s="1727">
        <f>'18 Zielumsatz Planungsjahr'!BM36</f>
        <v>2.6299474448014499</v>
      </c>
      <c r="F35" s="1792" t="str">
        <f t="shared" si="1"/>
        <v/>
      </c>
      <c r="G35" s="1742">
        <f>IF(L35="",'18 Zielumsatz Planungsjahr'!BK36,L35)</f>
        <v>13282.2</v>
      </c>
      <c r="H35" s="49"/>
      <c r="I35" s="1745">
        <f t="shared" si="2"/>
        <v>2.6299474448014499</v>
      </c>
      <c r="J35" s="1747"/>
      <c r="K35" s="1778" t="s">
        <v>843</v>
      </c>
      <c r="L35" s="1719"/>
      <c r="M35" s="1778" t="s">
        <v>905</v>
      </c>
      <c r="N35" s="1778"/>
      <c r="O35" s="1778"/>
      <c r="P35" s="1751">
        <f>IF(L35="",C35,L35)</f>
        <v>13282.2</v>
      </c>
      <c r="Q35" s="1745">
        <f t="shared" si="4"/>
        <v>2.6299474448014499</v>
      </c>
      <c r="R35" s="1802" t="str">
        <f t="shared" si="0"/>
        <v/>
      </c>
    </row>
    <row r="36" spans="1:18" ht="19.05" customHeight="1">
      <c r="A36" s="1729"/>
      <c r="B36" s="42" t="s">
        <v>43</v>
      </c>
      <c r="C36" s="110">
        <f>'18 Zielumsatz Planungsjahr'!BK37</f>
        <v>0</v>
      </c>
      <c r="D36" s="1727">
        <f>'18 Zielumsatz Planungsjahr'!BM37</f>
        <v>0</v>
      </c>
      <c r="F36" s="1792" t="str">
        <f t="shared" si="1"/>
        <v/>
      </c>
      <c r="G36" s="1742">
        <f>IF(L36="",'18 Zielumsatz Planungsjahr'!BK37,L36)</f>
        <v>0</v>
      </c>
      <c r="H36" s="44"/>
      <c r="I36" s="1746" t="str">
        <f t="shared" si="2"/>
        <v/>
      </c>
      <c r="J36" s="1747"/>
      <c r="K36" s="1778" t="s">
        <v>843</v>
      </c>
      <c r="L36" s="1719"/>
      <c r="M36" s="1778" t="s">
        <v>905</v>
      </c>
      <c r="N36" s="1778"/>
      <c r="O36" s="1778"/>
      <c r="P36" s="1751">
        <f>IF(L36="",C36,L36)</f>
        <v>0</v>
      </c>
      <c r="Q36" s="1746" t="str">
        <f t="shared" si="4"/>
        <v/>
      </c>
      <c r="R36" s="1802" t="str">
        <f t="shared" si="0"/>
        <v/>
      </c>
    </row>
    <row r="37" spans="1:18" ht="21.6" thickBot="1">
      <c r="A37" s="1734"/>
      <c r="B37" s="1735" t="s">
        <v>81</v>
      </c>
      <c r="C37" s="1736">
        <f>'18 Zielumsatz Planungsjahr'!BK38</f>
        <v>5000.0000000000109</v>
      </c>
      <c r="D37" s="1737">
        <f>'18 Zielumsatz Planungsjahr'!BM38</f>
        <v>0.99002704552011556</v>
      </c>
      <c r="F37" s="1793" t="str">
        <f t="shared" si="1"/>
        <v/>
      </c>
      <c r="G37" s="1780">
        <f>G32-G33-G34-G35+G36</f>
        <v>5000.0000000000109</v>
      </c>
      <c r="H37" s="1781"/>
      <c r="I37" s="1782">
        <f t="shared" si="2"/>
        <v>0.99002704552011556</v>
      </c>
      <c r="J37" s="1783"/>
      <c r="K37" s="1784"/>
      <c r="L37" s="1785"/>
      <c r="M37" s="1786" t="s">
        <v>905</v>
      </c>
      <c r="N37" s="1786"/>
      <c r="O37" s="1786"/>
      <c r="P37" s="1787">
        <f>IF(L37="",C37,L37)</f>
        <v>5000.0000000000109</v>
      </c>
      <c r="Q37" s="1788">
        <f t="shared" si="4"/>
        <v>0.99002704552011556</v>
      </c>
      <c r="R37" s="1803" t="str">
        <f t="shared" si="0"/>
        <v/>
      </c>
    </row>
    <row r="38" spans="1:18" ht="13.8" thickTop="1">
      <c r="J38" s="1721"/>
      <c r="K38" s="1721"/>
    </row>
    <row r="40" spans="1:18">
      <c r="G40" s="887"/>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sheetData>
  <sheetProtection password="C0AE" sheet="1" objects="1" scenarios="1"/>
  <mergeCells count="8">
    <mergeCell ref="L12:N12"/>
    <mergeCell ref="A1:E1"/>
    <mergeCell ref="G1:P1"/>
    <mergeCell ref="Q1:T1"/>
    <mergeCell ref="F2:R2"/>
    <mergeCell ref="A2:D2"/>
    <mergeCell ref="C3:D3"/>
    <mergeCell ref="A3:B3"/>
  </mergeCells>
  <pageMargins left="0.7" right="0.7" top="0.78740157499999996" bottom="0.78740157499999996"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35"/>
  <sheetViews>
    <sheetView showGridLines="0" zoomScaleNormal="100" workbookViewId="0">
      <selection activeCell="H11" sqref="H11"/>
    </sheetView>
  </sheetViews>
  <sheetFormatPr baseColWidth="10" defaultColWidth="11" defaultRowHeight="15"/>
  <cols>
    <col min="1" max="1" width="31.44140625" style="3" customWidth="1"/>
    <col min="2" max="2" width="10.44140625" style="3" customWidth="1"/>
    <col min="3" max="3" width="14" style="3" customWidth="1"/>
    <col min="4" max="4" width="6" style="3" customWidth="1"/>
    <col min="5" max="5" width="14.44140625" style="3" bestFit="1" customWidth="1"/>
    <col min="6" max="6" width="14.77734375" style="3" customWidth="1"/>
    <col min="7" max="7" width="9.44140625" style="106" customWidth="1"/>
    <col min="8" max="8" width="12.44140625" style="106" customWidth="1"/>
    <col min="9" max="9" width="13.44140625" style="106" customWidth="1"/>
    <col min="10" max="10" width="3.21875" style="34" customWidth="1"/>
    <col min="11" max="11" width="5" style="34" customWidth="1"/>
    <col min="12" max="12" width="8.44140625" style="3" customWidth="1"/>
    <col min="13" max="13" width="4.44140625" style="3" customWidth="1"/>
    <col min="14" max="16384" width="11" style="3"/>
  </cols>
  <sheetData>
    <row r="1" spans="1:23" s="250" customFormat="1" ht="23.25" customHeight="1">
      <c r="A1" s="159" t="s">
        <v>47</v>
      </c>
      <c r="B1" s="159"/>
      <c r="C1" s="159"/>
      <c r="E1" s="744" t="str">
        <f>'2 Unternehmensdaten'!B2</f>
        <v>Demo Version</v>
      </c>
      <c r="F1" s="4125" t="str">
        <f>IF(K1=0,"Dieser Teil wurde nicht gebucht !",IF(Start!L19="ü","offen","Dieser Teil wurde nicht gebucht !"))</f>
        <v>offen</v>
      </c>
      <c r="G1" s="4125"/>
      <c r="H1" s="4125"/>
      <c r="I1" s="4125"/>
      <c r="J1" s="174"/>
      <c r="K1" s="1266" t="str">
        <f>IF(Start!K29="ü",'1 Erklärung'!S4,"")</f>
        <v/>
      </c>
    </row>
    <row r="2" spans="1:23" ht="93" customHeight="1">
      <c r="A2" s="3906" t="s">
        <v>1143</v>
      </c>
      <c r="B2" s="3906"/>
      <c r="C2" s="3906"/>
      <c r="D2" s="3906"/>
      <c r="E2" s="3906"/>
      <c r="F2" s="3906"/>
      <c r="G2" s="3906"/>
      <c r="H2" s="3906"/>
      <c r="I2" s="3906"/>
      <c r="J2" s="4117"/>
      <c r="K2" s="4117"/>
      <c r="L2" s="4117"/>
      <c r="M2" s="4117"/>
    </row>
    <row r="3" spans="1:23" ht="42.75" customHeight="1">
      <c r="A3" s="2466" t="str">
        <f>IF(B3="","","Gesamtumsatz Azubis oder Assistenz pro Jahr")</f>
        <v/>
      </c>
      <c r="B3" s="2464" t="str">
        <f>IF('11 Gesamt PK'!B26=0,"",'11 Gesamt PK'!B26)</f>
        <v/>
      </c>
      <c r="C3" s="174"/>
      <c r="D3" s="4128" t="s">
        <v>255</v>
      </c>
      <c r="E3" s="4129"/>
      <c r="F3" s="4129"/>
      <c r="G3" s="4129"/>
      <c r="H3" s="4129"/>
      <c r="I3" s="4130"/>
    </row>
    <row r="4" spans="1:23" ht="43.5" customHeight="1">
      <c r="A4" s="1980" t="str">
        <f>'11 Gesamt PK'!A45</f>
        <v/>
      </c>
      <c r="B4" s="2464" t="str">
        <f>IF('11 Gesamt PK'!B46=0,"",'11 Gesamt PK'!B46)</f>
        <v/>
      </c>
      <c r="C4" s="4126" t="s">
        <v>216</v>
      </c>
      <c r="D4" s="4126"/>
      <c r="E4" s="4127"/>
      <c r="F4" s="314"/>
      <c r="G4" s="315" t="s">
        <v>119</v>
      </c>
      <c r="H4" s="256"/>
      <c r="I4" s="256"/>
      <c r="K4" s="4132" t="str">
        <f>IF('2 Unternehmensdaten'!F5="ja","",IF('18 Zielumsatz Planungsjahr'!P21="","","Sie haben einen höherer Zielumsatz eingesetzt, möchten Sie Ihren eigenen geplanten Umsatz und /oder die Entnahmen auch ändern? Sehen Sie bitte weiter unten."))</f>
        <v/>
      </c>
      <c r="L4" s="4133"/>
      <c r="M4" s="4133"/>
      <c r="N4" s="4133"/>
      <c r="O4" s="4134"/>
      <c r="P4" s="1681"/>
      <c r="Q4" s="1681"/>
      <c r="R4" s="1681"/>
      <c r="S4" s="267" t="s">
        <v>375</v>
      </c>
    </row>
    <row r="5" spans="1:23" ht="18" customHeight="1">
      <c r="A5" s="87" t="s">
        <v>264</v>
      </c>
      <c r="B5" s="2"/>
      <c r="C5" s="4131">
        <f>IF(Start!O20&gt;0,"",IF(F1="offen",IF('18 Zielumsatz Planungsjahr'!P19="",'18 Zielumsatz Planungsjahr'!G9,'18 Zielumsatz Planungsjahr'!P19)))</f>
        <v>477248.80303714029</v>
      </c>
      <c r="D5" s="4131"/>
      <c r="E5" s="4131"/>
      <c r="F5" s="351" t="s">
        <v>256</v>
      </c>
      <c r="H5" s="355">
        <f>IF(Start!O20&gt;0,"",IF(F1="offen",IF('18 Zielumsatz Planungsjahr'!P21="",'18 Zielumsatz Planungsjahr'!P5,'18 Zielumsatz Planungsjahr'!P21)))</f>
        <v>505036.70810055867</v>
      </c>
      <c r="I5" s="2475" t="str">
        <f>IF(P11=1,"",IF(SUM('18 Zielumsatz Planungsjahr'!P19,'18 Zielumsatz Planungsjahr'!P20)=0,"","←"))</f>
        <v/>
      </c>
      <c r="K5" s="4135"/>
      <c r="L5" s="4136"/>
      <c r="M5" s="4136"/>
      <c r="N5" s="4136"/>
      <c r="O5" s="4137"/>
      <c r="P5" s="1681"/>
      <c r="Q5" s="1681"/>
      <c r="R5" s="1681"/>
      <c r="S5" s="267">
        <f>IF(Start!O20&gt;0,"",IF(S4="offen",IF('18 Zielumsatz Planungsjahr'!P21="",'18 Zielumsatz Planungsjahr'!P5,'18 Zielumsatz Planungsjahr'!P21)))</f>
        <v>505036.70810055867</v>
      </c>
    </row>
    <row r="6" spans="1:23" ht="18" customHeight="1">
      <c r="A6" s="352" t="s">
        <v>258</v>
      </c>
      <c r="B6" s="362">
        <f>'18 Zielumsatz Planungsjahr'!R7</f>
        <v>0.19</v>
      </c>
      <c r="C6" s="4144">
        <f>IF(Start!O20&gt;0,"",IF(C5="","kein Verkaufsumsatz in % eingeben",C5*B6))</f>
        <v>90677.272577056661</v>
      </c>
      <c r="D6" s="4144"/>
      <c r="E6" s="4145"/>
      <c r="F6" s="353" t="s">
        <v>257</v>
      </c>
      <c r="G6" s="362">
        <f>B6</f>
        <v>0.19</v>
      </c>
      <c r="H6" s="356">
        <f>IF(Start!O20&gt;0,"",H5*B6)</f>
        <v>95956.974539106144</v>
      </c>
      <c r="I6" s="357"/>
      <c r="K6" s="1701"/>
      <c r="L6" s="1701"/>
      <c r="M6" s="1701"/>
      <c r="N6" s="1701"/>
      <c r="O6" s="1701"/>
      <c r="S6" s="267">
        <f>IF(Start!O20&gt;0,"",S5*B6)</f>
        <v>95956.974539106144</v>
      </c>
    </row>
    <row r="7" spans="1:23" ht="18" customHeight="1">
      <c r="A7" s="87"/>
      <c r="B7" s="120"/>
      <c r="C7" s="92"/>
      <c r="D7" s="14"/>
      <c r="E7" s="15"/>
      <c r="F7" s="183"/>
      <c r="G7" s="257"/>
      <c r="H7" s="258"/>
      <c r="I7" s="258"/>
      <c r="J7" s="3271" t="s">
        <v>506</v>
      </c>
      <c r="K7" s="4146"/>
      <c r="L7" s="4146"/>
      <c r="M7" s="4146"/>
      <c r="N7" s="3272"/>
      <c r="S7" s="267"/>
    </row>
    <row r="8" spans="1:23" ht="18" customHeight="1">
      <c r="A8" s="87" t="s">
        <v>195</v>
      </c>
      <c r="B8" s="121"/>
      <c r="C8" s="4131">
        <f>IF(C5="","",C6+C5)</f>
        <v>567926.07561419695</v>
      </c>
      <c r="D8" s="4131"/>
      <c r="E8" s="4131"/>
      <c r="F8" s="354" t="s">
        <v>195</v>
      </c>
      <c r="H8" s="355">
        <f>IF(Start!O20&gt;0,"",H5+H6)</f>
        <v>600993.68263966485</v>
      </c>
      <c r="I8" s="355"/>
      <c r="J8" s="4147"/>
      <c r="K8" s="4148"/>
      <c r="L8" s="4148"/>
      <c r="M8" s="4148"/>
      <c r="N8" s="4149"/>
      <c r="S8" s="267">
        <f>IF(Start!O20&gt;0,"",S5+S6)</f>
        <v>600993.68263966485</v>
      </c>
    </row>
    <row r="9" spans="1:23" ht="18" customHeight="1">
      <c r="A9" s="123" t="str">
        <f>IF(C9="","","./. Jährlicher Chefumsatz (inkl. MwSt.)")</f>
        <v>./. Jährlicher Chefumsatz (inkl. MwSt.)</v>
      </c>
      <c r="B9" s="122"/>
      <c r="C9" s="4150">
        <f>IF(C5="","",IF(F1="offen",IF('18 Zielumsatz Planungsjahr'!P19&gt;0,U16,'17 Chef-Ums.-Entn. od. GmbHgew.'!O13)))</f>
        <v>89772.952265285407</v>
      </c>
      <c r="D9" s="4150"/>
      <c r="E9" s="4150"/>
      <c r="F9" s="402" t="s">
        <v>260</v>
      </c>
      <c r="G9" s="357"/>
      <c r="H9" s="403">
        <f>IF(Start!O20&gt;0,"",IF(F1="offen",'17 Chef-Ums.-Entn. od. GmbHgew.'!L16))</f>
        <v>95000</v>
      </c>
      <c r="I9" s="1717" t="str">
        <f>IF(P11=1,"",IF(SUM('18 Zielumsatz Planungsjahr'!P19,'18 Zielumsatz Planungsjahr'!P20)=0,"","←"))</f>
        <v/>
      </c>
      <c r="J9" s="705"/>
      <c r="K9" s="34" t="s">
        <v>205</v>
      </c>
      <c r="N9" s="112"/>
      <c r="S9" s="267">
        <f>IF(Start!O20&gt;0,"",IF(S4="offen",'17 Chef-Ums.-Entn. od. GmbHgew.'!L16))</f>
        <v>95000</v>
      </c>
    </row>
    <row r="10" spans="1:23" ht="18" customHeight="1">
      <c r="A10" s="235" t="str">
        <f>F10</f>
        <v>./. Bruttoumsatz Azubis</v>
      </c>
      <c r="B10" s="179"/>
      <c r="C10" s="4123">
        <f>IF(H10=0,0,IF(C5="","",H10-(H10*K11%)))</f>
        <v>0</v>
      </c>
      <c r="D10" s="4124"/>
      <c r="E10" s="4124"/>
      <c r="F10" s="358" t="str">
        <f>IF(B4="","./. Bruttoumsatz Azubis",_xlfn.CONCAT("./. Azubis"," + ",'11 Gesamt PK'!A9))</f>
        <v>./. Bruttoumsatz Azubis</v>
      </c>
      <c r="H10" s="355">
        <f>IF(Start!O20&gt;0,"",SUM(B3:B4))</f>
        <v>0</v>
      </c>
      <c r="I10" s="355"/>
      <c r="J10" s="223"/>
      <c r="K10" s="704"/>
      <c r="L10" s="36"/>
      <c r="N10" s="112"/>
      <c r="S10" s="1864">
        <f>IF(Start!O20&gt;0,"",IF(B3="",0,B3))</f>
        <v>0</v>
      </c>
    </row>
    <row r="11" spans="1:23" ht="18" customHeight="1">
      <c r="A11" s="13" t="s">
        <v>196</v>
      </c>
      <c r="B11" s="121"/>
      <c r="C11" s="4131">
        <f>IF(C5="","",IF(C5=0,"",C8-C9-C10))</f>
        <v>478153.12334891153</v>
      </c>
      <c r="D11" s="4131"/>
      <c r="E11" s="4131"/>
      <c r="F11" s="351" t="s">
        <v>259</v>
      </c>
      <c r="H11" s="355">
        <f>IF(Start!O20&gt;0,"",IF(H5=0,"",H8-H9-H10))</f>
        <v>505993.68263966485</v>
      </c>
      <c r="I11" s="355"/>
      <c r="J11" s="224"/>
      <c r="K11" s="551">
        <f>ROUND('18 Zielumsatz Planungsjahr'!AA10,1)</f>
        <v>5.5</v>
      </c>
      <c r="L11" s="225" t="s">
        <v>186</v>
      </c>
      <c r="M11" s="101"/>
      <c r="N11" s="6"/>
      <c r="O11" s="36" t="str">
        <f>IF('17 Chef-Ums.-Entn. od. GmbHgew.'!E2="","",'17 Chef-Ums.-Entn. od. GmbHgew.'!E2)</f>
        <v/>
      </c>
      <c r="P11" s="267">
        <f>IF(O11="",0,1)</f>
        <v>0</v>
      </c>
      <c r="S11" s="267">
        <f>IF(Start!O20&gt;0,"",IF(H5=0,"",S8-S9-S10))</f>
        <v>505993.68263966485</v>
      </c>
    </row>
    <row r="12" spans="1:23" ht="29.25" customHeight="1">
      <c r="A12" s="180" t="str">
        <f>IF(C9="","(incl. Chefumsatz)","")</f>
        <v/>
      </c>
      <c r="B12" s="28"/>
      <c r="C12" s="4120" t="s">
        <v>53</v>
      </c>
      <c r="D12" s="4120"/>
      <c r="E12" s="144" t="str">
        <f>IF(H19="ü","","Rechnung 2")</f>
        <v/>
      </c>
      <c r="F12" s="183"/>
      <c r="H12" s="359" t="s">
        <v>206</v>
      </c>
      <c r="I12" s="263" t="str">
        <f>IF(H19="ü","","Rechnung 4")</f>
        <v/>
      </c>
      <c r="J12" s="1702"/>
      <c r="K12" s="1716" t="str">
        <f>IF(P11=1,"",IF(SUM('18 Zielumsatz Planungsjahr'!P19,'18 Zielumsatz Planungsjahr'!P20)=0,"","Sie haben den Netto-Zielumsatz auf Seite 18 (Zelle P18 oder P19 ) erhöht."))</f>
        <v/>
      </c>
      <c r="L12" s="1706"/>
      <c r="M12" s="1706"/>
      <c r="N12" s="1706"/>
      <c r="O12" s="1707"/>
      <c r="P12" s="1707"/>
      <c r="Q12" s="1707"/>
      <c r="R12" s="1351"/>
      <c r="S12" s="267"/>
    </row>
    <row r="13" spans="1:23" ht="18" customHeight="1">
      <c r="A13" s="360" t="s">
        <v>990</v>
      </c>
      <c r="B13" s="29"/>
      <c r="C13" s="4121">
        <v>10</v>
      </c>
      <c r="D13" s="4121"/>
      <c r="E13" s="145" t="str">
        <f>IF(H19="ü","",": 12")</f>
        <v/>
      </c>
      <c r="F13" s="361" t="s">
        <v>263</v>
      </c>
      <c r="G13" s="357"/>
      <c r="H13" s="259">
        <v>10</v>
      </c>
      <c r="I13" s="260" t="str">
        <f>IF(H19="ü","",": 12")</f>
        <v/>
      </c>
      <c r="J13" s="1703"/>
      <c r="K13" s="1705"/>
      <c r="L13" s="1705" t="str">
        <f>IF(P11=1,"",IF(SUM('18 Zielumsatz Planungsjahr'!P19,'18 Zielumsatz Planungsjahr'!P20)=0,"",IF('18 Zielumsatz Planungsjahr'!P20&gt;0,"","DL Umsatz auf ")))</f>
        <v/>
      </c>
      <c r="M13" s="1706"/>
      <c r="N13" s="1708" t="str">
        <f>IF(P11=1,"",IF(SUM('18 Zielumsatz Planungsjahr'!P19,'18 Zielumsatz Planungsjahr'!P20)=0,"",IF('18 Zielumsatz Planungsjahr'!P19="","DL Umsatz wurde nicht erhöht",'18 Zielumsatz Planungsjahr'!P19)))</f>
        <v/>
      </c>
      <c r="O13" s="1706"/>
      <c r="P13" s="1706"/>
      <c r="Q13" s="1706"/>
      <c r="R13" s="1352"/>
      <c r="S13" s="267">
        <v>10</v>
      </c>
    </row>
    <row r="14" spans="1:23" ht="15" customHeight="1">
      <c r="A14" s="11"/>
      <c r="B14" s="2"/>
      <c r="C14" s="146"/>
      <c r="D14" s="14"/>
      <c r="E14" s="25"/>
      <c r="F14" s="183"/>
      <c r="G14" s="261"/>
      <c r="H14" s="258"/>
      <c r="I14" s="263"/>
      <c r="J14" s="1703"/>
      <c r="K14" s="1705"/>
      <c r="L14" s="1705" t="str">
        <f>IF(P11=1,"",IF(SUM('18 Zielumsatz Planungsjahr'!P19,'18 Zielumsatz Planungsjahr'!P20)=0,"",IF('18 Zielumsatz Planungsjahr'!P190,"","VK Umsatz auf")))</f>
        <v/>
      </c>
      <c r="M14" s="1706"/>
      <c r="N14" s="1708" t="str">
        <f>IF(P11=1,"",IF(SUM('18 Zielumsatz Planungsjahr'!P19,'18 Zielumsatz Planungsjahr'!P20)=0,"",IF('18 Zielumsatz Planungsjahr'!P20="","VK Umsatz wurde nicht erhöht",'18 Zielumsatz Planungsjahr'!P20)))</f>
        <v/>
      </c>
      <c r="O14" s="1706"/>
      <c r="P14" s="1706"/>
      <c r="Q14" s="1706"/>
      <c r="R14" s="1352"/>
      <c r="S14" s="267"/>
    </row>
    <row r="15" spans="1:23" ht="22.5" customHeight="1" thickBot="1">
      <c r="A15" s="4118" t="s">
        <v>261</v>
      </c>
      <c r="B15" s="4118"/>
      <c r="C15" s="4122">
        <f>IF(C11="","",ROUND(C11/C13,0))</f>
        <v>47815</v>
      </c>
      <c r="D15" s="4122"/>
      <c r="E15" s="316" t="str">
        <f>IF(H19="ü","",ROUND(C11/12,0))</f>
        <v/>
      </c>
      <c r="F15" s="4119" t="s">
        <v>262</v>
      </c>
      <c r="G15" s="3670"/>
      <c r="H15" s="262">
        <f>IF(Start!O20&gt;0,"",IF(H5=0,"",ROUND(H11/H13,0)))</f>
        <v>50599</v>
      </c>
      <c r="I15" s="317" t="str">
        <f>IF(H19="ü","",IF(H5=0,"",ROUND(H11/12,0)))</f>
        <v/>
      </c>
      <c r="J15" s="1703"/>
      <c r="K15" s="1705" t="str">
        <f>IF(P11=1,"",IF(SUM('18 Zielumsatz Planungsjahr'!P19,'18 Zielumsatz Planungsjahr'!P20)=0,"","Bleibt es bei Ihren Chefumsätzen und Entnahmen, die Sie auf Seite 17 geplant haben?"))</f>
        <v/>
      </c>
      <c r="L15" s="1706"/>
      <c r="M15" s="1706"/>
      <c r="N15" s="1709"/>
      <c r="O15" s="1710"/>
      <c r="P15" s="1706"/>
      <c r="Q15" s="1706"/>
      <c r="R15" s="1495"/>
      <c r="S15" s="267">
        <f>IF(Start!O20&gt;0,"",IF(S5=0,"",ROUND(S11/S13,0)))</f>
        <v>50599</v>
      </c>
    </row>
    <row r="16" spans="1:23" ht="16.5" customHeight="1" thickTop="1">
      <c r="A16" s="11"/>
      <c r="B16" s="2"/>
      <c r="C16" s="2"/>
      <c r="D16" s="2"/>
      <c r="F16" s="183"/>
      <c r="G16" s="256"/>
      <c r="H16" s="256"/>
      <c r="I16" s="256"/>
      <c r="J16" s="753"/>
      <c r="K16" s="1705"/>
      <c r="L16" s="1706"/>
      <c r="M16" s="1706"/>
      <c r="N16" s="1711" t="str">
        <f>IF(P11=1,"",IF(SUM('18 Zielumsatz Planungsjahr'!P19,'18 Zielumsatz Planungsjahr'!P20)=0,"","Ihr geplanter Umsatz"))</f>
        <v/>
      </c>
      <c r="O16" s="1712" t="str">
        <f>IF(P11=1,"",IF(SUM('18 Zielumsatz Planungsjahr'!P19,'18 Zielumsatz Planungsjahr'!P20)=0,"",IF('17 Chef-Ums.-Entn. od. GmbHgew.'!B9="",'17 Chef-Ums.-Entn. od. GmbHgew.'!C9,'17 Chef-Ums.-Entn. od. GmbHgew.'!B9)))</f>
        <v/>
      </c>
      <c r="P16" s="1713" t="str">
        <f>IF(P11=1,"",IF(O16="","",IF('17 Chef-Ums.-Entn. od. GmbHgew.'!B9="",'17 Chef-Ums.-Entn. od. GmbHgew.'!C8,'17 Chef-Ums.-Entn. od. GmbHgew.'!B8)))</f>
        <v/>
      </c>
      <c r="Q16" s="1714"/>
      <c r="R16" s="1496"/>
      <c r="V16" s="1344"/>
      <c r="W16" s="1344"/>
    </row>
    <row r="17" spans="1:29" s="15" customFormat="1" ht="16.5" customHeight="1">
      <c r="A17" s="11" t="s">
        <v>197</v>
      </c>
      <c r="B17" s="2"/>
      <c r="C17" s="2"/>
      <c r="D17" s="14"/>
      <c r="G17" s="147"/>
      <c r="H17" s="147"/>
      <c r="I17" s="147"/>
      <c r="J17" s="753"/>
      <c r="K17" s="1705"/>
      <c r="L17" s="1715"/>
      <c r="M17" s="1706"/>
      <c r="N17" s="1711" t="str">
        <f>IF(P11=1,"",IF(SUM('18 Zielumsatz Planungsjahr'!P19,'18 Zielumsatz Planungsjahr'!P20)=0,"","Ihre geplanten Entnahmen"))</f>
        <v/>
      </c>
      <c r="O17" s="1712" t="str">
        <f>IF(P11=1,"",IF(SUM('18 Zielumsatz Planungsjahr'!P19,'18 Zielumsatz Planungsjahr'!P20)=0,"",'17 Chef-Ums.-Entn. od. GmbHgew.'!C40))</f>
        <v/>
      </c>
      <c r="P17" s="1712"/>
      <c r="Q17" s="1714"/>
      <c r="R17" s="1496"/>
      <c r="S17" s="3"/>
      <c r="T17" s="3"/>
      <c r="U17" s="3"/>
    </row>
    <row r="18" spans="1:29" s="15" customFormat="1" ht="16.5" customHeight="1">
      <c r="A18" s="2"/>
      <c r="B18" s="2"/>
      <c r="C18" s="2"/>
      <c r="D18" s="14"/>
      <c r="G18" s="147"/>
      <c r="H18" s="147"/>
      <c r="I18" s="147"/>
      <c r="J18" s="1704"/>
      <c r="K18" s="4138" t="str">
        <f>IF(P11=1,"",IF(SUM('18 Zielumsatz Planungsjahr'!P19,'18 Zielumsatz Planungsjahr'!P20)=0,"","Wenn Sie Ihre Eingaben ändern möchten, ändern Sie diese bitte auf Seite 17."))</f>
        <v/>
      </c>
      <c r="L18" s="4139"/>
      <c r="M18" s="4139"/>
      <c r="N18" s="4139"/>
      <c r="O18" s="4139"/>
      <c r="P18" s="4139"/>
      <c r="Q18" s="4139"/>
      <c r="R18" s="4140"/>
      <c r="S18" s="3"/>
      <c r="T18" s="3"/>
      <c r="U18" s="3"/>
    </row>
    <row r="19" spans="1:29" s="15" customFormat="1" ht="17.55" customHeight="1">
      <c r="A19" s="2"/>
      <c r="B19" s="2"/>
      <c r="C19" s="2"/>
      <c r="D19" s="14"/>
      <c r="F19" s="264" t="s">
        <v>86</v>
      </c>
      <c r="G19" s="265"/>
      <c r="H19" s="266" t="s">
        <v>66</v>
      </c>
      <c r="I19" s="147"/>
      <c r="J19" s="1703"/>
      <c r="K19" s="4141"/>
      <c r="L19" s="4142"/>
      <c r="M19" s="4142"/>
      <c r="N19" s="4142"/>
      <c r="O19" s="4142"/>
      <c r="P19" s="4142"/>
      <c r="Q19" s="4142"/>
      <c r="R19" s="4143"/>
      <c r="S19" s="3"/>
      <c r="T19" s="3"/>
      <c r="U19" s="3"/>
      <c r="V19" s="1344"/>
      <c r="W19" s="1344"/>
    </row>
    <row r="20" spans="1:29" s="15" customFormat="1" ht="19.5" customHeight="1">
      <c r="B20" s="3"/>
      <c r="C20" s="3"/>
      <c r="G20" s="147"/>
      <c r="H20" s="147"/>
      <c r="I20" s="147"/>
      <c r="J20" s="1284"/>
      <c r="K20" s="1284"/>
      <c r="L20" s="1348"/>
      <c r="M20" s="1348"/>
      <c r="N20" s="1348"/>
      <c r="O20" s="1348"/>
      <c r="P20" s="1348"/>
      <c r="Q20" s="1348"/>
      <c r="R20" s="1348" t="s">
        <v>414</v>
      </c>
      <c r="S20" s="921" t="str">
        <f>IF('18 Zielumsatz Planungsjahr'!$P$19="","",IF(N17="DL","",IF(S17&gt;S19,S17,S19)))</f>
        <v/>
      </c>
      <c r="T20" s="921" t="str">
        <f>IF('18 Zielumsatz Planungsjahr'!$P$19="","",IF(N17="DL","",IF(T17&gt;T19,T17,T19)))</f>
        <v/>
      </c>
      <c r="U20" s="1348"/>
      <c r="V20" s="1348"/>
      <c r="W20" s="1348"/>
      <c r="X20" s="1348"/>
      <c r="Y20" s="1348"/>
      <c r="Z20" s="1348"/>
      <c r="AA20" s="1348"/>
      <c r="AB20" s="1348"/>
      <c r="AC20" s="1348"/>
    </row>
    <row r="21" spans="1:29" s="15" customFormat="1" ht="19.5" customHeight="1">
      <c r="B21" s="3"/>
      <c r="C21" s="3"/>
      <c r="G21" s="147"/>
      <c r="H21" s="147"/>
      <c r="I21" s="147"/>
      <c r="J21" s="1188"/>
      <c r="K21" s="1188"/>
      <c r="L21" s="267"/>
      <c r="M21" s="267"/>
      <c r="N21" s="267" t="s">
        <v>873</v>
      </c>
      <c r="O21" s="1424" t="s">
        <v>874</v>
      </c>
      <c r="P21" s="1348"/>
      <c r="Q21" s="267" t="s">
        <v>873</v>
      </c>
      <c r="R21" s="1424" t="s">
        <v>874</v>
      </c>
      <c r="S21" s="1348"/>
      <c r="T21" s="267" t="s">
        <v>873</v>
      </c>
      <c r="U21" s="1424" t="s">
        <v>874</v>
      </c>
      <c r="V21" s="1348"/>
      <c r="W21" s="1348"/>
      <c r="X21" s="1348"/>
      <c r="Y21" s="1348"/>
      <c r="Z21" s="1348"/>
      <c r="AA21" s="1348"/>
      <c r="AB21" s="1348"/>
      <c r="AC21" s="1348"/>
    </row>
    <row r="22" spans="1:29" s="15" customFormat="1" ht="19.5" customHeight="1">
      <c r="A22" s="3"/>
      <c r="B22" s="3"/>
      <c r="C22" s="3"/>
      <c r="G22" s="147"/>
      <c r="H22" s="147"/>
      <c r="I22" s="147"/>
      <c r="J22" s="1188"/>
      <c r="K22" s="1188"/>
      <c r="L22" s="267"/>
      <c r="M22" s="267"/>
      <c r="N22" s="1163">
        <f>'17 Chef-Ums.-Entn. od. GmbHgew.'!B14</f>
        <v>95000</v>
      </c>
      <c r="O22" s="267">
        <f>IF(S17&gt;N22,S17,N22)</f>
        <v>95000</v>
      </c>
      <c r="P22" s="1348"/>
      <c r="Q22" s="1163">
        <f>'17 Chef-Ums.-Entn. od. GmbHgew.'!E14</f>
        <v>0</v>
      </c>
      <c r="R22" s="267">
        <f>IF(T17&gt;Q22,T17,Q22)</f>
        <v>0</v>
      </c>
      <c r="S22" s="1348"/>
      <c r="T22" s="1163">
        <f>'17 Chef-Ums.-Entn. od. GmbHgew.'!H14</f>
        <v>0</v>
      </c>
      <c r="U22" s="267">
        <f>IF(W17&gt;T22,W17,T22)</f>
        <v>0</v>
      </c>
      <c r="V22" s="1348"/>
      <c r="W22" s="1348"/>
      <c r="X22" s="1348"/>
      <c r="Y22" s="1348"/>
      <c r="Z22" s="1348"/>
      <c r="AA22" s="1348"/>
      <c r="AB22" s="1348"/>
      <c r="AC22" s="1348"/>
    </row>
    <row r="23" spans="1:29" s="15" customFormat="1" ht="19.5" customHeight="1">
      <c r="A23" s="3"/>
      <c r="J23" s="1610"/>
      <c r="K23" s="1610"/>
      <c r="L23" s="267" t="s">
        <v>414</v>
      </c>
      <c r="M23" s="267"/>
      <c r="N23" s="1163">
        <f>IF(SUM('17 Chef-Ums.-Entn. od. GmbHgew.'!B9,'17 Chef-Ums.-Entn. od. GmbHgew.'!C9)=0,0,'17 Chef-Ums.-Entn. od. GmbHgew.'!B14)</f>
        <v>95000</v>
      </c>
      <c r="O23" s="267">
        <f>O22</f>
        <v>95000</v>
      </c>
      <c r="P23" s="1348">
        <f>IF('18 Zielumsatz Planungsjahr'!P19="",N22,IF($N$17="Ges",$P$28,IF($N$17="DL",SUM(P24:P25),"")))</f>
        <v>95000</v>
      </c>
      <c r="Q23" s="1163">
        <f>IF(SUM('17 Chef-Ums.-Entn. od. GmbHgew.'!E9,'17 Chef-Ums.-Entn. od. GmbHgew.'!F9)=0,0,'17 Chef-Ums.-Entn. od. GmbHgew.'!E14)</f>
        <v>0</v>
      </c>
      <c r="R23" s="267">
        <f>R22</f>
        <v>0</v>
      </c>
      <c r="S23" s="1348">
        <f>IF('18 Zielumsatz Planungsjahr'!S19="",Q22,IF($N$17="Ges",$P$28,IF($N$17="DL",SUM(S24:S25),"")))</f>
        <v>0</v>
      </c>
      <c r="T23" s="1163">
        <f>IF(SUM('17 Chef-Ums.-Entn. od. GmbHgew.'!H9,'17 Chef-Ums.-Entn. od. GmbHgew.'!I9)=0,0,'17 Chef-Ums.-Entn. od. GmbHgew.'!H14)</f>
        <v>0</v>
      </c>
      <c r="U23" s="267">
        <f>U22</f>
        <v>0</v>
      </c>
      <c r="V23" s="1348">
        <f>IF('18 Zielumsatz Planungsjahr'!V19="",T22,IF($N$17="Ges",$P$28,IF($N$17="DL",SUM(V24:V25),"")))</f>
        <v>0</v>
      </c>
      <c r="W23" s="1348"/>
      <c r="X23" s="1348"/>
      <c r="Y23" s="1348"/>
      <c r="Z23" s="1348"/>
      <c r="AA23" s="1348"/>
      <c r="AB23" s="1348"/>
      <c r="AC23" s="1348"/>
    </row>
    <row r="24" spans="1:29" s="15" customFormat="1" ht="19.5" customHeight="1">
      <c r="A24" s="3"/>
      <c r="J24" s="1610"/>
      <c r="K24" s="1610"/>
      <c r="L24" s="267" t="s">
        <v>127</v>
      </c>
      <c r="M24" s="267"/>
      <c r="N24" s="1163">
        <f>'17 Chef-Ums.-Entn. od. GmbHgew.'!B13</f>
        <v>89772.952265285407</v>
      </c>
      <c r="O24" s="1163">
        <f>N24</f>
        <v>89772.952265285407</v>
      </c>
      <c r="P24" s="1348">
        <f>IF('18 Zielumsatz Planungsjahr'!P19="",N24,IF($N$17="DL",$P$27,IF($N$17="Ges",P23-(P23*$O$19%))))</f>
        <v>89772.952265285407</v>
      </c>
      <c r="Q24" s="1163">
        <f>'17 Chef-Ums.-Entn. od. GmbHgew.'!M13</f>
        <v>0</v>
      </c>
      <c r="R24" s="1163">
        <f>Q24</f>
        <v>0</v>
      </c>
      <c r="S24" s="1348">
        <f>IF('18 Zielumsatz Planungsjahr'!S19="",Q24,IF($N$17="DL",$S$27,IF($N$17="Ges",S23-(S23*$O$19%))))</f>
        <v>0</v>
      </c>
      <c r="T24" s="1163">
        <f>'17 Chef-Ums.-Entn. od. GmbHgew.'!N13</f>
        <v>0</v>
      </c>
      <c r="U24" s="1163">
        <f>T24</f>
        <v>0</v>
      </c>
      <c r="V24" s="1348">
        <f>IF('18 Zielumsatz Planungsjahr'!V19="",T24,IF($N$17="DL",$S$27,IF($N$17="Ges",V23-(V23*$O$19%))))</f>
        <v>0</v>
      </c>
      <c r="W24" s="1348"/>
      <c r="X24" s="1348"/>
      <c r="Y24" s="1348"/>
      <c r="Z24" s="1348"/>
      <c r="AA24" s="1348"/>
      <c r="AB24" s="1348"/>
      <c r="AC24" s="1348"/>
    </row>
    <row r="25" spans="1:29" s="15" customFormat="1" ht="19.5" customHeight="1">
      <c r="A25" s="3"/>
      <c r="J25" s="1610"/>
      <c r="K25" s="1610"/>
      <c r="L25" s="267" t="s">
        <v>128</v>
      </c>
      <c r="M25" s="267"/>
      <c r="N25" s="1163">
        <f>'17 Chef-Ums.-Entn. od. GmbHgew.'!C13</f>
        <v>5227.0477347145998</v>
      </c>
      <c r="O25" s="1163">
        <f>N25</f>
        <v>5227.0477347145998</v>
      </c>
      <c r="P25" s="267" t="str">
        <f>IF($N$17="DL",P24/(100-O19)*O19,"")</f>
        <v/>
      </c>
      <c r="Q25" s="1163">
        <f>'17 Chef-Ums.-Entn. od. GmbHgew.'!M14</f>
        <v>0</v>
      </c>
      <c r="R25" s="1163">
        <f>Q25</f>
        <v>0</v>
      </c>
      <c r="S25" s="267" t="str">
        <f>IF($N$17="DL",S24/(100-O19)*O19,"")</f>
        <v/>
      </c>
      <c r="T25" s="1163">
        <f>'17 Chef-Ums.-Entn. od. GmbHgew.'!N14</f>
        <v>0</v>
      </c>
      <c r="U25" s="1163">
        <f>T25</f>
        <v>0</v>
      </c>
      <c r="V25" s="267" t="str">
        <f>IF($N$17="DL",V24/(100-R19)*R19,"")</f>
        <v/>
      </c>
      <c r="W25" s="1348"/>
      <c r="X25" s="1348"/>
      <c r="Y25" s="1348"/>
      <c r="Z25" s="1348"/>
      <c r="AA25" s="1348"/>
      <c r="AB25" s="1348"/>
      <c r="AC25" s="1348"/>
    </row>
    <row r="26" spans="1:29">
      <c r="J26" s="615"/>
      <c r="K26" s="615"/>
      <c r="L26" s="267"/>
      <c r="M26" s="267"/>
      <c r="N26" s="267"/>
      <c r="O26" s="267"/>
      <c r="P26" s="267"/>
      <c r="Q26" s="267"/>
      <c r="R26" s="267"/>
      <c r="S26" s="267"/>
      <c r="T26" s="267"/>
      <c r="U26" s="267"/>
      <c r="V26" s="267"/>
      <c r="W26" s="267"/>
      <c r="X26" s="267"/>
      <c r="Y26" s="267"/>
      <c r="Z26" s="267"/>
      <c r="AA26" s="267"/>
      <c r="AB26" s="267"/>
      <c r="AC26" s="267"/>
    </row>
    <row r="27" spans="1:29">
      <c r="J27" s="615"/>
      <c r="K27" s="615"/>
      <c r="L27" s="267"/>
      <c r="M27" s="267"/>
      <c r="N27" s="267"/>
      <c r="O27" s="267" t="str">
        <f>IF($N$17="DL","DL","nur Ges")</f>
        <v>nur Ges</v>
      </c>
      <c r="P27" s="267">
        <f>IF($N$17="DL",$S$17,0)</f>
        <v>0</v>
      </c>
      <c r="Q27" s="267"/>
      <c r="R27" s="267"/>
      <c r="S27" s="267">
        <f>IF($N$17="DL",$T$17,0)</f>
        <v>0</v>
      </c>
      <c r="T27" s="267"/>
      <c r="U27" s="267"/>
      <c r="V27" s="267"/>
      <c r="W27" s="267"/>
      <c r="X27" s="267"/>
      <c r="Y27" s="267"/>
      <c r="Z27" s="267"/>
      <c r="AA27" s="267"/>
      <c r="AB27" s="267"/>
      <c r="AC27" s="267"/>
    </row>
    <row r="28" spans="1:29">
      <c r="J28" s="615"/>
      <c r="K28" s="615"/>
      <c r="L28" s="267"/>
      <c r="M28" s="267"/>
      <c r="N28" s="267"/>
      <c r="O28" s="267" t="str">
        <f>IF($N$17="Ges","Ges","nur DL")</f>
        <v>nur DL</v>
      </c>
      <c r="P28" s="267">
        <f>IF($N$17="Ges",$S$17,0)</f>
        <v>0</v>
      </c>
      <c r="Q28" s="267"/>
      <c r="R28" s="267"/>
      <c r="S28" s="267">
        <f>IF($N$17="Ges",$S$17,0)</f>
        <v>0</v>
      </c>
      <c r="T28" s="267"/>
      <c r="U28" s="267"/>
      <c r="V28" s="267"/>
      <c r="W28" s="267"/>
      <c r="X28" s="267"/>
      <c r="Y28" s="267"/>
      <c r="Z28" s="267"/>
      <c r="AA28" s="267"/>
      <c r="AB28" s="267"/>
      <c r="AC28" s="267"/>
    </row>
    <row r="30" spans="1:29" ht="20.25" customHeight="1"/>
    <row r="31" spans="1:29" ht="20.25" customHeight="1"/>
    <row r="32" spans="1:29" ht="20.25" customHeight="1"/>
    <row r="33" ht="20.25" customHeight="1"/>
    <row r="34" ht="20.25" customHeight="1"/>
    <row r="35" ht="20.25" customHeight="1"/>
  </sheetData>
  <sheetProtection algorithmName="SHA-512" hashValue="A4NMmKK3GqJ6K9zrAtzWBgYE4BdgbXkTnvPItZykrpcb1ZzVi4em6+aSc7gOb5H0D9NaOviZBclrFwvNUXcYpg==" saltValue="mi+1u/eE1jGnv2Vzg8pzuw==" spinCount="100000" sheet="1" objects="1" scenarios="1"/>
  <customSheetViews>
    <customSheetView guid="{91EE9386-9500-473B-B86C-27DB8DF0BA46}" showGridLines="0">
      <selection activeCell="H1" sqref="H1"/>
      <pageMargins left="0.25" right="0.25" top="0.75" bottom="0.75" header="0.3" footer="0.3"/>
      <pageSetup paperSize="9" scale="95" orientation="landscape" r:id="rId1"/>
    </customSheetView>
    <customSheetView guid="{B8019777-F14C-4393-8CE3-CE0081D0CD28}" showGridLines="0">
      <selection activeCell="H1" sqref="H1"/>
      <pageMargins left="0.25" right="0.25" top="0.75" bottom="0.75" header="0.3" footer="0.3"/>
      <pageSetup paperSize="9" scale="95" orientation="landscape" r:id="rId2"/>
    </customSheetView>
  </customSheetViews>
  <mergeCells count="19">
    <mergeCell ref="K18:R19"/>
    <mergeCell ref="C6:E6"/>
    <mergeCell ref="J7:N8"/>
    <mergeCell ref="C9:E9"/>
    <mergeCell ref="F1:I1"/>
    <mergeCell ref="A2:I2"/>
    <mergeCell ref="C4:E4"/>
    <mergeCell ref="D3:I3"/>
    <mergeCell ref="C5:E5"/>
    <mergeCell ref="J2:M2"/>
    <mergeCell ref="A15:B15"/>
    <mergeCell ref="F15:G15"/>
    <mergeCell ref="C12:D12"/>
    <mergeCell ref="C13:D13"/>
    <mergeCell ref="C15:D15"/>
    <mergeCell ref="C10:E10"/>
    <mergeCell ref="C11:E11"/>
    <mergeCell ref="C8:E8"/>
    <mergeCell ref="K4:O5"/>
  </mergeCells>
  <phoneticPr fontId="4" type="noConversion"/>
  <pageMargins left="0.25" right="0.25" top="0.75" bottom="0.75" header="0.3" footer="0.3"/>
  <pageSetup paperSize="9" scale="95" orientation="landscape"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65"/>
  <sheetViews>
    <sheetView showGridLines="0" workbookViewId="0">
      <selection activeCell="G12" sqref="G12"/>
    </sheetView>
  </sheetViews>
  <sheetFormatPr baseColWidth="10" defaultColWidth="11" defaultRowHeight="15"/>
  <cols>
    <col min="1" max="1" width="2.77734375" style="3" customWidth="1"/>
    <col min="2" max="2" width="14.77734375" style="3" customWidth="1"/>
    <col min="3" max="3" width="16" style="3" customWidth="1"/>
    <col min="4" max="4" width="16.44140625" style="3" customWidth="1"/>
    <col min="5" max="5" width="15.44140625" style="3" customWidth="1"/>
    <col min="6" max="6" width="13.77734375" style="3" customWidth="1"/>
    <col min="7" max="7" width="19.77734375" style="3" customWidth="1"/>
    <col min="8" max="8" width="7.44140625" style="3" customWidth="1"/>
    <col min="9" max="9" width="17.77734375" style="3" customWidth="1"/>
    <col min="10" max="10" width="3" style="3" customWidth="1"/>
    <col min="11" max="11" width="3.44140625" style="3" customWidth="1"/>
    <col min="12" max="12" width="16.44140625" style="3" customWidth="1"/>
    <col min="13" max="13" width="6.44140625" style="3" customWidth="1"/>
    <col min="14" max="14" width="6" style="3" customWidth="1"/>
    <col min="15" max="15" width="15.21875" style="3" customWidth="1"/>
    <col min="16" max="16" width="11.77734375" style="3" customWidth="1"/>
    <col min="17" max="17" width="11.33203125" style="3" customWidth="1"/>
    <col min="18" max="18" width="13.44140625" style="3" customWidth="1"/>
    <col min="19" max="19" width="6" style="3" customWidth="1"/>
    <col min="20" max="20" width="12.44140625" style="3" bestFit="1" customWidth="1"/>
    <col min="21" max="21" width="4.44140625" style="3" customWidth="1"/>
    <col min="22" max="22" width="9.77734375" style="3" customWidth="1"/>
    <col min="23" max="23" width="11" style="3"/>
    <col min="24" max="24" width="30.77734375" style="3" customWidth="1"/>
    <col min="25" max="16384" width="11" style="3"/>
  </cols>
  <sheetData>
    <row r="1" spans="1:25" ht="39" customHeight="1">
      <c r="A1" s="4158" t="s">
        <v>251</v>
      </c>
      <c r="B1" s="4158"/>
      <c r="C1" s="4158"/>
      <c r="D1" s="4158"/>
      <c r="E1" s="4158"/>
      <c r="F1" s="4158"/>
      <c r="G1" s="132" t="str">
        <f>'2 Unternehmensdaten'!B2</f>
        <v>Demo Version</v>
      </c>
      <c r="H1" s="340"/>
      <c r="I1" s="4155" t="s">
        <v>250</v>
      </c>
      <c r="J1" s="4156"/>
      <c r="K1" s="4156"/>
      <c r="L1" s="4156"/>
    </row>
    <row r="2" spans="1:25" ht="18" customHeight="1">
      <c r="A2" s="31"/>
      <c r="B2" s="4160"/>
      <c r="C2" s="4160"/>
      <c r="D2" s="4160"/>
      <c r="E2" s="4160"/>
      <c r="F2" s="4160"/>
      <c r="G2" s="2999" t="str">
        <f>IF(Start!L19="ü","offen","geschlossen")</f>
        <v>offen</v>
      </c>
      <c r="I2" s="4155"/>
      <c r="J2" s="4156"/>
      <c r="K2" s="4156"/>
      <c r="L2" s="4156"/>
    </row>
    <row r="3" spans="1:25" ht="45.75" customHeight="1">
      <c r="A3" s="4103" t="s">
        <v>252</v>
      </c>
      <c r="B3" s="4103"/>
      <c r="C3" s="4103"/>
      <c r="D3" s="4103"/>
      <c r="E3" s="4103"/>
      <c r="F3" s="4159"/>
      <c r="G3" s="4157" t="s">
        <v>1104</v>
      </c>
      <c r="I3" s="4155"/>
      <c r="J3" s="4156"/>
      <c r="K3" s="4156"/>
      <c r="L3" s="4156"/>
    </row>
    <row r="4" spans="1:25" ht="60.75" customHeight="1" thickBot="1">
      <c r="A4" s="5"/>
      <c r="B4" s="344" t="s">
        <v>0</v>
      </c>
      <c r="C4" s="345" t="s">
        <v>540</v>
      </c>
      <c r="D4" s="345" t="s">
        <v>326</v>
      </c>
      <c r="E4" s="345" t="s">
        <v>1047</v>
      </c>
      <c r="F4" s="346" t="s">
        <v>249</v>
      </c>
      <c r="G4" s="4157"/>
      <c r="I4" s="348" t="s">
        <v>253</v>
      </c>
      <c r="L4" s="339" t="s">
        <v>921</v>
      </c>
    </row>
    <row r="5" spans="1:25" ht="18" customHeight="1">
      <c r="A5" s="5"/>
      <c r="B5" s="2941" t="str">
        <f>IF('2 Unternehmensdaten'!P$14="ja",'4 Eingabe Friseure'!A7,"")</f>
        <v/>
      </c>
      <c r="C5" s="2942" t="str">
        <f>IF(B5="","",IF('2 Unternehmensdaten'!P14="ja",'17 Chef-Ums.-Entn. od. GmbHgew.'!B54,'4 Eingabe Friseure'!E7))</f>
        <v/>
      </c>
      <c r="D5" s="2942"/>
      <c r="E5" s="2942"/>
      <c r="F5" s="2942"/>
      <c r="G5" s="515"/>
      <c r="I5" s="517"/>
      <c r="L5" s="2943" t="str">
        <f>IF(G2="offen",IF('2a Chefeingaben'!T$1="","",IF(B5="","",IF(G5="",C5-I5,G5-I5))))</f>
        <v/>
      </c>
    </row>
    <row r="6" spans="1:25" ht="18" customHeight="1">
      <c r="A6" s="5"/>
      <c r="B6" s="2941" t="str">
        <f>IF('2 Unternehmensdaten'!P$14="ja",'4 Eingabe Friseure'!A8,"")</f>
        <v/>
      </c>
      <c r="C6" s="2942" t="str">
        <f>IF(B6="","",IF('2 Unternehmensdaten'!P14="ja",'17 Chef-Ums.-Entn. od. GmbHgew.'!E54,'4 Eingabe Friseure'!E8))</f>
        <v/>
      </c>
      <c r="D6" s="2942"/>
      <c r="E6" s="2942"/>
      <c r="F6" s="2942"/>
      <c r="G6" s="515"/>
      <c r="I6" s="517"/>
      <c r="L6" s="2943" t="str">
        <f>IF(G2="offen",IF('2a Chefeingaben'!T$1="","",IF(B6="","",IF(G6="",C6-I6,G6-I6))))</f>
        <v/>
      </c>
    </row>
    <row r="7" spans="1:25" ht="18" customHeight="1">
      <c r="A7" s="5"/>
      <c r="B7" s="2941" t="str">
        <f>IF('2 Unternehmensdaten'!P$14="ja",'4 Eingabe Friseure'!A9,"")</f>
        <v/>
      </c>
      <c r="C7" s="2942" t="str">
        <f>IF(B7="","",IF('2 Unternehmensdaten'!P14="ja",'17 Chef-Ums.-Entn. od. GmbHgew.'!H54,'4 Eingabe Friseure'!E9))</f>
        <v/>
      </c>
      <c r="D7" s="2942"/>
      <c r="E7" s="2942"/>
      <c r="F7" s="2942"/>
      <c r="G7" s="515"/>
      <c r="I7" s="517"/>
      <c r="L7" s="2943" t="str">
        <f>IF(G2="offen",IF('2a Chefeingaben'!T$1="","",IF(B7="","",IF(G7="",C7-I7,G7-I7))))</f>
        <v/>
      </c>
    </row>
    <row r="8" spans="1:25" ht="18" customHeight="1">
      <c r="A8" s="5"/>
      <c r="B8" s="1856" t="str">
        <f ca="1">IF('1 Erklärung'!AA$2="","",IF('4 Eingabe Friseure'!A10="","",'4 Eingabe Friseure'!A10))</f>
        <v>Maria</v>
      </c>
      <c r="C8" s="343">
        <f ca="1">IF(B8="","",'4 Eingabe Friseure'!E10)</f>
        <v>2765.6359500000003</v>
      </c>
      <c r="D8" s="343">
        <f ca="1">IF(B8="","",'4 Eingabe Friseure'!BD10)</f>
        <v>2776.0526166666668</v>
      </c>
      <c r="E8" s="343">
        <f ca="1">IF(B8="","",('7 Verteil. auf Monate Friseure'!AO5))</f>
        <v>2776.0526166666673</v>
      </c>
      <c r="F8" s="343">
        <f ca="1">IF(B8="","",'7 Verteil. auf Monate Friseure'!AN5)</f>
        <v>2890.6359500000003</v>
      </c>
      <c r="G8" s="2944"/>
      <c r="I8" s="517">
        <v>250</v>
      </c>
      <c r="L8" s="347">
        <f ca="1">IF(G2="offen",IF('2a Chefeingaben'!T$1="","",IF(B8="","",IF(G8="",C8-I8,G8-I8))))</f>
        <v>2515.6359500000003</v>
      </c>
    </row>
    <row r="9" spans="1:25" ht="18" customHeight="1">
      <c r="A9" s="5"/>
      <c r="B9" s="1857" t="str">
        <f ca="1">IF('1 Erklärung'!AA$2="","",IF('4 Eingabe Friseure'!A11="","",'4 Eingabe Friseure'!A11))</f>
        <v>Jutta</v>
      </c>
      <c r="C9" s="343">
        <f ca="1">IF(B9="","",'4 Eingabe Friseure'!E11)</f>
        <v>1782.53</v>
      </c>
      <c r="D9" s="115">
        <f ca="1">IF(B9="","",'4 Eingabe Friseure'!BD11)</f>
        <v>1782.53</v>
      </c>
      <c r="E9" s="115">
        <f ca="1">IF(B9="","",('7 Verteil. auf Monate Friseure'!AO6))</f>
        <v>1782.53</v>
      </c>
      <c r="F9" s="115">
        <f ca="1">IF(B9="","",'7 Verteil. auf Monate Friseure'!AN6)</f>
        <v>1782.53</v>
      </c>
      <c r="G9" s="515"/>
      <c r="I9" s="517"/>
      <c r="L9" s="347">
        <f ca="1">IF(G2="offen",IF('2a Chefeingaben'!T$1="","",IF(B9="","",IF(G9="",C9-I9,G9-I9))))</f>
        <v>1782.53</v>
      </c>
    </row>
    <row r="10" spans="1:25" ht="18" customHeight="1">
      <c r="A10" s="5"/>
      <c r="B10" s="1857" t="str">
        <f ca="1">IF('1 Erklärung'!AA$2="","",IF('4 Eingabe Friseure'!A12="","",'4 Eingabe Friseure'!A12))</f>
        <v>Karina</v>
      </c>
      <c r="C10" s="343">
        <f ca="1">IF(B10="","",'4 Eingabe Friseure'!E12)</f>
        <v>1490.5592000000001</v>
      </c>
      <c r="D10" s="115">
        <f ca="1">IF(B10="","",'4 Eingabe Friseure'!BD12)</f>
        <v>1490.5592000000001</v>
      </c>
      <c r="E10" s="115">
        <f ca="1">IF(B10="","",('7 Verteil. auf Monate Friseure'!AO7))</f>
        <v>1490.5591999999999</v>
      </c>
      <c r="F10" s="115">
        <f ca="1">IF(B10="","",'7 Verteil. auf Monate Friseure'!AN7)</f>
        <v>1490.5592000000001</v>
      </c>
      <c r="G10" s="515"/>
      <c r="I10" s="517"/>
      <c r="L10" s="347">
        <f ca="1">IF(G2="offen",IF('2a Chefeingaben'!T$1="","",IF(B10="","",IF(G10="",C10-I10,G10-I10))))</f>
        <v>1490.5592000000001</v>
      </c>
    </row>
    <row r="11" spans="1:25" ht="18" customHeight="1">
      <c r="A11" s="5"/>
      <c r="B11" s="1857" t="str">
        <f ca="1">IF('1 Erklärung'!AA$2="","",IF('4 Eingabe Friseure'!A13="","",'4 Eingabe Friseure'!A13))</f>
        <v>Cordula</v>
      </c>
      <c r="C11" s="343">
        <f ca="1">IF(B11="","",'4 Eingabe Friseure'!E13)</f>
        <v>1310</v>
      </c>
      <c r="D11" s="115">
        <f ca="1">IF(B11="","",'4 Eingabe Friseure'!BD13)</f>
        <v>1320.4166666666667</v>
      </c>
      <c r="E11" s="115">
        <f ca="1">IF(B11="","",('7 Verteil. auf Monate Friseure'!AO8))</f>
        <v>1320.4166666666667</v>
      </c>
      <c r="F11" s="115">
        <f ca="1">IF(B11="","",'7 Verteil. auf Monate Friseure'!AN8)</f>
        <v>1435</v>
      </c>
      <c r="G11" s="515"/>
      <c r="I11" s="517"/>
      <c r="L11" s="347">
        <f ca="1">IF(G2="offen",IF('2a Chefeingaben'!T$1="","",IF(B11="","",IF(G11="",C11-I11,G11-I11))))</f>
        <v>1310</v>
      </c>
    </row>
    <row r="12" spans="1:25" ht="18" customHeight="1">
      <c r="A12" s="5"/>
      <c r="B12" s="1857" t="str">
        <f ca="1">IF('1 Erklärung'!AA$2="","",IF('4 Eingabe Friseure'!A14="","",'4 Eingabe Friseure'!A14))</f>
        <v>Christa</v>
      </c>
      <c r="C12" s="343">
        <f ca="1">IF(B12="","",'4 Eingabe Friseure'!E14)</f>
        <v>1040</v>
      </c>
      <c r="D12" s="115">
        <f ca="1">IF(B12="","",'4 Eingabe Friseure'!BD14)</f>
        <v>1040</v>
      </c>
      <c r="E12" s="115">
        <f ca="1">IF(B12="","",('7 Verteil. auf Monate Friseure'!AO9))</f>
        <v>1040</v>
      </c>
      <c r="F12" s="115">
        <f ca="1">IF(B12="","",'7 Verteil. auf Monate Friseure'!AN9)</f>
        <v>1040</v>
      </c>
      <c r="G12" s="515"/>
      <c r="I12" s="517"/>
      <c r="L12" s="347">
        <f ca="1">IF(G2="offen",IF('2a Chefeingaben'!T$1="","",IF(B12="","",IF(G12="",C12-I12,G12-I12))))</f>
        <v>1040</v>
      </c>
    </row>
    <row r="13" spans="1:25" ht="18" customHeight="1">
      <c r="A13" s="5"/>
      <c r="B13" s="1857" t="str">
        <f ca="1">IF('1 Erklärung'!AA$2="","",IF('4 Eingabe Friseure'!A15="","",'4 Eingabe Friseure'!A15))</f>
        <v>Horst</v>
      </c>
      <c r="C13" s="343">
        <f ca="1">IF(B13="","",'4 Eingabe Friseure'!E15)</f>
        <v>1350</v>
      </c>
      <c r="D13" s="115">
        <f ca="1">IF(B13="","",'4 Eingabe Friseure'!BD15)</f>
        <v>1350</v>
      </c>
      <c r="E13" s="115">
        <f ca="1">IF(B13="","",('7 Verteil. auf Monate Friseure'!AO10))</f>
        <v>1350</v>
      </c>
      <c r="F13" s="115">
        <f ca="1">IF(B13="","",'7 Verteil. auf Monate Friseure'!AN10)</f>
        <v>1350</v>
      </c>
      <c r="G13" s="515"/>
      <c r="I13" s="517"/>
      <c r="L13" s="347">
        <f ca="1">IF(G2="offen",IF('2a Chefeingaben'!T$1="","",IF(B13="","",IF(G13="",C13-I13,G13-I13))))</f>
        <v>1350</v>
      </c>
    </row>
    <row r="14" spans="1:25" ht="16.5" customHeight="1">
      <c r="A14" s="2"/>
      <c r="B14" s="1857" t="str">
        <f ca="1">IF('1 Erklärung'!AA$2="","",IF('4 Eingabe Friseure'!A16="","",'4 Eingabe Friseure'!A16))</f>
        <v/>
      </c>
      <c r="C14" s="343" t="str">
        <f ca="1">IF(B14="","",'4 Eingabe Friseure'!E16)</f>
        <v/>
      </c>
      <c r="D14" s="115" t="str">
        <f ca="1">IF(B14="","",'4 Eingabe Friseure'!BD16)</f>
        <v/>
      </c>
      <c r="E14" s="115" t="str">
        <f ca="1">IF(B14="","",('7 Verteil. auf Monate Friseure'!AO11))</f>
        <v/>
      </c>
      <c r="F14" s="115" t="str">
        <f ca="1">IF(B14="","",'7 Verteil. auf Monate Friseure'!AN11)</f>
        <v/>
      </c>
      <c r="G14" s="515"/>
      <c r="I14" s="517"/>
      <c r="L14" s="347" t="str">
        <f ca="1">IF(G2="offen",IF('2a Chefeingaben'!T$1="","",IF(B14="","",IF(G14="",C14-I14,G14-I14))))</f>
        <v/>
      </c>
    </row>
    <row r="15" spans="1:25" s="15" customFormat="1" ht="16.5" customHeight="1">
      <c r="A15" s="13"/>
      <c r="B15" s="1857" t="str">
        <f ca="1">IF('1 Erklärung'!AA$2="","",IF('4 Eingabe Friseure'!A17="","",'4 Eingabe Friseure'!A17))</f>
        <v>Salli</v>
      </c>
      <c r="C15" s="343">
        <f ca="1">IF(B15="","",'4 Eingabe Friseure'!E17)</f>
        <v>1326.8851999999999</v>
      </c>
      <c r="D15" s="115">
        <f ca="1">IF(B15="","",'4 Eingabe Friseure'!BD17)</f>
        <v>1326.8851999999999</v>
      </c>
      <c r="E15" s="115">
        <f ca="1">IF(B15="","",('7 Verteil. auf Monate Friseure'!AO12))</f>
        <v>1326.8851999999999</v>
      </c>
      <c r="F15" s="115">
        <f ca="1">IF(B15="","",'7 Verteil. auf Monate Friseure'!AN12)</f>
        <v>1326.8851999999999</v>
      </c>
      <c r="G15" s="515"/>
      <c r="H15" s="3"/>
      <c r="I15" s="517"/>
      <c r="J15" s="3"/>
      <c r="K15" s="3"/>
      <c r="L15" s="347">
        <f ca="1">IF(G2="offen",IF('2a Chefeingaben'!T$1="","",IF(B15="","",IF(G15="",C15-I15,G15-I15))))</f>
        <v>1326.8851999999999</v>
      </c>
      <c r="M15" s="3"/>
      <c r="N15" s="3"/>
      <c r="O15" s="3"/>
      <c r="P15" s="3"/>
      <c r="Q15" s="3"/>
      <c r="R15" s="3"/>
      <c r="S15" s="3"/>
      <c r="T15" s="3"/>
      <c r="U15" s="3"/>
      <c r="V15" s="3"/>
      <c r="W15" s="3"/>
      <c r="X15" s="3"/>
      <c r="Y15" s="3"/>
    </row>
    <row r="16" spans="1:25" s="15" customFormat="1" ht="16.5" customHeight="1">
      <c r="A16" s="13"/>
      <c r="B16" s="1857" t="str">
        <f ca="1">IF('1 Erklärung'!AA$2="","",IF('4 Eingabe Friseure'!A18="","",'4 Eingabe Friseure'!A18))</f>
        <v>Salli</v>
      </c>
      <c r="C16" s="343">
        <f ca="1">IF(B16="","",'4 Eingabe Friseure'!E18)</f>
        <v>1600</v>
      </c>
      <c r="D16" s="115">
        <f ca="1">IF(B16="","",'4 Eingabe Friseure'!BD18)</f>
        <v>1600</v>
      </c>
      <c r="E16" s="115">
        <f ca="1">IF(B16="","",('7 Verteil. auf Monate Friseure'!AO13))</f>
        <v>1600</v>
      </c>
      <c r="F16" s="115">
        <f ca="1">IF(B16="","",'7 Verteil. auf Monate Friseure'!AN13)</f>
        <v>1600</v>
      </c>
      <c r="G16" s="515"/>
      <c r="H16" s="3"/>
      <c r="I16" s="517"/>
      <c r="J16" s="3"/>
      <c r="K16" s="3"/>
      <c r="L16" s="347">
        <f ca="1">IF(G2="offen",IF('2a Chefeingaben'!T$1="","",IF(B16="","",IF(G16="",C16-I16,G16-I16))))</f>
        <v>1600</v>
      </c>
      <c r="M16" s="3"/>
      <c r="N16" s="3"/>
      <c r="O16" s="3"/>
      <c r="P16" s="3"/>
      <c r="Q16" s="3"/>
      <c r="R16" s="3"/>
      <c r="S16" s="3"/>
      <c r="T16" s="3"/>
      <c r="U16" s="3"/>
      <c r="V16" s="3"/>
      <c r="W16" s="3"/>
      <c r="X16" s="3"/>
      <c r="Y16" s="3"/>
    </row>
    <row r="17" spans="1:25" s="15" customFormat="1" ht="17.25" customHeight="1">
      <c r="A17" s="2"/>
      <c r="B17" s="1857" t="str">
        <f ca="1">IF('1 Erklärung'!AA$2="","",IF('4 Eingabe Friseure'!A19="","",'4 Eingabe Friseure'!A19))</f>
        <v/>
      </c>
      <c r="C17" s="343" t="str">
        <f ca="1">IF(B17="","",'4 Eingabe Friseure'!E19)</f>
        <v/>
      </c>
      <c r="D17" s="115" t="str">
        <f ca="1">IF(B17="","",'4 Eingabe Friseure'!BD19)</f>
        <v/>
      </c>
      <c r="E17" s="115" t="str">
        <f ca="1">IF(B17="","",('7 Verteil. auf Monate Friseure'!AO14))</f>
        <v/>
      </c>
      <c r="F17" s="115" t="str">
        <f ca="1">IF(B17="","",'7 Verteil. auf Monate Friseure'!AN14)</f>
        <v/>
      </c>
      <c r="G17" s="515"/>
      <c r="H17" s="3"/>
      <c r="I17" s="517"/>
      <c r="J17" s="3"/>
      <c r="K17" s="3"/>
      <c r="L17" s="347" t="str">
        <f ca="1">IF(G2="offen",IF('2a Chefeingaben'!T$1="","",IF(B17="","",IF(G17="",C17-I17,G17-I17))))</f>
        <v/>
      </c>
      <c r="M17" s="3"/>
      <c r="N17" s="3"/>
      <c r="O17" s="3"/>
      <c r="P17" s="3"/>
      <c r="Q17" s="3"/>
      <c r="R17" s="3"/>
      <c r="S17" s="3"/>
      <c r="T17" s="3"/>
      <c r="U17" s="3"/>
      <c r="V17" s="3"/>
      <c r="W17" s="3"/>
      <c r="X17" s="3"/>
      <c r="Y17" s="3"/>
    </row>
    <row r="18" spans="1:25" s="15" customFormat="1" ht="19.5" customHeight="1">
      <c r="A18" s="3"/>
      <c r="B18" s="1857" t="str">
        <f ca="1">IF('1 Erklärung'!AA$2="","",IF('4 Eingabe Friseure'!A20="","",'4 Eingabe Friseure'!A20))</f>
        <v/>
      </c>
      <c r="C18" s="343" t="str">
        <f ca="1">IF(B18="","",'4 Eingabe Friseure'!E20)</f>
        <v/>
      </c>
      <c r="D18" s="115" t="str">
        <f ca="1">IF(B18="","",'4 Eingabe Friseure'!BD20)</f>
        <v/>
      </c>
      <c r="E18" s="115" t="str">
        <f ca="1">IF(B18="","",('7 Verteil. auf Monate Friseure'!AO15))</f>
        <v/>
      </c>
      <c r="F18" s="115" t="str">
        <f ca="1">IF(B18="","",'7 Verteil. auf Monate Friseure'!AN15)</f>
        <v/>
      </c>
      <c r="G18" s="515"/>
      <c r="H18" s="3"/>
      <c r="I18" s="517"/>
      <c r="J18" s="3"/>
      <c r="K18" s="3"/>
      <c r="L18" s="347" t="str">
        <f ca="1">IF('2a Chefeingaben'!T$1="","",IF(B18="","",IF(G18="",C18-I18,G18-I18)))</f>
        <v/>
      </c>
      <c r="M18" s="3"/>
      <c r="N18" s="3"/>
      <c r="O18" s="3"/>
      <c r="P18" s="3"/>
      <c r="Q18" s="3"/>
      <c r="R18" s="3"/>
      <c r="S18" s="3"/>
      <c r="T18" s="3"/>
      <c r="U18" s="3"/>
      <c r="V18" s="3"/>
      <c r="W18" s="3"/>
      <c r="X18" s="3"/>
      <c r="Y18" s="3"/>
    </row>
    <row r="19" spans="1:25" s="15" customFormat="1" ht="16.5" customHeight="1">
      <c r="A19" s="3"/>
      <c r="B19" s="1857" t="str">
        <f ca="1">IF('1 Erklärung'!AA$2="","",IF('4 Eingabe Friseure'!A21="","",'4 Eingabe Friseure'!A21))</f>
        <v/>
      </c>
      <c r="C19" s="343" t="str">
        <f ca="1">IF(B19="","",'4 Eingabe Friseure'!E21)</f>
        <v/>
      </c>
      <c r="D19" s="115" t="str">
        <f ca="1">IF(B19="","",'4 Eingabe Friseure'!BD21)</f>
        <v/>
      </c>
      <c r="E19" s="115" t="str">
        <f ca="1">IF(B19="","",('7 Verteil. auf Monate Friseure'!AO16))</f>
        <v/>
      </c>
      <c r="F19" s="115" t="str">
        <f ca="1">IF(B19="","",'7 Verteil. auf Monate Friseure'!AN16)</f>
        <v/>
      </c>
      <c r="G19" s="515"/>
      <c r="H19" s="3"/>
      <c r="I19" s="517"/>
      <c r="J19" s="3"/>
      <c r="K19" s="3"/>
      <c r="L19" s="347" t="str">
        <f ca="1">IF('2a Chefeingaben'!T$1="","",IF(B19="","",IF(G19="",C19-I19,G19-I19)))</f>
        <v/>
      </c>
      <c r="M19" s="3"/>
      <c r="N19" s="3"/>
      <c r="O19" s="3"/>
      <c r="P19" s="3"/>
      <c r="Q19" s="3"/>
      <c r="R19" s="3"/>
      <c r="S19" s="3"/>
      <c r="T19" s="3"/>
      <c r="U19" s="3"/>
      <c r="V19" s="3"/>
      <c r="W19" s="3"/>
      <c r="X19" s="3"/>
      <c r="Y19" s="3"/>
    </row>
    <row r="20" spans="1:25" s="15" customFormat="1" ht="19.5" customHeight="1">
      <c r="A20" s="3"/>
      <c r="B20" s="1857" t="str">
        <f ca="1">IF('1 Erklärung'!AA$2="","",IF('4 Eingabe Friseure'!A22="","",'4 Eingabe Friseure'!A22))</f>
        <v/>
      </c>
      <c r="C20" s="343" t="str">
        <f ca="1">IF(B20="","",'4 Eingabe Friseure'!E22)</f>
        <v/>
      </c>
      <c r="D20" s="115" t="str">
        <f ca="1">IF(B20="","",'4 Eingabe Friseure'!BD22)</f>
        <v/>
      </c>
      <c r="E20" s="115" t="str">
        <f ca="1">IF(B20="","",('7 Verteil. auf Monate Friseure'!AO17))</f>
        <v/>
      </c>
      <c r="F20" s="115" t="str">
        <f ca="1">IF(B20="","",'7 Verteil. auf Monate Friseure'!AN17)</f>
        <v/>
      </c>
      <c r="G20" s="515"/>
      <c r="H20" s="3"/>
      <c r="I20" s="517"/>
      <c r="J20" s="3"/>
      <c r="K20" s="3"/>
      <c r="L20" s="347" t="str">
        <f ca="1">IF('2a Chefeingaben'!T$1="","",IF(B20="","",IF(G20="",C20-I20,G20-I20)))</f>
        <v/>
      </c>
      <c r="M20" s="3"/>
      <c r="N20" s="3"/>
      <c r="O20" s="3"/>
      <c r="P20" s="3"/>
      <c r="Q20" s="3"/>
      <c r="R20" s="3"/>
      <c r="S20" s="3"/>
      <c r="T20" s="3"/>
      <c r="U20" s="3"/>
      <c r="V20" s="3"/>
      <c r="W20" s="3"/>
      <c r="X20" s="3"/>
      <c r="Y20" s="3"/>
    </row>
    <row r="21" spans="1:25" s="15" customFormat="1" ht="19.5" customHeight="1">
      <c r="A21" s="3"/>
      <c r="B21" s="1857" t="str">
        <f ca="1">IF('1 Erklärung'!AA$2="","",IF('4 Eingabe Friseure'!A23="","",'4 Eingabe Friseure'!A23))</f>
        <v/>
      </c>
      <c r="C21" s="343" t="str">
        <f ca="1">IF(B21="","",'4 Eingabe Friseure'!E23)</f>
        <v/>
      </c>
      <c r="D21" s="115" t="str">
        <f ca="1">IF(B21="","",'4 Eingabe Friseure'!BD23)</f>
        <v/>
      </c>
      <c r="E21" s="115" t="str">
        <f ca="1">IF(B21="","",('7 Verteil. auf Monate Friseure'!AO18))</f>
        <v/>
      </c>
      <c r="F21" s="115" t="str">
        <f ca="1">IF(B21="","",'7 Verteil. auf Monate Friseure'!AN18)</f>
        <v/>
      </c>
      <c r="G21" s="515"/>
      <c r="H21" s="3"/>
      <c r="I21" s="517"/>
      <c r="J21" s="3"/>
      <c r="K21" s="3"/>
      <c r="L21" s="347" t="str">
        <f ca="1">IF('2a Chefeingaben'!T$1="","",IF(B21="","",IF(G21="",C21-I21,G21-I21)))</f>
        <v/>
      </c>
      <c r="M21" s="3"/>
      <c r="N21" s="3"/>
      <c r="O21" s="3"/>
      <c r="P21" s="3"/>
      <c r="Q21" s="3"/>
      <c r="R21" s="3"/>
      <c r="S21" s="3"/>
      <c r="T21" s="3"/>
      <c r="U21" s="3"/>
      <c r="V21" s="3"/>
      <c r="W21" s="3"/>
      <c r="X21" s="3"/>
      <c r="Y21" s="3"/>
    </row>
    <row r="22" spans="1:25" s="15" customFormat="1" ht="19.5" customHeight="1">
      <c r="A22" s="3"/>
      <c r="B22" s="1857" t="str">
        <f ca="1">IF('1 Erklärung'!AA$2="","",IF('4 Eingabe Friseure'!A24="","",'4 Eingabe Friseure'!A24))</f>
        <v/>
      </c>
      <c r="C22" s="343" t="str">
        <f ca="1">IF(B22="","",'4 Eingabe Friseure'!E24)</f>
        <v/>
      </c>
      <c r="D22" s="115" t="str">
        <f ca="1">IF(B22="","",'4 Eingabe Friseure'!BD24)</f>
        <v/>
      </c>
      <c r="E22" s="115" t="str">
        <f ca="1">IF(B22="","",('7 Verteil. auf Monate Friseure'!AO19))</f>
        <v/>
      </c>
      <c r="F22" s="115" t="str">
        <f ca="1">IF(B22="","",'7 Verteil. auf Monate Friseure'!AN19)</f>
        <v/>
      </c>
      <c r="G22" s="515"/>
      <c r="H22" s="3"/>
      <c r="I22" s="517"/>
      <c r="J22" s="3"/>
      <c r="K22" s="3"/>
      <c r="L22" s="347" t="str">
        <f ca="1">IF('2a Chefeingaben'!T$1="","",IF(B22="","",IF(G22="",C22-I22,G22-I22)))</f>
        <v/>
      </c>
      <c r="M22" s="3"/>
      <c r="N22" s="3"/>
      <c r="O22" s="3"/>
      <c r="P22" s="3"/>
      <c r="Q22" s="3"/>
      <c r="R22" s="3"/>
      <c r="S22" s="3"/>
      <c r="T22" s="3"/>
      <c r="U22" s="3"/>
      <c r="V22" s="3"/>
      <c r="W22" s="3"/>
      <c r="X22" s="3"/>
      <c r="Y22" s="3"/>
    </row>
    <row r="23" spans="1:25" s="15" customFormat="1" ht="19.5" customHeight="1">
      <c r="A23" s="3"/>
      <c r="B23" s="1857" t="str">
        <f ca="1">IF('1 Erklärung'!AA$2="","",IF('4 Eingabe Friseure'!E25="","",'4 Eingabe Friseure'!A25))</f>
        <v/>
      </c>
      <c r="C23" s="343" t="str">
        <f ca="1">IF(B23="","",'4 Eingabe Friseure'!E25)</f>
        <v/>
      </c>
      <c r="D23" s="115" t="str">
        <f ca="1">IF(B23="","",'4 Eingabe Friseure'!BD25)</f>
        <v/>
      </c>
      <c r="E23" s="115" t="str">
        <f ca="1">IF(B23="","",('7 Verteil. auf Monate Friseure'!AO20))</f>
        <v/>
      </c>
      <c r="F23" s="115" t="str">
        <f ca="1">IF(B23="","",'7 Verteil. auf Monate Friseure'!AN20)</f>
        <v/>
      </c>
      <c r="G23" s="516"/>
      <c r="H23" s="3"/>
      <c r="I23" s="517"/>
      <c r="J23" s="3"/>
      <c r="K23" s="3"/>
      <c r="L23" s="347" t="str">
        <f ca="1">IF('2a Chefeingaben'!T$1="","",IF(B23="","",IF(G23="",C23-I23,G23-I23)))</f>
        <v/>
      </c>
      <c r="M23" s="3"/>
      <c r="N23" s="3"/>
      <c r="O23" s="3"/>
      <c r="P23" s="3"/>
      <c r="Q23" s="3"/>
      <c r="R23" s="3"/>
      <c r="S23" s="3"/>
      <c r="T23" s="3"/>
      <c r="U23" s="3"/>
      <c r="V23" s="3"/>
      <c r="W23" s="3"/>
      <c r="X23" s="3"/>
      <c r="Y23" s="3"/>
    </row>
    <row r="24" spans="1:25">
      <c r="B24" s="1857"/>
      <c r="C24" s="343" t="str">
        <f>IF(B24="","",'4 Eingabe Friseure'!E7)</f>
        <v/>
      </c>
      <c r="D24" s="115"/>
      <c r="E24" s="115"/>
      <c r="F24" s="115"/>
      <c r="G24" s="115"/>
      <c r="I24" s="514"/>
      <c r="L24" s="347" t="str">
        <f>IF('2a Chefeingaben'!T$1="","",IF(B24="","",IF(G24="",C24-I24,G24-I24)))</f>
        <v/>
      </c>
    </row>
    <row r="25" spans="1:25">
      <c r="B25" s="113"/>
      <c r="C25" s="116"/>
    </row>
    <row r="26" spans="1:25">
      <c r="B26" s="117" t="str">
        <f>IF(C24="","ohne Chef","mit Chef")</f>
        <v>ohne Chef</v>
      </c>
      <c r="C26" s="119">
        <f ca="1">SUM(C8:C24)</f>
        <v>12665.610350000001</v>
      </c>
      <c r="D26" s="118"/>
    </row>
    <row r="27" spans="1:25">
      <c r="B27" s="117"/>
      <c r="C27" s="166"/>
      <c r="D27" s="118"/>
      <c r="E27" s="36"/>
    </row>
    <row r="28" spans="1:25" ht="20.25" customHeight="1">
      <c r="B28" s="1857" t="str">
        <f ca="1">IF('1 Erklärung'!AA$2="","",IF('4 Eingabe Friseure'!A30="","",'4 Eingabe Friseure'!A30))</f>
        <v/>
      </c>
      <c r="C28" s="115" t="str">
        <f ca="1">IF(B28="","",'4 Eingabe Friseure'!E30)</f>
        <v/>
      </c>
      <c r="D28" s="115" t="str">
        <f ca="1">IF(B28="","",'4 Eingabe Friseure'!BD30)</f>
        <v/>
      </c>
      <c r="E28" s="115" t="str">
        <f ca="1">IF(B28="","",('7 Verteil. auf Monate Friseure'!AO56))</f>
        <v/>
      </c>
      <c r="F28" s="115" t="str">
        <f ca="1">IF(B28="","",'7 Verteil. auf Monate Friseure'!AN56)</f>
        <v/>
      </c>
      <c r="G28" s="515"/>
      <c r="I28" s="517"/>
      <c r="L28" s="347" t="str">
        <f ca="1">IF('2a Chefeingaben'!T$1="","",IF(B28="","",IF(G28="",C28-I28,G28-I28)))</f>
        <v/>
      </c>
    </row>
    <row r="29" spans="1:25" ht="20.25" customHeight="1">
      <c r="B29" s="1857" t="str">
        <f ca="1">IF('1 Erklärung'!AA$2="","",IF('4 Eingabe Friseure'!A31="","",'4 Eingabe Friseure'!A31))</f>
        <v/>
      </c>
      <c r="C29" s="115" t="str">
        <f ca="1">IF(B29="","",'4 Eingabe Friseure'!E31)</f>
        <v/>
      </c>
      <c r="D29" s="115" t="str">
        <f ca="1">IF(B29="","",'4 Eingabe Friseure'!BD31)</f>
        <v/>
      </c>
      <c r="E29" s="343" t="str">
        <f ca="1">IF(B29="","",('7 Verteil. auf Monate Friseure'!AO57))</f>
        <v/>
      </c>
      <c r="F29" s="343" t="str">
        <f ca="1">IF(B29="","",'7 Verteil. auf Monate Friseure'!AN57)</f>
        <v/>
      </c>
      <c r="G29" s="515"/>
      <c r="I29" s="517"/>
      <c r="L29" s="347" t="str">
        <f ca="1">IF('2a Chefeingaben'!T$1="","",IF(B29="","",IF(G29="",C29-I29,G29-I29)))</f>
        <v/>
      </c>
    </row>
    <row r="30" spans="1:25" ht="20.25" customHeight="1">
      <c r="B30" s="1857" t="str">
        <f ca="1">IF('1 Erklärung'!AA$2="","",IF('4 Eingabe Friseure'!A32="","",'4 Eingabe Friseure'!A32))</f>
        <v/>
      </c>
      <c r="C30" s="115" t="str">
        <f ca="1">IF(B30="","",'4 Eingabe Friseure'!E32)</f>
        <v/>
      </c>
      <c r="D30" s="115" t="str">
        <f ca="1">IF(B30="","",'4 Eingabe Friseure'!BD32)</f>
        <v/>
      </c>
      <c r="E30" s="343" t="str">
        <f ca="1">IF(B30="","",('7 Verteil. auf Monate Friseure'!AO58))</f>
        <v/>
      </c>
      <c r="F30" s="343" t="str">
        <f ca="1">IF(B30="","",'7 Verteil. auf Monate Friseure'!AN58)</f>
        <v/>
      </c>
      <c r="G30" s="515"/>
      <c r="I30" s="517"/>
      <c r="L30" s="347" t="str">
        <f ca="1">IF('2a Chefeingaben'!T$1="","",IF(B30="","",IF(G30="",C30-I30,G30-I30)))</f>
        <v/>
      </c>
    </row>
    <row r="31" spans="1:25" ht="20.25" customHeight="1">
      <c r="B31" s="1857" t="str">
        <f ca="1">IF('1 Erklärung'!AA$2="","",IF('4 Eingabe Friseure'!A33="","",'4 Eingabe Friseure'!A33))</f>
        <v/>
      </c>
      <c r="C31" s="115" t="str">
        <f ca="1">IF(B31="","",'4 Eingabe Friseure'!E33)</f>
        <v/>
      </c>
      <c r="D31" s="115" t="str">
        <f ca="1">IF(B31="","",'4 Eingabe Friseure'!BD33)</f>
        <v/>
      </c>
      <c r="E31" s="343" t="str">
        <f ca="1">IF(B31="","",('7 Verteil. auf Monate Friseure'!AO59))</f>
        <v/>
      </c>
      <c r="F31" s="343" t="str">
        <f ca="1">IF(B31="","",'7 Verteil. auf Monate Friseure'!AN59)</f>
        <v/>
      </c>
      <c r="G31" s="515"/>
      <c r="I31" s="517"/>
      <c r="L31" s="347" t="str">
        <f ca="1">IF('2a Chefeingaben'!T$1="","",IF(B31="","",IF(G31="",C31-I31,G31-I31)))</f>
        <v/>
      </c>
    </row>
    <row r="32" spans="1:25" ht="20.25" customHeight="1">
      <c r="B32" s="1857" t="str">
        <f ca="1">IF('1 Erklärung'!AA$2="","",IF('4 Eingabe Friseure'!A34="","",'4 Eingabe Friseure'!A34))</f>
        <v/>
      </c>
      <c r="C32" s="115" t="str">
        <f ca="1">IF(B32="","",'4 Eingabe Friseure'!E34)</f>
        <v/>
      </c>
      <c r="D32" s="115" t="str">
        <f ca="1">IF(B32="","",'4 Eingabe Friseure'!BD34)</f>
        <v/>
      </c>
      <c r="E32" s="343" t="str">
        <f ca="1">IF(B32="","",('7 Verteil. auf Monate Friseure'!AO60))</f>
        <v/>
      </c>
      <c r="F32" s="343" t="str">
        <f ca="1">IF(B32="","",'7 Verteil. auf Monate Friseure'!AN60)</f>
        <v/>
      </c>
      <c r="G32" s="515"/>
      <c r="I32" s="517"/>
      <c r="L32" s="347" t="str">
        <f ca="1">IF('2a Chefeingaben'!T$1="","",IF(B32="","",IF(G32="",C32-I32,G32-I32)))</f>
        <v/>
      </c>
    </row>
    <row r="33" spans="2:12" ht="20.25" customHeight="1">
      <c r="B33" s="1857" t="str">
        <f ca="1">IF('1 Erklärung'!AA$2="","",IF('4 Eingabe Friseure'!A35="","",'4 Eingabe Friseure'!A35))</f>
        <v/>
      </c>
      <c r="C33" s="115" t="str">
        <f ca="1">IF(B33="","",'4 Eingabe Friseure'!E35)</f>
        <v/>
      </c>
      <c r="D33" s="115" t="str">
        <f ca="1">IF(B33="","",'4 Eingabe Friseure'!BD35)</f>
        <v/>
      </c>
      <c r="E33" s="343" t="str">
        <f ca="1">IF(B33="","",('7 Verteil. auf Monate Friseure'!AO61))</f>
        <v/>
      </c>
      <c r="F33" s="343" t="str">
        <f ca="1">IF(B33="","",'7 Verteil. auf Monate Friseure'!AN61)</f>
        <v/>
      </c>
      <c r="G33" s="515"/>
      <c r="I33" s="517"/>
      <c r="L33" s="347" t="str">
        <f ca="1">IF('2a Chefeingaben'!T$1="","",IF(B33="","",IF(G33="",C33-I33,G33-I33)))</f>
        <v/>
      </c>
    </row>
    <row r="34" spans="2:12">
      <c r="B34" s="1857" t="str">
        <f ca="1">IF('1 Erklärung'!AA$2="","",IF('4 Eingabe Friseure'!A36="","",'4 Eingabe Friseure'!A36))</f>
        <v/>
      </c>
      <c r="C34" s="115" t="str">
        <f ca="1">IF(B34="","",'4 Eingabe Friseure'!E36)</f>
        <v/>
      </c>
      <c r="D34" s="115" t="str">
        <f ca="1">IF(B34="","",'4 Eingabe Friseure'!BD36)</f>
        <v/>
      </c>
      <c r="E34" s="343" t="str">
        <f ca="1">IF(B34="","",('7 Verteil. auf Monate Friseure'!AO62))</f>
        <v/>
      </c>
      <c r="F34" s="343" t="str">
        <f ca="1">IF(B34="","",'7 Verteil. auf Monate Friseure'!AN62)</f>
        <v/>
      </c>
      <c r="G34" s="515"/>
      <c r="I34" s="517"/>
      <c r="L34" s="347" t="str">
        <f ca="1">IF('2a Chefeingaben'!T$1="","",IF(B34="","",IF(G34="",C34-I34,G34-I34)))</f>
        <v/>
      </c>
    </row>
    <row r="35" spans="2:12">
      <c r="B35" s="1857" t="str">
        <f ca="1">IF('1 Erklärung'!AA$2="","",IF('4 Eingabe Friseure'!A37="","",'4 Eingabe Friseure'!A37))</f>
        <v/>
      </c>
      <c r="C35" s="115" t="str">
        <f ca="1">IF(B35="","",'4 Eingabe Friseure'!E37)</f>
        <v/>
      </c>
      <c r="D35" s="115" t="str">
        <f ca="1">IF(B35="","",'4 Eingabe Friseure'!BD37)</f>
        <v/>
      </c>
      <c r="E35" s="343" t="str">
        <f ca="1">IF(B35="","",('7 Verteil. auf Monate Friseure'!AO63))</f>
        <v/>
      </c>
      <c r="F35" s="343" t="str">
        <f ca="1">IF(B35="","",'7 Verteil. auf Monate Friseure'!AN63)</f>
        <v/>
      </c>
      <c r="G35" s="515"/>
      <c r="I35" s="517"/>
      <c r="L35" s="347" t="str">
        <f ca="1">IF('2a Chefeingaben'!T$1="","",IF(B35="","",IF(G35="",C35-I35,G35-I35)))</f>
        <v/>
      </c>
    </row>
    <row r="36" spans="2:12">
      <c r="B36" s="1857" t="str">
        <f ca="1">IF('1 Erklärung'!AA$2="","",IF('4 Eingabe Friseure'!A38="","",'4 Eingabe Friseure'!A38))</f>
        <v/>
      </c>
      <c r="C36" s="115" t="str">
        <f ca="1">IF(B36="","",'4 Eingabe Friseure'!E38)</f>
        <v/>
      </c>
      <c r="D36" s="115" t="str">
        <f ca="1">IF(B36="","",'4 Eingabe Friseure'!BD38)</f>
        <v/>
      </c>
      <c r="E36" s="343" t="str">
        <f ca="1">IF(B36="","",('7 Verteil. auf Monate Friseure'!AO64))</f>
        <v/>
      </c>
      <c r="F36" s="343" t="str">
        <f ca="1">IF(B36="","",'7 Verteil. auf Monate Friseure'!AN64)</f>
        <v/>
      </c>
      <c r="G36" s="515"/>
      <c r="I36" s="517"/>
      <c r="L36" s="347" t="str">
        <f ca="1">IF('2a Chefeingaben'!T$1="","",IF(B36="","",IF(G36="",C36-I36,G36-I36)))</f>
        <v/>
      </c>
    </row>
    <row r="37" spans="2:12">
      <c r="B37" s="1857" t="str">
        <f ca="1">IF('1 Erklärung'!AA$2="","",IF('4 Eingabe Friseure'!A39="","",'4 Eingabe Friseure'!A39))</f>
        <v/>
      </c>
      <c r="C37" s="115" t="str">
        <f ca="1">IF(B37="","",'4 Eingabe Friseure'!E39)</f>
        <v/>
      </c>
      <c r="D37" s="115" t="str">
        <f ca="1">IF(B37="","",'4 Eingabe Friseure'!BD39)</f>
        <v/>
      </c>
      <c r="E37" s="343" t="str">
        <f ca="1">IF(B37="","",('7 Verteil. auf Monate Friseure'!AO65))</f>
        <v/>
      </c>
      <c r="F37" s="343" t="str">
        <f ca="1">IF(B37="","",'7 Verteil. auf Monate Friseure'!AN65)</f>
        <v/>
      </c>
      <c r="G37" s="515"/>
      <c r="I37" s="517"/>
      <c r="L37" s="347" t="str">
        <f ca="1">IF('2a Chefeingaben'!T$1="","",IF(B37="","",IF(G37="",C37-I37,G37-I37)))</f>
        <v/>
      </c>
    </row>
    <row r="38" spans="2:12">
      <c r="B38" s="1857" t="str">
        <f ca="1">IF('1 Erklärung'!AA$2="","",IF('4 Eingabe Friseure'!A40="","",'4 Eingabe Friseure'!A40))</f>
        <v/>
      </c>
      <c r="C38" s="115" t="str">
        <f ca="1">IF(B38="","",'4 Eingabe Friseure'!E40)</f>
        <v/>
      </c>
      <c r="D38" s="115" t="str">
        <f ca="1">IF(B38="","",'4 Eingabe Friseure'!BD40)</f>
        <v/>
      </c>
      <c r="E38" s="343" t="str">
        <f ca="1">IF(B38="","",('7 Verteil. auf Monate Friseure'!AO66))</f>
        <v/>
      </c>
      <c r="F38" s="343" t="str">
        <f ca="1">IF(B38="","",'7 Verteil. auf Monate Friseure'!AN66)</f>
        <v/>
      </c>
      <c r="G38" s="515"/>
      <c r="I38" s="517"/>
      <c r="L38" s="347" t="str">
        <f ca="1">IF('2a Chefeingaben'!T$1="","",IF(B38="","",IF(G38="",C38-I38,G38-I38)))</f>
        <v/>
      </c>
    </row>
    <row r="39" spans="2:12">
      <c r="B39" s="1857" t="str">
        <f ca="1">IF('1 Erklärung'!AA$2="","",IF('4 Eingabe Friseure'!A41="","",'4 Eingabe Friseure'!A41))</f>
        <v/>
      </c>
      <c r="C39" s="115" t="str">
        <f ca="1">IF(B39="","",'4 Eingabe Friseure'!E41)</f>
        <v/>
      </c>
      <c r="D39" s="115" t="str">
        <f ca="1">IF(B39="","",'4 Eingabe Friseure'!BD41)</f>
        <v/>
      </c>
      <c r="E39" s="343" t="str">
        <f ca="1">IF(B39="","",('7 Verteil. auf Monate Friseure'!AO67))</f>
        <v/>
      </c>
      <c r="F39" s="343" t="str">
        <f ca="1">IF(B39="","",'7 Verteil. auf Monate Friseure'!AN67)</f>
        <v/>
      </c>
      <c r="G39" s="515"/>
      <c r="I39" s="517"/>
      <c r="L39" s="347" t="str">
        <f ca="1">IF('2a Chefeingaben'!T$1="","",IF(B39="","",IF(G39="",C39-I39,G39-I39)))</f>
        <v/>
      </c>
    </row>
    <row r="40" spans="2:12">
      <c r="B40" s="1857" t="str">
        <f ca="1">IF('1 Erklärung'!AA$2="","",IF('4 Eingabe Friseure'!A42="","",'4 Eingabe Friseure'!A42))</f>
        <v/>
      </c>
      <c r="C40" s="115" t="str">
        <f ca="1">IF(B40="","",'4 Eingabe Friseure'!E42)</f>
        <v/>
      </c>
      <c r="D40" s="115" t="str">
        <f ca="1">IF(B40="","",'4 Eingabe Friseure'!BD42)</f>
        <v/>
      </c>
      <c r="E40" s="343" t="str">
        <f ca="1">IF(B40="","",('7 Verteil. auf Monate Friseure'!AO68))</f>
        <v/>
      </c>
      <c r="F40" s="343" t="str">
        <f ca="1">IF(B40="","",'7 Verteil. auf Monate Friseure'!AN68)</f>
        <v/>
      </c>
      <c r="G40" s="515"/>
      <c r="I40" s="517"/>
      <c r="L40" s="347" t="str">
        <f ca="1">IF('2a Chefeingaben'!T$1="","",IF(B40="","",IF(G40="",C40-I40,G40-I40)))</f>
        <v/>
      </c>
    </row>
    <row r="41" spans="2:12">
      <c r="B41" s="1857" t="str">
        <f ca="1">IF('1 Erklärung'!AA$2="","",IF('4 Eingabe Friseure'!A43="","",'4 Eingabe Friseure'!A43))</f>
        <v/>
      </c>
      <c r="C41" s="115" t="str">
        <f ca="1">IF(B41="","",'4 Eingabe Friseure'!E43)</f>
        <v/>
      </c>
      <c r="D41" s="115" t="str">
        <f ca="1">IF(B41="","",'4 Eingabe Friseure'!BD43)</f>
        <v/>
      </c>
      <c r="E41" s="343" t="str">
        <f ca="1">IF(B41="","",('7 Verteil. auf Monate Friseure'!AO69))</f>
        <v/>
      </c>
      <c r="F41" s="343" t="str">
        <f ca="1">IF(B41="","",'7 Verteil. auf Monate Friseure'!AN69)</f>
        <v/>
      </c>
      <c r="G41" s="515"/>
      <c r="I41" s="517"/>
      <c r="L41" s="347" t="str">
        <f ca="1">IF('2a Chefeingaben'!T$1="","",IF(B41="","",IF(G41="",C41-I41,G41-I41)))</f>
        <v/>
      </c>
    </row>
    <row r="42" spans="2:12">
      <c r="B42" s="1857" t="str">
        <f ca="1">IF('1 Erklärung'!AA$2="","",IF('4 Eingabe Friseure'!A44="","",'4 Eingabe Friseure'!A44))</f>
        <v/>
      </c>
      <c r="C42" s="115" t="str">
        <f ca="1">IF(B42="","",'4 Eingabe Friseure'!E44)</f>
        <v/>
      </c>
      <c r="D42" s="115" t="str">
        <f ca="1">IF(B42="","",'4 Eingabe Friseure'!BD44)</f>
        <v/>
      </c>
      <c r="E42" s="343" t="str">
        <f ca="1">IF(B42="","",('7 Verteil. auf Monate Friseure'!AO70))</f>
        <v/>
      </c>
      <c r="F42" s="343" t="str">
        <f ca="1">IF(B42="","",'7 Verteil. auf Monate Friseure'!AN70)</f>
        <v/>
      </c>
      <c r="G42" s="515"/>
      <c r="I42" s="517"/>
      <c r="L42" s="347" t="str">
        <f ca="1">IF('2a Chefeingaben'!T$1="","",IF(B42="","",IF(G42="",C42-I42,G42-I42)))</f>
        <v/>
      </c>
    </row>
    <row r="43" spans="2:12">
      <c r="B43" s="1857" t="str">
        <f ca="1">IF('1 Erklärung'!AA$2="","",IF('4 Eingabe Friseure'!E45="","",'4 Eingabe Friseure'!A45))</f>
        <v/>
      </c>
      <c r="C43" s="115" t="str">
        <f ca="1">IF(B43="","",'4 Eingabe Friseure'!E45)</f>
        <v/>
      </c>
      <c r="D43" s="115" t="str">
        <f ca="1">IF(B43="","",'4 Eingabe Friseure'!BD45)</f>
        <v/>
      </c>
      <c r="E43" s="343" t="str">
        <f ca="1">IF(B43="","",('7 Verteil. auf Monate Friseure'!AO71))</f>
        <v/>
      </c>
      <c r="F43" s="343" t="str">
        <f ca="1">IF(B43="","",'7 Verteil. auf Monate Friseure'!AN71)</f>
        <v/>
      </c>
      <c r="G43" s="516"/>
      <c r="I43" s="517"/>
      <c r="L43" s="347" t="str">
        <f ca="1">IF('2a Chefeingaben'!T$1="","",IF(B43="","",IF(G43="",C43-I43,G43-I43)))</f>
        <v/>
      </c>
    </row>
    <row r="44" spans="2:12">
      <c r="B44" s="113"/>
      <c r="C44" s="116"/>
    </row>
    <row r="45" spans="2:12">
      <c r="B45" s="117"/>
      <c r="C45" s="119">
        <f ca="1">SUM(C27:C43)</f>
        <v>0</v>
      </c>
      <c r="D45" s="118"/>
      <c r="G45" s="166">
        <f>SUM(G5:G43)</f>
        <v>0</v>
      </c>
    </row>
    <row r="46" spans="2:12">
      <c r="G46" s="166">
        <f>SUM(G45,I46)</f>
        <v>250</v>
      </c>
      <c r="I46" s="166">
        <f>SUM(I5:I43)</f>
        <v>250</v>
      </c>
    </row>
    <row r="54" spans="1:20">
      <c r="A54" s="267"/>
      <c r="B54" s="267"/>
      <c r="C54" s="267"/>
      <c r="D54" s="267"/>
      <c r="E54" s="267"/>
      <c r="F54" s="267"/>
      <c r="G54" s="267"/>
      <c r="H54" s="267"/>
      <c r="I54" s="267"/>
      <c r="J54" s="267"/>
      <c r="K54" s="267"/>
      <c r="L54" s="267"/>
      <c r="M54" s="267"/>
      <c r="N54" s="267"/>
      <c r="O54" s="267"/>
      <c r="P54" s="267" t="s">
        <v>1098</v>
      </c>
      <c r="Q54" s="267"/>
      <c r="R54" s="267"/>
      <c r="S54" s="267"/>
      <c r="T54" s="267"/>
    </row>
    <row r="55" spans="1:20">
      <c r="A55" s="267"/>
      <c r="B55" s="1882"/>
      <c r="C55" s="4151" t="s">
        <v>755</v>
      </c>
      <c r="D55" s="4151"/>
      <c r="E55" s="4151"/>
      <c r="F55" s="4152" t="s">
        <v>756</v>
      </c>
      <c r="G55" s="4152"/>
      <c r="H55" s="4152"/>
      <c r="I55" s="4153" t="s">
        <v>757</v>
      </c>
      <c r="J55" s="4153"/>
      <c r="K55" s="4153"/>
      <c r="L55" s="4154" t="s">
        <v>758</v>
      </c>
      <c r="M55" s="4154"/>
      <c r="N55" s="4154"/>
      <c r="O55" s="267"/>
      <c r="P55" s="267" t="s">
        <v>2</v>
      </c>
      <c r="Q55" s="267"/>
      <c r="R55" s="267" t="s">
        <v>1098</v>
      </c>
      <c r="S55" s="267"/>
      <c r="T55" s="267"/>
    </row>
    <row r="56" spans="1:20">
      <c r="A56" s="267"/>
      <c r="B56" s="1882" t="s">
        <v>1090</v>
      </c>
      <c r="C56" s="2316">
        <f>'4 Eingabe Friseure'!CT5</f>
        <v>11065.610350000001</v>
      </c>
      <c r="D56" s="2316">
        <f>'4 Eingabe Friseure'!CU5</f>
        <v>11065.610350000001</v>
      </c>
      <c r="E56" s="2316">
        <f>'4 Eingabe Friseure'!CV5</f>
        <v>11065.610350000001</v>
      </c>
      <c r="F56" s="2317">
        <f>'4 Eingabe Friseure'!CW5</f>
        <v>11065.610350000001</v>
      </c>
      <c r="G56" s="2317">
        <f>'4 Eingabe Friseure'!CX5</f>
        <v>11065.610350000001</v>
      </c>
      <c r="H56" s="2317">
        <f>'4 Eingabe Friseure'!CY5</f>
        <v>11065.610350000001</v>
      </c>
      <c r="I56" s="2318">
        <f>'4 Eingabe Friseure'!CZ5</f>
        <v>11065.610350000001</v>
      </c>
      <c r="J56" s="2318">
        <f>'4 Eingabe Friseure'!DA5</f>
        <v>11338.72515</v>
      </c>
      <c r="K56" s="2318">
        <f>'4 Eingabe Friseure'!DB5</f>
        <v>11338.72515</v>
      </c>
      <c r="L56" s="2319">
        <f>'4 Eingabe Friseure'!DC5</f>
        <v>11338.72515</v>
      </c>
      <c r="M56" s="2319">
        <f>'4 Eingabe Friseure'!DD5</f>
        <v>11338.72515</v>
      </c>
      <c r="N56" s="2319">
        <f>'4 Eingabe Friseure'!DE5</f>
        <v>11338.72515</v>
      </c>
      <c r="O56" s="267" t="str">
        <f>B56</f>
        <v>Bruttolöhne M</v>
      </c>
      <c r="P56" s="2320">
        <f>SUM(C56:N56)</f>
        <v>134152.8982</v>
      </c>
      <c r="Q56" s="267"/>
      <c r="R56" s="267">
        <f>P56/12</f>
        <v>11179.408183333333</v>
      </c>
      <c r="S56" s="267"/>
      <c r="T56" s="267"/>
    </row>
    <row r="57" spans="1:20">
      <c r="A57" s="267"/>
      <c r="B57" s="1882" t="s">
        <v>1107</v>
      </c>
      <c r="C57" s="2321">
        <f>'42 Liquiditätsplan'!D37*1.19</f>
        <v>49074.428224491639</v>
      </c>
      <c r="D57" s="2321">
        <f>'42 Liquiditätsplan'!E37*1.19</f>
        <v>49074.428224491639</v>
      </c>
      <c r="E57" s="2321">
        <f>'42 Liquiditätsplan'!F37*1.19</f>
        <v>49074.428224491639</v>
      </c>
      <c r="F57" s="2322">
        <f>'42 Liquiditätsplan'!G37*1.19</f>
        <v>49074.428224491639</v>
      </c>
      <c r="G57" s="2322">
        <f>'42 Liquiditätsplan'!H37*1.19</f>
        <v>49074.428224491639</v>
      </c>
      <c r="H57" s="2322">
        <f>'42 Liquiditätsplan'!I37*1.19</f>
        <v>49074.428224491639</v>
      </c>
      <c r="I57" s="2323">
        <f>'42 Liquiditätsplan'!J37*1.19</f>
        <v>51091.185548785812</v>
      </c>
      <c r="J57" s="2323">
        <f>'42 Liquiditätsplan'!K37*1.19</f>
        <v>51091.185548785812</v>
      </c>
      <c r="K57" s="2323">
        <f>'42 Liquiditätsplan'!L37*1.19</f>
        <v>51091.185548785812</v>
      </c>
      <c r="L57" s="2324">
        <f>'42 Liquiditätsplan'!M37*1.19</f>
        <v>49746.680665923028</v>
      </c>
      <c r="M57" s="2324">
        <f>'42 Liquiditätsplan'!N37*1.19</f>
        <v>49746.680665923028</v>
      </c>
      <c r="N57" s="2324">
        <f>'42 Liquiditätsplan'!O37*1.19</f>
        <v>49746.680665923028</v>
      </c>
      <c r="O57" s="267" t="str">
        <f>B57</f>
        <v>Ums.Soll M Br.</v>
      </c>
      <c r="P57" s="2325">
        <f>SUM(C57:N57)</f>
        <v>596960.16799107648</v>
      </c>
      <c r="Q57" s="267"/>
      <c r="R57" s="267"/>
      <c r="S57" s="267"/>
      <c r="T57" s="267"/>
    </row>
    <row r="58" spans="1:20">
      <c r="A58" s="267"/>
      <c r="B58" s="1882" t="s">
        <v>926</v>
      </c>
      <c r="C58" s="2321">
        <f>'4 Eingabe Friseure'!CS3+'4 Eingabe Friseure'!CS4</f>
        <v>7916.666666666667</v>
      </c>
      <c r="D58" s="2321">
        <f>'4 Eingabe Friseure'!CT3+'4 Eingabe Friseure'!CT4</f>
        <v>7916.666666666667</v>
      </c>
      <c r="E58" s="2321">
        <f>'4 Eingabe Friseure'!CU3+'4 Eingabe Friseure'!CU4</f>
        <v>7916.666666666667</v>
      </c>
      <c r="F58" s="2322">
        <f>'4 Eingabe Friseure'!CV3+'4 Eingabe Friseure'!CV4</f>
        <v>7916.666666666667</v>
      </c>
      <c r="G58" s="2322">
        <f>'4 Eingabe Friseure'!CW3+'4 Eingabe Friseure'!CW4</f>
        <v>7916.666666666667</v>
      </c>
      <c r="H58" s="2322">
        <f>'4 Eingabe Friseure'!CX3+'4 Eingabe Friseure'!CX4</f>
        <v>7916.666666666667</v>
      </c>
      <c r="I58" s="2323">
        <f>'4 Eingabe Friseure'!CY3+'4 Eingabe Friseure'!CY4</f>
        <v>7916.666666666667</v>
      </c>
      <c r="J58" s="2323">
        <f>'4 Eingabe Friseure'!CZ3+'4 Eingabe Friseure'!CZ4</f>
        <v>7916.666666666667</v>
      </c>
      <c r="K58" s="2323">
        <f>'4 Eingabe Friseure'!DA3+'4 Eingabe Friseure'!DA4</f>
        <v>7916.666666666667</v>
      </c>
      <c r="L58" s="2324">
        <f>'4 Eingabe Friseure'!DB3+'4 Eingabe Friseure'!DB4</f>
        <v>7916.666666666667</v>
      </c>
      <c r="M58" s="2324">
        <f>'4 Eingabe Friseure'!DC3+'4 Eingabe Friseure'!DC4</f>
        <v>7916.666666666667</v>
      </c>
      <c r="N58" s="2324">
        <f>'4 Eingabe Friseure'!DD3+'4 Eingabe Friseure'!DD4</f>
        <v>7916.666666666667</v>
      </c>
      <c r="O58" s="267" t="str">
        <f>B58</f>
        <v>Chefumsatz</v>
      </c>
      <c r="P58" s="2325">
        <f>SUM(C58:N58)</f>
        <v>95000.000000000015</v>
      </c>
      <c r="Q58" s="267"/>
      <c r="R58" s="267" t="s">
        <v>1099</v>
      </c>
      <c r="S58" s="267"/>
      <c r="T58" s="267"/>
    </row>
    <row r="59" spans="1:20">
      <c r="A59" s="267"/>
      <c r="B59" s="1882" t="s">
        <v>1106</v>
      </c>
      <c r="C59" s="2321">
        <f>C57-C58</f>
        <v>41157.761557824975</v>
      </c>
      <c r="D59" s="2321">
        <f t="shared" ref="D59:N59" si="0">D57-D58</f>
        <v>41157.761557824975</v>
      </c>
      <c r="E59" s="2321">
        <f t="shared" si="0"/>
        <v>41157.761557824975</v>
      </c>
      <c r="F59" s="2322">
        <f t="shared" si="0"/>
        <v>41157.761557824975</v>
      </c>
      <c r="G59" s="2322">
        <f t="shared" si="0"/>
        <v>41157.761557824975</v>
      </c>
      <c r="H59" s="2322">
        <f t="shared" si="0"/>
        <v>41157.761557824975</v>
      </c>
      <c r="I59" s="2323">
        <f t="shared" si="0"/>
        <v>43174.518882119148</v>
      </c>
      <c r="J59" s="2323">
        <f t="shared" si="0"/>
        <v>43174.518882119148</v>
      </c>
      <c r="K59" s="2323">
        <f t="shared" si="0"/>
        <v>43174.518882119148</v>
      </c>
      <c r="L59" s="2324">
        <f t="shared" si="0"/>
        <v>41830.013999256364</v>
      </c>
      <c r="M59" s="2324">
        <f t="shared" si="0"/>
        <v>41830.013999256364</v>
      </c>
      <c r="N59" s="2324">
        <f t="shared" si="0"/>
        <v>41830.013999256364</v>
      </c>
      <c r="O59" s="267" t="str">
        <f>B59</f>
        <v>MA Soll ges Br.</v>
      </c>
      <c r="P59" s="2325">
        <f>P57-P58</f>
        <v>501960.16799107648</v>
      </c>
      <c r="Q59" s="267"/>
      <c r="R59" s="267">
        <f>P59/10</f>
        <v>50196.016799107645</v>
      </c>
      <c r="S59" s="267"/>
      <c r="T59" s="267"/>
    </row>
    <row r="60" spans="1:20">
      <c r="A60" s="267"/>
      <c r="B60" s="1882" t="s">
        <v>1087</v>
      </c>
      <c r="C60" s="2326">
        <f>C59/C56</f>
        <v>3.7194298602629696</v>
      </c>
      <c r="D60" s="2326">
        <f t="shared" ref="D60:N60" si="1">D59/D56</f>
        <v>3.7194298602629696</v>
      </c>
      <c r="E60" s="2326">
        <f t="shared" si="1"/>
        <v>3.7194298602629696</v>
      </c>
      <c r="F60" s="2327">
        <f t="shared" si="1"/>
        <v>3.7194298602629696</v>
      </c>
      <c r="G60" s="2327">
        <f t="shared" si="1"/>
        <v>3.7194298602629696</v>
      </c>
      <c r="H60" s="2327">
        <f t="shared" si="1"/>
        <v>3.7194298602629696</v>
      </c>
      <c r="I60" s="2328">
        <f t="shared" si="1"/>
        <v>3.901684364127203</v>
      </c>
      <c r="J60" s="2328">
        <f t="shared" si="1"/>
        <v>3.8077048619631766</v>
      </c>
      <c r="K60" s="2328">
        <f t="shared" si="1"/>
        <v>3.8077048619631766</v>
      </c>
      <c r="L60" s="2329">
        <f t="shared" si="1"/>
        <v>3.6891284907154103</v>
      </c>
      <c r="M60" s="2329">
        <f t="shared" si="1"/>
        <v>3.6891284907154103</v>
      </c>
      <c r="N60" s="2329">
        <f t="shared" si="1"/>
        <v>3.6891284907154103</v>
      </c>
      <c r="O60" s="267" t="str">
        <f>B60</f>
        <v>LF M</v>
      </c>
      <c r="P60" s="2330">
        <f>P59/P56</f>
        <v>3.7417020036550839</v>
      </c>
      <c r="Q60" s="267"/>
      <c r="R60" s="2330">
        <f t="shared" ref="R60" si="2">R59/R56</f>
        <v>4.4900424043861005</v>
      </c>
      <c r="S60" s="267"/>
      <c r="T60" s="267"/>
    </row>
    <row r="61" spans="1:20">
      <c r="A61" s="267"/>
      <c r="B61" s="267"/>
      <c r="C61" s="2331"/>
      <c r="D61" s="2331"/>
      <c r="E61" s="2331"/>
      <c r="F61" s="2332"/>
      <c r="G61" s="2332"/>
      <c r="H61" s="2332"/>
      <c r="I61" s="2333"/>
      <c r="J61" s="2333"/>
      <c r="K61" s="2333"/>
      <c r="L61" s="2334"/>
      <c r="M61" s="2334"/>
      <c r="N61" s="2334"/>
      <c r="O61" s="267"/>
      <c r="P61" s="1882"/>
      <c r="Q61" s="267"/>
      <c r="R61" s="267"/>
      <c r="S61" s="267"/>
      <c r="T61" s="267"/>
    </row>
    <row r="62" spans="1:20">
      <c r="A62" s="267"/>
      <c r="B62" s="1882" t="s">
        <v>1084</v>
      </c>
      <c r="C62" s="2316"/>
      <c r="D62" s="2316">
        <f>SUM(C56:E56)</f>
        <v>33196.831050000001</v>
      </c>
      <c r="E62" s="2316"/>
      <c r="F62" s="2317"/>
      <c r="G62" s="2317">
        <f>SUM(F56:H56)</f>
        <v>33196.831050000001</v>
      </c>
      <c r="H62" s="2317"/>
      <c r="I62" s="2318"/>
      <c r="J62" s="2318">
        <f>SUM(I56:K56)</f>
        <v>33743.060649999999</v>
      </c>
      <c r="K62" s="2318"/>
      <c r="L62" s="2319"/>
      <c r="M62" s="2319">
        <f>SUM(L56:N56)</f>
        <v>34016.175450000002</v>
      </c>
      <c r="N62" s="2319"/>
      <c r="O62" s="267" t="str">
        <f>B62</f>
        <v>Bruttolöhne Q</v>
      </c>
      <c r="P62" s="2320">
        <f>SUM(C62:N62)</f>
        <v>134152.8982</v>
      </c>
      <c r="Q62" s="267"/>
      <c r="R62" s="267"/>
      <c r="S62" s="267"/>
      <c r="T62" s="267"/>
    </row>
    <row r="63" spans="1:20">
      <c r="A63" s="267"/>
      <c r="B63" s="1882" t="s">
        <v>1085</v>
      </c>
      <c r="C63" s="2316"/>
      <c r="D63" s="2316">
        <f>SUM(C59:E59)</f>
        <v>123473.28467347493</v>
      </c>
      <c r="E63" s="2316"/>
      <c r="F63" s="2317"/>
      <c r="G63" s="2317">
        <f>SUM(F59:H59)</f>
        <v>123473.28467347493</v>
      </c>
      <c r="H63" s="2317"/>
      <c r="I63" s="2318"/>
      <c r="J63" s="2318">
        <f>SUM(I59:K59)</f>
        <v>129523.55664635744</v>
      </c>
      <c r="K63" s="2318"/>
      <c r="L63" s="2319"/>
      <c r="M63" s="2319">
        <f>SUM(L59:N59)</f>
        <v>125490.04199776909</v>
      </c>
      <c r="N63" s="2319"/>
      <c r="O63" s="267" t="str">
        <f>B63</f>
        <v>Ums.Soll Q</v>
      </c>
      <c r="P63" s="2320">
        <f>SUM(C63:N63)</f>
        <v>501960.16799107642</v>
      </c>
      <c r="Q63" s="267"/>
      <c r="R63" s="267"/>
      <c r="S63" s="267"/>
      <c r="T63" s="267"/>
    </row>
    <row r="64" spans="1:20">
      <c r="A64" s="267"/>
      <c r="B64" s="1882" t="s">
        <v>1086</v>
      </c>
      <c r="C64" s="2326"/>
      <c r="D64" s="2326">
        <f>D63/D62</f>
        <v>3.7194298602629701</v>
      </c>
      <c r="E64" s="2326"/>
      <c r="F64" s="2327"/>
      <c r="G64" s="2327">
        <f>G63/G62</f>
        <v>3.7194298602629701</v>
      </c>
      <c r="H64" s="2327"/>
      <c r="I64" s="2328"/>
      <c r="J64" s="2328">
        <f>J63/J62</f>
        <v>3.8385242521370815</v>
      </c>
      <c r="K64" s="2328"/>
      <c r="L64" s="2329"/>
      <c r="M64" s="2329">
        <f>M63/M62</f>
        <v>3.6891284907154098</v>
      </c>
      <c r="N64" s="2329"/>
      <c r="O64" s="267" t="str">
        <f>B64</f>
        <v>LF Q</v>
      </c>
      <c r="P64" s="2335">
        <f>P63/P62</f>
        <v>3.7417020036550834</v>
      </c>
      <c r="Q64" s="2336">
        <f>AVERAGE(D64:M64)</f>
        <v>3.7416281158446076</v>
      </c>
      <c r="R64" s="267"/>
      <c r="S64" s="267"/>
      <c r="T64" s="267"/>
    </row>
    <row r="65" spans="1:20">
      <c r="A65" s="267"/>
      <c r="B65" s="267"/>
      <c r="C65" s="267"/>
      <c r="D65" s="267"/>
      <c r="E65" s="267"/>
      <c r="F65" s="267"/>
      <c r="G65" s="267"/>
      <c r="H65" s="267"/>
      <c r="I65" s="267"/>
      <c r="J65" s="267"/>
      <c r="K65" s="267"/>
      <c r="L65" s="267"/>
      <c r="M65" s="267"/>
      <c r="N65" s="267"/>
      <c r="O65" s="267"/>
      <c r="P65" s="267"/>
      <c r="Q65" s="267"/>
      <c r="R65" s="267"/>
      <c r="S65" s="267"/>
      <c r="T65" s="267"/>
    </row>
  </sheetData>
  <sheetProtection algorithmName="SHA-512" hashValue="Vhh/66XJLK2u815N6i08BYQRmMOkZmGVPdGkkPvPphWJ/dri2dmmNEtJSIZuORqlc6Y4oaIQaRz9mc1xc5b0Zw==" saltValue="CdlxgMSz4O5KGxy5SL3mgQ==" spinCount="100000" sheet="1" objects="1" scenarios="1"/>
  <customSheetViews>
    <customSheetView guid="{91EE9386-9500-473B-B86C-27DB8DF0BA46}" showGridLines="0">
      <selection sqref="A1:F1"/>
      <pageMargins left="0.7" right="0.7" top="0.78740157499999996" bottom="0.78740157499999996" header="0.3" footer="0.3"/>
      <pageSetup paperSize="9" orientation="portrait" r:id="rId1"/>
    </customSheetView>
    <customSheetView guid="{B8019777-F14C-4393-8CE3-CE0081D0CD28}" showGridLines="0">
      <selection sqref="A1:F1"/>
      <pageMargins left="0.7" right="0.7" top="0.78740157499999996" bottom="0.78740157499999996" header="0.3" footer="0.3"/>
      <pageSetup paperSize="9" orientation="portrait" r:id="rId2"/>
    </customSheetView>
  </customSheetViews>
  <mergeCells count="9">
    <mergeCell ref="C55:E55"/>
    <mergeCell ref="F55:H55"/>
    <mergeCell ref="I55:K55"/>
    <mergeCell ref="L55:N55"/>
    <mergeCell ref="I1:L3"/>
    <mergeCell ref="G3:G4"/>
    <mergeCell ref="A1:F1"/>
    <mergeCell ref="A3:F3"/>
    <mergeCell ref="B2:F2"/>
  </mergeCells>
  <pageMargins left="0.7" right="0.7" top="0.78740157499999996" bottom="0.78740157499999996" header="0.3" footer="0.3"/>
  <pageSetup paperSize="9" scale="95" orientation="landscape"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O50"/>
  <sheetViews>
    <sheetView showGridLines="0" zoomScale="80" zoomScaleNormal="80" workbookViewId="0">
      <selection activeCell="O10" sqref="O10"/>
    </sheetView>
  </sheetViews>
  <sheetFormatPr baseColWidth="10" defaultColWidth="11" defaultRowHeight="15"/>
  <cols>
    <col min="1" max="1" width="2.77734375" style="3" customWidth="1"/>
    <col min="2" max="2" width="14.77734375" style="3" customWidth="1"/>
    <col min="3" max="3" width="16" style="3" customWidth="1"/>
    <col min="4" max="4" width="5.21875" style="3" customWidth="1"/>
    <col min="5" max="5" width="6.77734375" style="3" customWidth="1"/>
    <col min="6" max="6" width="4.21875" style="3" customWidth="1"/>
    <col min="7" max="7" width="13.44140625" style="3" customWidth="1"/>
    <col min="8" max="8" width="3.44140625" style="3" customWidth="1"/>
    <col min="9" max="9" width="11" style="3" customWidth="1"/>
    <col min="10" max="10" width="8.44140625" style="3" customWidth="1"/>
    <col min="11" max="11" width="6.44140625" style="3" customWidth="1"/>
    <col min="12" max="12" width="11" style="3"/>
    <col min="13" max="13" width="6.44140625" style="3" customWidth="1"/>
    <col min="14" max="14" width="6" style="3" customWidth="1"/>
    <col min="15" max="15" width="11" style="3" customWidth="1"/>
    <col min="16" max="17" width="6.44140625" style="3" customWidth="1"/>
    <col min="18" max="18" width="13.44140625" style="3" customWidth="1"/>
    <col min="19" max="19" width="24" style="3" customWidth="1"/>
    <col min="20" max="20" width="12.44140625" style="3" bestFit="1" customWidth="1"/>
    <col min="21" max="21" width="4.44140625" style="3" customWidth="1"/>
    <col min="22" max="22" width="9.77734375" style="3" customWidth="1"/>
    <col min="23" max="23" width="11" style="3"/>
    <col min="24" max="24" width="30.77734375" style="3" customWidth="1"/>
    <col min="25" max="16384" width="11" style="3"/>
  </cols>
  <sheetData>
    <row r="1" spans="1:41" ht="56.25" customHeight="1">
      <c r="A1" s="4161" t="s">
        <v>266</v>
      </c>
      <c r="B1" s="4162"/>
      <c r="C1" s="4162"/>
      <c r="D1" s="4162"/>
      <c r="E1" s="4163"/>
      <c r="F1" s="1425"/>
      <c r="G1" s="132" t="str">
        <f>'2 Unternehmensdaten'!B2</f>
        <v>Demo Version</v>
      </c>
      <c r="H1" s="159" t="s">
        <v>82</v>
      </c>
      <c r="I1" s="2"/>
      <c r="J1" s="2"/>
      <c r="K1" s="2"/>
      <c r="M1" s="3497"/>
      <c r="N1" s="3497"/>
      <c r="O1" s="3497"/>
      <c r="P1" s="3497"/>
      <c r="Q1" s="3497"/>
      <c r="R1" s="3497"/>
      <c r="S1" s="752" t="str">
        <f>Start!G1</f>
        <v xml:space="preserve"> erstellt von Peter Lehmann</v>
      </c>
      <c r="T1" s="948"/>
      <c r="U1" s="948"/>
      <c r="V1" s="948"/>
      <c r="W1" s="948"/>
      <c r="X1" s="948"/>
    </row>
    <row r="2" spans="1:41" ht="18" customHeight="1">
      <c r="A2" s="31"/>
      <c r="B2" s="1"/>
      <c r="C2" s="1"/>
      <c r="D2" s="1"/>
      <c r="E2" s="100"/>
      <c r="F2" s="1"/>
      <c r="G2" s="4103" t="s">
        <v>208</v>
      </c>
      <c r="H2" s="4103"/>
      <c r="I2" s="4103"/>
      <c r="J2" s="4103"/>
      <c r="K2" s="4103"/>
      <c r="L2" s="4103"/>
      <c r="M2" s="4103"/>
      <c r="N2" s="4103"/>
      <c r="O2" s="4103"/>
      <c r="P2" s="4103"/>
      <c r="Q2" s="4103"/>
      <c r="R2" s="4103"/>
    </row>
    <row r="3" spans="1:41" ht="32.25" customHeight="1">
      <c r="A3" s="5"/>
      <c r="B3" s="16" t="s">
        <v>0</v>
      </c>
      <c r="C3" s="17" t="s">
        <v>1</v>
      </c>
      <c r="D3" s="341"/>
      <c r="E3" s="342"/>
      <c r="F3" s="126"/>
      <c r="G3" s="4103"/>
      <c r="H3" s="4103"/>
      <c r="I3" s="4103"/>
      <c r="J3" s="4103"/>
      <c r="K3" s="4103"/>
      <c r="L3" s="4103"/>
      <c r="M3" s="4103"/>
      <c r="N3" s="4103"/>
      <c r="O3" s="4103"/>
      <c r="P3" s="4103"/>
      <c r="Q3" s="4103"/>
      <c r="R3" s="4103"/>
      <c r="Y3" s="2972" t="s">
        <v>96</v>
      </c>
      <c r="Z3" s="267"/>
      <c r="AA3" s="615" t="s">
        <v>0</v>
      </c>
      <c r="AB3" s="615" t="s">
        <v>68</v>
      </c>
      <c r="AC3" s="2973"/>
      <c r="AD3" s="267"/>
      <c r="AE3" s="927"/>
      <c r="AF3" s="927"/>
      <c r="AG3" s="927"/>
      <c r="AH3" s="927"/>
      <c r="AI3" s="927"/>
    </row>
    <row r="4" spans="1:41" ht="39" customHeight="1">
      <c r="A4" s="5"/>
      <c r="B4" s="21" t="str">
        <f ca="1">IF('1 Erklärung'!AA$2="","",IF(Y4="ja",'20 Bruttolohnsumme'!B5,""))</f>
        <v/>
      </c>
      <c r="C4" s="115" t="str">
        <f>'20 Bruttolohnsumme'!L5</f>
        <v/>
      </c>
      <c r="D4" s="341"/>
      <c r="E4" s="342"/>
      <c r="G4" s="4168" t="s">
        <v>83</v>
      </c>
      <c r="H4" s="4166" t="s">
        <v>48</v>
      </c>
      <c r="I4" s="27" t="s">
        <v>84</v>
      </c>
      <c r="J4" s="19"/>
      <c r="K4" s="19"/>
      <c r="L4" s="101"/>
      <c r="M4" s="101"/>
      <c r="N4" s="101"/>
      <c r="Y4" s="268" t="s">
        <v>97</v>
      </c>
      <c r="Z4" s="267"/>
      <c r="AA4" s="267" t="str">
        <f t="shared" ref="AA4:AA22" ca="1" si="0">B4</f>
        <v/>
      </c>
      <c r="AB4" s="2974" t="str">
        <f ca="1">IF(B4="","",IF('4 Eingabe Friseure'!BG7&gt;10,10,'4 Eingabe Friseure'!BG7/12*10))</f>
        <v/>
      </c>
      <c r="AC4" s="976" t="str">
        <f t="shared" ref="AC4:AC23" si="1">IF(C4="","",C4/10*AB4)</f>
        <v/>
      </c>
      <c r="AD4" s="2974" t="str">
        <f ca="1">IF(B4="","",'4 Eingabe Friseure'!BG7*83.3%)</f>
        <v/>
      </c>
      <c r="AE4" s="927"/>
      <c r="AF4" s="927"/>
      <c r="AG4" s="927"/>
      <c r="AH4" s="927"/>
      <c r="AI4" s="927"/>
    </row>
    <row r="5" spans="1:41" ht="25.5" customHeight="1">
      <c r="A5" s="5"/>
      <c r="B5" s="21" t="str">
        <f ca="1">IF('1 Erklärung'!AA$2="","",IF(Y5="ja",'20 Bruttolohnsumme'!B6,""))</f>
        <v/>
      </c>
      <c r="C5" s="115" t="str">
        <f>'20 Bruttolohnsumme'!L6</f>
        <v/>
      </c>
      <c r="D5" s="18"/>
      <c r="E5" s="342"/>
      <c r="G5" s="4168"/>
      <c r="H5" s="4166"/>
      <c r="I5" s="2" t="s">
        <v>85</v>
      </c>
      <c r="J5" s="2"/>
      <c r="K5" s="2"/>
      <c r="Y5" s="268" t="s">
        <v>97</v>
      </c>
      <c r="Z5" s="267"/>
      <c r="AA5" s="267" t="str">
        <f t="shared" ca="1" si="0"/>
        <v/>
      </c>
      <c r="AB5" s="2974" t="str">
        <f ca="1">IF(B5="","",IF('4 Eingabe Friseure'!BG8&gt;10,10,'4 Eingabe Friseure'!BG8/12*10))</f>
        <v/>
      </c>
      <c r="AC5" s="976" t="str">
        <f t="shared" si="1"/>
        <v/>
      </c>
      <c r="AD5" s="2974" t="str">
        <f ca="1">IF(B5="","",'4 Eingabe Friseure'!BG8*83.3%)</f>
        <v/>
      </c>
      <c r="AE5" s="927"/>
      <c r="AF5" s="927"/>
      <c r="AG5" s="927"/>
      <c r="AH5" s="927"/>
      <c r="AI5" s="927"/>
    </row>
    <row r="6" spans="1:41" ht="21" customHeight="1">
      <c r="A6" s="5"/>
      <c r="B6" s="21" t="str">
        <f ca="1">IF('1 Erklärung'!AA$2="","",IF(Y6="ja",'20 Bruttolohnsumme'!B7,""))</f>
        <v/>
      </c>
      <c r="C6" s="115" t="str">
        <f>'20 Bruttolohnsumme'!L7</f>
        <v/>
      </c>
      <c r="D6" s="20"/>
      <c r="E6" s="342"/>
      <c r="G6" s="127"/>
      <c r="H6" s="3637" t="str">
        <f>'19 Sollumsatz pro Arbeitsmonat'!C4</f>
        <v>Rechnung ohne Verkaufsumsatz. Später wir der VK dazu gerechnet.</v>
      </c>
      <c r="I6" s="3637"/>
      <c r="J6" s="3637"/>
      <c r="K6" s="3637"/>
      <c r="N6" s="4173" t="str">
        <f>'19 Sollumsatz pro Arbeitsmonat'!G4</f>
        <v>Rechnung incl. Verkaufsumsatz</v>
      </c>
      <c r="O6" s="4173"/>
      <c r="P6" s="4173"/>
      <c r="S6" s="3672" t="s">
        <v>416</v>
      </c>
      <c r="T6" s="3672"/>
      <c r="Y6" s="268" t="s">
        <v>97</v>
      </c>
      <c r="Z6" s="267"/>
      <c r="AA6" s="267" t="str">
        <f t="shared" ca="1" si="0"/>
        <v/>
      </c>
      <c r="AB6" s="2974" t="str">
        <f ca="1">IF(B6="","",IF('4 Eingabe Friseure'!BG9&gt;10,10,'4 Eingabe Friseure'!BG9/12*10))</f>
        <v/>
      </c>
      <c r="AC6" s="976" t="str">
        <f t="shared" si="1"/>
        <v/>
      </c>
      <c r="AD6" s="2974" t="str">
        <f ca="1">IF(B6="","",'4 Eingabe Friseure'!BG9*83.3%)</f>
        <v/>
      </c>
      <c r="AE6" s="927"/>
      <c r="AF6" s="927"/>
      <c r="AG6" s="927"/>
      <c r="AH6" s="927"/>
      <c r="AI6" s="927"/>
    </row>
    <row r="7" spans="1:41" ht="18" customHeight="1">
      <c r="A7" s="5"/>
      <c r="B7" s="21" t="str">
        <f ca="1">IF('1 Erklärung'!AA$2="","",IF(Y7="ja",'20 Bruttolohnsumme'!B8,""))</f>
        <v>Maria</v>
      </c>
      <c r="C7" s="115">
        <f ca="1">'20 Bruttolohnsumme'!L8</f>
        <v>2515.6359500000003</v>
      </c>
      <c r="D7" s="20"/>
      <c r="E7" s="342"/>
      <c r="G7" s="127"/>
      <c r="H7" s="3637"/>
      <c r="I7" s="3637"/>
      <c r="J7" s="3637"/>
      <c r="K7" s="3637"/>
      <c r="M7" s="183"/>
      <c r="N7" s="4173"/>
      <c r="O7" s="4173"/>
      <c r="P7" s="4173"/>
      <c r="Q7" s="148"/>
      <c r="R7" s="148"/>
      <c r="S7" s="3672"/>
      <c r="T7" s="3672"/>
      <c r="Y7" s="268" t="s">
        <v>97</v>
      </c>
      <c r="Z7" s="267"/>
      <c r="AA7" s="267" t="str">
        <f t="shared" ca="1" si="0"/>
        <v>Maria</v>
      </c>
      <c r="AB7" s="2974">
        <f ca="1">IF(B7="","",IF('4 Eingabe Friseure'!BG10&gt;10,10,'4 Eingabe Friseure'!BG10/12*10))</f>
        <v>10</v>
      </c>
      <c r="AC7" s="976">
        <f t="shared" ca="1" si="1"/>
        <v>2515.6359500000003</v>
      </c>
      <c r="AD7" s="2974">
        <f ca="1">IF(B7="","",'4 Eingabe Friseure'!BG10*83.3%)</f>
        <v>9.9959999999999987</v>
      </c>
      <c r="AE7" s="927"/>
      <c r="AF7" s="927"/>
      <c r="AG7" s="927"/>
      <c r="AH7" s="927"/>
      <c r="AI7" s="927"/>
    </row>
    <row r="8" spans="1:41" ht="18" customHeight="1">
      <c r="A8" s="5"/>
      <c r="B8" s="21" t="str">
        <f ca="1">IF('1 Erklärung'!AA$2="","",IF(Y8="ja",'20 Bruttolohnsumme'!B9,""))</f>
        <v>Jutta</v>
      </c>
      <c r="C8" s="115">
        <f ca="1">'20 Bruttolohnsumme'!L9</f>
        <v>1782.53</v>
      </c>
      <c r="D8" s="20"/>
      <c r="E8" s="342"/>
      <c r="G8" s="82"/>
      <c r="H8" s="2"/>
      <c r="I8" s="143" t="s">
        <v>53</v>
      </c>
      <c r="J8" s="2"/>
      <c r="K8" s="4167"/>
      <c r="L8" s="4167"/>
      <c r="M8" s="183"/>
      <c r="N8" s="148"/>
      <c r="O8" s="269" t="s">
        <v>206</v>
      </c>
      <c r="P8" s="148"/>
      <c r="Q8" s="4164" t="str">
        <f>IF(L10="","","Rechnung 4")</f>
        <v/>
      </c>
      <c r="R8" s="4164"/>
      <c r="S8" s="3672"/>
      <c r="T8" s="3672"/>
      <c r="Y8" s="268" t="s">
        <v>97</v>
      </c>
      <c r="Z8" s="267"/>
      <c r="AA8" s="267" t="str">
        <f t="shared" ca="1" si="0"/>
        <v>Jutta</v>
      </c>
      <c r="AB8" s="2974">
        <f ca="1">IF(B8="","",IF('4 Eingabe Friseure'!BG11&gt;10,10,'4 Eingabe Friseure'!BG11/12*10))</f>
        <v>10</v>
      </c>
      <c r="AC8" s="976">
        <f t="shared" ca="1" si="1"/>
        <v>1782.5299999999997</v>
      </c>
      <c r="AD8" s="2974">
        <f ca="1">IF(B8="","",'4 Eingabe Friseure'!BG11*83.3%)</f>
        <v>9.9959999999999987</v>
      </c>
      <c r="AE8" s="927"/>
      <c r="AF8" s="927"/>
      <c r="AG8" s="927"/>
      <c r="AH8" s="927"/>
      <c r="AI8" s="927"/>
    </row>
    <row r="9" spans="1:41" ht="18" customHeight="1">
      <c r="A9" s="5"/>
      <c r="B9" s="21" t="str">
        <f ca="1">IF('1 Erklärung'!AA$2="","",IF(Y9="ja",'20 Bruttolohnsumme'!B10,""))</f>
        <v>Karina</v>
      </c>
      <c r="C9" s="115">
        <f ca="1">'20 Bruttolohnsumme'!L10</f>
        <v>1490.5592000000001</v>
      </c>
      <c r="D9" s="20"/>
      <c r="E9" s="342"/>
      <c r="G9" s="82"/>
      <c r="H9" s="2"/>
      <c r="I9" s="2"/>
      <c r="J9" s="2"/>
      <c r="K9" s="2"/>
      <c r="M9" s="183"/>
      <c r="N9" s="148"/>
      <c r="O9" s="148"/>
      <c r="P9" s="566"/>
      <c r="Q9" s="148"/>
      <c r="R9" s="148"/>
      <c r="S9" s="3672"/>
      <c r="T9" s="3672"/>
      <c r="Y9" s="268" t="s">
        <v>97</v>
      </c>
      <c r="Z9" s="267"/>
      <c r="AA9" s="267" t="str">
        <f t="shared" ca="1" si="0"/>
        <v>Karina</v>
      </c>
      <c r="AB9" s="2974">
        <f ca="1">IF(B9="","",IF('4 Eingabe Friseure'!BG12&gt;10,10,'4 Eingabe Friseure'!BG12/12*10))</f>
        <v>10</v>
      </c>
      <c r="AC9" s="976">
        <f t="shared" ca="1" si="1"/>
        <v>1490.5592000000001</v>
      </c>
      <c r="AD9" s="2974">
        <f ca="1">IF(B9="","",'4 Eingabe Friseure'!BG12*83.3%)</f>
        <v>9.9959999999999987</v>
      </c>
      <c r="AE9" s="927"/>
      <c r="AF9" s="927"/>
      <c r="AG9" s="927"/>
      <c r="AH9" s="927"/>
      <c r="AI9" s="927"/>
    </row>
    <row r="10" spans="1:41" ht="18" customHeight="1">
      <c r="A10" s="5"/>
      <c r="B10" s="21" t="str">
        <f ca="1">IF('1 Erklärung'!AA$2="","",IF(Y10="ja",'20 Bruttolohnsumme'!B11,""))</f>
        <v>Cordula</v>
      </c>
      <c r="C10" s="115">
        <f ca="1">'20 Bruttolohnsumme'!L11</f>
        <v>1310</v>
      </c>
      <c r="D10" s="20"/>
      <c r="E10" s="342"/>
      <c r="G10" s="128"/>
      <c r="H10" s="4166" t="s">
        <v>48</v>
      </c>
      <c r="I10" s="379">
        <f ca="1">IF('1 Erklärung'!AA$2="","",'19 Sollumsatz pro Arbeitsmonat'!C15)</f>
        <v>47815</v>
      </c>
      <c r="J10" s="2"/>
      <c r="K10" s="4166"/>
      <c r="L10" s="320"/>
      <c r="M10" s="183"/>
      <c r="N10" s="4165" t="s">
        <v>48</v>
      </c>
      <c r="O10" s="379">
        <f ca="1">IF('1 Erklärung'!AA$2="","",'19 Sollumsatz pro Arbeitsmonat'!H15)</f>
        <v>50599</v>
      </c>
      <c r="P10" s="648">
        <f>'19 Sollumsatz pro Arbeitsmonat'!S15</f>
        <v>50599</v>
      </c>
      <c r="Q10" s="4165"/>
      <c r="R10" s="321" t="str">
        <f>'19 Sollumsatz pro Arbeitsmonat'!I15</f>
        <v/>
      </c>
      <c r="S10" s="3672"/>
      <c r="T10" s="3672"/>
      <c r="Y10" s="268" t="s">
        <v>97</v>
      </c>
      <c r="Z10" s="267"/>
      <c r="AA10" s="267" t="str">
        <f t="shared" ca="1" si="0"/>
        <v>Cordula</v>
      </c>
      <c r="AB10" s="2974">
        <f ca="1">IF(B10="","",IF('4 Eingabe Friseure'!BG13&gt;10,10,'4 Eingabe Friseure'!BG13/12*10))</f>
        <v>10</v>
      </c>
      <c r="AC10" s="976">
        <f t="shared" ca="1" si="1"/>
        <v>1310</v>
      </c>
      <c r="AD10" s="2974">
        <f ca="1">IF(B10="","",'4 Eingabe Friseure'!BG13*83.3%)</f>
        <v>9.9959999999999987</v>
      </c>
      <c r="AE10" s="927"/>
      <c r="AF10" s="927"/>
      <c r="AG10" s="927"/>
      <c r="AH10" s="927"/>
      <c r="AI10" s="927"/>
    </row>
    <row r="11" spans="1:41" ht="18" customHeight="1">
      <c r="A11" s="2"/>
      <c r="B11" s="21" t="str">
        <f ca="1">IF('1 Erklärung'!AA$2="","",IF(Y11="ja",'20 Bruttolohnsumme'!B12,""))</f>
        <v>Christa</v>
      </c>
      <c r="C11" s="115">
        <f ca="1">'20 Bruttolohnsumme'!L12</f>
        <v>1040</v>
      </c>
      <c r="D11" s="18"/>
      <c r="E11" s="342"/>
      <c r="G11" s="129"/>
      <c r="H11" s="4166"/>
      <c r="I11" s="22">
        <f ca="1">IF(C25=0,0,IF(D46="ü",C49,C48))</f>
        <v>10929.408183333333</v>
      </c>
      <c r="J11" s="2"/>
      <c r="K11" s="4166"/>
      <c r="L11" s="320"/>
      <c r="M11" s="183"/>
      <c r="N11" s="4165"/>
      <c r="O11" s="270">
        <f ca="1">IF(C25=0,0,IF(D46="ü",C49,C48))</f>
        <v>10929.408183333333</v>
      </c>
      <c r="P11" s="566">
        <f ca="1">IF(C25=0,0,IF(D46="ü",C49,C48))</f>
        <v>10929.408183333333</v>
      </c>
      <c r="Q11" s="4165"/>
      <c r="R11" s="321" t="str">
        <f>IF(L10="","",IF(D23="ü",C26,C25))</f>
        <v/>
      </c>
      <c r="S11" s="3672"/>
      <c r="T11" s="3672"/>
      <c r="Y11" s="268" t="s">
        <v>97</v>
      </c>
      <c r="Z11" s="267"/>
      <c r="AA11" s="267" t="str">
        <f t="shared" ca="1" si="0"/>
        <v>Christa</v>
      </c>
      <c r="AB11" s="2974">
        <f ca="1">IF(B11="","",IF('4 Eingabe Friseure'!BG14&gt;10,10,'4 Eingabe Friseure'!BG14/12*10))</f>
        <v>10</v>
      </c>
      <c r="AC11" s="976">
        <f t="shared" ca="1" si="1"/>
        <v>1040</v>
      </c>
      <c r="AD11" s="2974">
        <f ca="1">IF(B11="","",'4 Eingabe Friseure'!BG14*83.3%)</f>
        <v>9.9959999999999987</v>
      </c>
      <c r="AE11" s="927"/>
      <c r="AF11" s="927"/>
      <c r="AG11" s="927"/>
      <c r="AH11" s="927"/>
      <c r="AI11" s="927"/>
    </row>
    <row r="12" spans="1:41" ht="18" customHeight="1">
      <c r="A12" s="13"/>
      <c r="B12" s="21" t="str">
        <f ca="1">IF('1 Erklärung'!AA$2="","",IF(Y12="ja",'20 Bruttolohnsumme'!B13,""))</f>
        <v>Horst</v>
      </c>
      <c r="C12" s="115">
        <f ca="1">'20 Bruttolohnsumme'!L13</f>
        <v>1350</v>
      </c>
      <c r="D12" s="18"/>
      <c r="E12" s="342"/>
      <c r="G12" s="82"/>
      <c r="H12" s="2"/>
      <c r="I12" s="678"/>
      <c r="J12" s="2"/>
      <c r="L12" s="25"/>
      <c r="M12" s="183"/>
      <c r="N12" s="148"/>
      <c r="O12" s="678"/>
      <c r="P12" s="566"/>
      <c r="R12" s="322"/>
      <c r="S12" s="3672"/>
      <c r="T12" s="3672"/>
      <c r="Y12" s="268" t="s">
        <v>97</v>
      </c>
      <c r="Z12" s="267"/>
      <c r="AA12" s="267" t="str">
        <f t="shared" ca="1" si="0"/>
        <v>Horst</v>
      </c>
      <c r="AB12" s="2974">
        <f ca="1">IF(B12="","",IF('4 Eingabe Friseure'!BG15&gt;10,10,'4 Eingabe Friseure'!BG15/12*10))</f>
        <v>10</v>
      </c>
      <c r="AC12" s="976">
        <f t="shared" ca="1" si="1"/>
        <v>1350</v>
      </c>
      <c r="AD12" s="2974">
        <f ca="1">IF(B12="","",'4 Eingabe Friseure'!BG15*83.3%)</f>
        <v>9.9959999999999987</v>
      </c>
      <c r="AE12" s="927"/>
      <c r="AF12" s="927"/>
      <c r="AG12" s="927"/>
      <c r="AH12" s="927"/>
      <c r="AI12" s="927"/>
    </row>
    <row r="13" spans="1:41" ht="16.5" customHeight="1" thickBot="1">
      <c r="A13" s="13"/>
      <c r="B13" s="21" t="str">
        <f ca="1">IF('1 Erklärung'!AA$2="","",IF(Y13="ja",'20 Bruttolohnsumme'!B14,""))</f>
        <v/>
      </c>
      <c r="C13" s="115" t="str">
        <f ca="1">'20 Bruttolohnsumme'!L14</f>
        <v/>
      </c>
      <c r="D13" s="23"/>
      <c r="E13" s="342"/>
      <c r="G13" s="82"/>
      <c r="H13" s="26" t="s">
        <v>48</v>
      </c>
      <c r="I13" s="678">
        <f ca="1">IF('20 Bruttolohnsumme'!G2="offen",ROUND(I10/I11,2))</f>
        <v>4.37</v>
      </c>
      <c r="J13" s="676"/>
      <c r="L13" s="677"/>
      <c r="M13" s="183"/>
      <c r="N13" s="271" t="s">
        <v>48</v>
      </c>
      <c r="O13" s="272">
        <f ca="1">IF('20 Bruttolohnsumme'!G2="offen",ROUND(O10/O11,2))</f>
        <v>4.63</v>
      </c>
      <c r="P13" s="566">
        <f ca="1">ROUND(P10/P11,2)</f>
        <v>4.63</v>
      </c>
      <c r="R13" s="323" t="str">
        <f>IF(L10="","",ROUND(R10/R11,2))</f>
        <v/>
      </c>
      <c r="S13" s="3672"/>
      <c r="T13" s="3672"/>
      <c r="Y13" s="268" t="s">
        <v>97</v>
      </c>
      <c r="Z13" s="267"/>
      <c r="AA13" s="267" t="str">
        <f t="shared" ca="1" si="0"/>
        <v/>
      </c>
      <c r="AB13" s="2974" t="str">
        <f ca="1">IF(B13="","",IF('4 Eingabe Friseure'!BG16&gt;10,10,'4 Eingabe Friseure'!BG16/12*10))</f>
        <v/>
      </c>
      <c r="AC13" s="976" t="str">
        <f t="shared" ca="1" si="1"/>
        <v/>
      </c>
      <c r="AD13" s="2974" t="str">
        <f ca="1">IF(B13="","",'4 Eingabe Friseure'!BG16*83.3%)</f>
        <v/>
      </c>
      <c r="AE13" s="927"/>
      <c r="AF13" s="927"/>
      <c r="AG13" s="927"/>
      <c r="AH13" s="927"/>
      <c r="AI13" s="927"/>
    </row>
    <row r="14" spans="1:41" s="15" customFormat="1" ht="16.5" customHeight="1" thickTop="1">
      <c r="A14" s="2"/>
      <c r="B14" s="21" t="str">
        <f ca="1">IF('1 Erklärung'!AA$2="","",IF(Y14="ja",'20 Bruttolohnsumme'!B15,""))</f>
        <v>Salli</v>
      </c>
      <c r="C14" s="115">
        <f ca="1">'20 Bruttolohnsumme'!L15</f>
        <v>1326.8851999999999</v>
      </c>
      <c r="D14" s="2"/>
      <c r="E14" s="342"/>
      <c r="G14" s="108"/>
      <c r="H14" s="108"/>
      <c r="I14" s="589"/>
      <c r="J14" s="14"/>
      <c r="K14" s="14"/>
      <c r="N14" s="108"/>
      <c r="O14" s="589"/>
      <c r="Y14" s="268" t="s">
        <v>97</v>
      </c>
      <c r="Z14" s="267"/>
      <c r="AA14" s="267" t="str">
        <f t="shared" ca="1" si="0"/>
        <v>Salli</v>
      </c>
      <c r="AB14" s="2974">
        <f ca="1">IF(B14="","",IF('4 Eingabe Friseure'!BG17&gt;10,10,'4 Eingabe Friseure'!BG17/12*10))</f>
        <v>5.8333333333333339</v>
      </c>
      <c r="AC14" s="976">
        <f t="shared" ca="1" si="1"/>
        <v>774.01636666666661</v>
      </c>
      <c r="AD14" s="2974">
        <f ca="1">IF(B14="","",'4 Eingabe Friseure'!BG17*83.3%)</f>
        <v>5.8309999999999995</v>
      </c>
      <c r="AE14" s="927"/>
      <c r="AF14" s="927"/>
      <c r="AG14" s="927"/>
      <c r="AH14" s="927"/>
      <c r="AI14" s="927"/>
      <c r="AJ14" s="3"/>
      <c r="AK14" s="3"/>
      <c r="AL14" s="3"/>
      <c r="AM14" s="3"/>
      <c r="AN14" s="3"/>
      <c r="AO14" s="3"/>
    </row>
    <row r="15" spans="1:41" s="15" customFormat="1" ht="16.5" customHeight="1">
      <c r="A15" s="3"/>
      <c r="B15" s="21" t="str">
        <f ca="1">IF('1 Erklärung'!AA$2="","",IF(Y15="ja",'20 Bruttolohnsumme'!B16,""))</f>
        <v>Salli</v>
      </c>
      <c r="C15" s="115">
        <f ca="1">'20 Bruttolohnsumme'!L16</f>
        <v>1600</v>
      </c>
      <c r="D15" s="2"/>
      <c r="E15" s="342"/>
      <c r="G15" s="108"/>
      <c r="H15" s="14"/>
      <c r="I15" s="14"/>
      <c r="J15" s="14"/>
      <c r="K15" s="14"/>
      <c r="Y15" s="268" t="s">
        <v>97</v>
      </c>
      <c r="Z15" s="267"/>
      <c r="AA15" s="267" t="str">
        <f t="shared" ca="1" si="0"/>
        <v>Salli</v>
      </c>
      <c r="AB15" s="2974">
        <f ca="1">IF(B15="","",IF('4 Eingabe Friseure'!BG18&gt;10,10,'4 Eingabe Friseure'!BG18/12*10))</f>
        <v>4.166666666666667</v>
      </c>
      <c r="AC15" s="976">
        <f t="shared" ca="1" si="1"/>
        <v>666.66666666666674</v>
      </c>
      <c r="AD15" s="2974">
        <f ca="1">IF(B15="","",'4 Eingabe Friseure'!BG18*83.3%)</f>
        <v>4.165</v>
      </c>
      <c r="AE15" s="927"/>
      <c r="AF15" s="927"/>
      <c r="AG15" s="927"/>
      <c r="AH15" s="927"/>
      <c r="AI15" s="927"/>
      <c r="AJ15" s="3"/>
      <c r="AK15" s="3"/>
      <c r="AL15" s="3"/>
      <c r="AM15" s="3"/>
      <c r="AN15" s="3"/>
      <c r="AO15" s="3"/>
    </row>
    <row r="16" spans="1:41" s="15" customFormat="1" ht="17.25" customHeight="1">
      <c r="A16" s="3"/>
      <c r="B16" s="21" t="str">
        <f ca="1">IF('1 Erklärung'!AA$2="","",IF(Y16="ja",'20 Bruttolohnsumme'!B17,""))</f>
        <v/>
      </c>
      <c r="C16" s="115" t="str">
        <f ca="1">'20 Bruttolohnsumme'!L17</f>
        <v/>
      </c>
      <c r="D16" s="2"/>
      <c r="E16" s="342"/>
      <c r="G16" s="4171" t="s">
        <v>112</v>
      </c>
      <c r="H16" s="4172"/>
      <c r="I16" s="4172"/>
      <c r="J16" s="4172"/>
      <c r="K16" s="4172"/>
      <c r="L16" s="4172"/>
      <c r="M16" s="4172"/>
      <c r="N16" s="4172"/>
      <c r="O16" s="4172"/>
      <c r="P16" s="4172"/>
      <c r="Q16" s="4172"/>
      <c r="R16" s="4172"/>
      <c r="Y16" s="268" t="s">
        <v>97</v>
      </c>
      <c r="Z16" s="1348"/>
      <c r="AA16" s="267" t="str">
        <f t="shared" ca="1" si="0"/>
        <v/>
      </c>
      <c r="AB16" s="2974" t="str">
        <f ca="1">IF(B16="","",IF('4 Eingabe Friseure'!BG19&gt;10,10,'4 Eingabe Friseure'!BG19/12*10))</f>
        <v/>
      </c>
      <c r="AC16" s="976" t="str">
        <f t="shared" ca="1" si="1"/>
        <v/>
      </c>
      <c r="AD16" s="2974" t="str">
        <f ca="1">IF(B16="","",'4 Eingabe Friseure'!BG19*83.3%)</f>
        <v/>
      </c>
      <c r="AE16" s="927"/>
      <c r="AF16" s="927"/>
      <c r="AG16" s="927"/>
      <c r="AH16" s="927"/>
      <c r="AI16" s="927"/>
      <c r="AJ16" s="3"/>
      <c r="AK16" s="3"/>
      <c r="AL16" s="3"/>
      <c r="AM16" s="3"/>
      <c r="AN16" s="3"/>
      <c r="AO16" s="3"/>
    </row>
    <row r="17" spans="1:41" s="15" customFormat="1" ht="19.5" customHeight="1">
      <c r="A17" s="3"/>
      <c r="B17" s="21" t="str">
        <f ca="1">IF('1 Erklärung'!AA$2="","",IF(Y17="ja",'20 Bruttolohnsumme'!B18,""))</f>
        <v/>
      </c>
      <c r="C17" s="115" t="str">
        <f ca="1">'20 Bruttolohnsumme'!L18</f>
        <v/>
      </c>
      <c r="D17" s="2"/>
      <c r="E17" s="342"/>
      <c r="G17" s="4169" t="s">
        <v>207</v>
      </c>
      <c r="H17" s="4170"/>
      <c r="I17" s="4170"/>
      <c r="J17" s="4170"/>
      <c r="K17" s="4170"/>
      <c r="L17" s="4170"/>
      <c r="M17" s="4170"/>
      <c r="N17" s="4170"/>
      <c r="O17" s="4170"/>
      <c r="P17" s="4170"/>
      <c r="Q17" s="4170"/>
      <c r="R17" s="4170"/>
      <c r="Y17" s="268" t="s">
        <v>97</v>
      </c>
      <c r="Z17" s="1348"/>
      <c r="AA17" s="267" t="str">
        <f t="shared" ca="1" si="0"/>
        <v/>
      </c>
      <c r="AB17" s="2974" t="str">
        <f ca="1">IF(B17="","",IF('4 Eingabe Friseure'!BG20&gt;10,10,'4 Eingabe Friseure'!BG20/12*10))</f>
        <v/>
      </c>
      <c r="AC17" s="976" t="str">
        <f t="shared" ca="1" si="1"/>
        <v/>
      </c>
      <c r="AD17" s="2974" t="str">
        <f ca="1">IF(B17="","",'4 Eingabe Friseure'!BG20*83.3%)</f>
        <v/>
      </c>
      <c r="AE17" s="1610"/>
      <c r="AF17" s="1610"/>
      <c r="AG17" s="1610"/>
      <c r="AH17" s="1610"/>
      <c r="AI17" s="1610"/>
    </row>
    <row r="18" spans="1:41" s="15" customFormat="1" ht="16.5" customHeight="1">
      <c r="A18" s="3"/>
      <c r="B18" s="21" t="str">
        <f ca="1">IF('1 Erklärung'!AA$2="","",IF(Y18="ja",'20 Bruttolohnsumme'!B19,""))</f>
        <v/>
      </c>
      <c r="C18" s="115" t="str">
        <f ca="1">'20 Bruttolohnsumme'!L19</f>
        <v/>
      </c>
      <c r="D18" s="2"/>
      <c r="E18" s="342"/>
      <c r="G18" s="4169"/>
      <c r="H18" s="4170"/>
      <c r="I18" s="4170"/>
      <c r="J18" s="4170"/>
      <c r="K18" s="4170"/>
      <c r="L18" s="4170"/>
      <c r="M18" s="4170"/>
      <c r="N18" s="4170"/>
      <c r="O18" s="4170"/>
      <c r="P18" s="4170"/>
      <c r="Q18" s="4170"/>
      <c r="R18" s="4170"/>
      <c r="Y18" s="268" t="s">
        <v>97</v>
      </c>
      <c r="Z18" s="1348"/>
      <c r="AA18" s="267" t="str">
        <f t="shared" ca="1" si="0"/>
        <v/>
      </c>
      <c r="AB18" s="2974" t="str">
        <f ca="1">IF(B18="","",IF('4 Eingabe Friseure'!BG21&gt;10,10,'4 Eingabe Friseure'!BG21/12*10))</f>
        <v/>
      </c>
      <c r="AC18" s="976" t="str">
        <f t="shared" ca="1" si="1"/>
        <v/>
      </c>
      <c r="AD18" s="2974" t="str">
        <f ca="1">IF(B18="","",'4 Eingabe Friseure'!BG21*83.3%)</f>
        <v/>
      </c>
      <c r="AE18" s="1610"/>
      <c r="AF18" s="1610"/>
      <c r="AG18" s="1610"/>
      <c r="AH18" s="1610"/>
      <c r="AI18" s="1610"/>
    </row>
    <row r="19" spans="1:41" s="15" customFormat="1" ht="19.5" customHeight="1">
      <c r="A19" s="3"/>
      <c r="B19" s="21" t="str">
        <f ca="1">IF('1 Erklärung'!AA$2="","",IF(Y19="ja",'20 Bruttolohnsumme'!B20,""))</f>
        <v/>
      </c>
      <c r="C19" s="115" t="str">
        <f ca="1">'20 Bruttolohnsumme'!L20</f>
        <v/>
      </c>
      <c r="D19" s="2"/>
      <c r="E19" s="342"/>
      <c r="G19" s="4169"/>
      <c r="H19" s="4170"/>
      <c r="I19" s="4170"/>
      <c r="J19" s="4170"/>
      <c r="K19" s="4170"/>
      <c r="L19" s="4170"/>
      <c r="M19" s="4170"/>
      <c r="N19" s="4170"/>
      <c r="O19" s="4170"/>
      <c r="P19" s="4170"/>
      <c r="Q19" s="4170"/>
      <c r="R19" s="4170"/>
      <c r="Y19" s="268" t="s">
        <v>97</v>
      </c>
      <c r="Z19" s="1348"/>
      <c r="AA19" s="267" t="str">
        <f t="shared" ca="1" si="0"/>
        <v/>
      </c>
      <c r="AB19" s="2974" t="str">
        <f ca="1">IF(B19="","",IF('4 Eingabe Friseure'!BG22&gt;10,10,'4 Eingabe Friseure'!BG22/12*10))</f>
        <v/>
      </c>
      <c r="AC19" s="976" t="str">
        <f t="shared" ca="1" si="1"/>
        <v/>
      </c>
      <c r="AD19" s="2974" t="str">
        <f ca="1">IF(B19="","",'4 Eingabe Friseure'!BG22*83.3%)</f>
        <v/>
      </c>
      <c r="AE19" s="1610"/>
      <c r="AF19" s="1610"/>
      <c r="AG19" s="1610"/>
      <c r="AH19" s="1610"/>
      <c r="AI19" s="1610"/>
    </row>
    <row r="20" spans="1:41" s="15" customFormat="1" ht="19.5" customHeight="1">
      <c r="A20" s="3"/>
      <c r="B20" s="21" t="str">
        <f ca="1">IF('1 Erklärung'!AA$2="","",IF(Y20="ja",'20 Bruttolohnsumme'!B21,""))</f>
        <v/>
      </c>
      <c r="C20" s="115" t="str">
        <f ca="1">'20 Bruttolohnsumme'!L21</f>
        <v/>
      </c>
      <c r="D20" s="2"/>
      <c r="E20" s="342"/>
      <c r="G20" s="4169"/>
      <c r="H20" s="4170"/>
      <c r="I20" s="4170"/>
      <c r="J20" s="4170"/>
      <c r="K20" s="4170"/>
      <c r="L20" s="4170"/>
      <c r="M20" s="4170"/>
      <c r="N20" s="4170"/>
      <c r="O20" s="4170"/>
      <c r="P20" s="4170"/>
      <c r="Q20" s="4170"/>
      <c r="R20" s="4170"/>
      <c r="Y20" s="268" t="s">
        <v>97</v>
      </c>
      <c r="Z20" s="1348"/>
      <c r="AA20" s="267" t="str">
        <f t="shared" ca="1" si="0"/>
        <v/>
      </c>
      <c r="AB20" s="2974" t="str">
        <f ca="1">IF(B20="","",IF('4 Eingabe Friseure'!BG23&gt;10,10,'4 Eingabe Friseure'!BG23/12*10))</f>
        <v/>
      </c>
      <c r="AC20" s="976" t="str">
        <f t="shared" ca="1" si="1"/>
        <v/>
      </c>
      <c r="AD20" s="2974" t="str">
        <f ca="1">IF(B20="","",'4 Eingabe Friseure'!BG23*83.3%)</f>
        <v/>
      </c>
      <c r="AE20" s="1610"/>
      <c r="AF20" s="1610"/>
      <c r="AG20" s="1610"/>
      <c r="AH20" s="1610"/>
      <c r="AI20" s="1610"/>
    </row>
    <row r="21" spans="1:41" s="15" customFormat="1" ht="19.5" customHeight="1">
      <c r="A21" s="3"/>
      <c r="B21" s="21" t="str">
        <f ca="1">IF('1 Erklärung'!AA$2="","",IF(Y21="ja",'20 Bruttolohnsumme'!B22,""))</f>
        <v/>
      </c>
      <c r="C21" s="115" t="str">
        <f ca="1">'20 Bruttolohnsumme'!L22</f>
        <v/>
      </c>
      <c r="D21" s="2"/>
      <c r="E21" s="342"/>
      <c r="G21" s="4169"/>
      <c r="H21" s="4170"/>
      <c r="I21" s="4170"/>
      <c r="J21" s="4170"/>
      <c r="K21" s="4170"/>
      <c r="L21" s="4170"/>
      <c r="M21" s="4170"/>
      <c r="N21" s="4170"/>
      <c r="O21" s="4170"/>
      <c r="P21" s="4170"/>
      <c r="Q21" s="4170"/>
      <c r="R21" s="4170"/>
      <c r="Y21" s="268" t="s">
        <v>97</v>
      </c>
      <c r="Z21" s="1348"/>
      <c r="AA21" s="267" t="str">
        <f t="shared" ca="1" si="0"/>
        <v/>
      </c>
      <c r="AB21" s="2974" t="str">
        <f ca="1">IF(B21="","",IF('4 Eingabe Friseure'!BG24&gt;10,10,'4 Eingabe Friseure'!BG24/12*10))</f>
        <v/>
      </c>
      <c r="AC21" s="976" t="str">
        <f t="shared" ca="1" si="1"/>
        <v/>
      </c>
      <c r="AD21" s="2974" t="str">
        <f ca="1">IF(B21="","",'4 Eingabe Friseure'!BG24*83.3%)</f>
        <v/>
      </c>
      <c r="AE21" s="1610"/>
      <c r="AF21" s="1610"/>
      <c r="AG21" s="1610"/>
      <c r="AH21" s="1610"/>
      <c r="AI21" s="1610"/>
    </row>
    <row r="22" spans="1:41" s="15" customFormat="1" ht="19.5" customHeight="1">
      <c r="A22" s="3"/>
      <c r="B22" s="21" t="str">
        <f ca="1">IF('1 Erklärung'!AA$2="","",IF(Y22="ja",'20 Bruttolohnsumme'!B23,""))</f>
        <v/>
      </c>
      <c r="C22" s="115" t="str">
        <f ca="1">'20 Bruttolohnsumme'!L23</f>
        <v/>
      </c>
      <c r="D22" s="2"/>
      <c r="E22" s="342"/>
      <c r="F22" s="3"/>
      <c r="Y22" s="268" t="s">
        <v>97</v>
      </c>
      <c r="Z22" s="1348"/>
      <c r="AA22" s="267" t="str">
        <f t="shared" ca="1" si="0"/>
        <v/>
      </c>
      <c r="AB22" s="2974" t="str">
        <f ca="1">IF(B22="","",IF('4 Eingabe Friseure'!BG25&gt;10,10,'4 Eingabe Friseure'!BG25/12*10))</f>
        <v/>
      </c>
      <c r="AC22" s="976" t="str">
        <f t="shared" ca="1" si="1"/>
        <v/>
      </c>
      <c r="AD22" s="2974" t="str">
        <f ca="1">IF(B22="","",'4 Eingabe Friseure'!BG25*83.3%)</f>
        <v/>
      </c>
      <c r="AE22" s="1610"/>
      <c r="AF22" s="1610"/>
      <c r="AG22" s="1610"/>
      <c r="AH22" s="1610"/>
      <c r="AI22" s="1610"/>
    </row>
    <row r="23" spans="1:41">
      <c r="B23" s="2945" t="str">
        <f ca="1">IF(B4="","",1)</f>
        <v/>
      </c>
      <c r="C23" s="115"/>
      <c r="D23" s="167" t="s">
        <v>66</v>
      </c>
      <c r="E23" s="342"/>
      <c r="Y23" s="1348"/>
      <c r="Z23" s="1348"/>
      <c r="AA23" s="267"/>
      <c r="AB23" s="1554">
        <f ca="1">IF(B23=1,"",IF('10 PK Kosten Diagramm'!D34&gt;10,10,'10 PK Kosten Diagramm'!D34))</f>
        <v>0</v>
      </c>
      <c r="AC23" s="976" t="str">
        <f t="shared" si="1"/>
        <v/>
      </c>
      <c r="AD23" s="1348"/>
      <c r="AE23" s="1610"/>
      <c r="AF23" s="1610"/>
      <c r="AG23" s="1610"/>
      <c r="AH23" s="1610"/>
      <c r="AI23" s="1610"/>
      <c r="AJ23" s="15"/>
      <c r="AK23" s="15"/>
      <c r="AL23" s="15"/>
      <c r="AM23" s="15"/>
      <c r="AN23" s="15"/>
      <c r="AO23" s="15"/>
    </row>
    <row r="24" spans="1:41">
      <c r="B24" s="113" t="s">
        <v>2</v>
      </c>
      <c r="C24" s="116"/>
      <c r="D24" s="36" t="str">
        <f>IF(D23="ü","falls Mitarbeiter nicht das ganze Jahr arbeiter, wir dies hier mit einberechnet","")</f>
        <v>falls Mitarbeiter nicht das ganze Jahr arbeiter, wir dies hier mit einberechnet</v>
      </c>
      <c r="E24" s="342"/>
      <c r="F24" s="36"/>
      <c r="Y24" s="1348"/>
      <c r="Z24" s="1348"/>
      <c r="AA24" s="1348"/>
      <c r="AB24" s="1348"/>
      <c r="AC24" s="1348"/>
      <c r="AD24" s="1348"/>
      <c r="AE24" s="1610"/>
      <c r="AF24" s="1610"/>
      <c r="AG24" s="1610"/>
      <c r="AH24" s="1610"/>
      <c r="AI24" s="1610"/>
      <c r="AJ24" s="15"/>
      <c r="AK24" s="15"/>
      <c r="AL24" s="15"/>
      <c r="AM24" s="15"/>
      <c r="AN24" s="15"/>
      <c r="AO24" s="15"/>
    </row>
    <row r="25" spans="1:41">
      <c r="B25" s="117" t="str">
        <f ca="1">IF(B23="","ohne Chef","mit Chef")</f>
        <v>ohne Chef</v>
      </c>
      <c r="C25" s="119">
        <f ca="1">SUM(C4:C23)</f>
        <v>12415.610350000001</v>
      </c>
      <c r="D25" s="36"/>
      <c r="Y25" s="267"/>
      <c r="Z25" s="267"/>
      <c r="AA25" s="1348"/>
      <c r="AB25" s="1348"/>
      <c r="AC25" s="2975">
        <f ca="1">SUM(AC4:AC23)</f>
        <v>10929.408183333333</v>
      </c>
      <c r="AD25" s="1348"/>
      <c r="AE25" s="1610"/>
      <c r="AF25" s="1610"/>
      <c r="AG25" s="1610"/>
      <c r="AH25" s="1610"/>
      <c r="AI25" s="1610"/>
      <c r="AJ25" s="15"/>
      <c r="AK25" s="15"/>
      <c r="AL25" s="15"/>
      <c r="AM25" s="15"/>
      <c r="AN25" s="15"/>
      <c r="AO25" s="15"/>
    </row>
    <row r="26" spans="1:41">
      <c r="B26" s="117" t="str">
        <f>IF(C23="","nur Mitarbeiter","")</f>
        <v>nur Mitarbeiter</v>
      </c>
      <c r="C26" s="166">
        <f ca="1">IF(D23="ü",AC25,"")</f>
        <v>10929.408183333333</v>
      </c>
      <c r="D26" s="408"/>
      <c r="Y26" s="267"/>
      <c r="Z26" s="267"/>
      <c r="AA26" s="267"/>
      <c r="AB26" s="267"/>
      <c r="AC26" s="267"/>
      <c r="AD26" s="267"/>
      <c r="AE26" s="927"/>
      <c r="AF26" s="927"/>
      <c r="AG26" s="927"/>
      <c r="AH26" s="927"/>
      <c r="AI26" s="927"/>
    </row>
    <row r="27" spans="1:41" ht="39" customHeight="1">
      <c r="A27" s="5"/>
      <c r="B27" s="117"/>
      <c r="C27" s="166"/>
      <c r="D27" s="341"/>
      <c r="Y27" s="267"/>
      <c r="Z27" s="267"/>
      <c r="AA27" s="267"/>
      <c r="AB27" s="267"/>
      <c r="AC27" s="267"/>
      <c r="AD27" s="267"/>
      <c r="AE27" s="927"/>
      <c r="AF27" s="927"/>
      <c r="AG27" s="927"/>
      <c r="AH27" s="927"/>
      <c r="AI27" s="927"/>
    </row>
    <row r="28" spans="1:41" ht="25.5" customHeight="1">
      <c r="A28" s="5"/>
      <c r="B28" s="117"/>
      <c r="C28" s="166"/>
      <c r="D28" s="18"/>
      <c r="Y28" s="267"/>
      <c r="Z28" s="267"/>
      <c r="AA28" s="267"/>
      <c r="AB28" s="267"/>
      <c r="AC28" s="267"/>
      <c r="AD28" s="267"/>
      <c r="AE28" s="927"/>
      <c r="AF28" s="927"/>
      <c r="AG28" s="927"/>
      <c r="AH28" s="927"/>
      <c r="AI28" s="927"/>
    </row>
    <row r="29" spans="1:41" ht="21" customHeight="1" thickBot="1">
      <c r="A29" s="5"/>
      <c r="B29" s="117" t="s">
        <v>324</v>
      </c>
      <c r="C29" s="166"/>
      <c r="D29" s="20"/>
      <c r="Y29" s="267"/>
      <c r="Z29" s="267"/>
      <c r="AA29" s="267"/>
      <c r="AB29" s="267"/>
      <c r="AC29" s="267"/>
      <c r="AD29" s="267"/>
      <c r="AE29" s="927"/>
      <c r="AF29" s="927"/>
      <c r="AG29" s="927"/>
      <c r="AH29" s="927"/>
      <c r="AI29" s="927"/>
    </row>
    <row r="30" spans="1:41" ht="18" customHeight="1">
      <c r="A30" s="5"/>
      <c r="B30" s="21" t="str">
        <f ca="1">IF('1 Erklärung'!AA$2="","",IF(Y30="ja",'20 Bruttolohnsumme'!B28,""))</f>
        <v/>
      </c>
      <c r="C30" s="114" t="str">
        <f ca="1">'20 Bruttolohnsumme'!L28</f>
        <v/>
      </c>
      <c r="D30" s="20"/>
      <c r="Y30" s="268" t="s">
        <v>97</v>
      </c>
      <c r="Z30" s="267"/>
      <c r="AA30" s="267" t="str">
        <f t="shared" ref="AA30:AA45" ca="1" si="2">B30</f>
        <v/>
      </c>
      <c r="AB30" s="2974" t="str">
        <f ca="1">IF(B30="","",IF('4 Eingabe Friseure'!BG30&gt;10,10,'4 Eingabe Friseure'!BG30/12*10))</f>
        <v/>
      </c>
      <c r="AC30" s="976" t="str">
        <f t="shared" ref="AC30:AC46" ca="1" si="3">IF(C30="","",C30/10*AB30)</f>
        <v/>
      </c>
      <c r="AD30" s="2974" t="str">
        <f ca="1">IF(B30="","",'4 Eingabe Friseure'!BG30*83.3%)</f>
        <v/>
      </c>
      <c r="AE30" s="927"/>
      <c r="AF30" s="927"/>
      <c r="AG30" s="927"/>
      <c r="AH30" s="927"/>
      <c r="AI30" s="927"/>
    </row>
    <row r="31" spans="1:41" ht="18" customHeight="1">
      <c r="A31" s="5"/>
      <c r="B31" s="21" t="str">
        <f ca="1">IF('1 Erklärung'!AA$2="","",IF(Y31="ja",'20 Bruttolohnsumme'!B29,""))</f>
        <v/>
      </c>
      <c r="C31" s="115" t="str">
        <f ca="1">'20 Bruttolohnsumme'!L29</f>
        <v/>
      </c>
      <c r="D31" s="20"/>
      <c r="Y31" s="268" t="s">
        <v>97</v>
      </c>
      <c r="Z31" s="267"/>
      <c r="AA31" s="267" t="str">
        <f t="shared" ca="1" si="2"/>
        <v/>
      </c>
      <c r="AB31" s="2974" t="str">
        <f ca="1">IF(B31="","",IF('4 Eingabe Friseure'!BG31&gt;10,10,'4 Eingabe Friseure'!BG31/12*10))</f>
        <v/>
      </c>
      <c r="AC31" s="976" t="str">
        <f t="shared" ca="1" si="3"/>
        <v/>
      </c>
      <c r="AD31" s="2974" t="str">
        <f ca="1">IF(B31="","",'4 Eingabe Friseure'!BG31*83.3%)</f>
        <v/>
      </c>
      <c r="AE31" s="927"/>
      <c r="AF31" s="927"/>
      <c r="AG31" s="927"/>
      <c r="AH31" s="927"/>
      <c r="AI31" s="927"/>
    </row>
    <row r="32" spans="1:41" ht="18" customHeight="1">
      <c r="A32" s="5"/>
      <c r="B32" s="21" t="str">
        <f ca="1">IF('1 Erklärung'!AA$2="","",IF(Y32="ja",'20 Bruttolohnsumme'!B30,""))</f>
        <v/>
      </c>
      <c r="C32" s="115" t="str">
        <f ca="1">'20 Bruttolohnsumme'!L30</f>
        <v/>
      </c>
      <c r="D32" s="20"/>
      <c r="Y32" s="268" t="s">
        <v>97</v>
      </c>
      <c r="Z32" s="267"/>
      <c r="AA32" s="267" t="str">
        <f t="shared" ca="1" si="2"/>
        <v/>
      </c>
      <c r="AB32" s="2974" t="str">
        <f ca="1">IF(B32="","",IF('4 Eingabe Friseure'!BG32&gt;10,10,'4 Eingabe Friseure'!BG32/12*10))</f>
        <v/>
      </c>
      <c r="AC32" s="976" t="str">
        <f t="shared" ca="1" si="3"/>
        <v/>
      </c>
      <c r="AD32" s="2974" t="str">
        <f ca="1">IF(B32="","",'4 Eingabe Friseure'!BG32*83.3%)</f>
        <v/>
      </c>
      <c r="AE32" s="927"/>
      <c r="AF32" s="927"/>
      <c r="AG32" s="927"/>
      <c r="AH32" s="927"/>
      <c r="AI32" s="927"/>
    </row>
    <row r="33" spans="1:41" ht="18" customHeight="1">
      <c r="A33" s="5"/>
      <c r="B33" s="21" t="str">
        <f ca="1">IF('1 Erklärung'!AA$2="","",IF(Y33="ja",'20 Bruttolohnsumme'!B31,""))</f>
        <v/>
      </c>
      <c r="C33" s="115" t="str">
        <f ca="1">'20 Bruttolohnsumme'!L31</f>
        <v/>
      </c>
      <c r="D33" s="20"/>
      <c r="Y33" s="268" t="s">
        <v>97</v>
      </c>
      <c r="Z33" s="267"/>
      <c r="AA33" s="267" t="str">
        <f t="shared" ca="1" si="2"/>
        <v/>
      </c>
      <c r="AB33" s="2974" t="str">
        <f ca="1">IF(B33="","",IF('4 Eingabe Friseure'!BG33&gt;10,10,'4 Eingabe Friseure'!BG33/12*10))</f>
        <v/>
      </c>
      <c r="AC33" s="976" t="str">
        <f t="shared" ca="1" si="3"/>
        <v/>
      </c>
      <c r="AD33" s="2974" t="str">
        <f ca="1">IF(B33="","",'4 Eingabe Friseure'!BG33*83.3%)</f>
        <v/>
      </c>
      <c r="AE33" s="927"/>
      <c r="AF33" s="927"/>
      <c r="AG33" s="927"/>
      <c r="AH33" s="927"/>
      <c r="AI33" s="927"/>
    </row>
    <row r="34" spans="1:41" ht="18" customHeight="1">
      <c r="A34" s="2"/>
      <c r="B34" s="21" t="str">
        <f ca="1">IF('1 Erklärung'!AA$2="","",IF(Y34="ja",'20 Bruttolohnsumme'!B32,""))</f>
        <v/>
      </c>
      <c r="C34" s="115" t="str">
        <f ca="1">'20 Bruttolohnsumme'!L32</f>
        <v/>
      </c>
      <c r="D34" s="18"/>
      <c r="Y34" s="268" t="s">
        <v>97</v>
      </c>
      <c r="Z34" s="267"/>
      <c r="AA34" s="267" t="str">
        <f t="shared" ca="1" si="2"/>
        <v/>
      </c>
      <c r="AB34" s="2974" t="str">
        <f ca="1">IF(B34="","",IF('4 Eingabe Friseure'!BG34&gt;10,10,'4 Eingabe Friseure'!BG34/12*10))</f>
        <v/>
      </c>
      <c r="AC34" s="976" t="str">
        <f t="shared" ca="1" si="3"/>
        <v/>
      </c>
      <c r="AD34" s="2974" t="str">
        <f ca="1">IF(B34="","",'4 Eingabe Friseure'!BG34*83.3%)</f>
        <v/>
      </c>
      <c r="AE34" s="927"/>
      <c r="AF34" s="927"/>
      <c r="AG34" s="927"/>
      <c r="AH34" s="927"/>
      <c r="AI34" s="927"/>
    </row>
    <row r="35" spans="1:41" ht="18" customHeight="1">
      <c r="A35" s="13"/>
      <c r="B35" s="21" t="str">
        <f ca="1">IF('1 Erklärung'!AA$2="","",IF(Y35="ja",'20 Bruttolohnsumme'!B33,""))</f>
        <v/>
      </c>
      <c r="C35" s="115" t="str">
        <f ca="1">'20 Bruttolohnsumme'!L33</f>
        <v/>
      </c>
      <c r="D35" s="18"/>
      <c r="Y35" s="268" t="s">
        <v>97</v>
      </c>
      <c r="Z35" s="267"/>
      <c r="AA35" s="267" t="str">
        <f t="shared" ca="1" si="2"/>
        <v/>
      </c>
      <c r="AB35" s="2974" t="str">
        <f ca="1">IF(B35="","",IF('4 Eingabe Friseure'!BG35&gt;10,10,'4 Eingabe Friseure'!BG35/12*10))</f>
        <v/>
      </c>
      <c r="AC35" s="976" t="str">
        <f t="shared" ca="1" si="3"/>
        <v/>
      </c>
      <c r="AD35" s="2974" t="str">
        <f ca="1">IF(B35="","",'4 Eingabe Friseure'!BG35*83.3%)</f>
        <v/>
      </c>
      <c r="AE35" s="927"/>
      <c r="AF35" s="927"/>
      <c r="AG35" s="927"/>
      <c r="AH35" s="927"/>
      <c r="AI35" s="927"/>
    </row>
    <row r="36" spans="1:41" ht="16.5" customHeight="1">
      <c r="A36" s="13"/>
      <c r="B36" s="21" t="str">
        <f ca="1">IF('1 Erklärung'!AA$2="","",IF(Y36="ja",'20 Bruttolohnsumme'!B34,""))</f>
        <v/>
      </c>
      <c r="C36" s="115" t="str">
        <f ca="1">'20 Bruttolohnsumme'!L34</f>
        <v/>
      </c>
      <c r="D36" s="23"/>
      <c r="Y36" s="268" t="s">
        <v>97</v>
      </c>
      <c r="Z36" s="267"/>
      <c r="AA36" s="267" t="str">
        <f t="shared" ca="1" si="2"/>
        <v/>
      </c>
      <c r="AB36" s="2974" t="str">
        <f ca="1">IF(B36="","",IF('4 Eingabe Friseure'!BG36&gt;10,10,'4 Eingabe Friseure'!BG36/12*10))</f>
        <v/>
      </c>
      <c r="AC36" s="976" t="str">
        <f t="shared" ca="1" si="3"/>
        <v/>
      </c>
      <c r="AD36" s="2974" t="str">
        <f ca="1">IF(B36="","",'4 Eingabe Friseure'!BG36*83.3%)</f>
        <v/>
      </c>
      <c r="AE36" s="927"/>
      <c r="AF36" s="927"/>
      <c r="AG36" s="927"/>
      <c r="AH36" s="927"/>
      <c r="AI36" s="927"/>
    </row>
    <row r="37" spans="1:41" s="15" customFormat="1" ht="16.5" customHeight="1">
      <c r="A37" s="2"/>
      <c r="B37" s="21" t="str">
        <f ca="1">IF('1 Erklärung'!AA$2="","",IF(Y37="ja",'20 Bruttolohnsumme'!B35,""))</f>
        <v/>
      </c>
      <c r="C37" s="115" t="str">
        <f ca="1">'20 Bruttolohnsumme'!L35</f>
        <v/>
      </c>
      <c r="D37" s="2"/>
      <c r="E37" s="3"/>
      <c r="F37" s="3"/>
      <c r="G37" s="3"/>
      <c r="H37" s="3"/>
      <c r="I37" s="3"/>
      <c r="J37" s="3"/>
      <c r="K37" s="3"/>
      <c r="L37" s="3"/>
      <c r="M37" s="3"/>
      <c r="N37" s="3"/>
      <c r="O37" s="3"/>
      <c r="P37" s="3"/>
      <c r="Q37" s="3"/>
      <c r="R37" s="3"/>
      <c r="S37" s="3"/>
      <c r="T37" s="3"/>
      <c r="U37" s="3"/>
      <c r="V37" s="3"/>
      <c r="Y37" s="268" t="s">
        <v>97</v>
      </c>
      <c r="Z37" s="267"/>
      <c r="AA37" s="267" t="str">
        <f t="shared" ca="1" si="2"/>
        <v/>
      </c>
      <c r="AB37" s="2974" t="str">
        <f ca="1">IF(B37="","",IF('4 Eingabe Friseure'!BG37&gt;10,10,'4 Eingabe Friseure'!BG37/12*10))</f>
        <v/>
      </c>
      <c r="AC37" s="976" t="str">
        <f t="shared" ca="1" si="3"/>
        <v/>
      </c>
      <c r="AD37" s="2974" t="str">
        <f ca="1">IF(B37="","",'4 Eingabe Friseure'!BG37*83.3%)</f>
        <v/>
      </c>
      <c r="AE37" s="927"/>
      <c r="AF37" s="927"/>
      <c r="AG37" s="927"/>
      <c r="AH37" s="927"/>
      <c r="AI37" s="927"/>
      <c r="AJ37" s="3"/>
      <c r="AK37" s="3"/>
      <c r="AL37" s="3"/>
      <c r="AM37" s="3"/>
      <c r="AN37" s="3"/>
      <c r="AO37" s="3"/>
    </row>
    <row r="38" spans="1:41" s="15" customFormat="1" ht="16.5" customHeight="1">
      <c r="A38" s="3"/>
      <c r="B38" s="21" t="str">
        <f ca="1">IF('1 Erklärung'!AA$2="","",IF(Y38="ja",'20 Bruttolohnsumme'!B36,""))</f>
        <v/>
      </c>
      <c r="C38" s="115" t="str">
        <f ca="1">'20 Bruttolohnsumme'!L36</f>
        <v/>
      </c>
      <c r="D38" s="2"/>
      <c r="E38" s="3"/>
      <c r="F38" s="3"/>
      <c r="G38" s="3"/>
      <c r="H38" s="3"/>
      <c r="I38" s="3"/>
      <c r="J38" s="3"/>
      <c r="K38" s="3"/>
      <c r="L38" s="3"/>
      <c r="M38" s="3"/>
      <c r="N38" s="3"/>
      <c r="O38" s="3"/>
      <c r="P38" s="3"/>
      <c r="Q38" s="3"/>
      <c r="R38" s="3"/>
      <c r="S38" s="3"/>
      <c r="T38" s="3"/>
      <c r="U38" s="3"/>
      <c r="V38" s="3"/>
      <c r="Y38" s="268" t="s">
        <v>97</v>
      </c>
      <c r="Z38" s="267"/>
      <c r="AA38" s="267" t="str">
        <f t="shared" ca="1" si="2"/>
        <v/>
      </c>
      <c r="AB38" s="2974" t="str">
        <f ca="1">IF(B38="","",IF('4 Eingabe Friseure'!BG38&gt;10,10,'4 Eingabe Friseure'!BG38/12*10))</f>
        <v/>
      </c>
      <c r="AC38" s="976" t="str">
        <f t="shared" ca="1" si="3"/>
        <v/>
      </c>
      <c r="AD38" s="2974" t="str">
        <f ca="1">IF(B38="","",'4 Eingabe Friseure'!BG38*83.3%)</f>
        <v/>
      </c>
      <c r="AE38" s="927"/>
      <c r="AF38" s="927"/>
      <c r="AG38" s="927"/>
      <c r="AH38" s="927"/>
      <c r="AI38" s="927"/>
      <c r="AJ38" s="3"/>
      <c r="AK38" s="3"/>
      <c r="AL38" s="3"/>
      <c r="AM38" s="3"/>
      <c r="AN38" s="3"/>
      <c r="AO38" s="3"/>
    </row>
    <row r="39" spans="1:41" s="15" customFormat="1" ht="17.25" customHeight="1">
      <c r="A39" s="3"/>
      <c r="B39" s="21" t="str">
        <f ca="1">IF('1 Erklärung'!AA$2="","",IF(Y39="ja",'20 Bruttolohnsumme'!B37,""))</f>
        <v/>
      </c>
      <c r="C39" s="115" t="str">
        <f ca="1">'20 Bruttolohnsumme'!L37</f>
        <v/>
      </c>
      <c r="D39" s="2"/>
      <c r="E39" s="3"/>
      <c r="F39" s="3"/>
      <c r="G39" s="3"/>
      <c r="H39" s="3"/>
      <c r="I39" s="3"/>
      <c r="J39" s="3"/>
      <c r="K39" s="3"/>
      <c r="L39" s="3"/>
      <c r="M39" s="3"/>
      <c r="N39" s="3"/>
      <c r="O39" s="3"/>
      <c r="P39" s="3"/>
      <c r="Q39" s="3"/>
      <c r="R39" s="3"/>
      <c r="S39" s="3"/>
      <c r="T39" s="3"/>
      <c r="U39" s="3"/>
      <c r="V39" s="3"/>
      <c r="Y39" s="268" t="s">
        <v>97</v>
      </c>
      <c r="Z39" s="1348"/>
      <c r="AA39" s="267" t="str">
        <f t="shared" ca="1" si="2"/>
        <v/>
      </c>
      <c r="AB39" s="2974" t="str">
        <f ca="1">IF(B39="","",IF('4 Eingabe Friseure'!BG39&gt;10,10,'4 Eingabe Friseure'!BG39/12*10))</f>
        <v/>
      </c>
      <c r="AC39" s="976" t="str">
        <f t="shared" ca="1" si="3"/>
        <v/>
      </c>
      <c r="AD39" s="2974" t="str">
        <f ca="1">IF(B39="","",'4 Eingabe Friseure'!BG39*83.3%)</f>
        <v/>
      </c>
      <c r="AE39" s="927"/>
      <c r="AF39" s="927"/>
      <c r="AG39" s="927"/>
      <c r="AH39" s="927"/>
      <c r="AI39" s="927"/>
      <c r="AJ39" s="3"/>
      <c r="AK39" s="3"/>
      <c r="AL39" s="3"/>
      <c r="AM39" s="3"/>
      <c r="AN39" s="3"/>
      <c r="AO39" s="3"/>
    </row>
    <row r="40" spans="1:41" s="15" customFormat="1" ht="19.5" customHeight="1">
      <c r="A40" s="3"/>
      <c r="B40" s="21" t="str">
        <f ca="1">IF('1 Erklärung'!AA$2="","",IF(Y40="ja",'20 Bruttolohnsumme'!B38,""))</f>
        <v/>
      </c>
      <c r="C40" s="115" t="str">
        <f ca="1">'20 Bruttolohnsumme'!L38</f>
        <v/>
      </c>
      <c r="D40" s="2"/>
      <c r="E40" s="3"/>
      <c r="F40" s="3"/>
      <c r="G40" s="3"/>
      <c r="H40" s="3"/>
      <c r="I40" s="3"/>
      <c r="J40" s="3"/>
      <c r="K40" s="3"/>
      <c r="L40" s="3"/>
      <c r="M40" s="3"/>
      <c r="N40" s="3"/>
      <c r="O40" s="3"/>
      <c r="P40" s="3"/>
      <c r="Q40" s="3"/>
      <c r="R40" s="3"/>
      <c r="S40" s="3"/>
      <c r="T40" s="3"/>
      <c r="U40" s="3"/>
      <c r="V40" s="3"/>
      <c r="Y40" s="268" t="s">
        <v>97</v>
      </c>
      <c r="Z40" s="1348"/>
      <c r="AA40" s="267" t="str">
        <f t="shared" ca="1" si="2"/>
        <v/>
      </c>
      <c r="AB40" s="2974" t="str">
        <f ca="1">IF(B40="","",IF('4 Eingabe Friseure'!BG40&gt;10,10,'4 Eingabe Friseure'!BG40/12*10))</f>
        <v/>
      </c>
      <c r="AC40" s="976" t="str">
        <f t="shared" ca="1" si="3"/>
        <v/>
      </c>
      <c r="AD40" s="2974" t="str">
        <f ca="1">IF(B40="","",'4 Eingabe Friseure'!BG40*83.3%)</f>
        <v/>
      </c>
      <c r="AE40" s="1610"/>
      <c r="AF40" s="1610"/>
      <c r="AG40" s="1610"/>
      <c r="AH40" s="1610"/>
      <c r="AI40" s="1610"/>
    </row>
    <row r="41" spans="1:41" s="15" customFormat="1" ht="16.5" customHeight="1">
      <c r="A41" s="3"/>
      <c r="B41" s="21" t="str">
        <f ca="1">IF('1 Erklärung'!AA$2="","",IF(Y41="ja",'20 Bruttolohnsumme'!B39,""))</f>
        <v/>
      </c>
      <c r="C41" s="115" t="str">
        <f ca="1">'20 Bruttolohnsumme'!L39</f>
        <v/>
      </c>
      <c r="D41" s="2"/>
      <c r="E41" s="3"/>
      <c r="F41" s="3"/>
      <c r="G41" s="3"/>
      <c r="H41" s="3"/>
      <c r="I41" s="3"/>
      <c r="J41" s="3"/>
      <c r="K41" s="3"/>
      <c r="L41" s="3"/>
      <c r="M41" s="3"/>
      <c r="N41" s="3"/>
      <c r="O41" s="3"/>
      <c r="P41" s="3"/>
      <c r="Q41" s="3"/>
      <c r="R41" s="3"/>
      <c r="S41" s="3"/>
      <c r="T41" s="3"/>
      <c r="U41" s="3"/>
      <c r="V41" s="3"/>
      <c r="Y41" s="268" t="s">
        <v>97</v>
      </c>
      <c r="Z41" s="1348"/>
      <c r="AA41" s="267" t="str">
        <f t="shared" ca="1" si="2"/>
        <v/>
      </c>
      <c r="AB41" s="2974" t="str">
        <f ca="1">IF(B41="","",IF('4 Eingabe Friseure'!BG41&gt;10,10,'4 Eingabe Friseure'!BG41/12*10))</f>
        <v/>
      </c>
      <c r="AC41" s="976" t="str">
        <f t="shared" ca="1" si="3"/>
        <v/>
      </c>
      <c r="AD41" s="2974" t="str">
        <f ca="1">IF(B41="","",'4 Eingabe Friseure'!BG41*83.3%)</f>
        <v/>
      </c>
      <c r="AE41" s="1610"/>
      <c r="AF41" s="1610"/>
      <c r="AG41" s="1610"/>
      <c r="AH41" s="1610"/>
      <c r="AI41" s="1610"/>
    </row>
    <row r="42" spans="1:41" s="15" customFormat="1" ht="19.5" customHeight="1">
      <c r="A42" s="3"/>
      <c r="B42" s="21" t="str">
        <f ca="1">IF('1 Erklärung'!AA$2="","",IF(Y42="ja",'20 Bruttolohnsumme'!B40,""))</f>
        <v/>
      </c>
      <c r="C42" s="115" t="str">
        <f ca="1">'20 Bruttolohnsumme'!L40</f>
        <v/>
      </c>
      <c r="D42" s="2"/>
      <c r="E42" s="3"/>
      <c r="F42" s="3"/>
      <c r="G42" s="3"/>
      <c r="H42" s="3"/>
      <c r="I42" s="3"/>
      <c r="J42" s="3"/>
      <c r="K42" s="3"/>
      <c r="L42" s="3"/>
      <c r="M42" s="3"/>
      <c r="N42" s="3"/>
      <c r="O42" s="3"/>
      <c r="P42" s="3"/>
      <c r="Q42" s="3"/>
      <c r="R42" s="3"/>
      <c r="S42" s="3"/>
      <c r="T42" s="3"/>
      <c r="U42" s="3"/>
      <c r="V42" s="3"/>
      <c r="Y42" s="268" t="s">
        <v>97</v>
      </c>
      <c r="Z42" s="1348"/>
      <c r="AA42" s="267" t="str">
        <f t="shared" ca="1" si="2"/>
        <v/>
      </c>
      <c r="AB42" s="2974" t="str">
        <f ca="1">IF(B42="","",IF('4 Eingabe Friseure'!BG42&gt;10,10,'4 Eingabe Friseure'!BG42/12*10))</f>
        <v/>
      </c>
      <c r="AC42" s="976" t="str">
        <f t="shared" ca="1" si="3"/>
        <v/>
      </c>
      <c r="AD42" s="2974" t="str">
        <f ca="1">IF(B42="","",'4 Eingabe Friseure'!BG42*83.3%)</f>
        <v/>
      </c>
      <c r="AE42" s="1610"/>
      <c r="AF42" s="1610"/>
      <c r="AG42" s="1610"/>
      <c r="AH42" s="1610"/>
      <c r="AI42" s="1610"/>
    </row>
    <row r="43" spans="1:41" s="15" customFormat="1" ht="19.5" customHeight="1">
      <c r="A43" s="3"/>
      <c r="B43" s="21" t="str">
        <f ca="1">IF('1 Erklärung'!AA$2="","",IF(Y43="ja",'20 Bruttolohnsumme'!B41,""))</f>
        <v/>
      </c>
      <c r="C43" s="115" t="str">
        <f ca="1">'20 Bruttolohnsumme'!L41</f>
        <v/>
      </c>
      <c r="D43" s="2"/>
      <c r="E43" s="3"/>
      <c r="F43" s="3"/>
      <c r="G43" s="3"/>
      <c r="H43" s="3"/>
      <c r="I43" s="3"/>
      <c r="J43" s="3"/>
      <c r="K43" s="3"/>
      <c r="L43" s="3"/>
      <c r="M43" s="3"/>
      <c r="N43" s="3"/>
      <c r="O43" s="3"/>
      <c r="P43" s="3"/>
      <c r="Q43" s="3"/>
      <c r="R43" s="3"/>
      <c r="S43" s="3"/>
      <c r="T43" s="3"/>
      <c r="U43" s="3"/>
      <c r="V43" s="3"/>
      <c r="Y43" s="268" t="s">
        <v>97</v>
      </c>
      <c r="Z43" s="1348"/>
      <c r="AA43" s="267" t="str">
        <f t="shared" ca="1" si="2"/>
        <v/>
      </c>
      <c r="AB43" s="2974" t="str">
        <f ca="1">IF(B43="","",IF('4 Eingabe Friseure'!BG43&gt;10,10,'4 Eingabe Friseure'!BG43/12*10))</f>
        <v/>
      </c>
      <c r="AC43" s="976" t="str">
        <f t="shared" ca="1" si="3"/>
        <v/>
      </c>
      <c r="AD43" s="2974" t="str">
        <f ca="1">IF(B43="","",'4 Eingabe Friseure'!BG43*83.3%)</f>
        <v/>
      </c>
      <c r="AE43" s="1610"/>
      <c r="AF43" s="1610"/>
      <c r="AG43" s="1610"/>
      <c r="AH43" s="1610"/>
      <c r="AI43" s="1610"/>
    </row>
    <row r="44" spans="1:41" s="15" customFormat="1" ht="19.5" customHeight="1">
      <c r="A44" s="3"/>
      <c r="B44" s="21" t="str">
        <f ca="1">IF('1 Erklärung'!AA$2="","",IF(Y44="ja",'20 Bruttolohnsumme'!B42,""))</f>
        <v/>
      </c>
      <c r="C44" s="115" t="str">
        <f ca="1">'20 Bruttolohnsumme'!L42</f>
        <v/>
      </c>
      <c r="D44" s="2"/>
      <c r="E44" s="3"/>
      <c r="F44" s="3"/>
      <c r="G44" s="3"/>
      <c r="H44" s="3"/>
      <c r="I44" s="3"/>
      <c r="J44" s="3"/>
      <c r="K44" s="3"/>
      <c r="L44" s="3"/>
      <c r="M44" s="3"/>
      <c r="N44" s="3"/>
      <c r="O44" s="3"/>
      <c r="P44" s="3"/>
      <c r="Q44" s="3"/>
      <c r="R44" s="3"/>
      <c r="S44" s="3"/>
      <c r="T44" s="3"/>
      <c r="U44" s="3"/>
      <c r="V44" s="3"/>
      <c r="Y44" s="268" t="s">
        <v>97</v>
      </c>
      <c r="Z44" s="1348"/>
      <c r="AA44" s="267" t="str">
        <f t="shared" ca="1" si="2"/>
        <v/>
      </c>
      <c r="AB44" s="2974" t="str">
        <f ca="1">IF(B44="","",IF('4 Eingabe Friseure'!BG44&gt;10,10,'4 Eingabe Friseure'!BG44/12*10))</f>
        <v/>
      </c>
      <c r="AC44" s="976" t="str">
        <f t="shared" ca="1" si="3"/>
        <v/>
      </c>
      <c r="AD44" s="2974" t="str">
        <f ca="1">IF(B44="","",'4 Eingabe Friseure'!BG44*83.3%)</f>
        <v/>
      </c>
      <c r="AE44" s="1610"/>
      <c r="AF44" s="1610"/>
      <c r="AG44" s="1610"/>
      <c r="AH44" s="1610"/>
      <c r="AI44" s="1610"/>
    </row>
    <row r="45" spans="1:41" s="15" customFormat="1" ht="19.5" customHeight="1">
      <c r="A45" s="3"/>
      <c r="B45" s="21" t="str">
        <f ca="1">IF('1 Erklärung'!AA$2="","",IF(Y45="ja",'20 Bruttolohnsumme'!B43,""))</f>
        <v/>
      </c>
      <c r="C45" s="115" t="str">
        <f ca="1">'20 Bruttolohnsumme'!L43</f>
        <v/>
      </c>
      <c r="D45" s="2"/>
      <c r="E45" s="3"/>
      <c r="F45" s="3"/>
      <c r="G45" s="3"/>
      <c r="H45" s="3"/>
      <c r="I45" s="3"/>
      <c r="J45" s="3"/>
      <c r="K45" s="3"/>
      <c r="L45" s="3"/>
      <c r="M45" s="3"/>
      <c r="N45" s="3"/>
      <c r="O45" s="3"/>
      <c r="P45" s="3"/>
      <c r="Q45" s="3"/>
      <c r="R45" s="3"/>
      <c r="S45" s="3"/>
      <c r="T45" s="3"/>
      <c r="U45" s="3"/>
      <c r="V45" s="3"/>
      <c r="Y45" s="268" t="s">
        <v>97</v>
      </c>
      <c r="Z45" s="1348"/>
      <c r="AA45" s="267" t="str">
        <f t="shared" ca="1" si="2"/>
        <v/>
      </c>
      <c r="AB45" s="2974" t="str">
        <f ca="1">IF(B45="","",IF('4 Eingabe Friseure'!BG45&gt;10,10,'4 Eingabe Friseure'!BG45/12*10))</f>
        <v/>
      </c>
      <c r="AC45" s="976" t="str">
        <f t="shared" ca="1" si="3"/>
        <v/>
      </c>
      <c r="AD45" s="2974" t="str">
        <f ca="1">IF(B45="","",'4 Eingabe Friseure'!BG45*83.3%)</f>
        <v/>
      </c>
      <c r="AE45" s="1610"/>
      <c r="AF45" s="1610"/>
      <c r="AG45" s="1610"/>
      <c r="AH45" s="1610"/>
      <c r="AI45" s="1610"/>
    </row>
    <row r="46" spans="1:41">
      <c r="C46" s="2"/>
      <c r="D46" s="167" t="s">
        <v>66</v>
      </c>
      <c r="Y46" s="1348"/>
      <c r="Z46" s="1348"/>
      <c r="AA46" s="267"/>
      <c r="AB46" s="1554" t="str">
        <f>IF(B46="","",IF('10 PK Kosten Diagramm'!D54&gt;10,10,'10 PK Kosten Diagramm'!D54))</f>
        <v/>
      </c>
      <c r="AC46" s="976" t="str">
        <f t="shared" si="3"/>
        <v/>
      </c>
      <c r="AD46" s="1348"/>
      <c r="AE46" s="15"/>
      <c r="AF46" s="15"/>
      <c r="AG46" s="15"/>
      <c r="AH46" s="15"/>
      <c r="AI46" s="15"/>
      <c r="AJ46" s="15"/>
      <c r="AK46" s="15"/>
      <c r="AL46" s="15"/>
      <c r="AM46" s="15"/>
      <c r="AN46" s="15"/>
      <c r="AO46" s="15"/>
    </row>
    <row r="47" spans="1:41">
      <c r="B47" s="113" t="s">
        <v>2</v>
      </c>
      <c r="C47" s="116"/>
      <c r="Y47" s="1348"/>
      <c r="Z47" s="1348"/>
      <c r="AA47" s="1348"/>
      <c r="AB47" s="1348"/>
      <c r="AC47" s="1348"/>
      <c r="AD47" s="1348"/>
      <c r="AE47" s="15"/>
      <c r="AF47" s="15"/>
      <c r="AG47" s="15"/>
      <c r="AH47" s="15"/>
      <c r="AI47" s="15"/>
      <c r="AJ47" s="15"/>
      <c r="AK47" s="15"/>
      <c r="AL47" s="15"/>
      <c r="AM47" s="15"/>
      <c r="AN47" s="15"/>
      <c r="AO47" s="15"/>
    </row>
    <row r="48" spans="1:41">
      <c r="B48" s="117" t="str">
        <f>IF(C46="","ohne Chef","mit Chef")</f>
        <v>ohne Chef</v>
      </c>
      <c r="C48" s="119">
        <f ca="1">SUM(C30:C46,C25)</f>
        <v>12415.610350000001</v>
      </c>
      <c r="Y48" s="267"/>
      <c r="Z48" s="267"/>
      <c r="AA48" s="1348"/>
      <c r="AB48" s="2976">
        <f ca="1">SUM(AB7:AB45)</f>
        <v>70</v>
      </c>
      <c r="AC48" s="2975">
        <f ca="1">SUM(AC30:AC46,AC25)</f>
        <v>10929.408183333333</v>
      </c>
      <c r="AD48" s="1348"/>
      <c r="AE48" s="15"/>
      <c r="AF48" s="15"/>
      <c r="AG48" s="15"/>
      <c r="AH48" s="15"/>
      <c r="AI48" s="15"/>
      <c r="AJ48" s="15"/>
      <c r="AK48" s="15"/>
      <c r="AL48" s="15"/>
      <c r="AM48" s="15"/>
      <c r="AN48" s="15"/>
      <c r="AO48" s="15"/>
    </row>
    <row r="49" spans="2:30">
      <c r="B49" s="117" t="str">
        <f>IF(C46="","nur Mitarbeiter","")</f>
        <v>nur Mitarbeiter</v>
      </c>
      <c r="C49" s="166">
        <f ca="1">IF(D46="ü",AC48,"")</f>
        <v>10929.408183333333</v>
      </c>
      <c r="Y49" s="267"/>
      <c r="Z49" s="267"/>
      <c r="AA49" s="267"/>
      <c r="AB49" s="2336">
        <f ca="1">AVERAGE(AB7:AB45)</f>
        <v>7.7777777777777777</v>
      </c>
      <c r="AC49" s="267"/>
      <c r="AD49" s="267"/>
    </row>
    <row r="50" spans="2:30">
      <c r="Y50" s="267"/>
      <c r="Z50" s="267"/>
      <c r="AA50" s="267"/>
      <c r="AB50" s="267"/>
      <c r="AC50" s="267"/>
      <c r="AD50" s="267"/>
    </row>
  </sheetData>
  <sheetProtection algorithmName="SHA-512" hashValue="Gegp4MV9DcOlYO1jldpKEZVVLixulFUUsDoE0BQNIIWhJcZmxhC6/FGb+y0ukUoOLUGtkBdeXJQaMxs+coX70g==" saltValue="wohLUOUU1LQX3yy9kzDhTQ==" spinCount="100000" sheet="1" objects="1" scenarios="1"/>
  <customSheetViews>
    <customSheetView guid="{91EE9386-9500-473B-B86C-27DB8DF0BA46}" scale="80" showGridLines="0">
      <selection activeCell="I13" sqref="I13"/>
      <pageMargins left="0.25" right="0.25" top="0.75" bottom="0.75" header="0.3" footer="0.3"/>
      <pageSetup paperSize="9" scale="70" orientation="landscape" r:id="rId1"/>
    </customSheetView>
    <customSheetView guid="{B8019777-F14C-4393-8CE3-CE0081D0CD28}" scale="80" showGridLines="0">
      <selection activeCell="I13" sqref="I13"/>
      <pageMargins left="0.25" right="0.25" top="0.75" bottom="0.75" header="0.3" footer="0.3"/>
      <pageSetup paperSize="9" scale="70" orientation="landscape" r:id="rId2"/>
    </customSheetView>
  </customSheetViews>
  <mergeCells count="16">
    <mergeCell ref="S6:T13"/>
    <mergeCell ref="G17:R21"/>
    <mergeCell ref="H4:H5"/>
    <mergeCell ref="G16:R16"/>
    <mergeCell ref="H10:H11"/>
    <mergeCell ref="H6:K7"/>
    <mergeCell ref="N6:P7"/>
    <mergeCell ref="M1:R1"/>
    <mergeCell ref="A1:E1"/>
    <mergeCell ref="Q8:R8"/>
    <mergeCell ref="N10:N11"/>
    <mergeCell ref="Q10:Q11"/>
    <mergeCell ref="K10:K11"/>
    <mergeCell ref="K8:L8"/>
    <mergeCell ref="G4:G5"/>
    <mergeCell ref="G2:R3"/>
  </mergeCells>
  <phoneticPr fontId="4" type="noConversion"/>
  <pageMargins left="0.25" right="0.25" top="0.75" bottom="0.75" header="0.3" footer="0.3"/>
  <pageSetup paperSize="9" scale="70" orientation="landscape"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57"/>
  <sheetViews>
    <sheetView showGridLines="0" topLeftCell="B3" zoomScale="90" zoomScaleNormal="90" workbookViewId="0">
      <selection activeCell="N4" sqref="N4"/>
    </sheetView>
  </sheetViews>
  <sheetFormatPr baseColWidth="10" defaultColWidth="11" defaultRowHeight="15"/>
  <cols>
    <col min="1" max="1" width="12" style="3" customWidth="1"/>
    <col min="2" max="2" width="9" style="3" customWidth="1"/>
    <col min="3" max="3" width="7.44140625" style="3" customWidth="1"/>
    <col min="4" max="4" width="12.21875" style="3" customWidth="1"/>
    <col min="5" max="5" width="12" style="3" customWidth="1"/>
    <col min="6" max="6" width="10.44140625" style="3" customWidth="1"/>
    <col min="7" max="7" width="5" style="3" customWidth="1"/>
    <col min="8" max="8" width="4.44140625" style="3" customWidth="1"/>
    <col min="9" max="9" width="9.77734375" style="3" customWidth="1"/>
    <col min="10" max="11" width="0.44140625" style="3" customWidth="1"/>
    <col min="12" max="12" width="7.44140625" style="3" customWidth="1"/>
    <col min="13" max="13" width="12.77734375" style="3" customWidth="1"/>
    <col min="14" max="14" width="8.44140625" style="3" customWidth="1"/>
    <col min="15" max="15" width="9.44140625" style="3" customWidth="1"/>
    <col min="16" max="16" width="10.21875" style="3" bestFit="1" customWidth="1"/>
    <col min="17" max="17" width="10.44140625" style="3" customWidth="1"/>
    <col min="18" max="18" width="9.77734375" style="3" customWidth="1"/>
    <col min="19" max="19" width="9.21875" style="3" customWidth="1"/>
    <col min="20" max="20" width="2.21875" style="3" customWidth="1"/>
    <col min="21" max="21" width="8.77734375" style="3" customWidth="1"/>
    <col min="22" max="22" width="15" style="3" customWidth="1"/>
    <col min="23" max="23" width="13.44140625" style="3" customWidth="1"/>
    <col min="24" max="24" width="6.44140625" style="3" customWidth="1"/>
    <col min="25" max="25" width="17.44140625" style="3" customWidth="1"/>
    <col min="26" max="26" width="12.44140625" style="3" customWidth="1"/>
    <col min="27" max="30" width="11" style="3"/>
    <col min="31" max="31" width="12" style="3" bestFit="1" customWidth="1"/>
    <col min="32" max="33" width="11" style="3" customWidth="1"/>
    <col min="34" max="34" width="2.44140625" style="3" customWidth="1"/>
    <col min="35" max="37" width="11" style="3"/>
    <col min="38" max="39" width="11" style="3" customWidth="1"/>
    <col min="40" max="16384" width="11" style="3"/>
  </cols>
  <sheetData>
    <row r="1" spans="1:27" ht="17.399999999999999">
      <c r="A1" s="1" t="s">
        <v>51</v>
      </c>
      <c r="B1" s="1"/>
      <c r="C1" s="1"/>
      <c r="D1" s="2"/>
      <c r="E1" s="2"/>
      <c r="F1" s="2"/>
      <c r="G1" s="2"/>
      <c r="H1" s="2"/>
      <c r="I1" s="2"/>
      <c r="J1" s="2"/>
      <c r="P1" s="133" t="str">
        <f>'21 Lohnfaktor'!G1</f>
        <v>Demo Version</v>
      </c>
      <c r="Y1" s="2" t="s">
        <v>1100</v>
      </c>
    </row>
    <row r="2" spans="1:27" ht="150" customHeight="1">
      <c r="B2" s="4213" t="s">
        <v>657</v>
      </c>
      <c r="C2" s="4213"/>
      <c r="D2" s="4213"/>
      <c r="E2" s="4213"/>
      <c r="F2" s="4213"/>
      <c r="G2" s="4213"/>
      <c r="H2" s="4213"/>
      <c r="I2" s="4213"/>
      <c r="J2" s="4213"/>
      <c r="K2" s="4213"/>
      <c r="L2" s="4213"/>
      <c r="M2" s="4213"/>
      <c r="N2" s="4213"/>
      <c r="O2" s="4213"/>
      <c r="P2" s="4213"/>
      <c r="Q2" s="4213"/>
      <c r="R2" s="4213"/>
      <c r="S2" s="4213"/>
      <c r="T2" s="4245" t="str">
        <f>IF(Start!O20&gt;0,"Als Solo-Selbständiger können Sie Ihre Daten in Zeile 24 sehen. Falls Sie Mitarbeiter-daten eingeben haben, werden diese nicht berechnet.","")</f>
        <v/>
      </c>
      <c r="U2" s="4245"/>
      <c r="V2" s="4245"/>
      <c r="W2" s="1356"/>
      <c r="X2" s="4244" t="s">
        <v>1129</v>
      </c>
      <c r="Y2" s="4244"/>
      <c r="Z2" s="4244"/>
      <c r="AA2" s="4244"/>
    </row>
    <row r="3" spans="1:27" ht="57.75" customHeight="1">
      <c r="A3" s="1424">
        <f ca="1">IF(C3="ok",B3,M3)</f>
        <v>4.63</v>
      </c>
      <c r="B3" s="717">
        <f ca="1">IF(C3="ok",'21 Lohnfaktor'!O13,"")</f>
        <v>4.63</v>
      </c>
      <c r="C3" s="722" t="s">
        <v>366</v>
      </c>
      <c r="D3" s="4209" t="s">
        <v>509</v>
      </c>
      <c r="E3" s="4209"/>
      <c r="F3" s="4209"/>
      <c r="G3" s="4209"/>
      <c r="H3" s="4210"/>
      <c r="I3" s="4206" t="str">
        <f>IF(N3=C3,"bitte nur ein ok eingeben","")</f>
        <v/>
      </c>
      <c r="J3" s="4207"/>
      <c r="K3" s="4207"/>
      <c r="L3" s="4208"/>
      <c r="M3" s="717" t="str">
        <f>IF('2 Unternehmensdaten'!P14="ja","keine Eingabe",IF(N3="ok",'21 Lohnfaktor'!I13,""))</f>
        <v/>
      </c>
      <c r="N3" s="722"/>
      <c r="O3" s="4129" t="s">
        <v>510</v>
      </c>
      <c r="P3" s="4129"/>
      <c r="Q3" s="4129"/>
      <c r="R3" s="4129"/>
      <c r="S3" s="4130"/>
      <c r="T3" s="4211"/>
      <c r="U3" s="4212"/>
      <c r="V3" s="4212"/>
      <c r="X3" s="4244"/>
      <c r="Y3" s="4244"/>
      <c r="Z3" s="4244"/>
      <c r="AA3" s="4244"/>
    </row>
    <row r="4" spans="1:27" ht="24.75" customHeight="1">
      <c r="A4" s="4222" t="str">
        <f>IF('20 Bruttolohnsumme'!G46=0,"","--&gt;   Auf Seite 20 wurden Bruttolöhne geändert")</f>
        <v>--&gt;   Auf Seite 20 wurden Bruttolöhne geändert</v>
      </c>
      <c r="B4" s="4222"/>
      <c r="C4" s="4222"/>
      <c r="D4" s="4222"/>
      <c r="E4" s="4222"/>
      <c r="F4" s="2"/>
      <c r="G4" s="33" t="str">
        <f>IF(G5="","","% aus Planung")</f>
        <v>% aus Planung</v>
      </c>
      <c r="H4" s="2"/>
      <c r="I4" s="2892"/>
      <c r="J4" s="2892"/>
      <c r="K4" s="2892"/>
      <c r="L4" s="2892"/>
      <c r="M4" s="2892"/>
      <c r="N4" s="3252">
        <f ca="1">SUM(N8:N18)*10</f>
        <v>1227.5499999999997</v>
      </c>
      <c r="O4" s="274" t="s">
        <v>1081</v>
      </c>
      <c r="P4" s="99"/>
      <c r="Q4" s="99"/>
      <c r="R4" s="280"/>
      <c r="S4" s="280" t="s">
        <v>209</v>
      </c>
      <c r="T4" s="278"/>
      <c r="U4" s="99"/>
      <c r="V4" s="99"/>
      <c r="W4" s="99"/>
      <c r="X4" s="99"/>
      <c r="Y4" s="3214" t="s">
        <v>1412</v>
      </c>
      <c r="Z4" s="3214"/>
      <c r="AA4" s="3214"/>
    </row>
    <row r="5" spans="1:27" ht="24" customHeight="1">
      <c r="A5" s="4223" t="str">
        <f>IF(C3="ok","Rechnung 2","Rechnung 1")</f>
        <v>Rechnung 2</v>
      </c>
      <c r="B5" s="4225" t="s">
        <v>55</v>
      </c>
      <c r="C5" s="3223" t="str">
        <f>IF(B8="Monate"," bei Chef Monate","")</f>
        <v xml:space="preserve"> bei Chef Monate</v>
      </c>
      <c r="D5" s="4225" t="str">
        <f>IF(N3="ok","Sollumsatz DL pro Arbeits-monat €","Sollumsatz pro Arbeits-monat €")</f>
        <v>Sollumsatz pro Arbeits-monat €</v>
      </c>
      <c r="E5" s="4227" t="s">
        <v>1077</v>
      </c>
      <c r="F5" s="4" t="s">
        <v>17</v>
      </c>
      <c r="G5" s="554">
        <f>'18 Zielumsatz Planungsjahr'!AA10</f>
        <v>5.5021555102258946</v>
      </c>
      <c r="H5" s="1428" t="s">
        <v>28</v>
      </c>
      <c r="I5" s="4229" t="s">
        <v>1080</v>
      </c>
      <c r="J5" s="99"/>
      <c r="L5" s="228">
        <f>L53</f>
        <v>40</v>
      </c>
      <c r="M5" s="4231" t="s">
        <v>70</v>
      </c>
      <c r="N5" s="4231" t="s">
        <v>70</v>
      </c>
      <c r="O5" s="369">
        <v>4.33</v>
      </c>
      <c r="P5" s="99"/>
      <c r="Q5" s="99"/>
      <c r="R5" s="99"/>
      <c r="S5" s="99"/>
      <c r="T5" s="99"/>
      <c r="U5" s="278"/>
      <c r="V5" s="99"/>
      <c r="W5" s="99"/>
      <c r="X5" s="99"/>
      <c r="Y5" s="3215" t="s">
        <v>1101</v>
      </c>
      <c r="Z5" s="3216">
        <f ca="1">SUM(W29,W47)</f>
        <v>506136.33750000002</v>
      </c>
      <c r="AA5" s="3214"/>
    </row>
    <row r="6" spans="1:27" ht="17.25" customHeight="1">
      <c r="A6" s="4223"/>
      <c r="B6" s="4225"/>
      <c r="C6" s="4225" t="s">
        <v>49</v>
      </c>
      <c r="D6" s="4225"/>
      <c r="E6" s="4227"/>
      <c r="F6" s="4227" t="s">
        <v>1079</v>
      </c>
      <c r="G6" s="4232"/>
      <c r="H6" s="4233"/>
      <c r="I6" s="4229"/>
      <c r="J6" s="99"/>
      <c r="L6" s="1426" t="s">
        <v>60</v>
      </c>
      <c r="M6" s="4231"/>
      <c r="N6" s="4231"/>
      <c r="O6" s="274" t="s">
        <v>61</v>
      </c>
      <c r="P6" s="274" t="s">
        <v>513</v>
      </c>
      <c r="Q6" s="274" t="s">
        <v>514</v>
      </c>
      <c r="R6" s="275" t="s">
        <v>61</v>
      </c>
      <c r="S6" s="275" t="s">
        <v>61</v>
      </c>
      <c r="T6" s="275"/>
      <c r="U6" s="723">
        <v>0.2</v>
      </c>
      <c r="V6" s="279"/>
      <c r="W6" s="99"/>
      <c r="X6" s="99"/>
      <c r="Y6" s="3215" t="s">
        <v>124</v>
      </c>
      <c r="Z6" s="3216">
        <f>IF($N$3="ok",Z73,AA118)</f>
        <v>95000</v>
      </c>
      <c r="AA6" s="3214"/>
    </row>
    <row r="7" spans="1:27" ht="17.25" customHeight="1" thickBot="1">
      <c r="A7" s="4224"/>
      <c r="B7" s="4226"/>
      <c r="C7" s="4226"/>
      <c r="D7" s="4226"/>
      <c r="E7" s="4228"/>
      <c r="F7" s="4234"/>
      <c r="G7" s="4235"/>
      <c r="H7" s="4236"/>
      <c r="I7" s="4230"/>
      <c r="J7" s="99"/>
      <c r="L7" s="1427">
        <f>ROUND(L5*4.33,0)</f>
        <v>173</v>
      </c>
      <c r="M7" s="1427" t="s">
        <v>69</v>
      </c>
      <c r="N7" s="1427" t="s">
        <v>71</v>
      </c>
      <c r="O7" s="318" t="s">
        <v>190</v>
      </c>
      <c r="P7" s="318" t="s">
        <v>190</v>
      </c>
      <c r="Q7" s="318" t="s">
        <v>190</v>
      </c>
      <c r="R7" s="319" t="s">
        <v>105</v>
      </c>
      <c r="S7" s="319" t="s">
        <v>63</v>
      </c>
      <c r="T7" s="319"/>
      <c r="U7" s="280" t="s">
        <v>89</v>
      </c>
      <c r="V7" s="4252" t="s">
        <v>106</v>
      </c>
      <c r="W7" s="4252"/>
      <c r="X7" s="738" t="s">
        <v>121</v>
      </c>
      <c r="Y7" s="3215" t="s">
        <v>3</v>
      </c>
      <c r="Z7" s="3216">
        <f>IF($N$3="ok",Z74,AA120)</f>
        <v>0</v>
      </c>
      <c r="AA7" s="3214"/>
    </row>
    <row r="8" spans="1:27" ht="18" customHeight="1">
      <c r="A8" s="2710" t="str">
        <f t="shared" ref="A8:D10" si="0">IF($N$3="ok",A72,A118)</f>
        <v xml:space="preserve">Linda </v>
      </c>
      <c r="B8" s="2946" t="str">
        <f t="shared" si="0"/>
        <v>Monate</v>
      </c>
      <c r="C8" s="3220">
        <f t="shared" si="0"/>
        <v>10</v>
      </c>
      <c r="D8" s="2711">
        <f t="shared" ca="1" si="0"/>
        <v>9500</v>
      </c>
      <c r="E8" s="2712">
        <f ca="1">IF($N$3="ok",E72,I118)</f>
        <v>414.85500000000002</v>
      </c>
      <c r="F8" s="4246">
        <f ca="1">IF($N$3="ok",F72,G118)</f>
        <v>24.145</v>
      </c>
      <c r="G8" s="4247"/>
      <c r="H8" s="4248"/>
      <c r="I8" s="2713">
        <f ca="1">IF($N$3="ok",I72,E118)</f>
        <v>438.8</v>
      </c>
      <c r="J8" s="2714">
        <f t="shared" ref="J8:O10" si="1">IF($N$3="ok",J72,J118)</f>
        <v>0</v>
      </c>
      <c r="K8" s="2715">
        <f t="shared" si="1"/>
        <v>0</v>
      </c>
      <c r="L8" s="2716">
        <f t="shared" si="1"/>
        <v>40</v>
      </c>
      <c r="M8" s="2716">
        <f t="shared" si="1"/>
        <v>5</v>
      </c>
      <c r="N8" s="2716">
        <f t="shared" si="1"/>
        <v>21.65</v>
      </c>
      <c r="O8" s="2717">
        <f t="shared" ca="1" si="1"/>
        <v>9500</v>
      </c>
      <c r="P8" s="2718">
        <f ca="1">IF($N$3="ok",D8,P118)</f>
        <v>8977.2952265285403</v>
      </c>
      <c r="Q8" s="2717">
        <f ca="1">IF(A8="","",IF($N$3="ok",O8-P8,Q118))</f>
        <v>522.70477347145993</v>
      </c>
      <c r="R8" s="2717">
        <f t="shared" ref="R8:S10" ca="1" si="2">IF($N$3="ok",Q72,R118)</f>
        <v>2195</v>
      </c>
      <c r="S8" s="2717">
        <f t="shared" ca="1" si="2"/>
        <v>54.849884526558888</v>
      </c>
      <c r="T8" s="2717"/>
      <c r="U8" s="2719">
        <f t="shared" ref="U8:W10" ca="1" si="3">IF($N$3="ok",T72,U118)</f>
        <v>68.562355658198612</v>
      </c>
      <c r="V8" s="739" t="str">
        <f t="shared" si="3"/>
        <v xml:space="preserve">Linda </v>
      </c>
      <c r="W8" s="740">
        <f t="shared" ca="1" si="3"/>
        <v>95043.5</v>
      </c>
      <c r="X8" s="1429">
        <f>IF($N$3="ok",W72,X118)</f>
        <v>10</v>
      </c>
      <c r="Y8" s="3215" t="s">
        <v>94</v>
      </c>
      <c r="Z8" s="3216">
        <f ca="1">SUM(Z5:Z7)</f>
        <v>601136.33750000002</v>
      </c>
      <c r="AA8" s="3217"/>
    </row>
    <row r="9" spans="1:27" ht="16.5" customHeight="1">
      <c r="A9" s="2710" t="str">
        <f t="shared" si="0"/>
        <v/>
      </c>
      <c r="B9" s="2946" t="str">
        <f t="shared" si="0"/>
        <v/>
      </c>
      <c r="C9" s="3220">
        <f t="shared" ca="1" si="0"/>
        <v>4.63</v>
      </c>
      <c r="D9" s="2711" t="str">
        <f t="shared" si="0"/>
        <v/>
      </c>
      <c r="E9" s="2712" t="str">
        <f>IF($N$3="ok",E73,I119)</f>
        <v/>
      </c>
      <c r="F9" s="4249" t="str">
        <f>IF($N$3="ok",F73,G119)</f>
        <v/>
      </c>
      <c r="G9" s="4250" t="str">
        <f>IF($N$3="ok",G73,G119)</f>
        <v/>
      </c>
      <c r="H9" s="4251">
        <f>IF($N$3="ok",H73,H119)</f>
        <v>0</v>
      </c>
      <c r="I9" s="2713" t="str">
        <f>IF($N$3="ok",I73,E119)</f>
        <v/>
      </c>
      <c r="J9" s="2714">
        <f t="shared" si="1"/>
        <v>0</v>
      </c>
      <c r="K9" s="2715">
        <f t="shared" si="1"/>
        <v>0</v>
      </c>
      <c r="L9" s="2716" t="str">
        <f t="shared" si="1"/>
        <v/>
      </c>
      <c r="M9" s="2716" t="str">
        <f t="shared" si="1"/>
        <v/>
      </c>
      <c r="N9" s="2716" t="str">
        <f t="shared" si="1"/>
        <v/>
      </c>
      <c r="O9" s="2717" t="str">
        <f t="shared" si="1"/>
        <v/>
      </c>
      <c r="P9" s="2718" t="str">
        <f>IF($N$3="ok",D9,P119)</f>
        <v/>
      </c>
      <c r="Q9" s="2717" t="str">
        <f>IF(A9="","",IF($N$3="ok",O9-P9,Q119))</f>
        <v/>
      </c>
      <c r="R9" s="2717" t="str">
        <f t="shared" si="2"/>
        <v/>
      </c>
      <c r="S9" s="2717" t="str">
        <f t="shared" si="2"/>
        <v/>
      </c>
      <c r="T9" s="2717"/>
      <c r="U9" s="2719" t="str">
        <f t="shared" si="3"/>
        <v/>
      </c>
      <c r="V9" s="739" t="str">
        <f t="shared" si="3"/>
        <v/>
      </c>
      <c r="W9" s="740" t="str">
        <f t="shared" si="3"/>
        <v/>
      </c>
      <c r="X9" s="1429" t="str">
        <f>IF($N$3="ok",W73,X119)</f>
        <v/>
      </c>
      <c r="Y9" s="3215" t="s">
        <v>125</v>
      </c>
      <c r="Z9" s="3216">
        <f>IF($N$3="ok",Z76,AA123)</f>
        <v>600993.68263966474</v>
      </c>
      <c r="AA9" s="3217"/>
    </row>
    <row r="10" spans="1:27" ht="16.5" customHeight="1" thickBot="1">
      <c r="A10" s="2720" t="str">
        <f t="shared" si="0"/>
        <v/>
      </c>
      <c r="B10" s="2947" t="str">
        <f t="shared" si="0"/>
        <v/>
      </c>
      <c r="C10" s="3221">
        <f t="shared" ca="1" si="0"/>
        <v>4.63</v>
      </c>
      <c r="D10" s="2721" t="str">
        <f t="shared" si="0"/>
        <v/>
      </c>
      <c r="E10" s="2722" t="str">
        <f>IF($N$3="ok",E74,I120)</f>
        <v/>
      </c>
      <c r="F10" s="4219" t="str">
        <f>IF($N$3="ok",F74,G120)</f>
        <v/>
      </c>
      <c r="G10" s="4220" t="str">
        <f>IF($N$3="ok",G74,G120)</f>
        <v/>
      </c>
      <c r="H10" s="4221">
        <f>IF($N$3="ok",H74,H120)</f>
        <v>0</v>
      </c>
      <c r="I10" s="2723" t="str">
        <f>IF($N$3="ok",I74,E120)</f>
        <v/>
      </c>
      <c r="J10" s="2724">
        <f t="shared" si="1"/>
        <v>0</v>
      </c>
      <c r="K10" s="2725">
        <f t="shared" si="1"/>
        <v>0</v>
      </c>
      <c r="L10" s="2726" t="str">
        <f t="shared" si="1"/>
        <v/>
      </c>
      <c r="M10" s="2726" t="str">
        <f t="shared" si="1"/>
        <v/>
      </c>
      <c r="N10" s="2726" t="str">
        <f t="shared" si="1"/>
        <v/>
      </c>
      <c r="O10" s="2727" t="str">
        <f t="shared" si="1"/>
        <v/>
      </c>
      <c r="P10" s="2728" t="str">
        <f>IF($N$3="ok",D10,P120)</f>
        <v/>
      </c>
      <c r="Q10" s="2727" t="str">
        <f>IF(A10="","",IF($N$3="ok",O10-P10,Q120))</f>
        <v/>
      </c>
      <c r="R10" s="2727" t="str">
        <f t="shared" si="2"/>
        <v/>
      </c>
      <c r="S10" s="2727" t="str">
        <f t="shared" si="2"/>
        <v/>
      </c>
      <c r="T10" s="2727"/>
      <c r="U10" s="2729" t="str">
        <f t="shared" si="3"/>
        <v/>
      </c>
      <c r="V10" s="2730" t="str">
        <f t="shared" si="3"/>
        <v/>
      </c>
      <c r="W10" s="2731" t="str">
        <f t="shared" si="3"/>
        <v/>
      </c>
      <c r="X10" s="2732" t="str">
        <f>IF($N$3="ok",W74,X120)</f>
        <v/>
      </c>
      <c r="Y10" s="3215" t="s">
        <v>126</v>
      </c>
      <c r="Z10" s="3216">
        <f ca="1">Z8-Z9</f>
        <v>142.65486033528578</v>
      </c>
      <c r="AA10" s="3218">
        <f ca="1">Z10/Z9</f>
        <v>2.3736499144004605E-4</v>
      </c>
    </row>
    <row r="11" spans="1:27" ht="18" customHeight="1">
      <c r="A11" s="102" t="str">
        <f t="shared" ref="A11:D26" ca="1" si="4">IF($N$3="ok",A56,A102)</f>
        <v>Maria</v>
      </c>
      <c r="B11" s="7">
        <f t="shared" ca="1" si="4"/>
        <v>2515.6359500000003</v>
      </c>
      <c r="C11" s="2709">
        <f t="shared" ca="1" si="4"/>
        <v>4.63</v>
      </c>
      <c r="D11" s="9">
        <f t="shared" ca="1" si="4"/>
        <v>11647</v>
      </c>
      <c r="E11" s="10">
        <f ca="1">IF(A11="","",P11/N11)</f>
        <v>524.10304512971379</v>
      </c>
      <c r="F11" s="4237">
        <f ca="1">IF(Q11="","",Q11/N11)</f>
        <v>30.516002489333808</v>
      </c>
      <c r="G11" s="4238">
        <f t="shared" ref="G11:H26" ca="1" si="5">IF($N$3="ok",G56,G102)</f>
        <v>30.536963081753715</v>
      </c>
      <c r="H11" s="4239">
        <f t="shared" si="5"/>
        <v>0</v>
      </c>
      <c r="I11" s="96">
        <f t="shared" ref="I11:I26" ca="1" si="6">IF($N$3="ok",I56,E102)</f>
        <v>554.62</v>
      </c>
      <c r="J11" s="99">
        <f t="shared" ref="J11:O20" si="7">IF($N$3="ok",J56,J102)</f>
        <v>0</v>
      </c>
      <c r="K11" s="3">
        <f t="shared" si="7"/>
        <v>0</v>
      </c>
      <c r="L11" s="77">
        <f t="shared" ca="1" si="7"/>
        <v>39.5</v>
      </c>
      <c r="M11" s="77">
        <f t="shared" ca="1" si="7"/>
        <v>5</v>
      </c>
      <c r="N11" s="77">
        <f t="shared" ca="1" si="7"/>
        <v>21</v>
      </c>
      <c r="O11" s="276">
        <f t="shared" ca="1" si="7"/>
        <v>11647</v>
      </c>
      <c r="P11" s="98">
        <f t="shared" ref="P11:P26" ca="1" si="8">IF($N$3="ok",D11,P102)</f>
        <v>11006.16394772399</v>
      </c>
      <c r="Q11" s="276">
        <f t="shared" ref="Q11:Q26" ca="1" si="9">IF(A11="","",IF($N$3="ok",O11-P11,Q102))</f>
        <v>640.83605227600992</v>
      </c>
      <c r="R11" s="276">
        <f t="shared" ref="R11:S26" ca="1" si="10">IF($N$3="ok",Q56,R102)</f>
        <v>2775</v>
      </c>
      <c r="S11" s="276">
        <f t="shared" ca="1" si="10"/>
        <v>68.09717309322653</v>
      </c>
      <c r="T11" s="276"/>
      <c r="U11" s="2556">
        <f t="shared" ref="U11:W26" ca="1" si="11">IF($N$3="ok",T56,U102)</f>
        <v>85.121466366533156</v>
      </c>
      <c r="V11" s="739" t="str">
        <f t="shared" ca="1" si="11"/>
        <v>Maria</v>
      </c>
      <c r="W11" s="740">
        <f t="shared" ca="1" si="11"/>
        <v>116550</v>
      </c>
      <c r="X11" s="1429">
        <f t="shared" ref="X11:X26" ca="1" si="12">IF($N$3="ok",W56,X102)</f>
        <v>10</v>
      </c>
    </row>
    <row r="12" spans="1:27" ht="18" customHeight="1">
      <c r="A12" s="103" t="str">
        <f t="shared" ca="1" si="4"/>
        <v>Jutta</v>
      </c>
      <c r="B12" s="7">
        <f t="shared" ca="1" si="4"/>
        <v>1782.53</v>
      </c>
      <c r="C12" s="2709">
        <f t="shared" ca="1" si="4"/>
        <v>4.63</v>
      </c>
      <c r="D12" s="9">
        <f t="shared" ca="1" si="4"/>
        <v>8253</v>
      </c>
      <c r="E12" s="10">
        <f t="shared" ref="E12:E26" ca="1" si="13">IF($N$3="ok",E57,I103)</f>
        <v>450.7547182162225</v>
      </c>
      <c r="F12" s="4241">
        <f t="shared" ref="F12:F26" ca="1" si="14">IF(Q12="","",Q12/N12)</f>
        <v>26.217834541509415</v>
      </c>
      <c r="G12" s="4242">
        <f t="shared" ca="1" si="5"/>
        <v>26.245281783777518</v>
      </c>
      <c r="H12" s="4243">
        <f t="shared" si="5"/>
        <v>0</v>
      </c>
      <c r="I12" s="97">
        <f t="shared" ca="1" si="6"/>
        <v>476.5</v>
      </c>
      <c r="J12" s="99">
        <f t="shared" si="7"/>
        <v>0</v>
      </c>
      <c r="K12" s="3">
        <f t="shared" si="7"/>
        <v>0</v>
      </c>
      <c r="L12" s="77">
        <f t="shared" ca="1" si="7"/>
        <v>30</v>
      </c>
      <c r="M12" s="77">
        <f t="shared" ca="1" si="7"/>
        <v>4</v>
      </c>
      <c r="N12" s="77">
        <f t="shared" ca="1" si="7"/>
        <v>17.32</v>
      </c>
      <c r="O12" s="276">
        <f t="shared" ca="1" si="7"/>
        <v>8253</v>
      </c>
      <c r="P12" s="98">
        <f t="shared" ca="1" si="8"/>
        <v>7798.9071057410565</v>
      </c>
      <c r="Q12" s="276">
        <f t="shared" ca="1" si="9"/>
        <v>454.09289425894309</v>
      </c>
      <c r="R12" s="276">
        <f t="shared" ca="1" si="10"/>
        <v>1908</v>
      </c>
      <c r="S12" s="276">
        <f t="shared" ca="1" si="10"/>
        <v>63.533487297921482</v>
      </c>
      <c r="T12" s="276"/>
      <c r="U12" s="2556">
        <f t="shared" ca="1" si="11"/>
        <v>79.41685912240186</v>
      </c>
      <c r="V12" s="739" t="str">
        <f t="shared" ca="1" si="11"/>
        <v>Jutta</v>
      </c>
      <c r="W12" s="740">
        <f t="shared" ca="1" si="11"/>
        <v>82616.399999999994</v>
      </c>
      <c r="X12" s="1429">
        <f t="shared" ca="1" si="12"/>
        <v>10</v>
      </c>
    </row>
    <row r="13" spans="1:27" ht="18" customHeight="1">
      <c r="A13" s="103" t="str">
        <f t="shared" ca="1" si="4"/>
        <v>Karina</v>
      </c>
      <c r="B13" s="7">
        <f t="shared" ca="1" si="4"/>
        <v>1490.5592000000001</v>
      </c>
      <c r="C13" s="2709">
        <f t="shared" ca="1" si="4"/>
        <v>4.63</v>
      </c>
      <c r="D13" s="9">
        <f t="shared" ca="1" si="4"/>
        <v>6901</v>
      </c>
      <c r="E13" s="10">
        <f t="shared" ca="1" si="13"/>
        <v>429.96519242847216</v>
      </c>
      <c r="F13" s="4241">
        <f t="shared" ca="1" si="14"/>
        <v>25.054685038646582</v>
      </c>
      <c r="G13" s="4242">
        <f t="shared" ca="1" si="5"/>
        <v>25.034807571527821</v>
      </c>
      <c r="H13" s="4243">
        <f t="shared" si="5"/>
        <v>0</v>
      </c>
      <c r="I13" s="97">
        <f t="shared" ca="1" si="6"/>
        <v>455.36</v>
      </c>
      <c r="J13" s="99">
        <f t="shared" si="7"/>
        <v>0</v>
      </c>
      <c r="K13" s="3">
        <f t="shared" si="7"/>
        <v>0</v>
      </c>
      <c r="L13" s="77">
        <f t="shared" ca="1" si="7"/>
        <v>26</v>
      </c>
      <c r="M13" s="77">
        <f t="shared" ca="1" si="7"/>
        <v>3.5</v>
      </c>
      <c r="N13" s="77">
        <f t="shared" ca="1" si="7"/>
        <v>15.155000000000001</v>
      </c>
      <c r="O13" s="276">
        <f t="shared" ca="1" si="7"/>
        <v>6901</v>
      </c>
      <c r="P13" s="98">
        <f t="shared" ca="1" si="8"/>
        <v>6521.2962482393114</v>
      </c>
      <c r="Q13" s="276">
        <f t="shared" ca="1" si="9"/>
        <v>379.70375176068899</v>
      </c>
      <c r="R13" s="276">
        <f t="shared" ca="1" si="10"/>
        <v>1592.5</v>
      </c>
      <c r="S13" s="276">
        <f t="shared" ca="1" si="10"/>
        <v>61.29863208385148</v>
      </c>
      <c r="T13" s="276"/>
      <c r="U13" s="2556">
        <f t="shared" ca="1" si="11"/>
        <v>76.623290104814345</v>
      </c>
      <c r="V13" s="739" t="str">
        <f t="shared" ca="1" si="11"/>
        <v>Karina</v>
      </c>
      <c r="W13" s="740">
        <f t="shared" ca="1" si="11"/>
        <v>68955.25</v>
      </c>
      <c r="X13" s="1429">
        <f t="shared" ca="1" si="12"/>
        <v>10</v>
      </c>
    </row>
    <row r="14" spans="1:27" ht="18" customHeight="1">
      <c r="A14" s="103" t="str">
        <f t="shared" ca="1" si="4"/>
        <v>Cordula</v>
      </c>
      <c r="B14" s="7">
        <f t="shared" ca="1" si="4"/>
        <v>1310</v>
      </c>
      <c r="C14" s="2709">
        <f t="shared" ca="1" si="4"/>
        <v>4.63</v>
      </c>
      <c r="D14" s="9">
        <f t="shared" ca="1" si="4"/>
        <v>6065</v>
      </c>
      <c r="E14" s="10">
        <f t="shared" ca="1" si="13"/>
        <v>441.30493376724507</v>
      </c>
      <c r="F14" s="4241">
        <f t="shared" ca="1" si="14"/>
        <v>25.689432770993108</v>
      </c>
      <c r="G14" s="4242">
        <f t="shared" ca="1" si="5"/>
        <v>25.695066232754925</v>
      </c>
      <c r="H14" s="4243">
        <f t="shared" si="5"/>
        <v>0</v>
      </c>
      <c r="I14" s="97">
        <f t="shared" ca="1" si="6"/>
        <v>466.9</v>
      </c>
      <c r="J14" s="99">
        <f t="shared" si="7"/>
        <v>0</v>
      </c>
      <c r="K14" s="3">
        <f t="shared" si="7"/>
        <v>0</v>
      </c>
      <c r="L14" s="77">
        <f t="shared" ca="1" si="7"/>
        <v>22</v>
      </c>
      <c r="M14" s="77">
        <f t="shared" ca="1" si="7"/>
        <v>3</v>
      </c>
      <c r="N14" s="77">
        <f t="shared" ca="1" si="7"/>
        <v>12.99</v>
      </c>
      <c r="O14" s="276">
        <f t="shared" ca="1" si="7"/>
        <v>6065</v>
      </c>
      <c r="P14" s="98">
        <f t="shared" ca="1" si="8"/>
        <v>5731.2942683047995</v>
      </c>
      <c r="Q14" s="276">
        <f t="shared" ca="1" si="9"/>
        <v>333.70573169520048</v>
      </c>
      <c r="R14" s="276">
        <f t="shared" ca="1" si="10"/>
        <v>1401</v>
      </c>
      <c r="S14" s="276">
        <f t="shared" ca="1" si="10"/>
        <v>63.667856393029609</v>
      </c>
      <c r="T14" s="276"/>
      <c r="U14" s="2556">
        <f t="shared" ca="1" si="11"/>
        <v>79.584820491287005</v>
      </c>
      <c r="V14" s="739" t="str">
        <f t="shared" ca="1" si="11"/>
        <v>Cordula</v>
      </c>
      <c r="W14" s="740">
        <f t="shared" ca="1" si="11"/>
        <v>60663.3</v>
      </c>
      <c r="X14" s="1429">
        <f t="shared" ca="1" si="12"/>
        <v>10</v>
      </c>
    </row>
    <row r="15" spans="1:27" ht="18" customHeight="1">
      <c r="A15" s="103" t="str">
        <f t="shared" ca="1" si="4"/>
        <v>Christa</v>
      </c>
      <c r="B15" s="7">
        <f t="shared" ca="1" si="4"/>
        <v>1040</v>
      </c>
      <c r="C15" s="2709">
        <f t="shared" ca="1" si="4"/>
        <v>4.63</v>
      </c>
      <c r="D15" s="9">
        <f t="shared" ca="1" si="4"/>
        <v>4815</v>
      </c>
      <c r="E15" s="10">
        <f t="shared" ca="1" si="13"/>
        <v>525.40801536314405</v>
      </c>
      <c r="F15" s="4241">
        <f t="shared" ca="1" si="14"/>
        <v>30.592238777988083</v>
      </c>
      <c r="G15" s="4242">
        <f t="shared" ca="1" si="5"/>
        <v>30.591984636855972</v>
      </c>
      <c r="H15" s="4243">
        <f t="shared" si="5"/>
        <v>0</v>
      </c>
      <c r="I15" s="97">
        <f t="shared" ca="1" si="6"/>
        <v>556</v>
      </c>
      <c r="J15" s="99">
        <f t="shared" si="7"/>
        <v>0</v>
      </c>
      <c r="K15" s="3">
        <f t="shared" si="7"/>
        <v>0</v>
      </c>
      <c r="L15" s="77">
        <f t="shared" ca="1" si="7"/>
        <v>16</v>
      </c>
      <c r="M15" s="77">
        <f t="shared" ca="1" si="7"/>
        <v>2</v>
      </c>
      <c r="N15" s="77">
        <f t="shared" ca="1" si="7"/>
        <v>8.66</v>
      </c>
      <c r="O15" s="276">
        <f t="shared" ca="1" si="7"/>
        <v>4815</v>
      </c>
      <c r="P15" s="98">
        <f t="shared" ca="1" si="8"/>
        <v>4550.0712121826236</v>
      </c>
      <c r="Q15" s="276">
        <f t="shared" ca="1" si="9"/>
        <v>264.92878781737681</v>
      </c>
      <c r="R15" s="276">
        <f t="shared" ca="1" si="10"/>
        <v>1112</v>
      </c>
      <c r="S15" s="276">
        <f t="shared" ca="1" si="10"/>
        <v>69.500577367205537</v>
      </c>
      <c r="T15" s="276"/>
      <c r="U15" s="2556">
        <f t="shared" ca="1" si="11"/>
        <v>86.87572170900691</v>
      </c>
      <c r="V15" s="739" t="str">
        <f t="shared" ca="1" si="11"/>
        <v>Christa</v>
      </c>
      <c r="W15" s="740">
        <f t="shared" ca="1" si="11"/>
        <v>48149.599999999999</v>
      </c>
      <c r="X15" s="1429">
        <f t="shared" ca="1" si="12"/>
        <v>10</v>
      </c>
    </row>
    <row r="16" spans="1:27" ht="18" customHeight="1">
      <c r="A16" s="103" t="str">
        <f t="shared" ca="1" si="4"/>
        <v>Horst</v>
      </c>
      <c r="B16" s="7">
        <f t="shared" ca="1" si="4"/>
        <v>1350</v>
      </c>
      <c r="C16" s="2709">
        <f t="shared" ca="1" si="4"/>
        <v>4.63</v>
      </c>
      <c r="D16" s="9">
        <f t="shared" ca="1" si="4"/>
        <v>6251</v>
      </c>
      <c r="E16" s="10">
        <f t="shared" ca="1" si="13"/>
        <v>454.53463199581347</v>
      </c>
      <c r="F16" s="4241">
        <f t="shared" ca="1" si="14"/>
        <v>26.477270280540466</v>
      </c>
      <c r="G16" s="4242">
        <f t="shared" ca="1" si="5"/>
        <v>26.465368004186551</v>
      </c>
      <c r="H16" s="4243">
        <f t="shared" si="5"/>
        <v>0</v>
      </c>
      <c r="I16" s="97">
        <f t="shared" ca="1" si="6"/>
        <v>481.22</v>
      </c>
      <c r="J16" s="99">
        <f t="shared" si="7"/>
        <v>0</v>
      </c>
      <c r="K16" s="3">
        <f t="shared" si="7"/>
        <v>0</v>
      </c>
      <c r="L16" s="77">
        <f t="shared" ca="1" si="7"/>
        <v>21</v>
      </c>
      <c r="M16" s="77">
        <f t="shared" ca="1" si="7"/>
        <v>3</v>
      </c>
      <c r="N16" s="77">
        <f t="shared" ca="1" si="7"/>
        <v>12.99</v>
      </c>
      <c r="O16" s="276">
        <f t="shared" ca="1" si="7"/>
        <v>6251</v>
      </c>
      <c r="P16" s="98">
        <f t="shared" ca="1" si="8"/>
        <v>5907.0602590557792</v>
      </c>
      <c r="Q16" s="276">
        <f t="shared" ca="1" si="9"/>
        <v>343.93974094422066</v>
      </c>
      <c r="R16" s="276">
        <f t="shared" ca="1" si="10"/>
        <v>1443</v>
      </c>
      <c r="S16" s="276">
        <f t="shared" ca="1" si="10"/>
        <v>68.745188606620474</v>
      </c>
      <c r="T16" s="276"/>
      <c r="U16" s="2556">
        <f t="shared" ca="1" si="11"/>
        <v>85.931485758275585</v>
      </c>
      <c r="V16" s="739" t="str">
        <f t="shared" ca="1" si="11"/>
        <v>Horst</v>
      </c>
      <c r="W16" s="740">
        <f t="shared" ca="1" si="11"/>
        <v>62481.9</v>
      </c>
      <c r="X16" s="1429">
        <f t="shared" ca="1" si="12"/>
        <v>10</v>
      </c>
    </row>
    <row r="17" spans="1:24" ht="18" customHeight="1">
      <c r="A17" s="103" t="str">
        <f t="shared" ca="1" si="4"/>
        <v/>
      </c>
      <c r="B17" s="7" t="str">
        <f t="shared" ca="1" si="4"/>
        <v/>
      </c>
      <c r="C17" s="2709" t="str">
        <f t="shared" ca="1" si="4"/>
        <v/>
      </c>
      <c r="D17" s="9" t="str">
        <f t="shared" ca="1" si="4"/>
        <v/>
      </c>
      <c r="E17" s="10" t="str">
        <f t="shared" ca="1" si="13"/>
        <v/>
      </c>
      <c r="F17" s="4241" t="str">
        <f t="shared" ca="1" si="14"/>
        <v/>
      </c>
      <c r="G17" s="4242" t="str">
        <f t="shared" ca="1" si="5"/>
        <v/>
      </c>
      <c r="H17" s="4243">
        <f t="shared" si="5"/>
        <v>0</v>
      </c>
      <c r="I17" s="97" t="str">
        <f t="shared" ca="1" si="6"/>
        <v/>
      </c>
      <c r="J17" s="99">
        <f t="shared" si="7"/>
        <v>0</v>
      </c>
      <c r="K17" s="3">
        <f t="shared" si="7"/>
        <v>0</v>
      </c>
      <c r="L17" s="77" t="str">
        <f t="shared" ca="1" si="7"/>
        <v/>
      </c>
      <c r="M17" s="77" t="str">
        <f t="shared" ca="1" si="7"/>
        <v/>
      </c>
      <c r="N17" s="77" t="str">
        <f t="shared" ca="1" si="7"/>
        <v/>
      </c>
      <c r="O17" s="276" t="str">
        <f t="shared" ca="1" si="7"/>
        <v/>
      </c>
      <c r="P17" s="98" t="str">
        <f t="shared" ca="1" si="8"/>
        <v/>
      </c>
      <c r="Q17" s="276" t="str">
        <f t="shared" ca="1" si="9"/>
        <v/>
      </c>
      <c r="R17" s="276" t="str">
        <f t="shared" ca="1" si="10"/>
        <v/>
      </c>
      <c r="S17" s="276" t="str">
        <f t="shared" ca="1" si="10"/>
        <v/>
      </c>
      <c r="T17" s="276"/>
      <c r="U17" s="2556" t="str">
        <f t="shared" ca="1" si="11"/>
        <v/>
      </c>
      <c r="V17" s="739" t="str">
        <f t="shared" ca="1" si="11"/>
        <v/>
      </c>
      <c r="W17" s="740" t="str">
        <f t="shared" ca="1" si="11"/>
        <v/>
      </c>
      <c r="X17" s="1429" t="str">
        <f t="shared" ca="1" si="12"/>
        <v/>
      </c>
    </row>
    <row r="18" spans="1:24" ht="18" customHeight="1">
      <c r="A18" s="103" t="str">
        <f t="shared" ca="1" si="4"/>
        <v>Salli</v>
      </c>
      <c r="B18" s="7">
        <f t="shared" ca="1" si="4"/>
        <v>1326.8851999999999</v>
      </c>
      <c r="C18" s="2709">
        <f t="shared" ca="1" si="4"/>
        <v>4.63</v>
      </c>
      <c r="D18" s="9">
        <f t="shared" ca="1" si="4"/>
        <v>6143</v>
      </c>
      <c r="E18" s="10">
        <f t="shared" ca="1" si="13"/>
        <v>446.97480443663153</v>
      </c>
      <c r="F18" s="4241">
        <f t="shared" ca="1" si="14"/>
        <v>26.019816242738774</v>
      </c>
      <c r="G18" s="4242">
        <f t="shared" ca="1" si="5"/>
        <v>26.025195563368481</v>
      </c>
      <c r="H18" s="4243">
        <f t="shared" si="5"/>
        <v>0</v>
      </c>
      <c r="I18" s="97">
        <f t="shared" ca="1" si="6"/>
        <v>472.9</v>
      </c>
      <c r="J18" s="99">
        <f t="shared" si="7"/>
        <v>0</v>
      </c>
      <c r="K18" s="3">
        <f t="shared" si="7"/>
        <v>0</v>
      </c>
      <c r="L18" s="77">
        <f t="shared" ca="1" si="7"/>
        <v>23.5</v>
      </c>
      <c r="M18" s="77">
        <f t="shared" ca="1" si="7"/>
        <v>3</v>
      </c>
      <c r="N18" s="77">
        <f t="shared" ca="1" si="7"/>
        <v>12.99</v>
      </c>
      <c r="O18" s="276">
        <f t="shared" ca="1" si="7"/>
        <v>6143</v>
      </c>
      <c r="P18" s="98">
        <f t="shared" ca="1" si="8"/>
        <v>5805.002587006823</v>
      </c>
      <c r="Q18" s="276">
        <f t="shared" ca="1" si="9"/>
        <v>337.99741299317668</v>
      </c>
      <c r="R18" s="276">
        <f t="shared" ca="1" si="10"/>
        <v>1419</v>
      </c>
      <c r="S18" s="276">
        <f t="shared" ca="1" si="10"/>
        <v>60.370497764237633</v>
      </c>
      <c r="T18" s="276"/>
      <c r="U18" s="2556">
        <f t="shared" ca="1" si="11"/>
        <v>75.46312220529704</v>
      </c>
      <c r="V18" s="739" t="str">
        <f t="shared" ca="1" si="11"/>
        <v>Salli</v>
      </c>
      <c r="W18" s="740">
        <f t="shared" ca="1" si="11"/>
        <v>35841.575000000004</v>
      </c>
      <c r="X18" s="1429">
        <f t="shared" ca="1" si="12"/>
        <v>5.8333333333333339</v>
      </c>
    </row>
    <row r="19" spans="1:24" ht="18" customHeight="1">
      <c r="A19" s="103" t="str">
        <f t="shared" ca="1" si="4"/>
        <v>Salli</v>
      </c>
      <c r="B19" s="7">
        <f t="shared" ca="1" si="4"/>
        <v>1600</v>
      </c>
      <c r="C19" s="2709">
        <f t="shared" ca="1" si="4"/>
        <v>4.63</v>
      </c>
      <c r="D19" s="9">
        <f t="shared" ca="1" si="4"/>
        <v>7408</v>
      </c>
      <c r="E19" s="10">
        <f t="shared" ca="1" si="13"/>
        <v>462.09445955499535</v>
      </c>
      <c r="F19" s="4241">
        <f t="shared" ca="1" si="14"/>
        <v>26.895392952658149</v>
      </c>
      <c r="G19" s="4242">
        <f t="shared" ca="1" si="5"/>
        <v>26.905540445004625</v>
      </c>
      <c r="H19" s="4243">
        <f t="shared" si="5"/>
        <v>0</v>
      </c>
      <c r="I19" s="97">
        <f t="shared" ca="1" si="6"/>
        <v>488.82</v>
      </c>
      <c r="J19" s="99">
        <f t="shared" si="7"/>
        <v>0</v>
      </c>
      <c r="K19" s="3">
        <f t="shared" si="7"/>
        <v>0</v>
      </c>
      <c r="L19" s="77">
        <f t="shared" ca="1" si="7"/>
        <v>25.5</v>
      </c>
      <c r="M19" s="77">
        <f t="shared" ca="1" si="7"/>
        <v>3.5</v>
      </c>
      <c r="N19" s="77">
        <f t="shared" ca="1" si="7"/>
        <v>15.155000000000001</v>
      </c>
      <c r="O19" s="276">
        <f t="shared" ca="1" si="7"/>
        <v>7408</v>
      </c>
      <c r="P19" s="98">
        <f t="shared" ca="1" si="8"/>
        <v>7000.4003198024657</v>
      </c>
      <c r="Q19" s="276">
        <f t="shared" ca="1" si="9"/>
        <v>407.59968019753427</v>
      </c>
      <c r="R19" s="276">
        <f t="shared" ca="1" si="10"/>
        <v>1711.5</v>
      </c>
      <c r="S19" s="276">
        <f t="shared" ca="1" si="10"/>
        <v>67.092333469184439</v>
      </c>
      <c r="T19" s="276"/>
      <c r="U19" s="2556">
        <f t="shared" ca="1" si="11"/>
        <v>83.865416836480549</v>
      </c>
      <c r="V19" s="739" t="str">
        <f t="shared" ca="1" si="11"/>
        <v>Salli</v>
      </c>
      <c r="W19" s="740">
        <f t="shared" ca="1" si="11"/>
        <v>30878.312500000004</v>
      </c>
      <c r="X19" s="1429">
        <f t="shared" ca="1" si="12"/>
        <v>4.166666666666667</v>
      </c>
    </row>
    <row r="20" spans="1:24" ht="18" customHeight="1">
      <c r="A20" s="103" t="str">
        <f t="shared" ca="1" si="4"/>
        <v/>
      </c>
      <c r="B20" s="7" t="str">
        <f t="shared" ca="1" si="4"/>
        <v/>
      </c>
      <c r="C20" s="2709" t="str">
        <f t="shared" ca="1" si="4"/>
        <v/>
      </c>
      <c r="D20" s="9" t="str">
        <f t="shared" ca="1" si="4"/>
        <v/>
      </c>
      <c r="E20" s="10" t="str">
        <f t="shared" ca="1" si="13"/>
        <v/>
      </c>
      <c r="F20" s="4241" t="str">
        <f t="shared" ca="1" si="14"/>
        <v/>
      </c>
      <c r="G20" s="4242" t="str">
        <f t="shared" ca="1" si="5"/>
        <v/>
      </c>
      <c r="H20" s="4243">
        <f t="shared" si="5"/>
        <v>0</v>
      </c>
      <c r="I20" s="97" t="str">
        <f t="shared" ca="1" si="6"/>
        <v/>
      </c>
      <c r="J20" s="99">
        <f t="shared" si="7"/>
        <v>0</v>
      </c>
      <c r="K20" s="3">
        <f t="shared" si="7"/>
        <v>0</v>
      </c>
      <c r="L20" s="77" t="str">
        <f t="shared" ca="1" si="7"/>
        <v/>
      </c>
      <c r="M20" s="77" t="str">
        <f t="shared" ca="1" si="7"/>
        <v/>
      </c>
      <c r="N20" s="77" t="str">
        <f t="shared" ca="1" si="7"/>
        <v/>
      </c>
      <c r="O20" s="276" t="str">
        <f t="shared" ca="1" si="7"/>
        <v/>
      </c>
      <c r="P20" s="98" t="str">
        <f t="shared" ca="1" si="8"/>
        <v/>
      </c>
      <c r="Q20" s="276" t="str">
        <f t="shared" ca="1" si="9"/>
        <v/>
      </c>
      <c r="R20" s="276" t="str">
        <f t="shared" ca="1" si="10"/>
        <v/>
      </c>
      <c r="S20" s="276" t="str">
        <f t="shared" ca="1" si="10"/>
        <v/>
      </c>
      <c r="T20" s="276"/>
      <c r="U20" s="2556" t="str">
        <f t="shared" ca="1" si="11"/>
        <v/>
      </c>
      <c r="V20" s="739" t="str">
        <f t="shared" ca="1" si="11"/>
        <v/>
      </c>
      <c r="W20" s="740" t="str">
        <f t="shared" ca="1" si="11"/>
        <v/>
      </c>
      <c r="X20" s="1429" t="str">
        <f t="shared" ca="1" si="12"/>
        <v/>
      </c>
    </row>
    <row r="21" spans="1:24" ht="18" customHeight="1">
      <c r="A21" s="103" t="str">
        <f t="shared" ca="1" si="4"/>
        <v/>
      </c>
      <c r="B21" s="7" t="str">
        <f t="shared" ca="1" si="4"/>
        <v/>
      </c>
      <c r="C21" s="2709" t="str">
        <f t="shared" ca="1" si="4"/>
        <v/>
      </c>
      <c r="D21" s="9" t="str">
        <f t="shared" ca="1" si="4"/>
        <v/>
      </c>
      <c r="E21" s="10" t="str">
        <f t="shared" ca="1" si="13"/>
        <v/>
      </c>
      <c r="F21" s="4241" t="str">
        <f t="shared" ca="1" si="14"/>
        <v/>
      </c>
      <c r="G21" s="4242" t="str">
        <f t="shared" ca="1" si="5"/>
        <v/>
      </c>
      <c r="H21" s="4243">
        <f t="shared" si="5"/>
        <v>0</v>
      </c>
      <c r="I21" s="97" t="str">
        <f t="shared" ca="1" si="6"/>
        <v/>
      </c>
      <c r="J21" s="99">
        <f t="shared" ref="J21:O26" si="15">IF($N$3="ok",J66,J112)</f>
        <v>0</v>
      </c>
      <c r="K21" s="3">
        <f t="shared" si="15"/>
        <v>0</v>
      </c>
      <c r="L21" s="77" t="str">
        <f t="shared" ca="1" si="15"/>
        <v/>
      </c>
      <c r="M21" s="77" t="str">
        <f t="shared" ca="1" si="15"/>
        <v/>
      </c>
      <c r="N21" s="77" t="str">
        <f t="shared" ca="1" si="15"/>
        <v/>
      </c>
      <c r="O21" s="276" t="str">
        <f t="shared" ca="1" si="15"/>
        <v/>
      </c>
      <c r="P21" s="98" t="str">
        <f t="shared" ca="1" si="8"/>
        <v/>
      </c>
      <c r="Q21" s="276" t="str">
        <f t="shared" ca="1" si="9"/>
        <v/>
      </c>
      <c r="R21" s="276" t="str">
        <f t="shared" ca="1" si="10"/>
        <v/>
      </c>
      <c r="S21" s="276" t="str">
        <f t="shared" ca="1" si="10"/>
        <v/>
      </c>
      <c r="T21" s="276"/>
      <c r="U21" s="2556" t="str">
        <f t="shared" ca="1" si="11"/>
        <v/>
      </c>
      <c r="V21" s="739" t="str">
        <f t="shared" ca="1" si="11"/>
        <v/>
      </c>
      <c r="W21" s="740" t="str">
        <f t="shared" ca="1" si="11"/>
        <v/>
      </c>
      <c r="X21" s="1429" t="str">
        <f t="shared" ca="1" si="12"/>
        <v/>
      </c>
    </row>
    <row r="22" spans="1:24" ht="18" customHeight="1">
      <c r="A22" s="103" t="str">
        <f t="shared" ca="1" si="4"/>
        <v/>
      </c>
      <c r="B22" s="7" t="str">
        <f t="shared" ca="1" si="4"/>
        <v/>
      </c>
      <c r="C22" s="2709" t="str">
        <f t="shared" ca="1" si="4"/>
        <v/>
      </c>
      <c r="D22" s="9" t="str">
        <f t="shared" ca="1" si="4"/>
        <v/>
      </c>
      <c r="E22" s="10" t="str">
        <f t="shared" ca="1" si="13"/>
        <v/>
      </c>
      <c r="F22" s="4241" t="str">
        <f t="shared" ca="1" si="14"/>
        <v/>
      </c>
      <c r="G22" s="4242" t="str">
        <f t="shared" ca="1" si="5"/>
        <v/>
      </c>
      <c r="H22" s="4243">
        <f t="shared" si="5"/>
        <v>0</v>
      </c>
      <c r="I22" s="97" t="str">
        <f t="shared" ca="1" si="6"/>
        <v/>
      </c>
      <c r="J22" s="99">
        <f t="shared" si="15"/>
        <v>0</v>
      </c>
      <c r="K22" s="3">
        <f t="shared" si="15"/>
        <v>0</v>
      </c>
      <c r="L22" s="77" t="str">
        <f t="shared" ca="1" si="15"/>
        <v/>
      </c>
      <c r="M22" s="77" t="str">
        <f t="shared" ca="1" si="15"/>
        <v/>
      </c>
      <c r="N22" s="77" t="str">
        <f t="shared" ca="1" si="15"/>
        <v/>
      </c>
      <c r="O22" s="276" t="str">
        <f t="shared" ca="1" si="15"/>
        <v/>
      </c>
      <c r="P22" s="98" t="str">
        <f t="shared" ca="1" si="8"/>
        <v/>
      </c>
      <c r="Q22" s="276" t="str">
        <f t="shared" ca="1" si="9"/>
        <v/>
      </c>
      <c r="R22" s="276" t="str">
        <f t="shared" ca="1" si="10"/>
        <v/>
      </c>
      <c r="S22" s="276" t="str">
        <f t="shared" ca="1" si="10"/>
        <v/>
      </c>
      <c r="T22" s="276"/>
      <c r="U22" s="2556" t="str">
        <f t="shared" ca="1" si="11"/>
        <v/>
      </c>
      <c r="V22" s="739" t="str">
        <f t="shared" ca="1" si="11"/>
        <v/>
      </c>
      <c r="W22" s="740" t="str">
        <f t="shared" ca="1" si="11"/>
        <v/>
      </c>
      <c r="X22" s="1429" t="str">
        <f t="shared" ca="1" si="12"/>
        <v/>
      </c>
    </row>
    <row r="23" spans="1:24" ht="18" customHeight="1">
      <c r="A23" s="103" t="str">
        <f t="shared" ca="1" si="4"/>
        <v/>
      </c>
      <c r="B23" s="7" t="str">
        <f t="shared" ca="1" si="4"/>
        <v/>
      </c>
      <c r="C23" s="2709" t="str">
        <f t="shared" ca="1" si="4"/>
        <v/>
      </c>
      <c r="D23" s="9" t="str">
        <f t="shared" ca="1" si="4"/>
        <v/>
      </c>
      <c r="E23" s="10" t="str">
        <f t="shared" ca="1" si="13"/>
        <v/>
      </c>
      <c r="F23" s="4241" t="str">
        <f t="shared" ca="1" si="14"/>
        <v/>
      </c>
      <c r="G23" s="4242" t="str">
        <f t="shared" ca="1" si="5"/>
        <v/>
      </c>
      <c r="H23" s="4243">
        <f t="shared" si="5"/>
        <v>0</v>
      </c>
      <c r="I23" s="97" t="str">
        <f t="shared" ca="1" si="6"/>
        <v/>
      </c>
      <c r="J23" s="99">
        <f t="shared" si="15"/>
        <v>0</v>
      </c>
      <c r="K23" s="3">
        <f t="shared" si="15"/>
        <v>0</v>
      </c>
      <c r="L23" s="77" t="str">
        <f t="shared" ca="1" si="15"/>
        <v/>
      </c>
      <c r="M23" s="77" t="str">
        <f t="shared" ca="1" si="15"/>
        <v/>
      </c>
      <c r="N23" s="77" t="str">
        <f t="shared" ca="1" si="15"/>
        <v/>
      </c>
      <c r="O23" s="276" t="str">
        <f t="shared" ca="1" si="15"/>
        <v/>
      </c>
      <c r="P23" s="98" t="str">
        <f t="shared" ca="1" si="8"/>
        <v/>
      </c>
      <c r="Q23" s="276" t="str">
        <f t="shared" ca="1" si="9"/>
        <v/>
      </c>
      <c r="R23" s="276" t="str">
        <f t="shared" ca="1" si="10"/>
        <v/>
      </c>
      <c r="S23" s="276" t="str">
        <f t="shared" ca="1" si="10"/>
        <v/>
      </c>
      <c r="T23" s="276"/>
      <c r="U23" s="2556" t="str">
        <f t="shared" ca="1" si="11"/>
        <v/>
      </c>
      <c r="V23" s="739" t="str">
        <f t="shared" ca="1" si="11"/>
        <v/>
      </c>
      <c r="W23" s="740" t="str">
        <f t="shared" ca="1" si="11"/>
        <v/>
      </c>
      <c r="X23" s="1429" t="str">
        <f t="shared" ca="1" si="12"/>
        <v/>
      </c>
    </row>
    <row r="24" spans="1:24" ht="18" customHeight="1">
      <c r="A24" s="103" t="str">
        <f t="shared" ca="1" si="4"/>
        <v/>
      </c>
      <c r="B24" s="7" t="str">
        <f t="shared" ca="1" si="4"/>
        <v/>
      </c>
      <c r="C24" s="2709" t="str">
        <f t="shared" ca="1" si="4"/>
        <v/>
      </c>
      <c r="D24" s="9" t="str">
        <f t="shared" ca="1" si="4"/>
        <v/>
      </c>
      <c r="E24" s="10" t="str">
        <f t="shared" ca="1" si="13"/>
        <v/>
      </c>
      <c r="F24" s="4241" t="str">
        <f t="shared" ca="1" si="14"/>
        <v/>
      </c>
      <c r="G24" s="4242" t="str">
        <f t="shared" ca="1" si="5"/>
        <v/>
      </c>
      <c r="H24" s="4243">
        <f t="shared" si="5"/>
        <v>0</v>
      </c>
      <c r="I24" s="97" t="str">
        <f t="shared" ca="1" si="6"/>
        <v/>
      </c>
      <c r="J24" s="99">
        <f t="shared" si="15"/>
        <v>0</v>
      </c>
      <c r="K24" s="3">
        <f t="shared" si="15"/>
        <v>0</v>
      </c>
      <c r="L24" s="77" t="str">
        <f t="shared" ca="1" si="15"/>
        <v/>
      </c>
      <c r="M24" s="77" t="str">
        <f t="shared" ca="1" si="15"/>
        <v/>
      </c>
      <c r="N24" s="77" t="str">
        <f t="shared" ca="1" si="15"/>
        <v/>
      </c>
      <c r="O24" s="276" t="str">
        <f t="shared" ca="1" si="15"/>
        <v/>
      </c>
      <c r="P24" s="98" t="str">
        <f t="shared" ca="1" si="8"/>
        <v/>
      </c>
      <c r="Q24" s="276" t="str">
        <f t="shared" ca="1" si="9"/>
        <v/>
      </c>
      <c r="R24" s="276" t="str">
        <f t="shared" ca="1" si="10"/>
        <v/>
      </c>
      <c r="S24" s="276" t="str">
        <f t="shared" ca="1" si="10"/>
        <v/>
      </c>
      <c r="T24" s="276"/>
      <c r="U24" s="2556" t="str">
        <f t="shared" ca="1" si="11"/>
        <v/>
      </c>
      <c r="V24" s="739" t="str">
        <f t="shared" ca="1" si="11"/>
        <v/>
      </c>
      <c r="W24" s="740" t="str">
        <f t="shared" ca="1" si="11"/>
        <v/>
      </c>
      <c r="X24" s="1429" t="str">
        <f t="shared" ca="1" si="12"/>
        <v/>
      </c>
    </row>
    <row r="25" spans="1:24" ht="18" customHeight="1">
      <c r="A25" s="103" t="str">
        <f t="shared" ca="1" si="4"/>
        <v/>
      </c>
      <c r="B25" s="7" t="str">
        <f t="shared" ca="1" si="4"/>
        <v/>
      </c>
      <c r="C25" s="2709" t="str">
        <f t="shared" ca="1" si="4"/>
        <v/>
      </c>
      <c r="D25" s="9" t="str">
        <f t="shared" ca="1" si="4"/>
        <v/>
      </c>
      <c r="E25" s="10" t="str">
        <f t="shared" ca="1" si="13"/>
        <v/>
      </c>
      <c r="F25" s="4241" t="str">
        <f t="shared" ca="1" si="14"/>
        <v/>
      </c>
      <c r="G25" s="4242" t="str">
        <f t="shared" ca="1" si="5"/>
        <v/>
      </c>
      <c r="H25" s="4243">
        <f t="shared" si="5"/>
        <v>0</v>
      </c>
      <c r="I25" s="97" t="str">
        <f t="shared" ca="1" si="6"/>
        <v/>
      </c>
      <c r="J25" s="99">
        <f t="shared" si="15"/>
        <v>0</v>
      </c>
      <c r="K25" s="3">
        <f t="shared" si="15"/>
        <v>0</v>
      </c>
      <c r="L25" s="77" t="str">
        <f t="shared" ca="1" si="15"/>
        <v/>
      </c>
      <c r="M25" s="77" t="str">
        <f t="shared" ca="1" si="15"/>
        <v/>
      </c>
      <c r="N25" s="77" t="str">
        <f t="shared" ca="1" si="15"/>
        <v/>
      </c>
      <c r="O25" s="276" t="str">
        <f t="shared" ca="1" si="15"/>
        <v/>
      </c>
      <c r="P25" s="98" t="str">
        <f t="shared" ca="1" si="8"/>
        <v/>
      </c>
      <c r="Q25" s="276" t="str">
        <f t="shared" ca="1" si="9"/>
        <v/>
      </c>
      <c r="R25" s="276" t="str">
        <f t="shared" ca="1" si="10"/>
        <v/>
      </c>
      <c r="S25" s="276" t="str">
        <f t="shared" ca="1" si="10"/>
        <v/>
      </c>
      <c r="T25" s="276"/>
      <c r="U25" s="2556" t="str">
        <f t="shared" ca="1" si="11"/>
        <v/>
      </c>
      <c r="V25" s="739" t="str">
        <f t="shared" ca="1" si="11"/>
        <v/>
      </c>
      <c r="W25" s="740" t="str">
        <f t="shared" ca="1" si="11"/>
        <v/>
      </c>
      <c r="X25" s="1429" t="str">
        <f t="shared" ca="1" si="12"/>
        <v/>
      </c>
    </row>
    <row r="26" spans="1:24" ht="18" customHeight="1">
      <c r="A26" s="103" t="str">
        <f t="shared" ca="1" si="4"/>
        <v/>
      </c>
      <c r="B26" s="7" t="str">
        <f t="shared" ca="1" si="4"/>
        <v/>
      </c>
      <c r="C26" s="2709" t="str">
        <f t="shared" ca="1" si="4"/>
        <v/>
      </c>
      <c r="D26" s="9" t="str">
        <f t="shared" ca="1" si="4"/>
        <v/>
      </c>
      <c r="E26" s="10" t="str">
        <f t="shared" ca="1" si="13"/>
        <v/>
      </c>
      <c r="F26" s="4241" t="str">
        <f t="shared" ca="1" si="14"/>
        <v/>
      </c>
      <c r="G26" s="4242" t="str">
        <f t="shared" ca="1" si="5"/>
        <v/>
      </c>
      <c r="H26" s="4243">
        <f t="shared" si="5"/>
        <v>0</v>
      </c>
      <c r="I26" s="97" t="str">
        <f t="shared" ca="1" si="6"/>
        <v/>
      </c>
      <c r="J26" s="99">
        <f t="shared" si="15"/>
        <v>0</v>
      </c>
      <c r="K26" s="3">
        <f t="shared" si="15"/>
        <v>0</v>
      </c>
      <c r="L26" s="77" t="str">
        <f t="shared" ca="1" si="15"/>
        <v/>
      </c>
      <c r="M26" s="77" t="str">
        <f t="shared" ca="1" si="15"/>
        <v/>
      </c>
      <c r="N26" s="77" t="str">
        <f t="shared" ca="1" si="15"/>
        <v/>
      </c>
      <c r="O26" s="276" t="str">
        <f t="shared" ca="1" si="15"/>
        <v/>
      </c>
      <c r="P26" s="98" t="str">
        <f t="shared" ca="1" si="8"/>
        <v/>
      </c>
      <c r="Q26" s="276" t="str">
        <f t="shared" ca="1" si="9"/>
        <v/>
      </c>
      <c r="R26" s="276" t="str">
        <f t="shared" ca="1" si="10"/>
        <v/>
      </c>
      <c r="S26" s="276" t="str">
        <f t="shared" ca="1" si="10"/>
        <v/>
      </c>
      <c r="T26" s="276"/>
      <c r="U26" s="2556" t="str">
        <f t="shared" ca="1" si="11"/>
        <v/>
      </c>
      <c r="V26" s="739" t="str">
        <f t="shared" ca="1" si="11"/>
        <v/>
      </c>
      <c r="W26" s="740" t="str">
        <f t="shared" ca="1" si="11"/>
        <v/>
      </c>
      <c r="X26" s="1429" t="str">
        <f t="shared" ca="1" si="12"/>
        <v/>
      </c>
    </row>
    <row r="29" spans="1:24" ht="16.5" customHeight="1">
      <c r="E29" s="57" t="s">
        <v>298</v>
      </c>
      <c r="F29" s="58"/>
      <c r="G29" s="380">
        <f>'19 Sollumsatz pro Arbeitsmonat'!K11</f>
        <v>5.5</v>
      </c>
      <c r="H29" s="12"/>
      <c r="J29" s="2"/>
      <c r="S29" s="152"/>
      <c r="T29" s="152"/>
      <c r="U29" s="152"/>
      <c r="V29" s="739" t="str">
        <f>IF($N$3="ok",U75,V122)</f>
        <v>Summe</v>
      </c>
      <c r="W29" s="740">
        <f ca="1">SUM(W11:W26)</f>
        <v>506136.33750000002</v>
      </c>
      <c r="X29" s="15"/>
    </row>
    <row r="30" spans="1:24" s="15" customFormat="1" ht="16.5" customHeight="1">
      <c r="B30" s="4240"/>
      <c r="C30" s="4240"/>
      <c r="F30" s="14"/>
      <c r="G30" s="14"/>
      <c r="H30" s="14"/>
      <c r="J30" s="14"/>
      <c r="S30" s="23"/>
      <c r="T30" s="23"/>
      <c r="U30" s="152"/>
    </row>
    <row r="31" spans="1:24" s="15" customFormat="1" ht="18" customHeight="1">
      <c r="A31" s="103" t="str">
        <f t="shared" ref="A31:D46" ca="1" si="16">IF($N$3="ok",A77,A124)</f>
        <v/>
      </c>
      <c r="B31" s="709" t="str">
        <f t="shared" ca="1" si="16"/>
        <v/>
      </c>
      <c r="C31" s="710" t="str">
        <f t="shared" ca="1" si="16"/>
        <v/>
      </c>
      <c r="D31" s="711" t="str">
        <f t="shared" ca="1" si="16"/>
        <v/>
      </c>
      <c r="E31" s="708" t="str">
        <f t="shared" ref="E31:E46" ca="1" si="17">IF($N$3="ok",E77,I124)</f>
        <v/>
      </c>
      <c r="F31" s="4241" t="str">
        <f t="shared" ref="F31:F46" ca="1" si="18">IF(Q31="","",Q31/N31)</f>
        <v/>
      </c>
      <c r="G31" s="4242" t="str">
        <f t="shared" ref="G31:H46" ca="1" si="19">IF($N$3="ok",G77,G124)</f>
        <v/>
      </c>
      <c r="H31" s="4243">
        <f t="shared" si="19"/>
        <v>0</v>
      </c>
      <c r="I31" s="97" t="str">
        <f t="shared" ref="I31:I46" ca="1" si="20">IF($N$3="ok",I77,E124)</f>
        <v/>
      </c>
      <c r="J31" s="712">
        <f t="shared" ref="J31:O40" si="21">IF($N$3="ok",J77,J124)</f>
        <v>0</v>
      </c>
      <c r="K31" s="107">
        <f t="shared" si="21"/>
        <v>0</v>
      </c>
      <c r="L31" s="713" t="str">
        <f t="shared" ca="1" si="21"/>
        <v/>
      </c>
      <c r="M31" s="713" t="str">
        <f t="shared" ca="1" si="21"/>
        <v/>
      </c>
      <c r="N31" s="713" t="str">
        <f t="shared" ca="1" si="21"/>
        <v/>
      </c>
      <c r="O31" s="714" t="str">
        <f t="shared" ca="1" si="21"/>
        <v/>
      </c>
      <c r="P31" s="715" t="str">
        <f t="shared" ref="P31:P46" ca="1" si="22">IF($N$3="ok",D31,P124)</f>
        <v/>
      </c>
      <c r="Q31" s="714" t="str">
        <f t="shared" ref="Q31:Q46" ca="1" si="23">IF(A31="","",IF($N$3="ok",O31-P31,Q124))</f>
        <v/>
      </c>
      <c r="R31" s="714" t="str">
        <f t="shared" ref="R31:S46" ca="1" si="24">IF($N$3="ok",Q77,R124)</f>
        <v/>
      </c>
      <c r="S31" s="714" t="str">
        <f t="shared" ca="1" si="24"/>
        <v/>
      </c>
      <c r="T31" s="714"/>
      <c r="U31" s="740" t="str">
        <f t="shared" ref="U31:W46" ca="1" si="25">IF($N$3="ok",T77,U124)</f>
        <v/>
      </c>
      <c r="V31" s="739" t="str">
        <f t="shared" ca="1" si="25"/>
        <v/>
      </c>
      <c r="W31" s="740" t="str">
        <f t="shared" ca="1" si="25"/>
        <v/>
      </c>
      <c r="X31" s="1429" t="str">
        <f t="shared" ref="X31:X46" ca="1" si="26">IF($N$3="ok",W77,X123)</f>
        <v/>
      </c>
    </row>
    <row r="32" spans="1:24" s="15" customFormat="1" ht="18" customHeight="1">
      <c r="A32" s="103" t="str">
        <f t="shared" ca="1" si="16"/>
        <v/>
      </c>
      <c r="B32" s="7" t="str">
        <f t="shared" ca="1" si="16"/>
        <v/>
      </c>
      <c r="C32" s="8" t="str">
        <f t="shared" ca="1" si="16"/>
        <v/>
      </c>
      <c r="D32" s="9" t="str">
        <f t="shared" ca="1" si="16"/>
        <v/>
      </c>
      <c r="E32" s="10" t="str">
        <f t="shared" ca="1" si="17"/>
        <v/>
      </c>
      <c r="F32" s="4241" t="str">
        <f t="shared" ca="1" si="18"/>
        <v/>
      </c>
      <c r="G32" s="4242" t="str">
        <f t="shared" ca="1" si="19"/>
        <v/>
      </c>
      <c r="H32" s="4243">
        <f t="shared" si="19"/>
        <v>0</v>
      </c>
      <c r="I32" s="97" t="str">
        <f t="shared" ca="1" si="20"/>
        <v/>
      </c>
      <c r="J32" s="99">
        <f t="shared" si="21"/>
        <v>0</v>
      </c>
      <c r="K32" s="3">
        <f t="shared" si="21"/>
        <v>0</v>
      </c>
      <c r="L32" s="77" t="str">
        <f t="shared" ca="1" si="21"/>
        <v/>
      </c>
      <c r="M32" s="77" t="str">
        <f t="shared" ca="1" si="21"/>
        <v/>
      </c>
      <c r="N32" s="77" t="str">
        <f t="shared" ca="1" si="21"/>
        <v/>
      </c>
      <c r="O32" s="276" t="str">
        <f t="shared" ca="1" si="21"/>
        <v/>
      </c>
      <c r="P32" s="98" t="str">
        <f t="shared" ca="1" si="22"/>
        <v/>
      </c>
      <c r="Q32" s="276" t="str">
        <f t="shared" ca="1" si="23"/>
        <v/>
      </c>
      <c r="R32" s="276" t="str">
        <f t="shared" ca="1" si="24"/>
        <v/>
      </c>
      <c r="S32" s="276" t="str">
        <f t="shared" ca="1" si="24"/>
        <v/>
      </c>
      <c r="T32" s="276"/>
      <c r="U32" s="740" t="str">
        <f t="shared" ca="1" si="25"/>
        <v/>
      </c>
      <c r="V32" s="739" t="str">
        <f t="shared" ca="1" si="25"/>
        <v/>
      </c>
      <c r="W32" s="740" t="str">
        <f t="shared" ca="1" si="25"/>
        <v/>
      </c>
      <c r="X32" s="1429" t="str">
        <f t="shared" ca="1" si="26"/>
        <v/>
      </c>
    </row>
    <row r="33" spans="1:35" s="15" customFormat="1" ht="18" customHeight="1">
      <c r="A33" s="103" t="str">
        <f t="shared" ca="1" si="16"/>
        <v/>
      </c>
      <c r="B33" s="7" t="str">
        <f t="shared" ca="1" si="16"/>
        <v/>
      </c>
      <c r="C33" s="8" t="str">
        <f t="shared" ca="1" si="16"/>
        <v/>
      </c>
      <c r="D33" s="9" t="str">
        <f t="shared" ca="1" si="16"/>
        <v/>
      </c>
      <c r="E33" s="10" t="str">
        <f t="shared" ca="1" si="17"/>
        <v/>
      </c>
      <c r="F33" s="4241" t="str">
        <f t="shared" ca="1" si="18"/>
        <v/>
      </c>
      <c r="G33" s="4242" t="str">
        <f t="shared" ca="1" si="19"/>
        <v/>
      </c>
      <c r="H33" s="4243">
        <f t="shared" si="19"/>
        <v>0</v>
      </c>
      <c r="I33" s="97" t="str">
        <f t="shared" ca="1" si="20"/>
        <v/>
      </c>
      <c r="J33" s="99">
        <f t="shared" si="21"/>
        <v>0</v>
      </c>
      <c r="K33" s="3">
        <f t="shared" si="21"/>
        <v>0</v>
      </c>
      <c r="L33" s="77" t="str">
        <f t="shared" ca="1" si="21"/>
        <v/>
      </c>
      <c r="M33" s="77" t="str">
        <f t="shared" ca="1" si="21"/>
        <v/>
      </c>
      <c r="N33" s="77" t="str">
        <f t="shared" ca="1" si="21"/>
        <v/>
      </c>
      <c r="O33" s="276" t="str">
        <f t="shared" ca="1" si="21"/>
        <v/>
      </c>
      <c r="P33" s="98" t="str">
        <f t="shared" ca="1" si="22"/>
        <v/>
      </c>
      <c r="Q33" s="276" t="str">
        <f t="shared" ca="1" si="23"/>
        <v/>
      </c>
      <c r="R33" s="276" t="str">
        <f t="shared" ca="1" si="24"/>
        <v/>
      </c>
      <c r="S33" s="276" t="str">
        <f t="shared" ca="1" si="24"/>
        <v/>
      </c>
      <c r="T33" s="276"/>
      <c r="U33" s="740" t="str">
        <f t="shared" ca="1" si="25"/>
        <v/>
      </c>
      <c r="V33" s="739" t="str">
        <f t="shared" ca="1" si="25"/>
        <v/>
      </c>
      <c r="W33" s="740" t="str">
        <f t="shared" ca="1" si="25"/>
        <v/>
      </c>
      <c r="X33" s="1429" t="str">
        <f t="shared" ca="1" si="26"/>
        <v/>
      </c>
    </row>
    <row r="34" spans="1:35" s="15" customFormat="1" ht="18" customHeight="1">
      <c r="A34" s="103" t="str">
        <f t="shared" ca="1" si="16"/>
        <v/>
      </c>
      <c r="B34" s="7" t="str">
        <f t="shared" ca="1" si="16"/>
        <v/>
      </c>
      <c r="C34" s="8" t="str">
        <f t="shared" ca="1" si="16"/>
        <v/>
      </c>
      <c r="D34" s="9" t="str">
        <f t="shared" ca="1" si="16"/>
        <v/>
      </c>
      <c r="E34" s="10" t="str">
        <f t="shared" ca="1" si="17"/>
        <v/>
      </c>
      <c r="F34" s="4241" t="str">
        <f t="shared" ca="1" si="18"/>
        <v/>
      </c>
      <c r="G34" s="4242" t="str">
        <f t="shared" ca="1" si="19"/>
        <v/>
      </c>
      <c r="H34" s="4243">
        <f t="shared" si="19"/>
        <v>0</v>
      </c>
      <c r="I34" s="97" t="str">
        <f t="shared" ca="1" si="20"/>
        <v/>
      </c>
      <c r="J34" s="99">
        <f t="shared" si="21"/>
        <v>0</v>
      </c>
      <c r="K34" s="3">
        <f t="shared" si="21"/>
        <v>0</v>
      </c>
      <c r="L34" s="77" t="str">
        <f t="shared" ca="1" si="21"/>
        <v/>
      </c>
      <c r="M34" s="77" t="str">
        <f t="shared" ca="1" si="21"/>
        <v/>
      </c>
      <c r="N34" s="77" t="str">
        <f t="shared" ca="1" si="21"/>
        <v/>
      </c>
      <c r="O34" s="276" t="str">
        <f t="shared" ca="1" si="21"/>
        <v/>
      </c>
      <c r="P34" s="98" t="str">
        <f t="shared" ca="1" si="22"/>
        <v/>
      </c>
      <c r="Q34" s="276" t="str">
        <f t="shared" ca="1" si="23"/>
        <v/>
      </c>
      <c r="R34" s="276" t="str">
        <f t="shared" ca="1" si="24"/>
        <v/>
      </c>
      <c r="S34" s="276" t="str">
        <f t="shared" ca="1" si="24"/>
        <v/>
      </c>
      <c r="T34" s="276"/>
      <c r="U34" s="740" t="str">
        <f t="shared" ca="1" si="25"/>
        <v/>
      </c>
      <c r="V34" s="739" t="str">
        <f t="shared" ca="1" si="25"/>
        <v/>
      </c>
      <c r="W34" s="740" t="str">
        <f t="shared" ca="1" si="25"/>
        <v/>
      </c>
      <c r="X34" s="1429" t="str">
        <f t="shared" ca="1" si="26"/>
        <v/>
      </c>
    </row>
    <row r="35" spans="1:35" s="15" customFormat="1" ht="18" customHeight="1">
      <c r="A35" s="103" t="str">
        <f t="shared" ca="1" si="16"/>
        <v/>
      </c>
      <c r="B35" s="7" t="str">
        <f t="shared" ca="1" si="16"/>
        <v/>
      </c>
      <c r="C35" s="8" t="str">
        <f t="shared" ca="1" si="16"/>
        <v/>
      </c>
      <c r="D35" s="9" t="str">
        <f t="shared" ca="1" si="16"/>
        <v/>
      </c>
      <c r="E35" s="10" t="str">
        <f t="shared" ca="1" si="17"/>
        <v/>
      </c>
      <c r="F35" s="4241" t="str">
        <f t="shared" ca="1" si="18"/>
        <v/>
      </c>
      <c r="G35" s="4242" t="str">
        <f t="shared" ca="1" si="19"/>
        <v/>
      </c>
      <c r="H35" s="4243">
        <f t="shared" si="19"/>
        <v>0</v>
      </c>
      <c r="I35" s="97" t="str">
        <f t="shared" ca="1" si="20"/>
        <v/>
      </c>
      <c r="J35" s="99">
        <f t="shared" si="21"/>
        <v>0</v>
      </c>
      <c r="K35" s="3">
        <f t="shared" si="21"/>
        <v>0</v>
      </c>
      <c r="L35" s="77" t="str">
        <f t="shared" ca="1" si="21"/>
        <v/>
      </c>
      <c r="M35" s="77" t="str">
        <f t="shared" ca="1" si="21"/>
        <v/>
      </c>
      <c r="N35" s="77" t="str">
        <f t="shared" ca="1" si="21"/>
        <v/>
      </c>
      <c r="O35" s="276" t="str">
        <f t="shared" ca="1" si="21"/>
        <v/>
      </c>
      <c r="P35" s="98" t="str">
        <f t="shared" ca="1" si="22"/>
        <v/>
      </c>
      <c r="Q35" s="276" t="str">
        <f t="shared" ca="1" si="23"/>
        <v/>
      </c>
      <c r="R35" s="276" t="str">
        <f t="shared" ca="1" si="24"/>
        <v/>
      </c>
      <c r="S35" s="276" t="str">
        <f t="shared" ca="1" si="24"/>
        <v/>
      </c>
      <c r="T35" s="276"/>
      <c r="U35" s="740" t="str">
        <f t="shared" ca="1" si="25"/>
        <v/>
      </c>
      <c r="V35" s="739" t="str">
        <f t="shared" ca="1" si="25"/>
        <v/>
      </c>
      <c r="W35" s="740" t="str">
        <f t="shared" ca="1" si="25"/>
        <v/>
      </c>
      <c r="X35" s="1429" t="str">
        <f t="shared" ca="1" si="26"/>
        <v/>
      </c>
    </row>
    <row r="36" spans="1:35" s="15" customFormat="1" ht="18" customHeight="1">
      <c r="A36" s="103" t="str">
        <f t="shared" ca="1" si="16"/>
        <v/>
      </c>
      <c r="B36" s="7" t="str">
        <f t="shared" ca="1" si="16"/>
        <v/>
      </c>
      <c r="C36" s="8" t="str">
        <f t="shared" ca="1" si="16"/>
        <v/>
      </c>
      <c r="D36" s="9" t="str">
        <f t="shared" ca="1" si="16"/>
        <v/>
      </c>
      <c r="E36" s="10" t="str">
        <f t="shared" ca="1" si="17"/>
        <v/>
      </c>
      <c r="F36" s="4241" t="str">
        <f t="shared" ca="1" si="18"/>
        <v/>
      </c>
      <c r="G36" s="4242" t="str">
        <f t="shared" ca="1" si="19"/>
        <v/>
      </c>
      <c r="H36" s="4243">
        <f t="shared" si="19"/>
        <v>0</v>
      </c>
      <c r="I36" s="97" t="str">
        <f t="shared" ca="1" si="20"/>
        <v/>
      </c>
      <c r="J36" s="99">
        <f t="shared" si="21"/>
        <v>0</v>
      </c>
      <c r="K36" s="3">
        <f t="shared" si="21"/>
        <v>0</v>
      </c>
      <c r="L36" s="77" t="str">
        <f t="shared" ca="1" si="21"/>
        <v/>
      </c>
      <c r="M36" s="77" t="str">
        <f t="shared" ca="1" si="21"/>
        <v/>
      </c>
      <c r="N36" s="77" t="str">
        <f t="shared" ca="1" si="21"/>
        <v/>
      </c>
      <c r="O36" s="276" t="str">
        <f t="shared" ca="1" si="21"/>
        <v/>
      </c>
      <c r="P36" s="98" t="str">
        <f t="shared" ca="1" si="22"/>
        <v/>
      </c>
      <c r="Q36" s="276" t="str">
        <f t="shared" ca="1" si="23"/>
        <v/>
      </c>
      <c r="R36" s="276" t="str">
        <f t="shared" ca="1" si="24"/>
        <v/>
      </c>
      <c r="S36" s="276" t="str">
        <f t="shared" ca="1" si="24"/>
        <v/>
      </c>
      <c r="T36" s="276"/>
      <c r="U36" s="740" t="str">
        <f t="shared" ca="1" si="25"/>
        <v/>
      </c>
      <c r="V36" s="739" t="str">
        <f t="shared" ca="1" si="25"/>
        <v/>
      </c>
      <c r="W36" s="740" t="str">
        <f t="shared" ca="1" si="25"/>
        <v/>
      </c>
      <c r="X36" s="1429" t="str">
        <f t="shared" ca="1" si="26"/>
        <v/>
      </c>
    </row>
    <row r="37" spans="1:35" s="15" customFormat="1" ht="18" customHeight="1">
      <c r="A37" s="103" t="str">
        <f t="shared" ca="1" si="16"/>
        <v/>
      </c>
      <c r="B37" s="7" t="str">
        <f t="shared" ca="1" si="16"/>
        <v/>
      </c>
      <c r="C37" s="8" t="str">
        <f t="shared" ca="1" si="16"/>
        <v/>
      </c>
      <c r="D37" s="9" t="str">
        <f t="shared" ca="1" si="16"/>
        <v/>
      </c>
      <c r="E37" s="10" t="str">
        <f t="shared" ca="1" si="17"/>
        <v/>
      </c>
      <c r="F37" s="4241" t="str">
        <f t="shared" ca="1" si="18"/>
        <v/>
      </c>
      <c r="G37" s="4242" t="str">
        <f t="shared" ca="1" si="19"/>
        <v/>
      </c>
      <c r="H37" s="4243">
        <f t="shared" si="19"/>
        <v>0</v>
      </c>
      <c r="I37" s="97" t="str">
        <f t="shared" ca="1" si="20"/>
        <v/>
      </c>
      <c r="J37" s="99">
        <f t="shared" si="21"/>
        <v>0</v>
      </c>
      <c r="K37" s="3">
        <f t="shared" si="21"/>
        <v>0</v>
      </c>
      <c r="L37" s="77" t="str">
        <f t="shared" ca="1" si="21"/>
        <v/>
      </c>
      <c r="M37" s="77" t="str">
        <f t="shared" ca="1" si="21"/>
        <v/>
      </c>
      <c r="N37" s="77" t="str">
        <f t="shared" ca="1" si="21"/>
        <v/>
      </c>
      <c r="O37" s="276" t="str">
        <f t="shared" ca="1" si="21"/>
        <v/>
      </c>
      <c r="P37" s="98" t="str">
        <f t="shared" ca="1" si="22"/>
        <v/>
      </c>
      <c r="Q37" s="276" t="str">
        <f t="shared" ca="1" si="23"/>
        <v/>
      </c>
      <c r="R37" s="276" t="str">
        <f t="shared" ca="1" si="24"/>
        <v/>
      </c>
      <c r="S37" s="276" t="str">
        <f t="shared" ca="1" si="24"/>
        <v/>
      </c>
      <c r="T37" s="276"/>
      <c r="U37" s="740" t="str">
        <f t="shared" ca="1" si="25"/>
        <v/>
      </c>
      <c r="V37" s="739" t="str">
        <f t="shared" ca="1" si="25"/>
        <v/>
      </c>
      <c r="W37" s="740" t="str">
        <f t="shared" ca="1" si="25"/>
        <v/>
      </c>
      <c r="X37" s="1429" t="str">
        <f t="shared" ca="1" si="26"/>
        <v/>
      </c>
    </row>
    <row r="38" spans="1:35" s="15" customFormat="1" ht="18" customHeight="1">
      <c r="A38" s="103" t="str">
        <f t="shared" ca="1" si="16"/>
        <v/>
      </c>
      <c r="B38" s="7" t="str">
        <f t="shared" ca="1" si="16"/>
        <v/>
      </c>
      <c r="C38" s="8" t="str">
        <f t="shared" ca="1" si="16"/>
        <v/>
      </c>
      <c r="D38" s="9" t="str">
        <f t="shared" ca="1" si="16"/>
        <v/>
      </c>
      <c r="E38" s="10" t="str">
        <f t="shared" ca="1" si="17"/>
        <v/>
      </c>
      <c r="F38" s="4241" t="str">
        <f t="shared" ca="1" si="18"/>
        <v/>
      </c>
      <c r="G38" s="4242" t="str">
        <f t="shared" ca="1" si="19"/>
        <v/>
      </c>
      <c r="H38" s="4243">
        <f t="shared" si="19"/>
        <v>0</v>
      </c>
      <c r="I38" s="97" t="str">
        <f t="shared" ca="1" si="20"/>
        <v/>
      </c>
      <c r="J38" s="99">
        <f t="shared" si="21"/>
        <v>0</v>
      </c>
      <c r="K38" s="3">
        <f t="shared" si="21"/>
        <v>0</v>
      </c>
      <c r="L38" s="77" t="str">
        <f t="shared" ca="1" si="21"/>
        <v/>
      </c>
      <c r="M38" s="77" t="str">
        <f t="shared" ca="1" si="21"/>
        <v/>
      </c>
      <c r="N38" s="77" t="str">
        <f t="shared" ca="1" si="21"/>
        <v/>
      </c>
      <c r="O38" s="276" t="str">
        <f t="shared" ca="1" si="21"/>
        <v/>
      </c>
      <c r="P38" s="98" t="str">
        <f t="shared" ca="1" si="22"/>
        <v/>
      </c>
      <c r="Q38" s="276" t="str">
        <f t="shared" ca="1" si="23"/>
        <v/>
      </c>
      <c r="R38" s="276" t="str">
        <f t="shared" ca="1" si="24"/>
        <v/>
      </c>
      <c r="S38" s="276" t="str">
        <f t="shared" ca="1" si="24"/>
        <v/>
      </c>
      <c r="T38" s="276"/>
      <c r="U38" s="740" t="str">
        <f t="shared" ca="1" si="25"/>
        <v/>
      </c>
      <c r="V38" s="739" t="str">
        <f t="shared" ca="1" si="25"/>
        <v/>
      </c>
      <c r="W38" s="740" t="str">
        <f t="shared" ca="1" si="25"/>
        <v/>
      </c>
      <c r="X38" s="1429" t="str">
        <f t="shared" ca="1" si="26"/>
        <v/>
      </c>
    </row>
    <row r="39" spans="1:35" s="15" customFormat="1" ht="18" customHeight="1">
      <c r="A39" s="103" t="str">
        <f t="shared" ca="1" si="16"/>
        <v/>
      </c>
      <c r="B39" s="7" t="str">
        <f t="shared" ca="1" si="16"/>
        <v/>
      </c>
      <c r="C39" s="8" t="str">
        <f t="shared" ca="1" si="16"/>
        <v/>
      </c>
      <c r="D39" s="9" t="str">
        <f t="shared" ca="1" si="16"/>
        <v/>
      </c>
      <c r="E39" s="10" t="str">
        <f t="shared" ca="1" si="17"/>
        <v/>
      </c>
      <c r="F39" s="4241" t="str">
        <f t="shared" ca="1" si="18"/>
        <v/>
      </c>
      <c r="G39" s="4242" t="str">
        <f t="shared" ca="1" si="19"/>
        <v/>
      </c>
      <c r="H39" s="4243">
        <f t="shared" si="19"/>
        <v>0</v>
      </c>
      <c r="I39" s="97" t="str">
        <f t="shared" ca="1" si="20"/>
        <v/>
      </c>
      <c r="J39" s="99">
        <f t="shared" si="21"/>
        <v>0</v>
      </c>
      <c r="K39" s="3">
        <f t="shared" si="21"/>
        <v>0</v>
      </c>
      <c r="L39" s="77" t="str">
        <f t="shared" ca="1" si="21"/>
        <v/>
      </c>
      <c r="M39" s="77" t="str">
        <f t="shared" ca="1" si="21"/>
        <v/>
      </c>
      <c r="N39" s="77" t="str">
        <f t="shared" ca="1" si="21"/>
        <v/>
      </c>
      <c r="O39" s="276" t="str">
        <f t="shared" ca="1" si="21"/>
        <v/>
      </c>
      <c r="P39" s="98" t="str">
        <f t="shared" ca="1" si="22"/>
        <v/>
      </c>
      <c r="Q39" s="276" t="str">
        <f t="shared" ca="1" si="23"/>
        <v/>
      </c>
      <c r="R39" s="276" t="str">
        <f t="shared" ca="1" si="24"/>
        <v/>
      </c>
      <c r="S39" s="276" t="str">
        <f t="shared" ca="1" si="24"/>
        <v/>
      </c>
      <c r="T39" s="276"/>
      <c r="U39" s="740" t="str">
        <f t="shared" ca="1" si="25"/>
        <v/>
      </c>
      <c r="V39" s="739" t="str">
        <f t="shared" ca="1" si="25"/>
        <v/>
      </c>
      <c r="W39" s="740" t="str">
        <f t="shared" ca="1" si="25"/>
        <v/>
      </c>
      <c r="X39" s="1429" t="str">
        <f t="shared" ca="1" si="26"/>
        <v/>
      </c>
    </row>
    <row r="40" spans="1:35" s="15" customFormat="1" ht="18" customHeight="1">
      <c r="A40" s="103" t="str">
        <f t="shared" ca="1" si="16"/>
        <v/>
      </c>
      <c r="B40" s="7" t="str">
        <f t="shared" ca="1" si="16"/>
        <v/>
      </c>
      <c r="C40" s="8" t="str">
        <f t="shared" ca="1" si="16"/>
        <v/>
      </c>
      <c r="D40" s="9" t="str">
        <f t="shared" ca="1" si="16"/>
        <v/>
      </c>
      <c r="E40" s="10" t="str">
        <f t="shared" ca="1" si="17"/>
        <v/>
      </c>
      <c r="F40" s="4241" t="str">
        <f t="shared" ca="1" si="18"/>
        <v/>
      </c>
      <c r="G40" s="4242" t="str">
        <f t="shared" ca="1" si="19"/>
        <v/>
      </c>
      <c r="H40" s="4243">
        <f t="shared" si="19"/>
        <v>0</v>
      </c>
      <c r="I40" s="97" t="str">
        <f t="shared" ca="1" si="20"/>
        <v/>
      </c>
      <c r="J40" s="99">
        <f t="shared" si="21"/>
        <v>0</v>
      </c>
      <c r="K40" s="3">
        <f t="shared" si="21"/>
        <v>0</v>
      </c>
      <c r="L40" s="77" t="str">
        <f t="shared" ca="1" si="21"/>
        <v/>
      </c>
      <c r="M40" s="77" t="str">
        <f t="shared" ca="1" si="21"/>
        <v/>
      </c>
      <c r="N40" s="77" t="str">
        <f t="shared" ca="1" si="21"/>
        <v/>
      </c>
      <c r="O40" s="276" t="str">
        <f t="shared" ca="1" si="21"/>
        <v/>
      </c>
      <c r="P40" s="98" t="str">
        <f t="shared" ca="1" si="22"/>
        <v/>
      </c>
      <c r="Q40" s="276" t="str">
        <f t="shared" ca="1" si="23"/>
        <v/>
      </c>
      <c r="R40" s="276" t="str">
        <f t="shared" ca="1" si="24"/>
        <v/>
      </c>
      <c r="S40" s="276" t="str">
        <f t="shared" ca="1" si="24"/>
        <v/>
      </c>
      <c r="T40" s="276"/>
      <c r="U40" s="740" t="str">
        <f t="shared" ca="1" si="25"/>
        <v/>
      </c>
      <c r="V40" s="739" t="str">
        <f t="shared" ca="1" si="25"/>
        <v/>
      </c>
      <c r="W40" s="740" t="str">
        <f t="shared" ca="1" si="25"/>
        <v/>
      </c>
      <c r="X40" s="1429" t="str">
        <f t="shared" ca="1" si="26"/>
        <v/>
      </c>
    </row>
    <row r="41" spans="1:35" s="15" customFormat="1" ht="18" customHeight="1">
      <c r="A41" s="103" t="str">
        <f t="shared" ca="1" si="16"/>
        <v/>
      </c>
      <c r="B41" s="7" t="str">
        <f t="shared" ca="1" si="16"/>
        <v/>
      </c>
      <c r="C41" s="8" t="str">
        <f t="shared" ca="1" si="16"/>
        <v/>
      </c>
      <c r="D41" s="9" t="str">
        <f t="shared" ca="1" si="16"/>
        <v/>
      </c>
      <c r="E41" s="10" t="str">
        <f t="shared" ca="1" si="17"/>
        <v/>
      </c>
      <c r="F41" s="4241" t="str">
        <f t="shared" ca="1" si="18"/>
        <v/>
      </c>
      <c r="G41" s="4242" t="str">
        <f t="shared" ca="1" si="19"/>
        <v/>
      </c>
      <c r="H41" s="4243">
        <f t="shared" si="19"/>
        <v>0</v>
      </c>
      <c r="I41" s="97" t="str">
        <f t="shared" ca="1" si="20"/>
        <v/>
      </c>
      <c r="J41" s="99">
        <f t="shared" ref="J41:O46" si="27">IF($N$3="ok",J87,J134)</f>
        <v>0</v>
      </c>
      <c r="K41" s="3">
        <f t="shared" si="27"/>
        <v>0</v>
      </c>
      <c r="L41" s="77" t="str">
        <f t="shared" ca="1" si="27"/>
        <v/>
      </c>
      <c r="M41" s="77" t="str">
        <f t="shared" ca="1" si="27"/>
        <v/>
      </c>
      <c r="N41" s="77" t="str">
        <f t="shared" ca="1" si="27"/>
        <v/>
      </c>
      <c r="O41" s="276" t="str">
        <f t="shared" ca="1" si="27"/>
        <v/>
      </c>
      <c r="P41" s="98" t="str">
        <f t="shared" ca="1" si="22"/>
        <v/>
      </c>
      <c r="Q41" s="276" t="str">
        <f t="shared" ca="1" si="23"/>
        <v/>
      </c>
      <c r="R41" s="276" t="str">
        <f t="shared" ca="1" si="24"/>
        <v/>
      </c>
      <c r="S41" s="276" t="str">
        <f t="shared" ca="1" si="24"/>
        <v/>
      </c>
      <c r="T41" s="276"/>
      <c r="U41" s="740" t="str">
        <f t="shared" ca="1" si="25"/>
        <v/>
      </c>
      <c r="V41" s="739" t="str">
        <f t="shared" ca="1" si="25"/>
        <v/>
      </c>
      <c r="W41" s="740" t="str">
        <f t="shared" ca="1" si="25"/>
        <v/>
      </c>
      <c r="X41" s="1429" t="str">
        <f t="shared" ca="1" si="26"/>
        <v/>
      </c>
    </row>
    <row r="42" spans="1:35" ht="18" customHeight="1">
      <c r="A42" s="103" t="str">
        <f t="shared" ca="1" si="16"/>
        <v/>
      </c>
      <c r="B42" s="7" t="str">
        <f t="shared" ca="1" si="16"/>
        <v/>
      </c>
      <c r="C42" s="8" t="str">
        <f t="shared" ca="1" si="16"/>
        <v/>
      </c>
      <c r="D42" s="9" t="str">
        <f t="shared" ca="1" si="16"/>
        <v/>
      </c>
      <c r="E42" s="10" t="str">
        <f t="shared" ca="1" si="17"/>
        <v/>
      </c>
      <c r="F42" s="4241" t="str">
        <f t="shared" ca="1" si="18"/>
        <v/>
      </c>
      <c r="G42" s="4242" t="str">
        <f t="shared" ca="1" si="19"/>
        <v/>
      </c>
      <c r="H42" s="4243">
        <f t="shared" si="19"/>
        <v>0</v>
      </c>
      <c r="I42" s="97" t="str">
        <f t="shared" ca="1" si="20"/>
        <v/>
      </c>
      <c r="J42" s="99">
        <f t="shared" si="27"/>
        <v>0</v>
      </c>
      <c r="K42" s="3">
        <f t="shared" si="27"/>
        <v>0</v>
      </c>
      <c r="L42" s="77" t="str">
        <f t="shared" ca="1" si="27"/>
        <v/>
      </c>
      <c r="M42" s="77" t="str">
        <f t="shared" ca="1" si="27"/>
        <v/>
      </c>
      <c r="N42" s="77" t="str">
        <f t="shared" ca="1" si="27"/>
        <v/>
      </c>
      <c r="O42" s="276" t="str">
        <f t="shared" ca="1" si="27"/>
        <v/>
      </c>
      <c r="P42" s="98" t="str">
        <f t="shared" ca="1" si="22"/>
        <v/>
      </c>
      <c r="Q42" s="276" t="str">
        <f t="shared" ca="1" si="23"/>
        <v/>
      </c>
      <c r="R42" s="276" t="str">
        <f t="shared" ca="1" si="24"/>
        <v/>
      </c>
      <c r="S42" s="276" t="str">
        <f t="shared" ca="1" si="24"/>
        <v/>
      </c>
      <c r="T42" s="276"/>
      <c r="U42" s="740" t="str">
        <f t="shared" ca="1" si="25"/>
        <v/>
      </c>
      <c r="V42" s="739" t="str">
        <f t="shared" ca="1" si="25"/>
        <v/>
      </c>
      <c r="W42" s="740" t="str">
        <f t="shared" ca="1" si="25"/>
        <v/>
      </c>
      <c r="X42" s="1429" t="str">
        <f t="shared" ca="1" si="26"/>
        <v/>
      </c>
      <c r="Y42" s="15"/>
      <c r="Z42" s="15"/>
      <c r="AA42" s="15"/>
    </row>
    <row r="43" spans="1:35" ht="18" customHeight="1">
      <c r="A43" s="103" t="str">
        <f t="shared" ca="1" si="16"/>
        <v/>
      </c>
      <c r="B43" s="7" t="str">
        <f t="shared" ca="1" si="16"/>
        <v/>
      </c>
      <c r="C43" s="8" t="str">
        <f t="shared" ca="1" si="16"/>
        <v/>
      </c>
      <c r="D43" s="9" t="str">
        <f t="shared" ca="1" si="16"/>
        <v/>
      </c>
      <c r="E43" s="10" t="str">
        <f t="shared" ca="1" si="17"/>
        <v/>
      </c>
      <c r="F43" s="4241" t="str">
        <f t="shared" ca="1" si="18"/>
        <v/>
      </c>
      <c r="G43" s="4242" t="str">
        <f t="shared" ca="1" si="19"/>
        <v/>
      </c>
      <c r="H43" s="4243">
        <f t="shared" si="19"/>
        <v>0</v>
      </c>
      <c r="I43" s="97" t="str">
        <f t="shared" ca="1" si="20"/>
        <v/>
      </c>
      <c r="J43" s="99">
        <f t="shared" si="27"/>
        <v>0</v>
      </c>
      <c r="K43" s="3">
        <f t="shared" si="27"/>
        <v>0</v>
      </c>
      <c r="L43" s="77" t="str">
        <f t="shared" ca="1" si="27"/>
        <v/>
      </c>
      <c r="M43" s="77" t="str">
        <f t="shared" ca="1" si="27"/>
        <v/>
      </c>
      <c r="N43" s="77" t="str">
        <f t="shared" ca="1" si="27"/>
        <v/>
      </c>
      <c r="O43" s="276" t="str">
        <f t="shared" ca="1" si="27"/>
        <v/>
      </c>
      <c r="P43" s="98" t="str">
        <f t="shared" ca="1" si="22"/>
        <v/>
      </c>
      <c r="Q43" s="276" t="str">
        <f t="shared" ca="1" si="23"/>
        <v/>
      </c>
      <c r="R43" s="276" t="str">
        <f t="shared" ca="1" si="24"/>
        <v/>
      </c>
      <c r="S43" s="276" t="str">
        <f t="shared" ca="1" si="24"/>
        <v/>
      </c>
      <c r="T43" s="276"/>
      <c r="U43" s="740" t="str">
        <f t="shared" ca="1" si="25"/>
        <v/>
      </c>
      <c r="V43" s="739" t="str">
        <f t="shared" ca="1" si="25"/>
        <v/>
      </c>
      <c r="W43" s="740" t="str">
        <f t="shared" ca="1" si="25"/>
        <v/>
      </c>
      <c r="X43" s="1429" t="str">
        <f t="shared" ca="1" si="26"/>
        <v/>
      </c>
      <c r="Y43" s="15"/>
      <c r="Z43" s="15"/>
      <c r="AA43" s="15"/>
    </row>
    <row r="44" spans="1:35" ht="18" customHeight="1">
      <c r="A44" s="103" t="str">
        <f t="shared" ca="1" si="16"/>
        <v/>
      </c>
      <c r="B44" s="7" t="str">
        <f t="shared" ca="1" si="16"/>
        <v/>
      </c>
      <c r="C44" s="8" t="str">
        <f t="shared" ca="1" si="16"/>
        <v/>
      </c>
      <c r="D44" s="9" t="str">
        <f t="shared" ca="1" si="16"/>
        <v/>
      </c>
      <c r="E44" s="10" t="str">
        <f t="shared" ca="1" si="17"/>
        <v/>
      </c>
      <c r="F44" s="4241" t="str">
        <f t="shared" ca="1" si="18"/>
        <v/>
      </c>
      <c r="G44" s="4242" t="str">
        <f t="shared" ca="1" si="19"/>
        <v/>
      </c>
      <c r="H44" s="4243">
        <f t="shared" si="19"/>
        <v>0</v>
      </c>
      <c r="I44" s="97" t="str">
        <f t="shared" ca="1" si="20"/>
        <v/>
      </c>
      <c r="J44" s="99">
        <f t="shared" si="27"/>
        <v>0</v>
      </c>
      <c r="K44" s="3">
        <f t="shared" si="27"/>
        <v>0</v>
      </c>
      <c r="L44" s="77" t="str">
        <f t="shared" ca="1" si="27"/>
        <v/>
      </c>
      <c r="M44" s="77" t="str">
        <f t="shared" ca="1" si="27"/>
        <v/>
      </c>
      <c r="N44" s="77" t="str">
        <f t="shared" ca="1" si="27"/>
        <v/>
      </c>
      <c r="O44" s="276" t="str">
        <f t="shared" ca="1" si="27"/>
        <v/>
      </c>
      <c r="P44" s="98" t="str">
        <f t="shared" ca="1" si="22"/>
        <v/>
      </c>
      <c r="Q44" s="276" t="str">
        <f t="shared" ca="1" si="23"/>
        <v/>
      </c>
      <c r="R44" s="276" t="str">
        <f t="shared" ca="1" si="24"/>
        <v/>
      </c>
      <c r="S44" s="276" t="str">
        <f t="shared" ca="1" si="24"/>
        <v/>
      </c>
      <c r="T44" s="276"/>
      <c r="U44" s="740" t="str">
        <f t="shared" ca="1" si="25"/>
        <v/>
      </c>
      <c r="V44" s="739" t="str">
        <f t="shared" ca="1" si="25"/>
        <v/>
      </c>
      <c r="W44" s="740" t="str">
        <f t="shared" ca="1" si="25"/>
        <v/>
      </c>
      <c r="X44" s="1429" t="str">
        <f t="shared" ca="1" si="26"/>
        <v/>
      </c>
      <c r="Y44" s="15"/>
      <c r="Z44" s="15"/>
      <c r="AA44" s="15"/>
    </row>
    <row r="45" spans="1:35" ht="18" customHeight="1">
      <c r="A45" s="103" t="str">
        <f t="shared" ca="1" si="16"/>
        <v/>
      </c>
      <c r="B45" s="7" t="str">
        <f t="shared" ca="1" si="16"/>
        <v/>
      </c>
      <c r="C45" s="8" t="str">
        <f t="shared" ca="1" si="16"/>
        <v/>
      </c>
      <c r="D45" s="9" t="str">
        <f t="shared" ca="1" si="16"/>
        <v/>
      </c>
      <c r="E45" s="10" t="str">
        <f t="shared" ca="1" si="17"/>
        <v/>
      </c>
      <c r="F45" s="4241" t="str">
        <f t="shared" ca="1" si="18"/>
        <v/>
      </c>
      <c r="G45" s="4242" t="str">
        <f t="shared" ca="1" si="19"/>
        <v/>
      </c>
      <c r="H45" s="4243">
        <f t="shared" si="19"/>
        <v>0</v>
      </c>
      <c r="I45" s="97" t="str">
        <f t="shared" ca="1" si="20"/>
        <v/>
      </c>
      <c r="J45" s="99">
        <f t="shared" si="27"/>
        <v>0</v>
      </c>
      <c r="K45" s="3">
        <f t="shared" si="27"/>
        <v>0</v>
      </c>
      <c r="L45" s="77" t="str">
        <f t="shared" ca="1" si="27"/>
        <v/>
      </c>
      <c r="M45" s="77" t="str">
        <f t="shared" ca="1" si="27"/>
        <v/>
      </c>
      <c r="N45" s="77" t="str">
        <f t="shared" ca="1" si="27"/>
        <v/>
      </c>
      <c r="O45" s="276" t="str">
        <f t="shared" ca="1" si="27"/>
        <v/>
      </c>
      <c r="P45" s="98" t="str">
        <f t="shared" ca="1" si="22"/>
        <v/>
      </c>
      <c r="Q45" s="276" t="str">
        <f t="shared" ca="1" si="23"/>
        <v/>
      </c>
      <c r="R45" s="276" t="str">
        <f t="shared" ca="1" si="24"/>
        <v/>
      </c>
      <c r="S45" s="276" t="str">
        <f t="shared" ca="1" si="24"/>
        <v/>
      </c>
      <c r="T45" s="276"/>
      <c r="U45" s="740" t="str">
        <f t="shared" ca="1" si="25"/>
        <v/>
      </c>
      <c r="V45" s="739" t="str">
        <f t="shared" ca="1" si="25"/>
        <v/>
      </c>
      <c r="W45" s="740" t="str">
        <f t="shared" ca="1" si="25"/>
        <v/>
      </c>
      <c r="X45" s="1429" t="str">
        <f t="shared" ca="1" si="26"/>
        <v/>
      </c>
      <c r="Y45" s="15"/>
      <c r="Z45" s="15"/>
      <c r="AA45" s="15"/>
    </row>
    <row r="46" spans="1:35" ht="18" customHeight="1">
      <c r="A46" s="103" t="str">
        <f t="shared" ca="1" si="16"/>
        <v/>
      </c>
      <c r="B46" s="7" t="str">
        <f t="shared" ca="1" si="16"/>
        <v/>
      </c>
      <c r="C46" s="8" t="str">
        <f t="shared" ca="1" si="16"/>
        <v/>
      </c>
      <c r="D46" s="9" t="str">
        <f t="shared" ca="1" si="16"/>
        <v/>
      </c>
      <c r="E46" s="10" t="str">
        <f t="shared" ca="1" si="17"/>
        <v/>
      </c>
      <c r="F46" s="4241" t="str">
        <f t="shared" ca="1" si="18"/>
        <v/>
      </c>
      <c r="G46" s="4242" t="str">
        <f t="shared" ca="1" si="19"/>
        <v/>
      </c>
      <c r="H46" s="4243">
        <f t="shared" si="19"/>
        <v>0</v>
      </c>
      <c r="I46" s="97" t="str">
        <f t="shared" ca="1" si="20"/>
        <v/>
      </c>
      <c r="J46" s="99">
        <f t="shared" si="27"/>
        <v>0</v>
      </c>
      <c r="K46" s="3">
        <f t="shared" si="27"/>
        <v>0</v>
      </c>
      <c r="L46" s="77" t="str">
        <f t="shared" ca="1" si="27"/>
        <v/>
      </c>
      <c r="M46" s="77" t="str">
        <f t="shared" ca="1" si="27"/>
        <v/>
      </c>
      <c r="N46" s="77" t="str">
        <f t="shared" ca="1" si="27"/>
        <v/>
      </c>
      <c r="O46" s="276" t="str">
        <f t="shared" ca="1" si="27"/>
        <v/>
      </c>
      <c r="P46" s="98" t="str">
        <f t="shared" ca="1" si="22"/>
        <v/>
      </c>
      <c r="Q46" s="276" t="str">
        <f t="shared" ca="1" si="23"/>
        <v/>
      </c>
      <c r="R46" s="276" t="str">
        <f t="shared" ca="1" si="24"/>
        <v/>
      </c>
      <c r="S46" s="276" t="str">
        <f t="shared" ca="1" si="24"/>
        <v/>
      </c>
      <c r="T46" s="276"/>
      <c r="U46" s="740" t="str">
        <f t="shared" ca="1" si="25"/>
        <v/>
      </c>
      <c r="V46" s="739" t="str">
        <f t="shared" ca="1" si="25"/>
        <v/>
      </c>
      <c r="W46" s="740" t="str">
        <f t="shared" ca="1" si="25"/>
        <v/>
      </c>
      <c r="X46" s="1429" t="str">
        <f t="shared" ca="1" si="26"/>
        <v/>
      </c>
      <c r="Y46" s="15"/>
      <c r="Z46" s="15"/>
      <c r="AA46" s="15"/>
    </row>
    <row r="47" spans="1:35" ht="20.25" customHeight="1">
      <c r="A47" s="15"/>
      <c r="B47" s="15"/>
      <c r="C47" s="15"/>
      <c r="D47" s="15"/>
      <c r="E47" s="15"/>
      <c r="F47" s="15"/>
      <c r="G47" s="15"/>
      <c r="H47" s="15"/>
      <c r="I47" s="15"/>
      <c r="J47" s="15"/>
      <c r="K47" s="15"/>
      <c r="L47" s="15"/>
      <c r="M47" s="15"/>
      <c r="N47" s="15"/>
      <c r="O47" s="15"/>
      <c r="P47" s="15"/>
      <c r="Q47" s="15"/>
      <c r="R47" s="15"/>
      <c r="S47" s="15"/>
      <c r="T47" s="15"/>
      <c r="U47" s="739"/>
      <c r="V47" s="739" t="s">
        <v>94</v>
      </c>
      <c r="W47" s="740">
        <f ca="1">SUM(W31:W46)</f>
        <v>0</v>
      </c>
      <c r="X47" s="142"/>
      <c r="Y47" s="15"/>
      <c r="Z47" s="15"/>
      <c r="AA47" s="15"/>
    </row>
    <row r="48" spans="1:35">
      <c r="A48" s="2694"/>
      <c r="B48" s="2694"/>
      <c r="C48" s="2694"/>
      <c r="D48" s="2694"/>
      <c r="E48" s="2694"/>
      <c r="F48" s="2694"/>
      <c r="G48" s="2694"/>
      <c r="H48" s="2694"/>
      <c r="I48" s="2694"/>
      <c r="J48" s="2694"/>
      <c r="K48" s="2694"/>
      <c r="L48" s="2694"/>
      <c r="M48" s="2694"/>
      <c r="N48" s="2694"/>
      <c r="O48" s="2694"/>
      <c r="P48" s="2694"/>
      <c r="Q48" s="2694"/>
      <c r="R48" s="2694"/>
      <c r="S48" s="2694"/>
      <c r="T48" s="2694"/>
      <c r="U48" s="2694"/>
      <c r="V48" s="2694"/>
      <c r="W48" s="2694"/>
      <c r="X48" s="2694"/>
      <c r="Y48" s="2694"/>
      <c r="Z48" s="2694"/>
      <c r="AA48" s="2694"/>
      <c r="AB48" s="566"/>
      <c r="AC48" s="566"/>
      <c r="AD48" s="566"/>
      <c r="AE48" s="566"/>
      <c r="AF48" s="566"/>
      <c r="AG48" s="566"/>
      <c r="AH48" s="566"/>
      <c r="AI48" s="566"/>
    </row>
    <row r="49" spans="1:38" ht="17.399999999999999">
      <c r="A49" s="718" t="s">
        <v>51</v>
      </c>
      <c r="B49" s="718"/>
      <c r="C49" s="718"/>
      <c r="D49" s="566"/>
      <c r="E49" s="566"/>
      <c r="F49" s="566"/>
      <c r="G49" s="566"/>
      <c r="H49" s="566"/>
      <c r="I49" s="566"/>
      <c r="J49" s="566"/>
      <c r="K49" s="566"/>
      <c r="L49" s="566"/>
      <c r="M49" s="566"/>
      <c r="N49" s="566"/>
      <c r="O49" s="566"/>
      <c r="P49" s="719" t="e">
        <f>'2a Chefeingaben'!#REF!</f>
        <v>#REF!</v>
      </c>
      <c r="Q49" s="566"/>
      <c r="R49" s="566"/>
      <c r="S49" s="566"/>
      <c r="T49" s="566"/>
      <c r="U49" s="566"/>
      <c r="V49" s="566"/>
      <c r="W49" s="566"/>
      <c r="X49" s="566"/>
      <c r="Y49" s="566"/>
      <c r="Z49" s="566"/>
      <c r="AA49" s="566"/>
      <c r="AB49" s="566"/>
      <c r="AC49" s="566"/>
      <c r="AD49" s="566"/>
      <c r="AE49" s="566"/>
      <c r="AF49" s="566"/>
      <c r="AG49" s="566"/>
      <c r="AH49" s="566"/>
      <c r="AI49" s="566"/>
      <c r="AJ49" s="267"/>
      <c r="AK49" s="267"/>
      <c r="AL49" s="267"/>
    </row>
    <row r="50" spans="1:38" ht="82.5" customHeight="1">
      <c r="A50" s="2977" t="str">
        <f ca="1">C56</f>
        <v/>
      </c>
      <c r="B50" s="4186" t="s">
        <v>511</v>
      </c>
      <c r="C50" s="4186"/>
      <c r="D50" s="4186"/>
      <c r="E50" s="4186"/>
      <c r="F50" s="4186"/>
      <c r="G50" s="4186"/>
      <c r="H50" s="4186"/>
      <c r="I50" s="4186"/>
      <c r="J50" s="4186"/>
      <c r="K50" s="4186"/>
      <c r="L50" s="4186"/>
      <c r="M50" s="4186"/>
      <c r="N50" s="4186"/>
      <c r="O50" s="4186"/>
      <c r="P50" s="4186"/>
      <c r="Q50" s="4186"/>
      <c r="R50" s="4186"/>
      <c r="S50" s="4186"/>
      <c r="T50" s="4186"/>
      <c r="U50" s="4186"/>
      <c r="V50" s="2978"/>
      <c r="W50" s="2978"/>
      <c r="X50" s="566"/>
      <c r="Y50" s="566"/>
      <c r="Z50" s="566"/>
      <c r="AA50" s="566"/>
      <c r="AB50" s="566"/>
      <c r="AC50" s="566"/>
      <c r="AD50" s="566"/>
      <c r="AE50" s="566"/>
      <c r="AF50" s="566"/>
      <c r="AG50" s="566"/>
      <c r="AH50" s="566"/>
      <c r="AI50" s="566"/>
      <c r="AJ50" s="267"/>
      <c r="AK50" s="267"/>
      <c r="AL50" s="267"/>
    </row>
    <row r="51" spans="1:38" ht="57.75" customHeight="1">
      <c r="A51" s="4180" t="s">
        <v>512</v>
      </c>
      <c r="B51" s="4181"/>
      <c r="C51" s="4181"/>
      <c r="D51" s="4181"/>
      <c r="E51" s="4181"/>
      <c r="F51" s="4181"/>
      <c r="G51" s="4181"/>
      <c r="H51" s="4181"/>
      <c r="I51" s="4181"/>
      <c r="J51" s="4181"/>
      <c r="K51" s="4181"/>
      <c r="L51" s="4181"/>
      <c r="M51" s="4181"/>
      <c r="N51" s="4181"/>
      <c r="O51" s="4181"/>
      <c r="P51" s="4181"/>
      <c r="Q51" s="4181"/>
      <c r="R51" s="4181"/>
      <c r="S51" s="4181"/>
      <c r="T51" s="4181"/>
      <c r="U51" s="4181"/>
      <c r="V51" s="4181"/>
      <c r="W51" s="4182"/>
      <c r="X51" s="267"/>
      <c r="Y51" s="267"/>
      <c r="Z51" s="267"/>
      <c r="AA51" s="267"/>
      <c r="AB51" s="267"/>
      <c r="AC51" s="267"/>
      <c r="AD51" s="566"/>
      <c r="AE51" s="566"/>
      <c r="AF51" s="566"/>
      <c r="AG51" s="566"/>
      <c r="AH51" s="566"/>
      <c r="AI51" s="566"/>
      <c r="AJ51" s="267"/>
      <c r="AK51" s="267"/>
      <c r="AL51" s="267"/>
    </row>
    <row r="52" spans="1:38" ht="24.75" customHeight="1">
      <c r="A52" s="4187" t="e">
        <f>IF(#REF!="","Sie haben keinen Verkaufsumsatz für den Salon geplant, er wurde mit 4% eingesetzt","")</f>
        <v>#REF!</v>
      </c>
      <c r="B52" s="4187"/>
      <c r="C52" s="4187"/>
      <c r="D52" s="4187"/>
      <c r="E52" s="4187"/>
      <c r="F52" s="267"/>
      <c r="G52" s="1439" t="str">
        <f>IF(G53="","","% aus Planung")</f>
        <v>% aus Planung</v>
      </c>
      <c r="H52" s="267"/>
      <c r="I52" s="4188"/>
      <c r="J52" s="4188"/>
      <c r="K52" s="4188"/>
      <c r="L52" s="4188"/>
      <c r="M52" s="4188"/>
      <c r="N52" s="4188"/>
      <c r="O52" s="1348"/>
      <c r="P52" s="267"/>
      <c r="Q52" s="267"/>
      <c r="R52" s="615" t="s">
        <v>209</v>
      </c>
      <c r="S52" s="267"/>
      <c r="T52" s="1148"/>
      <c r="U52" s="267"/>
      <c r="V52" s="267"/>
      <c r="W52" s="267"/>
      <c r="X52" s="267"/>
      <c r="Y52" s="267"/>
      <c r="Z52" s="267"/>
      <c r="AA52" s="267"/>
      <c r="AB52" s="267"/>
      <c r="AC52" s="267"/>
      <c r="AD52" s="566"/>
      <c r="AE52" s="566"/>
      <c r="AF52" s="566"/>
      <c r="AG52" s="566"/>
      <c r="AH52" s="566"/>
      <c r="AI52" s="566"/>
      <c r="AJ52" s="267"/>
      <c r="AK52" s="267"/>
      <c r="AL52" s="267"/>
    </row>
    <row r="53" spans="1:38" ht="17.25" customHeight="1">
      <c r="A53" s="4189" t="s">
        <v>53</v>
      </c>
      <c r="B53" s="4201" t="s">
        <v>55</v>
      </c>
      <c r="C53" s="4201" t="s">
        <v>49</v>
      </c>
      <c r="D53" s="4201" t="s">
        <v>56</v>
      </c>
      <c r="E53" s="4191" t="s">
        <v>80</v>
      </c>
      <c r="F53" s="2979" t="s">
        <v>17</v>
      </c>
      <c r="G53" s="2980">
        <f>'18 Zielumsatz Planungsjahr'!AA10</f>
        <v>5.5021555102258946</v>
      </c>
      <c r="H53" s="1440" t="s">
        <v>28</v>
      </c>
      <c r="I53" s="4191" t="s">
        <v>57</v>
      </c>
      <c r="J53" s="267"/>
      <c r="K53" s="267"/>
      <c r="L53" s="1441">
        <f>'4 Eingabe Friseure'!J4</f>
        <v>40</v>
      </c>
      <c r="M53" s="4204" t="s">
        <v>70</v>
      </c>
      <c r="N53" s="4204" t="s">
        <v>70</v>
      </c>
      <c r="O53" s="1442">
        <v>4.33</v>
      </c>
      <c r="P53" s="267"/>
      <c r="Q53" s="267"/>
      <c r="R53" s="267"/>
      <c r="S53" s="267"/>
      <c r="T53" s="1148" t="s">
        <v>210</v>
      </c>
      <c r="U53" s="267"/>
      <c r="V53" s="267"/>
      <c r="W53" s="267"/>
      <c r="X53" s="267"/>
      <c r="Y53" s="267"/>
      <c r="Z53" s="267"/>
      <c r="AA53" s="267"/>
      <c r="AB53" s="267"/>
      <c r="AC53" s="267"/>
      <c r="AD53" s="566"/>
      <c r="AE53" s="566"/>
      <c r="AF53" s="566"/>
      <c r="AG53" s="566"/>
      <c r="AH53" s="566"/>
      <c r="AI53" s="566"/>
      <c r="AJ53" s="267"/>
      <c r="AK53" s="267"/>
      <c r="AL53" s="267"/>
    </row>
    <row r="54" spans="1:38" ht="17.25" customHeight="1">
      <c r="A54" s="4189"/>
      <c r="B54" s="4201"/>
      <c r="C54" s="4201"/>
      <c r="D54" s="4201"/>
      <c r="E54" s="4191"/>
      <c r="F54" s="4191" t="s">
        <v>198</v>
      </c>
      <c r="G54" s="4192"/>
      <c r="H54" s="4193"/>
      <c r="I54" s="4191"/>
      <c r="J54" s="267"/>
      <c r="K54" s="267"/>
      <c r="L54" s="1443" t="s">
        <v>60</v>
      </c>
      <c r="M54" s="4204"/>
      <c r="N54" s="4204"/>
      <c r="O54" s="1444" t="s">
        <v>93</v>
      </c>
      <c r="P54" s="2981" t="s">
        <v>61</v>
      </c>
      <c r="Q54" s="920" t="s">
        <v>61</v>
      </c>
      <c r="R54" s="920" t="s">
        <v>61</v>
      </c>
      <c r="S54" s="920" t="s">
        <v>64</v>
      </c>
      <c r="T54" s="2982">
        <f>U6</f>
        <v>0.2</v>
      </c>
      <c r="U54" s="641"/>
      <c r="V54" s="267"/>
      <c r="W54" s="267"/>
      <c r="X54" s="267"/>
      <c r="Y54" s="267"/>
      <c r="Z54" s="267"/>
      <c r="AA54" s="2983"/>
      <c r="AB54" s="267"/>
      <c r="AC54" s="267"/>
      <c r="AD54" s="566"/>
      <c r="AE54" s="566"/>
      <c r="AF54" s="566"/>
      <c r="AG54" s="566"/>
      <c r="AH54" s="566"/>
      <c r="AI54" s="566"/>
      <c r="AJ54" s="267"/>
      <c r="AK54" s="267"/>
      <c r="AL54" s="267"/>
    </row>
    <row r="55" spans="1:38" ht="17.25" customHeight="1" thickBot="1">
      <c r="A55" s="4190"/>
      <c r="B55" s="4202"/>
      <c r="C55" s="4202"/>
      <c r="D55" s="4202"/>
      <c r="E55" s="4203"/>
      <c r="F55" s="4194"/>
      <c r="G55" s="4195"/>
      <c r="H55" s="4196"/>
      <c r="I55" s="4203"/>
      <c r="J55" s="267"/>
      <c r="K55" s="267"/>
      <c r="L55" s="1445">
        <f>ROUND(L53*4.33,0)</f>
        <v>173</v>
      </c>
      <c r="M55" s="1445" t="s">
        <v>69</v>
      </c>
      <c r="N55" s="1446"/>
      <c r="O55" s="2984"/>
      <c r="P55" s="2985" t="s">
        <v>67</v>
      </c>
      <c r="Q55" s="2986" t="s">
        <v>62</v>
      </c>
      <c r="R55" s="2986" t="s">
        <v>63</v>
      </c>
      <c r="S55" s="2986" t="s">
        <v>65</v>
      </c>
      <c r="T55" s="267" t="s">
        <v>89</v>
      </c>
      <c r="U55" s="4205" t="s">
        <v>106</v>
      </c>
      <c r="V55" s="4205"/>
      <c r="W55" s="1447" t="s">
        <v>121</v>
      </c>
      <c r="X55" s="267"/>
      <c r="Y55" s="267"/>
      <c r="Z55" s="267"/>
      <c r="AA55" s="2983"/>
      <c r="AB55" s="267"/>
      <c r="AC55" s="267"/>
      <c r="AD55" s="566"/>
      <c r="AE55" s="566"/>
      <c r="AF55" s="566"/>
      <c r="AG55" s="566"/>
      <c r="AH55" s="566"/>
      <c r="AI55" s="566"/>
      <c r="AJ55" s="267"/>
      <c r="AK55" s="267"/>
      <c r="AL55" s="267"/>
    </row>
    <row r="56" spans="1:38" ht="18" customHeight="1">
      <c r="A56" s="1448" t="str">
        <f ca="1">IF('21 Lohnfaktor'!C7=0,"",IF('21 Lohnfaktor'!B7=0,"",'21 Lohnfaktor'!B7))</f>
        <v>Maria</v>
      </c>
      <c r="B56" s="1449">
        <f ca="1">IF('21 Lohnfaktor'!C7=0,"",'21 Lohnfaktor'!C7)</f>
        <v>2515.6359500000003</v>
      </c>
      <c r="C56" s="1450" t="str">
        <f ca="1">IF(A56="","",$M$3)</f>
        <v/>
      </c>
      <c r="D56" s="1451" t="e">
        <f t="shared" ref="D56:D71" ca="1" si="28">IF(A56="","",(ROUND(IF(A56="","",C56*B56),0)))</f>
        <v>#VALUE!</v>
      </c>
      <c r="E56" s="1452" t="e">
        <f ca="1">IF(A56="","",(ROUND(IF(A56="","",D56/N56),2)))</f>
        <v>#VALUE!</v>
      </c>
      <c r="F56" s="4197" t="e">
        <f ca="1">IF(A56="","",IF($F$54="","",I56*$G$53%))</f>
        <v>#VALUE!</v>
      </c>
      <c r="G56" s="4198"/>
      <c r="H56" s="4199"/>
      <c r="I56" s="1453" t="e">
        <f ca="1">IF(A56="","",IF(D56="",E56,E56/(100-G$53)*100))</f>
        <v>#VALUE!</v>
      </c>
      <c r="J56" s="267"/>
      <c r="K56" s="267"/>
      <c r="L56" s="1446">
        <f ca="1">IF(A56="","",'4 Eingabe Friseure'!BB10)</f>
        <v>39.5</v>
      </c>
      <c r="M56" s="1446">
        <f ca="1">IF(A56="","",'4 Eingabe Friseure'!BC10)</f>
        <v>5</v>
      </c>
      <c r="N56" s="1446">
        <f ca="1">IF(A56="","",IF(M56=5,21,IF(M56=6,25,M56*4.33)))</f>
        <v>21</v>
      </c>
      <c r="O56" s="1451" t="e">
        <f ca="1">IF(A56="","",D56/(100-$G$53)*100)</f>
        <v>#VALUE!</v>
      </c>
      <c r="P56" s="1454" t="e">
        <f t="shared" ref="P56:P73" ca="1" si="29">IF(A56="","",(ROUND((O56/(N56)),2)))</f>
        <v>#VALUE!</v>
      </c>
      <c r="Q56" s="1451" t="e">
        <f t="shared" ref="Q56:Q73" ca="1" si="30">IF(A56="","",O56/4.33)</f>
        <v>#VALUE!</v>
      </c>
      <c r="R56" s="1455" t="e">
        <f t="shared" ref="R56:R73" ca="1" si="31">IF(A56="","",Q56/L56)</f>
        <v>#VALUE!</v>
      </c>
      <c r="S56" s="1455">
        <f t="shared" ref="S56:S71" ca="1" si="32">IF(A56="","",B56/(L56*4.33))</f>
        <v>14.708310872043736</v>
      </c>
      <c r="T56" s="1456" t="e">
        <f t="shared" ref="T56:T73" ca="1" si="33">IF(A56="","",R56/(L56-(L56*$T$54))*L56)</f>
        <v>#VALUE!</v>
      </c>
      <c r="U56" s="1457" t="str">
        <f t="shared" ref="U56:U71" ca="1" si="34">A56</f>
        <v>Maria</v>
      </c>
      <c r="V56" s="1458" t="e">
        <f t="shared" ref="V56:V71" ca="1" si="35">IF(U56="","",N56*W56*I56)</f>
        <v>#VALUE!</v>
      </c>
      <c r="W56" s="2987">
        <f ca="1">IF(A56="","",IF('4 Eingabe Friseure'!BG10&gt;10,10,'4 Eingabe Friseure'!BG10/12*10))</f>
        <v>10</v>
      </c>
      <c r="X56" s="267"/>
      <c r="Y56" s="267">
        <v>58195.200000000004</v>
      </c>
      <c r="Z56" s="1163" t="e">
        <f ca="1">Y56-V56</f>
        <v>#VALUE!</v>
      </c>
      <c r="AA56" s="2988"/>
      <c r="AB56" s="267"/>
      <c r="AC56" s="267"/>
      <c r="AD56" s="566"/>
      <c r="AE56" s="566"/>
      <c r="AF56" s="566"/>
      <c r="AG56" s="566"/>
      <c r="AH56" s="566"/>
      <c r="AI56" s="566"/>
      <c r="AJ56" s="267"/>
      <c r="AK56" s="267"/>
      <c r="AL56" s="267"/>
    </row>
    <row r="57" spans="1:38" ht="18" customHeight="1">
      <c r="A57" s="1459" t="str">
        <f ca="1">IF('21 Lohnfaktor'!C8=0,"",IF('21 Lohnfaktor'!B8=0,"",'21 Lohnfaktor'!B8))</f>
        <v>Jutta</v>
      </c>
      <c r="B57" s="1449">
        <f ca="1">IF('21 Lohnfaktor'!C8=0,"",'21 Lohnfaktor'!C8)</f>
        <v>1782.53</v>
      </c>
      <c r="C57" s="1450" t="str">
        <f t="shared" ref="C57:C71" ca="1" si="36">IF(A57="","",$M$3)</f>
        <v/>
      </c>
      <c r="D57" s="1451" t="e">
        <f t="shared" ca="1" si="28"/>
        <v>#VALUE!</v>
      </c>
      <c r="E57" s="1452" t="e">
        <f t="shared" ref="E57:E73" ca="1" si="37">IF(A57="","",(ROUND(IF(A57="","",D57/N57),2)))</f>
        <v>#VALUE!</v>
      </c>
      <c r="F57" s="4174" t="e">
        <f t="shared" ref="F57:F71" ca="1" si="38">IF(A57="","",IF($F$54="","",I57*$G$53%))</f>
        <v>#VALUE!</v>
      </c>
      <c r="G57" s="4175"/>
      <c r="H57" s="4176"/>
      <c r="I57" s="1453" t="e">
        <f t="shared" ref="I57:I73" ca="1" si="39">IF(A57="","",IF(D57="",E57,E57/(100-G$53)*100))</f>
        <v>#VALUE!</v>
      </c>
      <c r="J57" s="267"/>
      <c r="K57" s="267"/>
      <c r="L57" s="1446">
        <f ca="1">IF(A57="","",'4 Eingabe Friseure'!BB11)</f>
        <v>30</v>
      </c>
      <c r="M57" s="1446">
        <f ca="1">IF(A57="","",'4 Eingabe Friseure'!BC11)</f>
        <v>4</v>
      </c>
      <c r="N57" s="1446">
        <f ca="1">IF(A57="","",IF(M57=5,21,IF(M57=6,25,M57*4.33)))</f>
        <v>17.32</v>
      </c>
      <c r="O57" s="1451" t="e">
        <f t="shared" ref="O57:O71" ca="1" si="40">IF(A57="","",D57/(100-$G$53)*100)</f>
        <v>#VALUE!</v>
      </c>
      <c r="P57" s="1454" t="e">
        <f t="shared" ca="1" si="29"/>
        <v>#VALUE!</v>
      </c>
      <c r="Q57" s="1451" t="e">
        <f t="shared" ca="1" si="30"/>
        <v>#VALUE!</v>
      </c>
      <c r="R57" s="1455" t="e">
        <f t="shared" ca="1" si="31"/>
        <v>#VALUE!</v>
      </c>
      <c r="S57" s="1455">
        <f t="shared" ca="1" si="32"/>
        <v>13.722324865280985</v>
      </c>
      <c r="T57" s="1456" t="e">
        <f t="shared" ca="1" si="33"/>
        <v>#VALUE!</v>
      </c>
      <c r="U57" s="1457" t="str">
        <f t="shared" ca="1" si="34"/>
        <v>Jutta</v>
      </c>
      <c r="V57" s="1458" t="e">
        <f t="shared" ca="1" si="35"/>
        <v>#VALUE!</v>
      </c>
      <c r="W57" s="2987">
        <f ca="1">IF(A57="","",IF('4 Eingabe Friseure'!BG11&gt;10,10,'4 Eingabe Friseure'!BG11/12*10))</f>
        <v>10</v>
      </c>
      <c r="X57" s="267"/>
      <c r="Y57" s="267">
        <v>54558</v>
      </c>
      <c r="Z57" s="1163" t="e">
        <f t="shared" ref="Z57:Z71" ca="1" si="41">Y57-V57</f>
        <v>#VALUE!</v>
      </c>
      <c r="AA57" s="2988"/>
      <c r="AB57" s="267"/>
      <c r="AC57" s="267"/>
      <c r="AD57" s="566"/>
      <c r="AE57" s="566"/>
      <c r="AF57" s="566"/>
      <c r="AG57" s="566"/>
      <c r="AH57" s="566"/>
      <c r="AI57" s="566"/>
      <c r="AJ57" s="267"/>
      <c r="AK57" s="267"/>
      <c r="AL57" s="267"/>
    </row>
    <row r="58" spans="1:38" ht="18" customHeight="1">
      <c r="A58" s="1459" t="str">
        <f ca="1">IF('21 Lohnfaktor'!C9=0,"",IF('21 Lohnfaktor'!B9=0,"",'21 Lohnfaktor'!B9))</f>
        <v>Karina</v>
      </c>
      <c r="B58" s="1449">
        <f ca="1">IF('21 Lohnfaktor'!C9=0,"",'21 Lohnfaktor'!C9)</f>
        <v>1490.5592000000001</v>
      </c>
      <c r="C58" s="1450" t="str">
        <f t="shared" ca="1" si="36"/>
        <v/>
      </c>
      <c r="D58" s="1451" t="e">
        <f t="shared" ca="1" si="28"/>
        <v>#VALUE!</v>
      </c>
      <c r="E58" s="1452" t="e">
        <f t="shared" ca="1" si="37"/>
        <v>#VALUE!</v>
      </c>
      <c r="F58" s="4174" t="e">
        <f t="shared" ca="1" si="38"/>
        <v>#VALUE!</v>
      </c>
      <c r="G58" s="4175"/>
      <c r="H58" s="4176"/>
      <c r="I58" s="1453" t="e">
        <f t="shared" ca="1" si="39"/>
        <v>#VALUE!</v>
      </c>
      <c r="J58" s="267"/>
      <c r="K58" s="267"/>
      <c r="L58" s="1446">
        <f ca="1">IF(A58="","",'4 Eingabe Friseure'!BB12)</f>
        <v>26</v>
      </c>
      <c r="M58" s="1446">
        <f ca="1">IF(A58="","",'4 Eingabe Friseure'!BC12)</f>
        <v>3.5</v>
      </c>
      <c r="N58" s="1446">
        <f t="shared" ref="N58:N73" ca="1" si="42">IF(A58="","",IF(M58=5,21,IF(M58=6,25,M58*4.33)))</f>
        <v>15.155000000000001</v>
      </c>
      <c r="O58" s="1451" t="e">
        <f t="shared" ca="1" si="40"/>
        <v>#VALUE!</v>
      </c>
      <c r="P58" s="1454" t="e">
        <f t="shared" ca="1" si="29"/>
        <v>#VALUE!</v>
      </c>
      <c r="Q58" s="1451" t="e">
        <f t="shared" ca="1" si="30"/>
        <v>#VALUE!</v>
      </c>
      <c r="R58" s="1455" t="e">
        <f t="shared" ca="1" si="31"/>
        <v>#VALUE!</v>
      </c>
      <c r="S58" s="1455">
        <f t="shared" ca="1" si="32"/>
        <v>13.240000000000002</v>
      </c>
      <c r="T58" s="1456" t="e">
        <f t="shared" ca="1" si="33"/>
        <v>#VALUE!</v>
      </c>
      <c r="U58" s="1457" t="str">
        <f t="shared" ca="1" si="34"/>
        <v>Karina</v>
      </c>
      <c r="V58" s="1458" t="e">
        <f t="shared" ca="1" si="35"/>
        <v>#VALUE!</v>
      </c>
      <c r="W58" s="2987">
        <f ca="1">IF(A58="","",IF('4 Eingabe Friseure'!BG12&gt;10,10,'4 Eingabe Friseure'!BG12/12*10))</f>
        <v>10</v>
      </c>
      <c r="X58" s="267"/>
      <c r="Y58" s="267">
        <v>65599.5</v>
      </c>
      <c r="Z58" s="1163" t="e">
        <f t="shared" ca="1" si="41"/>
        <v>#VALUE!</v>
      </c>
      <c r="AA58" s="2983"/>
      <c r="AB58" s="267"/>
      <c r="AC58" s="267"/>
      <c r="AD58" s="566"/>
      <c r="AE58" s="566"/>
      <c r="AF58" s="566"/>
      <c r="AG58" s="566"/>
      <c r="AH58" s="566"/>
      <c r="AI58" s="566"/>
      <c r="AJ58" s="267"/>
      <c r="AK58" s="267"/>
      <c r="AL58" s="267"/>
    </row>
    <row r="59" spans="1:38" ht="18" customHeight="1">
      <c r="A59" s="1459" t="str">
        <f ca="1">IF('21 Lohnfaktor'!C10=0,"",IF('21 Lohnfaktor'!B10=0,"",'21 Lohnfaktor'!B10))</f>
        <v>Cordula</v>
      </c>
      <c r="B59" s="1449">
        <f ca="1">IF('21 Lohnfaktor'!C10=0,"",'21 Lohnfaktor'!C10)</f>
        <v>1310</v>
      </c>
      <c r="C59" s="1450" t="str">
        <f t="shared" ca="1" si="36"/>
        <v/>
      </c>
      <c r="D59" s="1451" t="e">
        <f t="shared" ca="1" si="28"/>
        <v>#VALUE!</v>
      </c>
      <c r="E59" s="1452" t="e">
        <f t="shared" ca="1" si="37"/>
        <v>#VALUE!</v>
      </c>
      <c r="F59" s="4174" t="e">
        <f t="shared" ca="1" si="38"/>
        <v>#VALUE!</v>
      </c>
      <c r="G59" s="4175"/>
      <c r="H59" s="4176"/>
      <c r="I59" s="1453" t="e">
        <f t="shared" ca="1" si="39"/>
        <v>#VALUE!</v>
      </c>
      <c r="J59" s="267"/>
      <c r="K59" s="267"/>
      <c r="L59" s="1446">
        <f ca="1">IF(A59="","",'4 Eingabe Friseure'!BB13)</f>
        <v>22</v>
      </c>
      <c r="M59" s="1446">
        <f ca="1">IF(A59="","",'4 Eingabe Friseure'!BC13)</f>
        <v>3</v>
      </c>
      <c r="N59" s="1446">
        <f t="shared" ca="1" si="42"/>
        <v>12.99</v>
      </c>
      <c r="O59" s="1451" t="e">
        <f t="shared" ca="1" si="40"/>
        <v>#VALUE!</v>
      </c>
      <c r="P59" s="1454" t="e">
        <f t="shared" ca="1" si="29"/>
        <v>#VALUE!</v>
      </c>
      <c r="Q59" s="1451" t="e">
        <f t="shared" ca="1" si="30"/>
        <v>#VALUE!</v>
      </c>
      <c r="R59" s="1455" t="e">
        <f t="shared" ca="1" si="31"/>
        <v>#VALUE!</v>
      </c>
      <c r="S59" s="1455">
        <f t="shared" ca="1" si="32"/>
        <v>13.75183707747218</v>
      </c>
      <c r="T59" s="1456" t="e">
        <f t="shared" ca="1" si="33"/>
        <v>#VALUE!</v>
      </c>
      <c r="U59" s="1457" t="str">
        <f t="shared" ca="1" si="34"/>
        <v>Cordula</v>
      </c>
      <c r="V59" s="1458" t="e">
        <f t="shared" ca="1" si="35"/>
        <v>#VALUE!</v>
      </c>
      <c r="W59" s="2987">
        <f ca="1">IF(A59="","",IF('4 Eingabe Friseure'!BG13&gt;10,10,'4 Eingabe Friseure'!BG13/12*10))</f>
        <v>10</v>
      </c>
      <c r="X59" s="267"/>
      <c r="Y59" s="267">
        <v>61832.4</v>
      </c>
      <c r="Z59" s="1163" t="e">
        <f t="shared" ca="1" si="41"/>
        <v>#VALUE!</v>
      </c>
      <c r="AA59" s="2983"/>
      <c r="AB59" s="267"/>
      <c r="AC59" s="267"/>
      <c r="AD59" s="566"/>
      <c r="AE59" s="566"/>
      <c r="AF59" s="566"/>
      <c r="AG59" s="566"/>
      <c r="AH59" s="566"/>
      <c r="AI59" s="566"/>
      <c r="AJ59" s="267"/>
      <c r="AK59" s="267"/>
      <c r="AL59" s="267"/>
    </row>
    <row r="60" spans="1:38" ht="18" customHeight="1">
      <c r="A60" s="1459" t="str">
        <f ca="1">IF('21 Lohnfaktor'!C11=0,"",IF('21 Lohnfaktor'!B11=0,"",'21 Lohnfaktor'!B11))</f>
        <v>Christa</v>
      </c>
      <c r="B60" s="1449">
        <f ca="1">IF('21 Lohnfaktor'!C11=0,"",'21 Lohnfaktor'!C11)</f>
        <v>1040</v>
      </c>
      <c r="C60" s="1450" t="str">
        <f t="shared" ca="1" si="36"/>
        <v/>
      </c>
      <c r="D60" s="1451" t="e">
        <f t="shared" ca="1" si="28"/>
        <v>#VALUE!</v>
      </c>
      <c r="E60" s="1452" t="e">
        <f t="shared" ca="1" si="37"/>
        <v>#VALUE!</v>
      </c>
      <c r="F60" s="4174" t="e">
        <f t="shared" ca="1" si="38"/>
        <v>#VALUE!</v>
      </c>
      <c r="G60" s="4175"/>
      <c r="H60" s="4176"/>
      <c r="I60" s="1453" t="e">
        <f t="shared" ca="1" si="39"/>
        <v>#VALUE!</v>
      </c>
      <c r="J60" s="267"/>
      <c r="K60" s="267"/>
      <c r="L60" s="1446">
        <f ca="1">IF(A60="","",'4 Eingabe Friseure'!BB14)</f>
        <v>16</v>
      </c>
      <c r="M60" s="1446">
        <f ca="1">IF(A60="","",'4 Eingabe Friseure'!BC14)</f>
        <v>2</v>
      </c>
      <c r="N60" s="1446">
        <f t="shared" ca="1" si="42"/>
        <v>8.66</v>
      </c>
      <c r="O60" s="1451" t="e">
        <f t="shared" ca="1" si="40"/>
        <v>#VALUE!</v>
      </c>
      <c r="P60" s="1454" t="e">
        <f t="shared" ca="1" si="29"/>
        <v>#VALUE!</v>
      </c>
      <c r="Q60" s="1451" t="e">
        <f t="shared" ca="1" si="30"/>
        <v>#VALUE!</v>
      </c>
      <c r="R60" s="1455" t="e">
        <f t="shared" ca="1" si="31"/>
        <v>#VALUE!</v>
      </c>
      <c r="S60" s="1455">
        <f t="shared" ca="1" si="32"/>
        <v>15.011547344110854</v>
      </c>
      <c r="T60" s="1456" t="e">
        <f t="shared" ca="1" si="33"/>
        <v>#VALUE!</v>
      </c>
      <c r="U60" s="1457" t="str">
        <f t="shared" ca="1" si="34"/>
        <v>Christa</v>
      </c>
      <c r="V60" s="1458" t="e">
        <f t="shared" ca="1" si="35"/>
        <v>#VALUE!</v>
      </c>
      <c r="W60" s="2987">
        <f ca="1">IF(A60="","",IF('4 Eingabe Friseure'!BG14&gt;10,10,'4 Eingabe Friseure'!BG14/12*10))</f>
        <v>10</v>
      </c>
      <c r="X60" s="267"/>
      <c r="Y60" s="267">
        <v>37099.440000000002</v>
      </c>
      <c r="Z60" s="1163" t="e">
        <f t="shared" ca="1" si="41"/>
        <v>#VALUE!</v>
      </c>
      <c r="AA60" s="2989"/>
      <c r="AB60" s="267"/>
      <c r="AC60" s="267"/>
      <c r="AD60" s="566"/>
      <c r="AE60" s="566"/>
      <c r="AF60" s="566"/>
      <c r="AG60" s="566"/>
      <c r="AH60" s="566"/>
      <c r="AI60" s="566"/>
      <c r="AJ60" s="267"/>
      <c r="AK60" s="267"/>
      <c r="AL60" s="267"/>
    </row>
    <row r="61" spans="1:38" ht="18" customHeight="1">
      <c r="A61" s="1459" t="str">
        <f ca="1">IF('21 Lohnfaktor'!C12=0,"",IF('21 Lohnfaktor'!B12=0,"",'21 Lohnfaktor'!B12))</f>
        <v>Horst</v>
      </c>
      <c r="B61" s="1449">
        <f ca="1">IF('21 Lohnfaktor'!C12=0,"",'21 Lohnfaktor'!C12)</f>
        <v>1350</v>
      </c>
      <c r="C61" s="1450" t="str">
        <f t="shared" ca="1" si="36"/>
        <v/>
      </c>
      <c r="D61" s="1451" t="e">
        <f t="shared" ca="1" si="28"/>
        <v>#VALUE!</v>
      </c>
      <c r="E61" s="1452" t="e">
        <f t="shared" ca="1" si="37"/>
        <v>#VALUE!</v>
      </c>
      <c r="F61" s="4174" t="e">
        <f t="shared" ca="1" si="38"/>
        <v>#VALUE!</v>
      </c>
      <c r="G61" s="4175"/>
      <c r="H61" s="4176"/>
      <c r="I61" s="1453" t="e">
        <f t="shared" ca="1" si="39"/>
        <v>#VALUE!</v>
      </c>
      <c r="J61" s="267"/>
      <c r="K61" s="267"/>
      <c r="L61" s="1446">
        <f ca="1">IF(A61="","",'4 Eingabe Friseure'!BB15)</f>
        <v>21</v>
      </c>
      <c r="M61" s="1446">
        <f ca="1">IF(A61="","",'4 Eingabe Friseure'!BC15)</f>
        <v>3</v>
      </c>
      <c r="N61" s="1446">
        <f t="shared" ca="1" si="42"/>
        <v>12.99</v>
      </c>
      <c r="O61" s="1451" t="e">
        <f t="shared" ca="1" si="40"/>
        <v>#VALUE!</v>
      </c>
      <c r="P61" s="1454" t="e">
        <f t="shared" ca="1" si="29"/>
        <v>#VALUE!</v>
      </c>
      <c r="Q61" s="1451" t="e">
        <f t="shared" ca="1" si="30"/>
        <v>#VALUE!</v>
      </c>
      <c r="R61" s="1455" t="e">
        <f t="shared" ca="1" si="31"/>
        <v>#VALUE!</v>
      </c>
      <c r="S61" s="1455">
        <f t="shared" ca="1" si="32"/>
        <v>14.846585285384361</v>
      </c>
      <c r="T61" s="1456" t="e">
        <f t="shared" ca="1" si="33"/>
        <v>#VALUE!</v>
      </c>
      <c r="U61" s="1457" t="str">
        <f t="shared" ca="1" si="34"/>
        <v>Horst</v>
      </c>
      <c r="V61" s="1458" t="e">
        <f t="shared" ca="1" si="35"/>
        <v>#VALUE!</v>
      </c>
      <c r="W61" s="2987">
        <f ca="1">IF(A61="","",IF('4 Eingabe Friseure'!BG15&gt;10,10,'4 Eingabe Friseure'!BG15/12*10))</f>
        <v>10</v>
      </c>
      <c r="X61" s="267"/>
      <c r="Y61" s="267">
        <v>81620.5</v>
      </c>
      <c r="Z61" s="1163" t="e">
        <f t="shared" ca="1" si="41"/>
        <v>#VALUE!</v>
      </c>
      <c r="AA61" s="2989"/>
      <c r="AB61" s="267"/>
      <c r="AC61" s="267"/>
      <c r="AD61" s="566"/>
      <c r="AE61" s="566"/>
      <c r="AF61" s="566"/>
      <c r="AG61" s="566"/>
      <c r="AH61" s="566"/>
      <c r="AI61" s="566"/>
      <c r="AJ61" s="267"/>
      <c r="AK61" s="267"/>
      <c r="AL61" s="267"/>
    </row>
    <row r="62" spans="1:38" ht="18" customHeight="1">
      <c r="A62" s="1459" t="str">
        <f ca="1">IF('21 Lohnfaktor'!C13=0,"",IF('21 Lohnfaktor'!B13=0,"",'21 Lohnfaktor'!B13))</f>
        <v/>
      </c>
      <c r="B62" s="1449" t="str">
        <f ca="1">IF('21 Lohnfaktor'!C13=0,"",'21 Lohnfaktor'!C13)</f>
        <v/>
      </c>
      <c r="C62" s="1450" t="str">
        <f t="shared" ca="1" si="36"/>
        <v/>
      </c>
      <c r="D62" s="1451" t="str">
        <f t="shared" ca="1" si="28"/>
        <v/>
      </c>
      <c r="E62" s="1452" t="str">
        <f t="shared" ca="1" si="37"/>
        <v/>
      </c>
      <c r="F62" s="4174" t="str">
        <f t="shared" ca="1" si="38"/>
        <v/>
      </c>
      <c r="G62" s="4175"/>
      <c r="H62" s="4176"/>
      <c r="I62" s="1453" t="str">
        <f t="shared" ca="1" si="39"/>
        <v/>
      </c>
      <c r="J62" s="267"/>
      <c r="K62" s="267"/>
      <c r="L62" s="1446" t="str">
        <f ca="1">IF(A62="","",'4 Eingabe Friseure'!BB16)</f>
        <v/>
      </c>
      <c r="M62" s="1446" t="str">
        <f ca="1">IF(A62="","",'4 Eingabe Friseure'!BC16)</f>
        <v/>
      </c>
      <c r="N62" s="1446" t="str">
        <f t="shared" ca="1" si="42"/>
        <v/>
      </c>
      <c r="O62" s="1451" t="str">
        <f t="shared" ca="1" si="40"/>
        <v/>
      </c>
      <c r="P62" s="1454" t="str">
        <f t="shared" ca="1" si="29"/>
        <v/>
      </c>
      <c r="Q62" s="1451" t="str">
        <f t="shared" ca="1" si="30"/>
        <v/>
      </c>
      <c r="R62" s="1455" t="str">
        <f t="shared" ca="1" si="31"/>
        <v/>
      </c>
      <c r="S62" s="1455" t="str">
        <f t="shared" ca="1" si="32"/>
        <v/>
      </c>
      <c r="T62" s="1456" t="str">
        <f t="shared" ca="1" si="33"/>
        <v/>
      </c>
      <c r="U62" s="1457" t="str">
        <f t="shared" ca="1" si="34"/>
        <v/>
      </c>
      <c r="V62" s="1458" t="str">
        <f t="shared" ca="1" si="35"/>
        <v/>
      </c>
      <c r="W62" s="2987" t="str">
        <f ca="1">IF(A62="","",IF('4 Eingabe Friseure'!BG16&gt;10,10,'4 Eingabe Friseure'!BG16/12*10))</f>
        <v/>
      </c>
      <c r="X62" s="267"/>
      <c r="Y62" s="267">
        <v>40052.5</v>
      </c>
      <c r="Z62" s="1163" t="e">
        <f t="shared" ca="1" si="41"/>
        <v>#VALUE!</v>
      </c>
      <c r="AA62" s="2989"/>
      <c r="AB62" s="267"/>
      <c r="AC62" s="267"/>
      <c r="AD62" s="566"/>
      <c r="AE62" s="566"/>
      <c r="AF62" s="566"/>
      <c r="AG62" s="566"/>
      <c r="AH62" s="566"/>
      <c r="AI62" s="566"/>
      <c r="AJ62" s="267"/>
      <c r="AK62" s="267"/>
      <c r="AL62" s="267"/>
    </row>
    <row r="63" spans="1:38" ht="18" customHeight="1">
      <c r="A63" s="1459" t="str">
        <f ca="1">IF('21 Lohnfaktor'!C14=0,"",IF('21 Lohnfaktor'!B14=0,"",'21 Lohnfaktor'!B14))</f>
        <v>Salli</v>
      </c>
      <c r="B63" s="1449">
        <f ca="1">IF('21 Lohnfaktor'!C14=0,"",'21 Lohnfaktor'!C14)</f>
        <v>1326.8851999999999</v>
      </c>
      <c r="C63" s="1450" t="str">
        <f t="shared" ca="1" si="36"/>
        <v/>
      </c>
      <c r="D63" s="1451" t="e">
        <f t="shared" ca="1" si="28"/>
        <v>#VALUE!</v>
      </c>
      <c r="E63" s="1452" t="e">
        <f t="shared" ca="1" si="37"/>
        <v>#VALUE!</v>
      </c>
      <c r="F63" s="4174" t="e">
        <f t="shared" ca="1" si="38"/>
        <v>#VALUE!</v>
      </c>
      <c r="G63" s="4175"/>
      <c r="H63" s="4176"/>
      <c r="I63" s="1453" t="e">
        <f t="shared" ca="1" si="39"/>
        <v>#VALUE!</v>
      </c>
      <c r="J63" s="267"/>
      <c r="K63" s="267"/>
      <c r="L63" s="1446">
        <f ca="1">IF(A63="","",'4 Eingabe Friseure'!BB17)</f>
        <v>23.5</v>
      </c>
      <c r="M63" s="1446">
        <f ca="1">IF(A63="","",'4 Eingabe Friseure'!BC17)</f>
        <v>3</v>
      </c>
      <c r="N63" s="1446">
        <f t="shared" ca="1" si="42"/>
        <v>12.99</v>
      </c>
      <c r="O63" s="1451" t="e">
        <f t="shared" ca="1" si="40"/>
        <v>#VALUE!</v>
      </c>
      <c r="P63" s="1454" t="e">
        <f t="shared" ca="1" si="29"/>
        <v>#VALUE!</v>
      </c>
      <c r="Q63" s="1451" t="e">
        <f t="shared" ca="1" si="30"/>
        <v>#VALUE!</v>
      </c>
      <c r="R63" s="1455" t="e">
        <f t="shared" ca="1" si="31"/>
        <v>#VALUE!</v>
      </c>
      <c r="S63" s="1455">
        <f t="shared" ca="1" si="32"/>
        <v>13.04</v>
      </c>
      <c r="T63" s="1456" t="e">
        <f t="shared" ca="1" si="33"/>
        <v>#VALUE!</v>
      </c>
      <c r="U63" s="1457" t="str">
        <f t="shared" ca="1" si="34"/>
        <v>Salli</v>
      </c>
      <c r="V63" s="1458" t="e">
        <f t="shared" ca="1" si="35"/>
        <v>#VALUE!</v>
      </c>
      <c r="W63" s="2987">
        <f ca="1">IF(A63="","",IF('4 Eingabe Friseure'!BG17&gt;10,10,'4 Eingabe Friseure'!BG17/12*10))</f>
        <v>5.8333333333333339</v>
      </c>
      <c r="X63" s="267"/>
      <c r="Y63" s="267" t="s">
        <v>525</v>
      </c>
      <c r="Z63" s="1163" t="e">
        <f t="shared" ca="1" si="41"/>
        <v>#VALUE!</v>
      </c>
      <c r="AA63" s="267"/>
      <c r="AB63" s="267"/>
      <c r="AC63" s="267"/>
      <c r="AD63" s="566"/>
      <c r="AE63" s="566"/>
      <c r="AF63" s="566"/>
      <c r="AG63" s="566"/>
      <c r="AH63" s="566"/>
      <c r="AI63" s="566"/>
      <c r="AJ63" s="267"/>
      <c r="AK63" s="267"/>
      <c r="AL63" s="267"/>
    </row>
    <row r="64" spans="1:38" ht="18" customHeight="1">
      <c r="A64" s="1459" t="str">
        <f ca="1">IF('21 Lohnfaktor'!C15=0,"",IF('21 Lohnfaktor'!B15=0,"",'21 Lohnfaktor'!B15))</f>
        <v>Salli</v>
      </c>
      <c r="B64" s="1449">
        <f ca="1">IF('21 Lohnfaktor'!C15=0,"",'21 Lohnfaktor'!C15)</f>
        <v>1600</v>
      </c>
      <c r="C64" s="1450" t="str">
        <f t="shared" ca="1" si="36"/>
        <v/>
      </c>
      <c r="D64" s="1451" t="e">
        <f t="shared" ca="1" si="28"/>
        <v>#VALUE!</v>
      </c>
      <c r="E64" s="1452" t="e">
        <f t="shared" ca="1" si="37"/>
        <v>#VALUE!</v>
      </c>
      <c r="F64" s="4174" t="e">
        <f t="shared" ca="1" si="38"/>
        <v>#VALUE!</v>
      </c>
      <c r="G64" s="4175"/>
      <c r="H64" s="4176"/>
      <c r="I64" s="1453" t="e">
        <f t="shared" ca="1" si="39"/>
        <v>#VALUE!</v>
      </c>
      <c r="J64" s="267"/>
      <c r="K64" s="267"/>
      <c r="L64" s="1446">
        <f ca="1">IF(A64="","",'4 Eingabe Friseure'!BB18)</f>
        <v>25.5</v>
      </c>
      <c r="M64" s="1446">
        <f ca="1">IF(A64="","",'4 Eingabe Friseure'!BC18)</f>
        <v>3.5</v>
      </c>
      <c r="N64" s="1446">
        <f t="shared" ca="1" si="42"/>
        <v>15.155000000000001</v>
      </c>
      <c r="O64" s="1451" t="e">
        <f t="shared" ca="1" si="40"/>
        <v>#VALUE!</v>
      </c>
      <c r="P64" s="1454" t="e">
        <f t="shared" ca="1" si="29"/>
        <v>#VALUE!</v>
      </c>
      <c r="Q64" s="1451" t="e">
        <f t="shared" ca="1" si="30"/>
        <v>#VALUE!</v>
      </c>
      <c r="R64" s="1455" t="e">
        <f t="shared" ca="1" si="31"/>
        <v>#VALUE!</v>
      </c>
      <c r="S64" s="1455">
        <f t="shared" ca="1" si="32"/>
        <v>14.490784766562513</v>
      </c>
      <c r="T64" s="1456" t="e">
        <f t="shared" ca="1" si="33"/>
        <v>#VALUE!</v>
      </c>
      <c r="U64" s="1457" t="str">
        <f t="shared" ca="1" si="34"/>
        <v>Salli</v>
      </c>
      <c r="V64" s="1458" t="e">
        <f t="shared" ca="1" si="35"/>
        <v>#VALUE!</v>
      </c>
      <c r="W64" s="2987">
        <f ca="1">IF(A64="","",IF('4 Eingabe Friseure'!BG18&gt;10,10,'4 Eingabe Friseure'!BG18/12*10))</f>
        <v>4.166666666666667</v>
      </c>
      <c r="X64" s="267"/>
      <c r="Y64" s="267">
        <v>61832.4</v>
      </c>
      <c r="Z64" s="1163" t="e">
        <f t="shared" ca="1" si="41"/>
        <v>#VALUE!</v>
      </c>
      <c r="AA64" s="267"/>
      <c r="AB64" s="267"/>
      <c r="AC64" s="267"/>
      <c r="AD64" s="566"/>
      <c r="AE64" s="566"/>
      <c r="AF64" s="566"/>
      <c r="AG64" s="566"/>
      <c r="AH64" s="566"/>
      <c r="AI64" s="566"/>
      <c r="AJ64" s="267"/>
      <c r="AK64" s="267"/>
      <c r="AL64" s="267"/>
    </row>
    <row r="65" spans="1:38" ht="18" customHeight="1">
      <c r="A65" s="1459" t="str">
        <f ca="1">IF('21 Lohnfaktor'!C16=0,"",IF('21 Lohnfaktor'!B16=0,"",'21 Lohnfaktor'!B16))</f>
        <v/>
      </c>
      <c r="B65" s="1449" t="str">
        <f ca="1">IF('21 Lohnfaktor'!C16=0,"",'21 Lohnfaktor'!C16)</f>
        <v/>
      </c>
      <c r="C65" s="1450" t="str">
        <f t="shared" ca="1" si="36"/>
        <v/>
      </c>
      <c r="D65" s="1451" t="str">
        <f t="shared" ca="1" si="28"/>
        <v/>
      </c>
      <c r="E65" s="1452" t="str">
        <f t="shared" ca="1" si="37"/>
        <v/>
      </c>
      <c r="F65" s="4174" t="str">
        <f t="shared" ca="1" si="38"/>
        <v/>
      </c>
      <c r="G65" s="4175"/>
      <c r="H65" s="4176"/>
      <c r="I65" s="1453" t="str">
        <f t="shared" ca="1" si="39"/>
        <v/>
      </c>
      <c r="J65" s="267"/>
      <c r="K65" s="267"/>
      <c r="L65" s="1446" t="str">
        <f ca="1">IF(A65="","",'4 Eingabe Friseure'!BB19)</f>
        <v/>
      </c>
      <c r="M65" s="1446" t="str">
        <f ca="1">IF(A65="","",'4 Eingabe Friseure'!BC19)</f>
        <v/>
      </c>
      <c r="N65" s="1446" t="str">
        <f t="shared" ca="1" si="42"/>
        <v/>
      </c>
      <c r="O65" s="1451" t="str">
        <f t="shared" ca="1" si="40"/>
        <v/>
      </c>
      <c r="P65" s="1454" t="str">
        <f t="shared" ca="1" si="29"/>
        <v/>
      </c>
      <c r="Q65" s="1451" t="str">
        <f t="shared" ca="1" si="30"/>
        <v/>
      </c>
      <c r="R65" s="1455" t="str">
        <f t="shared" ca="1" si="31"/>
        <v/>
      </c>
      <c r="S65" s="1455" t="str">
        <f t="shared" ca="1" si="32"/>
        <v/>
      </c>
      <c r="T65" s="1456" t="str">
        <f t="shared" ca="1" si="33"/>
        <v/>
      </c>
      <c r="U65" s="1457" t="str">
        <f t="shared" ca="1" si="34"/>
        <v/>
      </c>
      <c r="V65" s="1458" t="str">
        <f t="shared" ca="1" si="35"/>
        <v/>
      </c>
      <c r="W65" s="2987" t="str">
        <f ca="1">IF(A65="","",IF('4 Eingabe Friseure'!BG19&gt;10,10,'4 Eingabe Friseure'!BG19/12*10))</f>
        <v/>
      </c>
      <c r="X65" s="267"/>
      <c r="Y65" s="267">
        <v>54558</v>
      </c>
      <c r="Z65" s="1163" t="e">
        <f t="shared" ca="1" si="41"/>
        <v>#VALUE!</v>
      </c>
      <c r="AA65" s="267"/>
      <c r="AB65" s="267"/>
      <c r="AC65" s="267"/>
      <c r="AD65" s="566"/>
      <c r="AE65" s="566"/>
      <c r="AF65" s="566"/>
      <c r="AG65" s="566"/>
      <c r="AH65" s="566"/>
      <c r="AI65" s="566"/>
      <c r="AJ65" s="267"/>
      <c r="AK65" s="267"/>
      <c r="AL65" s="267"/>
    </row>
    <row r="66" spans="1:38" ht="18" customHeight="1">
      <c r="A66" s="1459" t="str">
        <f ca="1">IF('21 Lohnfaktor'!C17=0,"",IF('21 Lohnfaktor'!B17=0,"",'21 Lohnfaktor'!B17))</f>
        <v/>
      </c>
      <c r="B66" s="1449" t="str">
        <f ca="1">IF('21 Lohnfaktor'!C17=0,"",'21 Lohnfaktor'!C17)</f>
        <v/>
      </c>
      <c r="C66" s="1450" t="str">
        <f t="shared" ca="1" si="36"/>
        <v/>
      </c>
      <c r="D66" s="1451" t="str">
        <f t="shared" ca="1" si="28"/>
        <v/>
      </c>
      <c r="E66" s="1452" t="str">
        <f t="shared" ca="1" si="37"/>
        <v/>
      </c>
      <c r="F66" s="4174" t="str">
        <f t="shared" ca="1" si="38"/>
        <v/>
      </c>
      <c r="G66" s="4175"/>
      <c r="H66" s="4176"/>
      <c r="I66" s="1453" t="str">
        <f t="shared" ca="1" si="39"/>
        <v/>
      </c>
      <c r="J66" s="267"/>
      <c r="K66" s="267"/>
      <c r="L66" s="1446" t="str">
        <f ca="1">IF(A66="","",'4 Eingabe Friseure'!BB20)</f>
        <v/>
      </c>
      <c r="M66" s="1446" t="str">
        <f ca="1">IF(A66="","",'4 Eingabe Friseure'!BC20)</f>
        <v/>
      </c>
      <c r="N66" s="1446" t="str">
        <f t="shared" ca="1" si="42"/>
        <v/>
      </c>
      <c r="O66" s="1451" t="str">
        <f t="shared" ca="1" si="40"/>
        <v/>
      </c>
      <c r="P66" s="1454" t="str">
        <f t="shared" ca="1" si="29"/>
        <v/>
      </c>
      <c r="Q66" s="1451" t="str">
        <f t="shared" ca="1" si="30"/>
        <v/>
      </c>
      <c r="R66" s="1455" t="str">
        <f t="shared" ca="1" si="31"/>
        <v/>
      </c>
      <c r="S66" s="1455" t="str">
        <f t="shared" ca="1" si="32"/>
        <v/>
      </c>
      <c r="T66" s="1456" t="str">
        <f t="shared" ca="1" si="33"/>
        <v/>
      </c>
      <c r="U66" s="1457" t="str">
        <f t="shared" ca="1" si="34"/>
        <v/>
      </c>
      <c r="V66" s="1458" t="str">
        <f t="shared" ca="1" si="35"/>
        <v/>
      </c>
      <c r="W66" s="2987" t="str">
        <f ca="1">IF(A66="","",IF('4 Eingabe Friseure'!BG20&gt;10,10,'4 Eingabe Friseure'!BG20/12*10))</f>
        <v/>
      </c>
      <c r="X66" s="267"/>
      <c r="Y66" s="267">
        <v>61832.4</v>
      </c>
      <c r="Z66" s="1163" t="e">
        <f t="shared" ca="1" si="41"/>
        <v>#VALUE!</v>
      </c>
      <c r="AA66" s="267"/>
      <c r="AB66" s="267"/>
      <c r="AC66" s="267"/>
      <c r="AD66" s="566"/>
      <c r="AE66" s="566"/>
      <c r="AF66" s="566"/>
      <c r="AG66" s="566"/>
      <c r="AH66" s="566"/>
      <c r="AI66" s="566"/>
      <c r="AJ66" s="267"/>
      <c r="AK66" s="267"/>
      <c r="AL66" s="267"/>
    </row>
    <row r="67" spans="1:38" ht="18" customHeight="1">
      <c r="A67" s="1459" t="str">
        <f ca="1">IF('21 Lohnfaktor'!C18=0,"",IF('21 Lohnfaktor'!B18=0,"",'21 Lohnfaktor'!B18))</f>
        <v/>
      </c>
      <c r="B67" s="1449" t="str">
        <f ca="1">IF('21 Lohnfaktor'!C18=0,"",'21 Lohnfaktor'!C18)</f>
        <v/>
      </c>
      <c r="C67" s="1450" t="str">
        <f t="shared" ca="1" si="36"/>
        <v/>
      </c>
      <c r="D67" s="1451" t="str">
        <f t="shared" ca="1" si="28"/>
        <v/>
      </c>
      <c r="E67" s="1452" t="str">
        <f t="shared" ca="1" si="37"/>
        <v/>
      </c>
      <c r="F67" s="4174" t="str">
        <f t="shared" ca="1" si="38"/>
        <v/>
      </c>
      <c r="G67" s="4175"/>
      <c r="H67" s="4176"/>
      <c r="I67" s="1453" t="str">
        <f t="shared" ca="1" si="39"/>
        <v/>
      </c>
      <c r="J67" s="267"/>
      <c r="K67" s="267"/>
      <c r="L67" s="1446" t="str">
        <f ca="1">IF(A67="","",'4 Eingabe Friseure'!BB21)</f>
        <v/>
      </c>
      <c r="M67" s="1446" t="str">
        <f ca="1">IF(A67="","",'4 Eingabe Friseure'!BC21)</f>
        <v/>
      </c>
      <c r="N67" s="1446" t="str">
        <f t="shared" ca="1" si="42"/>
        <v/>
      </c>
      <c r="O67" s="1451" t="str">
        <f t="shared" ca="1" si="40"/>
        <v/>
      </c>
      <c r="P67" s="1454" t="str">
        <f t="shared" ca="1" si="29"/>
        <v/>
      </c>
      <c r="Q67" s="1451" t="str">
        <f t="shared" ca="1" si="30"/>
        <v/>
      </c>
      <c r="R67" s="1455" t="str">
        <f t="shared" ca="1" si="31"/>
        <v/>
      </c>
      <c r="S67" s="1455" t="str">
        <f t="shared" ca="1" si="32"/>
        <v/>
      </c>
      <c r="T67" s="1456" t="str">
        <f t="shared" ca="1" si="33"/>
        <v/>
      </c>
      <c r="U67" s="1457" t="str">
        <f t="shared" ca="1" si="34"/>
        <v/>
      </c>
      <c r="V67" s="1458" t="str">
        <f t="shared" ca="1" si="35"/>
        <v/>
      </c>
      <c r="W67" s="2987" t="str">
        <f ca="1">IF(A67="","",IF('4 Eingabe Friseure'!BG21&gt;10,10,'4 Eingabe Friseure'!BG21/12*10))</f>
        <v/>
      </c>
      <c r="X67" s="267"/>
      <c r="Y67" s="267">
        <v>40009.199999999997</v>
      </c>
      <c r="Z67" s="1163" t="e">
        <f t="shared" ca="1" si="41"/>
        <v>#VALUE!</v>
      </c>
      <c r="AA67" s="267"/>
      <c r="AB67" s="267"/>
      <c r="AC67" s="267"/>
      <c r="AD67" s="566"/>
      <c r="AE67" s="566"/>
      <c r="AF67" s="566"/>
      <c r="AG67" s="566"/>
      <c r="AH67" s="566"/>
      <c r="AI67" s="566"/>
      <c r="AJ67" s="267"/>
      <c r="AK67" s="267"/>
      <c r="AL67" s="267"/>
    </row>
    <row r="68" spans="1:38" ht="18" customHeight="1">
      <c r="A68" s="1459" t="str">
        <f ca="1">IF('21 Lohnfaktor'!C19=0,"",IF('21 Lohnfaktor'!B19=0,"",'21 Lohnfaktor'!B19))</f>
        <v/>
      </c>
      <c r="B68" s="1449" t="str">
        <f ca="1">IF('21 Lohnfaktor'!C19=0,"",'21 Lohnfaktor'!C19)</f>
        <v/>
      </c>
      <c r="C68" s="1450" t="str">
        <f t="shared" ca="1" si="36"/>
        <v/>
      </c>
      <c r="D68" s="1451" t="str">
        <f t="shared" ca="1" si="28"/>
        <v/>
      </c>
      <c r="E68" s="1452" t="str">
        <f t="shared" ca="1" si="37"/>
        <v/>
      </c>
      <c r="F68" s="4174" t="str">
        <f t="shared" ca="1" si="38"/>
        <v/>
      </c>
      <c r="G68" s="4175"/>
      <c r="H68" s="4176"/>
      <c r="I68" s="1453" t="str">
        <f t="shared" ca="1" si="39"/>
        <v/>
      </c>
      <c r="J68" s="267"/>
      <c r="K68" s="267"/>
      <c r="L68" s="1446" t="str">
        <f ca="1">IF(A68="","",'4 Eingabe Friseure'!BB22)</f>
        <v/>
      </c>
      <c r="M68" s="1446" t="str">
        <f ca="1">IF(A68="","",'4 Eingabe Friseure'!BC22)</f>
        <v/>
      </c>
      <c r="N68" s="1446" t="str">
        <f t="shared" ca="1" si="42"/>
        <v/>
      </c>
      <c r="O68" s="1451" t="str">
        <f t="shared" ca="1" si="40"/>
        <v/>
      </c>
      <c r="P68" s="1454" t="str">
        <f t="shared" ca="1" si="29"/>
        <v/>
      </c>
      <c r="Q68" s="1451" t="str">
        <f t="shared" ca="1" si="30"/>
        <v/>
      </c>
      <c r="R68" s="1455" t="str">
        <f t="shared" ca="1" si="31"/>
        <v/>
      </c>
      <c r="S68" s="1455" t="str">
        <f t="shared" ca="1" si="32"/>
        <v/>
      </c>
      <c r="T68" s="1456" t="str">
        <f t="shared" ca="1" si="33"/>
        <v/>
      </c>
      <c r="U68" s="1457" t="str">
        <f t="shared" ca="1" si="34"/>
        <v/>
      </c>
      <c r="V68" s="1458" t="str">
        <f t="shared" ca="1" si="35"/>
        <v/>
      </c>
      <c r="W68" s="2987" t="str">
        <f ca="1">IF(A68="","",IF('4 Eingabe Friseure'!BG22&gt;10,10,'4 Eingabe Friseure'!BG22/12*10))</f>
        <v/>
      </c>
      <c r="X68" s="267"/>
      <c r="Y68" s="267">
        <v>50920.800000000003</v>
      </c>
      <c r="Z68" s="1163" t="e">
        <f t="shared" ca="1" si="41"/>
        <v>#VALUE!</v>
      </c>
      <c r="AA68" s="267"/>
      <c r="AB68" s="267"/>
      <c r="AC68" s="267"/>
      <c r="AD68" s="566"/>
      <c r="AE68" s="566"/>
      <c r="AF68" s="566"/>
      <c r="AG68" s="566"/>
      <c r="AH68" s="566"/>
      <c r="AI68" s="566"/>
      <c r="AJ68" s="267"/>
      <c r="AK68" s="267"/>
      <c r="AL68" s="267"/>
    </row>
    <row r="69" spans="1:38" ht="18" customHeight="1">
      <c r="A69" s="1459" t="str">
        <f ca="1">IF('21 Lohnfaktor'!C20=0,"",IF('21 Lohnfaktor'!B20=0,"",'21 Lohnfaktor'!B20))</f>
        <v/>
      </c>
      <c r="B69" s="1449" t="str">
        <f ca="1">IF('21 Lohnfaktor'!C20=0,"",'21 Lohnfaktor'!C20)</f>
        <v/>
      </c>
      <c r="C69" s="1450" t="str">
        <f t="shared" ca="1" si="36"/>
        <v/>
      </c>
      <c r="D69" s="1451" t="str">
        <f t="shared" ca="1" si="28"/>
        <v/>
      </c>
      <c r="E69" s="1452" t="str">
        <f t="shared" ca="1" si="37"/>
        <v/>
      </c>
      <c r="F69" s="4174" t="str">
        <f t="shared" ca="1" si="38"/>
        <v/>
      </c>
      <c r="G69" s="4175"/>
      <c r="H69" s="4176"/>
      <c r="I69" s="1453" t="str">
        <f t="shared" ca="1" si="39"/>
        <v/>
      </c>
      <c r="J69" s="267"/>
      <c r="K69" s="267"/>
      <c r="L69" s="1446" t="str">
        <f ca="1">IF(A69="","",'4 Eingabe Friseure'!BB23)</f>
        <v/>
      </c>
      <c r="M69" s="1446" t="str">
        <f ca="1">IF(A69="","",'4 Eingabe Friseure'!BC23)</f>
        <v/>
      </c>
      <c r="N69" s="1446" t="str">
        <f t="shared" ca="1" si="42"/>
        <v/>
      </c>
      <c r="O69" s="1451" t="str">
        <f t="shared" ca="1" si="40"/>
        <v/>
      </c>
      <c r="P69" s="1454" t="str">
        <f t="shared" ca="1" si="29"/>
        <v/>
      </c>
      <c r="Q69" s="1451" t="str">
        <f t="shared" ca="1" si="30"/>
        <v/>
      </c>
      <c r="R69" s="1455" t="str">
        <f t="shared" ca="1" si="31"/>
        <v/>
      </c>
      <c r="S69" s="1455" t="str">
        <f t="shared" ca="1" si="32"/>
        <v/>
      </c>
      <c r="T69" s="1456" t="str">
        <f t="shared" ca="1" si="33"/>
        <v/>
      </c>
      <c r="U69" s="1457" t="str">
        <f t="shared" ca="1" si="34"/>
        <v/>
      </c>
      <c r="V69" s="1458" t="str">
        <f t="shared" ca="1" si="35"/>
        <v/>
      </c>
      <c r="W69" s="2987" t="str">
        <f ca="1">IF(A69="","",IF('4 Eingabe Friseure'!BG23&gt;10,10,'4 Eingabe Friseure'!BG23/12*10))</f>
        <v/>
      </c>
      <c r="X69" s="267"/>
      <c r="Y69" s="1348">
        <v>43733</v>
      </c>
      <c r="Z69" s="1163" t="e">
        <f t="shared" ca="1" si="41"/>
        <v>#VALUE!</v>
      </c>
      <c r="AA69" s="267"/>
      <c r="AB69" s="267"/>
      <c r="AC69" s="267"/>
      <c r="AD69" s="566"/>
      <c r="AE69" s="566"/>
      <c r="AF69" s="566"/>
      <c r="AG69" s="566"/>
      <c r="AH69" s="566"/>
      <c r="AI69" s="566"/>
      <c r="AJ69" s="267"/>
      <c r="AK69" s="267"/>
      <c r="AL69" s="267"/>
    </row>
    <row r="70" spans="1:38" ht="18" customHeight="1">
      <c r="A70" s="1459" t="str">
        <f ca="1">IF('21 Lohnfaktor'!C21=0,"",IF('21 Lohnfaktor'!B21=0,"",'21 Lohnfaktor'!B21))</f>
        <v/>
      </c>
      <c r="B70" s="1449" t="str">
        <f ca="1">IF('21 Lohnfaktor'!C21=0,"",'21 Lohnfaktor'!C21)</f>
        <v/>
      </c>
      <c r="C70" s="1450" t="str">
        <f t="shared" ca="1" si="36"/>
        <v/>
      </c>
      <c r="D70" s="1451" t="str">
        <f t="shared" ca="1" si="28"/>
        <v/>
      </c>
      <c r="E70" s="1452" t="str">
        <f t="shared" ca="1" si="37"/>
        <v/>
      </c>
      <c r="F70" s="4174" t="str">
        <f t="shared" ca="1" si="38"/>
        <v/>
      </c>
      <c r="G70" s="4175"/>
      <c r="H70" s="4176"/>
      <c r="I70" s="1453" t="str">
        <f t="shared" ca="1" si="39"/>
        <v/>
      </c>
      <c r="J70" s="267"/>
      <c r="K70" s="267"/>
      <c r="L70" s="1446" t="str">
        <f ca="1">IF(A70="","",'4 Eingabe Friseure'!BB24)</f>
        <v/>
      </c>
      <c r="M70" s="1446" t="str">
        <f ca="1">IF(A70="","",'4 Eingabe Friseure'!BC24)</f>
        <v/>
      </c>
      <c r="N70" s="1446" t="str">
        <f t="shared" ca="1" si="42"/>
        <v/>
      </c>
      <c r="O70" s="1451" t="str">
        <f t="shared" ca="1" si="40"/>
        <v/>
      </c>
      <c r="P70" s="1454" t="str">
        <f t="shared" ca="1" si="29"/>
        <v/>
      </c>
      <c r="Q70" s="1451" t="str">
        <f t="shared" ca="1" si="30"/>
        <v/>
      </c>
      <c r="R70" s="1455" t="str">
        <f t="shared" ca="1" si="31"/>
        <v/>
      </c>
      <c r="S70" s="1455" t="str">
        <f t="shared" ca="1" si="32"/>
        <v/>
      </c>
      <c r="T70" s="1456" t="str">
        <f t="shared" ca="1" si="33"/>
        <v/>
      </c>
      <c r="U70" s="1457" t="str">
        <f t="shared" ca="1" si="34"/>
        <v/>
      </c>
      <c r="V70" s="1458" t="str">
        <f t="shared" ca="1" si="35"/>
        <v/>
      </c>
      <c r="W70" s="2987" t="str">
        <f ca="1">IF(A70="","",IF('4 Eingabe Friseure'!BG24&gt;10,10,'4 Eingabe Friseure'!BG24/12*10))</f>
        <v/>
      </c>
      <c r="X70" s="267"/>
      <c r="Y70" s="1460">
        <v>54558</v>
      </c>
      <c r="Z70" s="1163" t="e">
        <f t="shared" ca="1" si="41"/>
        <v>#VALUE!</v>
      </c>
      <c r="AA70" s="267"/>
      <c r="AB70" s="267"/>
      <c r="AC70" s="267"/>
      <c r="AD70" s="566"/>
      <c r="AE70" s="566"/>
      <c r="AF70" s="566"/>
      <c r="AG70" s="566"/>
      <c r="AH70" s="566"/>
      <c r="AI70" s="566"/>
      <c r="AJ70" s="267"/>
      <c r="AK70" s="267"/>
      <c r="AL70" s="267"/>
    </row>
    <row r="71" spans="1:38" ht="18" customHeight="1">
      <c r="A71" s="1459" t="str">
        <f ca="1">IF('21 Lohnfaktor'!C22=0,"",IF('21 Lohnfaktor'!B22=0,"",'21 Lohnfaktor'!B22))</f>
        <v/>
      </c>
      <c r="B71" s="1449" t="str">
        <f ca="1">IF('21 Lohnfaktor'!C22=0,"",'21 Lohnfaktor'!C22)</f>
        <v/>
      </c>
      <c r="C71" s="1450" t="str">
        <f t="shared" ca="1" si="36"/>
        <v/>
      </c>
      <c r="D71" s="1451" t="str">
        <f t="shared" ca="1" si="28"/>
        <v/>
      </c>
      <c r="E71" s="1452" t="str">
        <f t="shared" ca="1" si="37"/>
        <v/>
      </c>
      <c r="F71" s="4174" t="str">
        <f t="shared" ca="1" si="38"/>
        <v/>
      </c>
      <c r="G71" s="4175"/>
      <c r="H71" s="4176"/>
      <c r="I71" s="1453" t="str">
        <f t="shared" ca="1" si="39"/>
        <v/>
      </c>
      <c r="J71" s="267"/>
      <c r="K71" s="267"/>
      <c r="L71" s="1446" t="str">
        <f ca="1">IF(A71="","",'4 Eingabe Friseure'!BB25)</f>
        <v/>
      </c>
      <c r="M71" s="1446" t="str">
        <f ca="1">IF(A71="","",'4 Eingabe Friseure'!BC25)</f>
        <v/>
      </c>
      <c r="N71" s="1446" t="str">
        <f t="shared" ca="1" si="42"/>
        <v/>
      </c>
      <c r="O71" s="1451" t="str">
        <f t="shared" ca="1" si="40"/>
        <v/>
      </c>
      <c r="P71" s="1454" t="str">
        <f t="shared" ca="1" si="29"/>
        <v/>
      </c>
      <c r="Q71" s="1451" t="str">
        <f t="shared" ca="1" si="30"/>
        <v/>
      </c>
      <c r="R71" s="1455" t="str">
        <f t="shared" ca="1" si="31"/>
        <v/>
      </c>
      <c r="S71" s="1455" t="str">
        <f t="shared" ca="1" si="32"/>
        <v/>
      </c>
      <c r="T71" s="1456" t="str">
        <f t="shared" ca="1" si="33"/>
        <v/>
      </c>
      <c r="U71" s="1457" t="str">
        <f t="shared" ca="1" si="34"/>
        <v/>
      </c>
      <c r="V71" s="1458" t="str">
        <f t="shared" ca="1" si="35"/>
        <v/>
      </c>
      <c r="W71" s="2987" t="str">
        <f ca="1">IF(A71="","",IF('4 Eingabe Friseure'!BG25&gt;10,10,'4 Eingabe Friseure'!BG25/12*10))</f>
        <v/>
      </c>
      <c r="X71" s="267"/>
      <c r="Y71" s="267">
        <v>21823.199999999997</v>
      </c>
      <c r="Z71" s="1163" t="e">
        <f t="shared" ca="1" si="41"/>
        <v>#VALUE!</v>
      </c>
      <c r="AA71" s="267"/>
      <c r="AB71" s="267"/>
      <c r="AC71" s="267"/>
      <c r="AD71" s="566"/>
      <c r="AE71" s="566"/>
      <c r="AF71" s="566"/>
      <c r="AG71" s="566"/>
      <c r="AH71" s="566"/>
      <c r="AI71" s="566"/>
      <c r="AJ71" s="267"/>
      <c r="AK71" s="267"/>
      <c r="AL71" s="267"/>
    </row>
    <row r="72" spans="1:38" ht="18" customHeight="1">
      <c r="A72" s="1448" t="str">
        <f>IF('4 Eingabe Friseure'!A7="","",'4 Eingabe Friseure'!A7)</f>
        <v xml:space="preserve">Linda </v>
      </c>
      <c r="B72" s="1461" t="str">
        <f>IF(A72="","","Monate")</f>
        <v>Monate</v>
      </c>
      <c r="C72" s="2990">
        <f>IF(A72="","",IF('17 Chef-Ums.-Entn. od. GmbHgew.'!B18="","",'17 Chef-Ums.-Entn. od. GmbHgew.'!B18))</f>
        <v>10</v>
      </c>
      <c r="D72" s="1451">
        <f>IF(A72="","",'19 Sollumsatz pro Arbeitsmonat'!O24/C72)</f>
        <v>8977.2952265285403</v>
      </c>
      <c r="E72" s="1452">
        <f t="shared" si="37"/>
        <v>427.49</v>
      </c>
      <c r="F72" s="4183">
        <f>IF(A72="","",IF($F$54="","",E72/(100-$G$75)*$G$75))</f>
        <v>24.880370370370368</v>
      </c>
      <c r="G72" s="4184"/>
      <c r="H72" s="4185"/>
      <c r="I72" s="1453">
        <f t="shared" si="39"/>
        <v>452.38068900741962</v>
      </c>
      <c r="J72" s="267"/>
      <c r="K72" s="267"/>
      <c r="L72" s="1446">
        <f>IF(A72="","",'4 Eingabe Friseure'!BB7)</f>
        <v>40</v>
      </c>
      <c r="M72" s="1446">
        <f>IF(A72="","",'4 Eingabe Friseure'!BC7)</f>
        <v>5</v>
      </c>
      <c r="N72" s="1446">
        <f t="shared" si="42"/>
        <v>21</v>
      </c>
      <c r="O72" s="1451">
        <f>IF(A72="","",D72/(100-$G$53)*100)</f>
        <v>9500</v>
      </c>
      <c r="P72" s="1454">
        <f t="shared" si="29"/>
        <v>452.38</v>
      </c>
      <c r="Q72" s="1451">
        <f t="shared" si="30"/>
        <v>2193.9953810623556</v>
      </c>
      <c r="R72" s="1455">
        <f t="shared" si="31"/>
        <v>54.849884526558888</v>
      </c>
      <c r="S72" s="1455"/>
      <c r="T72" s="1456">
        <f t="shared" si="33"/>
        <v>68.562355658198612</v>
      </c>
      <c r="U72" s="1457" t="str">
        <f>A72</f>
        <v xml:space="preserve">Linda </v>
      </c>
      <c r="V72" s="1458">
        <f>IF(U72="","",N72*W72*I72)</f>
        <v>94999.944691558121</v>
      </c>
      <c r="W72" s="2987">
        <f>C72</f>
        <v>10</v>
      </c>
      <c r="X72" s="267"/>
      <c r="Y72" s="1457">
        <v>788224.54</v>
      </c>
      <c r="Z72" s="1458" t="e">
        <f ca="1">SUM(V75,V93)</f>
        <v>#VALUE!</v>
      </c>
      <c r="AA72" s="267"/>
      <c r="AB72" s="267"/>
      <c r="AC72" s="267"/>
      <c r="AD72" s="566"/>
      <c r="AE72" s="566"/>
      <c r="AF72" s="566"/>
      <c r="AG72" s="566"/>
      <c r="AH72" s="566"/>
      <c r="AI72" s="566"/>
      <c r="AJ72" s="267"/>
      <c r="AK72" s="267"/>
      <c r="AL72" s="267"/>
    </row>
    <row r="73" spans="1:38" ht="16.5" customHeight="1">
      <c r="A73" s="1448" t="str">
        <f>IF('4 Eingabe Friseure'!A8="","",'4 Eingabe Friseure'!A8)</f>
        <v/>
      </c>
      <c r="B73" s="1461" t="str">
        <f>IF(A73="","","Monate")</f>
        <v/>
      </c>
      <c r="C73" s="2990" t="str">
        <f>IF(A73="","",IF('17 Chef-Ums.-Entn. od. GmbHgew.'!E18="","",'17 Chef-Ums.-Entn. od. GmbHgew.'!E18))</f>
        <v/>
      </c>
      <c r="D73" s="1451" t="str">
        <f>IF(A73="","",'19 Sollumsatz pro Arbeitsmonat'!R24/C73)</f>
        <v/>
      </c>
      <c r="E73" s="1452" t="str">
        <f t="shared" si="37"/>
        <v/>
      </c>
      <c r="F73" s="4183" t="str">
        <f>IF(A73="","",IF($F$54="","",E73/(100-$G$75)*$G$75))</f>
        <v/>
      </c>
      <c r="G73" s="4184"/>
      <c r="H73" s="4185"/>
      <c r="I73" s="1453" t="str">
        <f t="shared" si="39"/>
        <v/>
      </c>
      <c r="J73" s="267"/>
      <c r="K73" s="267"/>
      <c r="L73" s="1446" t="str">
        <f>IF(A73="","",'4 Eingabe Friseure'!BB8)</f>
        <v/>
      </c>
      <c r="M73" s="1446" t="str">
        <f>IF(A73="","",'4 Eingabe Friseure'!BC8)</f>
        <v/>
      </c>
      <c r="N73" s="1446" t="str">
        <f t="shared" si="42"/>
        <v/>
      </c>
      <c r="O73" s="1451" t="str">
        <f>IF(A73="","",D73/(100-$G$53)*100)</f>
        <v/>
      </c>
      <c r="P73" s="1454" t="str">
        <f t="shared" si="29"/>
        <v/>
      </c>
      <c r="Q73" s="1451" t="str">
        <f t="shared" si="30"/>
        <v/>
      </c>
      <c r="R73" s="1455" t="str">
        <f t="shared" si="31"/>
        <v/>
      </c>
      <c r="S73" s="1455"/>
      <c r="T73" s="1456" t="str">
        <f t="shared" si="33"/>
        <v/>
      </c>
      <c r="U73" s="1457" t="str">
        <f>A73</f>
        <v/>
      </c>
      <c r="V73" s="1458" t="str">
        <f>IF(U73="","",N73*W73*I73)</f>
        <v/>
      </c>
      <c r="W73" s="2987" t="str">
        <f>C73</f>
        <v/>
      </c>
      <c r="X73" s="267"/>
      <c r="Y73" s="1457"/>
      <c r="Z73" s="1458">
        <f>'19 Sollumsatz pro Arbeitsmonat'!H9</f>
        <v>95000</v>
      </c>
      <c r="AA73" s="267"/>
      <c r="AB73" s="267"/>
      <c r="AC73" s="267"/>
      <c r="AD73" s="566"/>
      <c r="AE73" s="566"/>
      <c r="AF73" s="566"/>
      <c r="AG73" s="566"/>
      <c r="AH73" s="566"/>
      <c r="AI73" s="566"/>
      <c r="AJ73" s="267"/>
      <c r="AK73" s="267"/>
      <c r="AL73" s="267"/>
    </row>
    <row r="74" spans="1:38" ht="16.5" customHeight="1">
      <c r="A74" s="1448" t="str">
        <f>IF('4 Eingabe Friseure'!A9="","",'4 Eingabe Friseure'!A9)</f>
        <v/>
      </c>
      <c r="B74" s="1461" t="str">
        <f>IF(A74="","","Monate")</f>
        <v/>
      </c>
      <c r="C74" s="2990" t="str">
        <f>IF(A74="","",IF('17 Chef-Ums.-Entn. od. GmbHgew.'!H18="","",'17 Chef-Ums.-Entn. od. GmbHgew.'!H18))</f>
        <v/>
      </c>
      <c r="D74" s="1451" t="str">
        <f>IF(A74="","",'19 Sollumsatz pro Arbeitsmonat'!U24/C74)</f>
        <v/>
      </c>
      <c r="E74" s="1452" t="str">
        <f t="shared" ref="E74" si="43">IF(A74="","",(ROUND(IF(A74="","",D74/N74),2)))</f>
        <v/>
      </c>
      <c r="F74" s="4183" t="str">
        <f>IF(A74="","",IF($F$54="","",E74/(100-$G$75)*$G$75))</f>
        <v/>
      </c>
      <c r="G74" s="4184"/>
      <c r="H74" s="4185"/>
      <c r="I74" s="1453" t="str">
        <f t="shared" ref="I74" si="44">IF(A74="","",IF(D74="",E74,E74/(100-G$53)*100))</f>
        <v/>
      </c>
      <c r="J74" s="267"/>
      <c r="K74" s="267"/>
      <c r="L74" s="1446" t="str">
        <f>IF(A74="","",'4 Eingabe Friseure'!BB9)</f>
        <v/>
      </c>
      <c r="M74" s="1446" t="str">
        <f>IF(A74="","",'4 Eingabe Friseure'!BC9)</f>
        <v/>
      </c>
      <c r="N74" s="1446" t="str">
        <f t="shared" ref="N74" si="45">IF(A74="","",IF(M74=5,21,IF(M74=6,25,M74*4.33)))</f>
        <v/>
      </c>
      <c r="O74" s="1451" t="str">
        <f>IF(A74="","",D74/(100-$G$53)*100)</f>
        <v/>
      </c>
      <c r="P74" s="1454" t="str">
        <f t="shared" ref="P74" si="46">IF(A74="","",(ROUND((O74/(N74)),2)))</f>
        <v/>
      </c>
      <c r="Q74" s="1451" t="str">
        <f t="shared" ref="Q74" si="47">IF(A74="","",O74/4.33)</f>
        <v/>
      </c>
      <c r="R74" s="1455" t="str">
        <f t="shared" ref="R74" si="48">IF(A74="","",Q74/L74)</f>
        <v/>
      </c>
      <c r="S74" s="1455"/>
      <c r="T74" s="1456" t="str">
        <f t="shared" ref="T74" si="49">IF(A74="","",R74/(L74-(L74*$T$54))*L74)</f>
        <v/>
      </c>
      <c r="U74" s="1457" t="str">
        <f>A74</f>
        <v/>
      </c>
      <c r="V74" s="1458" t="str">
        <f>IF(U74="","",N74*W74*I74)</f>
        <v/>
      </c>
      <c r="W74" s="2987" t="str">
        <f>C74</f>
        <v/>
      </c>
      <c r="X74" s="1348"/>
      <c r="Y74" s="1457"/>
      <c r="Z74" s="1458">
        <f>'19 Sollumsatz pro Arbeitsmonat'!H10</f>
        <v>0</v>
      </c>
      <c r="AA74" s="267"/>
      <c r="AB74" s="267"/>
      <c r="AC74" s="267"/>
      <c r="AD74" s="566"/>
      <c r="AE74" s="566"/>
      <c r="AF74" s="566"/>
      <c r="AG74" s="566"/>
      <c r="AH74" s="566"/>
      <c r="AI74" s="566"/>
      <c r="AJ74" s="267"/>
      <c r="AK74" s="267"/>
      <c r="AL74" s="267"/>
    </row>
    <row r="75" spans="1:38" s="15" customFormat="1" ht="16.5" customHeight="1">
      <c r="A75" s="267"/>
      <c r="B75" s="267"/>
      <c r="C75" s="267"/>
      <c r="D75" s="267"/>
      <c r="E75" s="1439" t="s">
        <v>298</v>
      </c>
      <c r="F75" s="1462"/>
      <c r="G75" s="2987">
        <f>'19 Sollumsatz pro Arbeitsmonat'!K11</f>
        <v>5.5</v>
      </c>
      <c r="H75" s="2991"/>
      <c r="I75" s="267"/>
      <c r="J75" s="267"/>
      <c r="K75" s="267"/>
      <c r="L75" s="267"/>
      <c r="M75" s="267"/>
      <c r="N75" s="267"/>
      <c r="O75" s="267"/>
      <c r="P75" s="267"/>
      <c r="Q75" s="267"/>
      <c r="R75" s="267"/>
      <c r="S75" s="267"/>
      <c r="T75" s="267"/>
      <c r="U75" s="1457" t="s">
        <v>94</v>
      </c>
      <c r="V75" s="1458" t="e">
        <f ca="1">SUM(V56:V71)</f>
        <v>#VALUE!</v>
      </c>
      <c r="W75" s="267"/>
      <c r="X75" s="1348"/>
      <c r="Y75" s="1457"/>
      <c r="Z75" s="1458" t="e">
        <f ca="1">SUM(Z72:Z74)</f>
        <v>#VALUE!</v>
      </c>
      <c r="AA75" s="1348"/>
      <c r="AB75" s="1348"/>
      <c r="AC75" s="1348"/>
      <c r="AD75" s="720"/>
      <c r="AE75" s="720"/>
      <c r="AF75" s="720"/>
      <c r="AG75" s="720"/>
      <c r="AH75" s="720"/>
      <c r="AI75" s="720"/>
      <c r="AJ75" s="1348"/>
      <c r="AK75" s="1348"/>
      <c r="AL75" s="1348"/>
    </row>
    <row r="76" spans="1:38" s="15" customFormat="1" ht="18" customHeight="1">
      <c r="A76" s="1348"/>
      <c r="B76" s="4200"/>
      <c r="C76" s="4200"/>
      <c r="D76" s="1348"/>
      <c r="E76" s="1348"/>
      <c r="F76" s="1348"/>
      <c r="G76" s="1348"/>
      <c r="H76" s="1348"/>
      <c r="I76" s="1348"/>
      <c r="J76" s="1348"/>
      <c r="K76" s="1348"/>
      <c r="L76" s="1348"/>
      <c r="M76" s="1348"/>
      <c r="N76" s="1348"/>
      <c r="O76" s="1348"/>
      <c r="P76" s="1348"/>
      <c r="Q76" s="1348"/>
      <c r="R76" s="1348"/>
      <c r="S76" s="1348"/>
      <c r="T76" s="1348"/>
      <c r="U76" s="1348"/>
      <c r="V76" s="1348"/>
      <c r="W76" s="1348"/>
      <c r="X76" s="1348"/>
      <c r="Y76" s="1457">
        <v>54558</v>
      </c>
      <c r="Z76" s="1458">
        <f>'18 Zielumsatz Planungsjahr'!R5</f>
        <v>600993.68263966474</v>
      </c>
      <c r="AA76" s="1348"/>
      <c r="AB76" s="1348"/>
      <c r="AC76" s="1348"/>
      <c r="AD76" s="720"/>
      <c r="AE76" s="720"/>
      <c r="AF76" s="720"/>
      <c r="AG76" s="720"/>
      <c r="AH76" s="720"/>
      <c r="AI76" s="720"/>
      <c r="AJ76" s="1348"/>
      <c r="AK76" s="1348"/>
      <c r="AL76" s="1348"/>
    </row>
    <row r="77" spans="1:38" s="15" customFormat="1" ht="18" customHeight="1">
      <c r="A77" s="1459" t="str">
        <f ca="1">IF('21 Lohnfaktor'!C30=0,"",IF('21 Lohnfaktor'!B30=0,"",'21 Lohnfaktor'!B30))</f>
        <v/>
      </c>
      <c r="B77" s="1449" t="str">
        <f ca="1">IF('21 Lohnfaktor'!C30=0,"",'21 Lohnfaktor'!C30)</f>
        <v/>
      </c>
      <c r="C77" s="1450" t="str">
        <f t="shared" ref="C77:C92" ca="1" si="50">IF(A77="","",$M$3)</f>
        <v/>
      </c>
      <c r="D77" s="1451" t="str">
        <f t="shared" ref="D77:D92" ca="1" si="51">IF(A77="","",(ROUND(IF(A77="","",C77*B77),0)))</f>
        <v/>
      </c>
      <c r="E77" s="1452" t="str">
        <f t="shared" ref="E77:E92" ca="1" si="52">IF(A77="","",(ROUND(IF(A77="","",D77/N77),2)))</f>
        <v/>
      </c>
      <c r="F77" s="4174" t="str">
        <f t="shared" ref="F77:F92" ca="1" si="53">IF(A77="","",IF($F$54="","",I77*$G$53%))</f>
        <v/>
      </c>
      <c r="G77" s="4175"/>
      <c r="H77" s="4176"/>
      <c r="I77" s="1453" t="str">
        <f t="shared" ref="I77:I92" ca="1" si="54">IF(A77="","",IF(D77="",E77,E77/(100-G$53)*100))</f>
        <v/>
      </c>
      <c r="J77" s="267"/>
      <c r="K77" s="267"/>
      <c r="L77" s="1446" t="str">
        <f ca="1">IF(A77="","",'4 Eingabe Friseure'!BB30)</f>
        <v/>
      </c>
      <c r="M77" s="1446" t="str">
        <f ca="1">IF(A77="","",'4 Eingabe Friseure'!BC30)</f>
        <v/>
      </c>
      <c r="N77" s="1446" t="str">
        <f t="shared" ref="N77:N92" ca="1" si="55">IF(A77="","",IF(M77=5,21,IF(M77=6,25,M77*4.33)))</f>
        <v/>
      </c>
      <c r="O77" s="1451" t="str">
        <f t="shared" ref="O77:O92" ca="1" si="56">IF(A77="","",D77/(100-$G$53)*100)</f>
        <v/>
      </c>
      <c r="P77" s="1454" t="str">
        <f t="shared" ref="P77:P92" ca="1" si="57">IF(A77="","",(ROUND((O77/(N77)),2)))</f>
        <v/>
      </c>
      <c r="Q77" s="1451" t="str">
        <f t="shared" ref="Q77:Q92" ca="1" si="58">IF(A77="","",O77/4.33)</f>
        <v/>
      </c>
      <c r="R77" s="1455" t="str">
        <f t="shared" ref="R77:R92" ca="1" si="59">IF(A77="","",Q77/L77)</f>
        <v/>
      </c>
      <c r="S77" s="1455" t="str">
        <f t="shared" ref="S77:S92" ca="1" si="60">IF(A77="","",B77/(L77*4.33))</f>
        <v/>
      </c>
      <c r="T77" s="1456" t="str">
        <f t="shared" ref="T77:T92" ca="1" si="61">IF(A77="","",R77/(L77-(L77*$T$54))*L77)</f>
        <v/>
      </c>
      <c r="U77" s="1457" t="str">
        <f t="shared" ref="U77:U92" ca="1" si="62">A77</f>
        <v/>
      </c>
      <c r="V77" s="1458" t="str">
        <f t="shared" ref="V77:V92" ca="1" si="63">IF(U77="","",N77*W77*I77)</f>
        <v/>
      </c>
      <c r="W77" s="2987" t="str">
        <f ca="1">IF(A77="","",IF('4 Eingabe Friseure'!BG30&gt;10,10,'4 Eingabe Friseure'!BG30/12*10))</f>
        <v/>
      </c>
      <c r="X77" s="1348"/>
      <c r="Y77" s="1457">
        <v>69106.8</v>
      </c>
      <c r="Z77" s="1458" t="e">
        <f ca="1">Z75-Z76</f>
        <v>#VALUE!</v>
      </c>
      <c r="AA77" s="1348"/>
      <c r="AB77" s="1348"/>
      <c r="AC77" s="1348"/>
      <c r="AD77" s="720"/>
      <c r="AE77" s="720"/>
      <c r="AF77" s="720"/>
      <c r="AG77" s="720"/>
      <c r="AH77" s="720"/>
      <c r="AI77" s="720"/>
      <c r="AJ77" s="1348"/>
      <c r="AK77" s="1348"/>
      <c r="AL77" s="1348"/>
    </row>
    <row r="78" spans="1:38" s="15" customFormat="1" ht="18" customHeight="1">
      <c r="A78" s="1459" t="str">
        <f ca="1">IF('21 Lohnfaktor'!C31=0,"",IF('21 Lohnfaktor'!B31=0,"",'21 Lohnfaktor'!B31))</f>
        <v/>
      </c>
      <c r="B78" s="1449" t="str">
        <f ca="1">IF('21 Lohnfaktor'!C31=0,"",'21 Lohnfaktor'!C31)</f>
        <v/>
      </c>
      <c r="C78" s="1450" t="str">
        <f t="shared" ca="1" si="50"/>
        <v/>
      </c>
      <c r="D78" s="1451" t="str">
        <f t="shared" ca="1" si="51"/>
        <v/>
      </c>
      <c r="E78" s="1452" t="str">
        <f t="shared" ca="1" si="52"/>
        <v/>
      </c>
      <c r="F78" s="4174" t="str">
        <f t="shared" ca="1" si="53"/>
        <v/>
      </c>
      <c r="G78" s="4175"/>
      <c r="H78" s="4176"/>
      <c r="I78" s="1453" t="str">
        <f t="shared" ca="1" si="54"/>
        <v/>
      </c>
      <c r="J78" s="267"/>
      <c r="K78" s="267"/>
      <c r="L78" s="1446" t="str">
        <f ca="1">IF(A78="","",'4 Eingabe Friseure'!BB31)</f>
        <v/>
      </c>
      <c r="M78" s="1446" t="str">
        <f ca="1">IF(A78="","",'4 Eingabe Friseure'!BC31)</f>
        <v/>
      </c>
      <c r="N78" s="1446" t="str">
        <f t="shared" ca="1" si="55"/>
        <v/>
      </c>
      <c r="O78" s="1451" t="str">
        <f t="shared" ca="1" si="56"/>
        <v/>
      </c>
      <c r="P78" s="1454" t="str">
        <f t="shared" ca="1" si="57"/>
        <v/>
      </c>
      <c r="Q78" s="1451" t="str">
        <f t="shared" ca="1" si="58"/>
        <v/>
      </c>
      <c r="R78" s="1455" t="str">
        <f t="shared" ca="1" si="59"/>
        <v/>
      </c>
      <c r="S78" s="1455" t="str">
        <f t="shared" ca="1" si="60"/>
        <v/>
      </c>
      <c r="T78" s="1456" t="str">
        <f t="shared" ca="1" si="61"/>
        <v/>
      </c>
      <c r="U78" s="1457" t="str">
        <f t="shared" ca="1" si="62"/>
        <v/>
      </c>
      <c r="V78" s="1458" t="str">
        <f t="shared" ca="1" si="63"/>
        <v/>
      </c>
      <c r="W78" s="2987" t="str">
        <f ca="1">IF(A78="","",IF('4 Eingabe Friseure'!BG31&gt;10,10,'4 Eingabe Friseure'!BG31/12*10))</f>
        <v/>
      </c>
      <c r="X78" s="1348"/>
      <c r="Y78" s="1348">
        <v>61832.4</v>
      </c>
      <c r="Z78" s="1348"/>
      <c r="AA78" s="1348"/>
      <c r="AB78" s="1348"/>
      <c r="AC78" s="1348"/>
      <c r="AD78" s="720"/>
      <c r="AE78" s="720"/>
      <c r="AF78" s="720"/>
      <c r="AG78" s="720"/>
      <c r="AH78" s="720"/>
      <c r="AI78" s="720"/>
      <c r="AJ78" s="1348"/>
      <c r="AK78" s="1348"/>
      <c r="AL78" s="1348"/>
    </row>
    <row r="79" spans="1:38" s="15" customFormat="1" ht="18" customHeight="1">
      <c r="A79" s="1459" t="str">
        <f ca="1">IF('21 Lohnfaktor'!C32=0,"",IF('21 Lohnfaktor'!B32=0,"",'21 Lohnfaktor'!B32))</f>
        <v/>
      </c>
      <c r="B79" s="1449" t="str">
        <f ca="1">IF('21 Lohnfaktor'!C32=0,"",'21 Lohnfaktor'!C32)</f>
        <v/>
      </c>
      <c r="C79" s="1450" t="str">
        <f t="shared" ca="1" si="50"/>
        <v/>
      </c>
      <c r="D79" s="1451" t="str">
        <f t="shared" ca="1" si="51"/>
        <v/>
      </c>
      <c r="E79" s="1452" t="str">
        <f t="shared" ca="1" si="52"/>
        <v/>
      </c>
      <c r="F79" s="4174" t="str">
        <f t="shared" ca="1" si="53"/>
        <v/>
      </c>
      <c r="G79" s="4175"/>
      <c r="H79" s="4176"/>
      <c r="I79" s="1453" t="str">
        <f t="shared" ca="1" si="54"/>
        <v/>
      </c>
      <c r="J79" s="267"/>
      <c r="K79" s="267"/>
      <c r="L79" s="1446" t="str">
        <f ca="1">IF(A79="","",'4 Eingabe Friseure'!BB32)</f>
        <v/>
      </c>
      <c r="M79" s="1446" t="str">
        <f ca="1">IF(A79="","",'4 Eingabe Friseure'!BC32)</f>
        <v/>
      </c>
      <c r="N79" s="1446" t="str">
        <f t="shared" ca="1" si="55"/>
        <v/>
      </c>
      <c r="O79" s="1451" t="str">
        <f t="shared" ca="1" si="56"/>
        <v/>
      </c>
      <c r="P79" s="1454" t="str">
        <f t="shared" ca="1" si="57"/>
        <v/>
      </c>
      <c r="Q79" s="1451" t="str">
        <f t="shared" ca="1" si="58"/>
        <v/>
      </c>
      <c r="R79" s="1455" t="str">
        <f t="shared" ca="1" si="59"/>
        <v/>
      </c>
      <c r="S79" s="1455" t="str">
        <f t="shared" ca="1" si="60"/>
        <v/>
      </c>
      <c r="T79" s="1456" t="str">
        <f t="shared" ca="1" si="61"/>
        <v/>
      </c>
      <c r="U79" s="1457" t="str">
        <f t="shared" ca="1" si="62"/>
        <v/>
      </c>
      <c r="V79" s="1458" t="str">
        <f t="shared" ca="1" si="63"/>
        <v/>
      </c>
      <c r="W79" s="2987" t="str">
        <f ca="1">IF(A79="","",IF('4 Eingabe Friseure'!BG32&gt;10,10,'4 Eingabe Friseure'!BG32/12*10))</f>
        <v/>
      </c>
      <c r="X79" s="1348"/>
      <c r="Y79" s="1348">
        <v>61832.4</v>
      </c>
      <c r="Z79" s="1348"/>
      <c r="AA79" s="1348"/>
      <c r="AB79" s="1348"/>
      <c r="AC79" s="1348"/>
      <c r="AD79" s="720"/>
      <c r="AE79" s="720"/>
      <c r="AF79" s="720"/>
      <c r="AG79" s="720"/>
      <c r="AH79" s="720"/>
      <c r="AI79" s="720"/>
      <c r="AJ79" s="1348"/>
      <c r="AK79" s="1348"/>
      <c r="AL79" s="1348"/>
    </row>
    <row r="80" spans="1:38" s="15" customFormat="1" ht="18" customHeight="1">
      <c r="A80" s="1459" t="str">
        <f ca="1">IF('21 Lohnfaktor'!C33=0,"",IF('21 Lohnfaktor'!B33=0,"",'21 Lohnfaktor'!B33))</f>
        <v/>
      </c>
      <c r="B80" s="1449" t="str">
        <f ca="1">IF('21 Lohnfaktor'!C33=0,"",'21 Lohnfaktor'!C33)</f>
        <v/>
      </c>
      <c r="C80" s="1450" t="str">
        <f t="shared" ca="1" si="50"/>
        <v/>
      </c>
      <c r="D80" s="1451" t="str">
        <f t="shared" ca="1" si="51"/>
        <v/>
      </c>
      <c r="E80" s="1452" t="str">
        <f t="shared" ca="1" si="52"/>
        <v/>
      </c>
      <c r="F80" s="4174" t="str">
        <f t="shared" ca="1" si="53"/>
        <v/>
      </c>
      <c r="G80" s="4175"/>
      <c r="H80" s="4176"/>
      <c r="I80" s="1453" t="str">
        <f t="shared" ca="1" si="54"/>
        <v/>
      </c>
      <c r="J80" s="267"/>
      <c r="K80" s="267"/>
      <c r="L80" s="1446" t="str">
        <f ca="1">IF(A80="","",'4 Eingabe Friseure'!BB33)</f>
        <v/>
      </c>
      <c r="M80" s="1446" t="str">
        <f ca="1">IF(A80="","",'4 Eingabe Friseure'!BC33)</f>
        <v/>
      </c>
      <c r="N80" s="1446" t="str">
        <f t="shared" ca="1" si="55"/>
        <v/>
      </c>
      <c r="O80" s="1451" t="str">
        <f t="shared" ca="1" si="56"/>
        <v/>
      </c>
      <c r="P80" s="1454" t="str">
        <f t="shared" ca="1" si="57"/>
        <v/>
      </c>
      <c r="Q80" s="1451" t="str">
        <f t="shared" ca="1" si="58"/>
        <v/>
      </c>
      <c r="R80" s="1455" t="str">
        <f t="shared" ca="1" si="59"/>
        <v/>
      </c>
      <c r="S80" s="1455" t="str">
        <f t="shared" ca="1" si="60"/>
        <v/>
      </c>
      <c r="T80" s="1456" t="str">
        <f t="shared" ca="1" si="61"/>
        <v/>
      </c>
      <c r="U80" s="1457" t="str">
        <f t="shared" ca="1" si="62"/>
        <v/>
      </c>
      <c r="V80" s="1458" t="str">
        <f t="shared" ca="1" si="63"/>
        <v/>
      </c>
      <c r="W80" s="2987" t="str">
        <f ca="1">IF(A80="","",IF('4 Eingabe Friseure'!BG33&gt;10,10,'4 Eingabe Friseure'!BG33/12*10))</f>
        <v/>
      </c>
      <c r="X80" s="1348"/>
      <c r="Y80" s="1348">
        <v>21823.199999999997</v>
      </c>
      <c r="Z80" s="1348"/>
      <c r="AA80" s="1348"/>
      <c r="AB80" s="1348"/>
      <c r="AC80" s="1348"/>
      <c r="AD80" s="720"/>
      <c r="AE80" s="720"/>
      <c r="AF80" s="720"/>
      <c r="AG80" s="720"/>
      <c r="AH80" s="720"/>
      <c r="AI80" s="720"/>
      <c r="AJ80" s="1348"/>
      <c r="AK80" s="1348"/>
      <c r="AL80" s="1348"/>
    </row>
    <row r="81" spans="1:38" s="15" customFormat="1" ht="18" customHeight="1">
      <c r="A81" s="1459" t="str">
        <f ca="1">IF('21 Lohnfaktor'!C34=0,"",IF('21 Lohnfaktor'!B34=0,"",'21 Lohnfaktor'!B34))</f>
        <v/>
      </c>
      <c r="B81" s="1449" t="str">
        <f ca="1">IF('21 Lohnfaktor'!C34=0,"",'21 Lohnfaktor'!C34)</f>
        <v/>
      </c>
      <c r="C81" s="1450" t="str">
        <f t="shared" ca="1" si="50"/>
        <v/>
      </c>
      <c r="D81" s="1451" t="str">
        <f t="shared" ca="1" si="51"/>
        <v/>
      </c>
      <c r="E81" s="1452" t="str">
        <f t="shared" ca="1" si="52"/>
        <v/>
      </c>
      <c r="F81" s="4174" t="str">
        <f t="shared" ca="1" si="53"/>
        <v/>
      </c>
      <c r="G81" s="4175"/>
      <c r="H81" s="4176"/>
      <c r="I81" s="1453" t="str">
        <f t="shared" ca="1" si="54"/>
        <v/>
      </c>
      <c r="J81" s="267"/>
      <c r="K81" s="267"/>
      <c r="L81" s="1446" t="str">
        <f ca="1">IF(A81="","",'4 Eingabe Friseure'!BB34)</f>
        <v/>
      </c>
      <c r="M81" s="1446" t="str">
        <f ca="1">IF(A81="","",'4 Eingabe Friseure'!BC34)</f>
        <v/>
      </c>
      <c r="N81" s="1446" t="str">
        <f t="shared" ca="1" si="55"/>
        <v/>
      </c>
      <c r="O81" s="1451" t="str">
        <f t="shared" ca="1" si="56"/>
        <v/>
      </c>
      <c r="P81" s="1454" t="str">
        <f t="shared" ca="1" si="57"/>
        <v/>
      </c>
      <c r="Q81" s="1451" t="str">
        <f t="shared" ca="1" si="58"/>
        <v/>
      </c>
      <c r="R81" s="1455" t="str">
        <f t="shared" ca="1" si="59"/>
        <v/>
      </c>
      <c r="S81" s="1455" t="str">
        <f t="shared" ca="1" si="60"/>
        <v/>
      </c>
      <c r="T81" s="1456" t="str">
        <f t="shared" ca="1" si="61"/>
        <v/>
      </c>
      <c r="U81" s="1457" t="str">
        <f t="shared" ca="1" si="62"/>
        <v/>
      </c>
      <c r="V81" s="1458" t="str">
        <f t="shared" ca="1" si="63"/>
        <v/>
      </c>
      <c r="W81" s="2987" t="str">
        <f ca="1">IF(A81="","",IF('4 Eingabe Friseure'!BG34&gt;10,10,'4 Eingabe Friseure'!BG34/12*10))</f>
        <v/>
      </c>
      <c r="X81" s="1348"/>
      <c r="Y81" s="1348">
        <v>58195.200000000004</v>
      </c>
      <c r="Z81" s="1348"/>
      <c r="AA81" s="1348"/>
      <c r="AB81" s="1348"/>
      <c r="AC81" s="1348"/>
      <c r="AD81" s="720"/>
      <c r="AE81" s="720"/>
      <c r="AF81" s="720"/>
      <c r="AG81" s="720"/>
      <c r="AH81" s="720"/>
      <c r="AI81" s="720"/>
      <c r="AJ81" s="1348"/>
      <c r="AK81" s="1348"/>
      <c r="AL81" s="1348"/>
    </row>
    <row r="82" spans="1:38" s="15" customFormat="1" ht="18" customHeight="1">
      <c r="A82" s="1459" t="str">
        <f ca="1">IF('21 Lohnfaktor'!C35=0,"",IF('21 Lohnfaktor'!B35=0,"",'21 Lohnfaktor'!B35))</f>
        <v/>
      </c>
      <c r="B82" s="1449" t="str">
        <f ca="1">IF('21 Lohnfaktor'!C35=0,"",'21 Lohnfaktor'!C35)</f>
        <v/>
      </c>
      <c r="C82" s="1450" t="str">
        <f t="shared" ca="1" si="50"/>
        <v/>
      </c>
      <c r="D82" s="1451" t="str">
        <f t="shared" ca="1" si="51"/>
        <v/>
      </c>
      <c r="E82" s="1452" t="str">
        <f t="shared" ca="1" si="52"/>
        <v/>
      </c>
      <c r="F82" s="4174" t="str">
        <f t="shared" ca="1" si="53"/>
        <v/>
      </c>
      <c r="G82" s="4175"/>
      <c r="H82" s="4176"/>
      <c r="I82" s="1453" t="str">
        <f t="shared" ca="1" si="54"/>
        <v/>
      </c>
      <c r="J82" s="267"/>
      <c r="K82" s="267"/>
      <c r="L82" s="1446" t="str">
        <f ca="1">IF(A82="","",'4 Eingabe Friseure'!BB35)</f>
        <v/>
      </c>
      <c r="M82" s="1446" t="str">
        <f ca="1">IF(A82="","",'4 Eingabe Friseure'!BC35)</f>
        <v/>
      </c>
      <c r="N82" s="1446" t="str">
        <f t="shared" ca="1" si="55"/>
        <v/>
      </c>
      <c r="O82" s="1451" t="str">
        <f t="shared" ca="1" si="56"/>
        <v/>
      </c>
      <c r="P82" s="1454" t="str">
        <f t="shared" ca="1" si="57"/>
        <v/>
      </c>
      <c r="Q82" s="1451" t="str">
        <f t="shared" ca="1" si="58"/>
        <v/>
      </c>
      <c r="R82" s="1455" t="str">
        <f t="shared" ca="1" si="59"/>
        <v/>
      </c>
      <c r="S82" s="1455" t="str">
        <f t="shared" ca="1" si="60"/>
        <v/>
      </c>
      <c r="T82" s="1456" t="str">
        <f t="shared" ca="1" si="61"/>
        <v/>
      </c>
      <c r="U82" s="1457" t="str">
        <f t="shared" ca="1" si="62"/>
        <v/>
      </c>
      <c r="V82" s="1458" t="str">
        <f t="shared" ca="1" si="63"/>
        <v/>
      </c>
      <c r="W82" s="2987" t="str">
        <f ca="1">IF(A82="","",IF('4 Eingabe Friseure'!BG35&gt;10,10,'4 Eingabe Friseure'!BG35/12*10))</f>
        <v/>
      </c>
      <c r="X82" s="1348"/>
      <c r="Y82" s="1348">
        <v>65469.600000000006</v>
      </c>
      <c r="Z82" s="1348"/>
      <c r="AA82" s="1348"/>
      <c r="AB82" s="1348"/>
      <c r="AC82" s="1348"/>
      <c r="AD82" s="720"/>
      <c r="AE82" s="720"/>
      <c r="AF82" s="720"/>
      <c r="AG82" s="720"/>
      <c r="AH82" s="720"/>
      <c r="AI82" s="720"/>
      <c r="AJ82" s="1348"/>
      <c r="AK82" s="1348"/>
      <c r="AL82" s="1348"/>
    </row>
    <row r="83" spans="1:38" s="15" customFormat="1" ht="18" customHeight="1">
      <c r="A83" s="1459" t="str">
        <f ca="1">IF('21 Lohnfaktor'!C36=0,"",IF('21 Lohnfaktor'!B36=0,"",'21 Lohnfaktor'!B36))</f>
        <v/>
      </c>
      <c r="B83" s="1449" t="str">
        <f ca="1">IF('21 Lohnfaktor'!C36=0,"",'21 Lohnfaktor'!C36)</f>
        <v/>
      </c>
      <c r="C83" s="1450" t="str">
        <f t="shared" ca="1" si="50"/>
        <v/>
      </c>
      <c r="D83" s="1451" t="str">
        <f t="shared" ca="1" si="51"/>
        <v/>
      </c>
      <c r="E83" s="1452" t="str">
        <f t="shared" ca="1" si="52"/>
        <v/>
      </c>
      <c r="F83" s="4174" t="str">
        <f t="shared" ca="1" si="53"/>
        <v/>
      </c>
      <c r="G83" s="4175"/>
      <c r="H83" s="4176"/>
      <c r="I83" s="1453" t="str">
        <f t="shared" ca="1" si="54"/>
        <v/>
      </c>
      <c r="J83" s="267"/>
      <c r="K83" s="267"/>
      <c r="L83" s="1446" t="str">
        <f ca="1">IF(A83="","",'4 Eingabe Friseure'!BB36)</f>
        <v/>
      </c>
      <c r="M83" s="1446" t="str">
        <f ca="1">IF(A83="","",'4 Eingabe Friseure'!BC36)</f>
        <v/>
      </c>
      <c r="N83" s="1446" t="str">
        <f t="shared" ca="1" si="55"/>
        <v/>
      </c>
      <c r="O83" s="1451" t="str">
        <f t="shared" ca="1" si="56"/>
        <v/>
      </c>
      <c r="P83" s="1454" t="str">
        <f t="shared" ca="1" si="57"/>
        <v/>
      </c>
      <c r="Q83" s="1451" t="str">
        <f t="shared" ca="1" si="58"/>
        <v/>
      </c>
      <c r="R83" s="1455" t="str">
        <f t="shared" ca="1" si="59"/>
        <v/>
      </c>
      <c r="S83" s="1455" t="str">
        <f t="shared" ca="1" si="60"/>
        <v/>
      </c>
      <c r="T83" s="1456" t="str">
        <f t="shared" ca="1" si="61"/>
        <v/>
      </c>
      <c r="U83" s="1457" t="str">
        <f t="shared" ca="1" si="62"/>
        <v/>
      </c>
      <c r="V83" s="1458" t="str">
        <f t="shared" ca="1" si="63"/>
        <v/>
      </c>
      <c r="W83" s="2987" t="str">
        <f ca="1">IF(A83="","",IF('4 Eingabe Friseure'!BG36&gt;10,10,'4 Eingabe Friseure'!BG36/12*10))</f>
        <v/>
      </c>
      <c r="X83" s="1348"/>
      <c r="Y83" s="1348">
        <v>65469.600000000006</v>
      </c>
      <c r="Z83" s="1348"/>
      <c r="AA83" s="1348"/>
      <c r="AB83" s="1348"/>
      <c r="AC83" s="1348"/>
      <c r="AD83" s="720"/>
      <c r="AE83" s="720"/>
      <c r="AF83" s="720"/>
      <c r="AG83" s="720"/>
      <c r="AH83" s="720"/>
      <c r="AI83" s="720"/>
      <c r="AJ83" s="1348"/>
      <c r="AK83" s="1348"/>
      <c r="AL83" s="1348"/>
    </row>
    <row r="84" spans="1:38" s="15" customFormat="1" ht="18" customHeight="1">
      <c r="A84" s="1459" t="str">
        <f ca="1">IF('21 Lohnfaktor'!C37=0,"",IF('21 Lohnfaktor'!B37=0,"",'21 Lohnfaktor'!B37))</f>
        <v/>
      </c>
      <c r="B84" s="1449" t="str">
        <f ca="1">IF('21 Lohnfaktor'!C37=0,"",'21 Lohnfaktor'!C37)</f>
        <v/>
      </c>
      <c r="C84" s="1450" t="str">
        <f t="shared" ca="1" si="50"/>
        <v/>
      </c>
      <c r="D84" s="1451" t="str">
        <f t="shared" ca="1" si="51"/>
        <v/>
      </c>
      <c r="E84" s="1452" t="str">
        <f t="shared" ca="1" si="52"/>
        <v/>
      </c>
      <c r="F84" s="4174" t="str">
        <f t="shared" ca="1" si="53"/>
        <v/>
      </c>
      <c r="G84" s="4175"/>
      <c r="H84" s="4176"/>
      <c r="I84" s="1453" t="str">
        <f t="shared" ca="1" si="54"/>
        <v/>
      </c>
      <c r="J84" s="267"/>
      <c r="K84" s="267"/>
      <c r="L84" s="1446" t="str">
        <f ca="1">IF(A84="","",'4 Eingabe Friseure'!BB37)</f>
        <v/>
      </c>
      <c r="M84" s="1446" t="str">
        <f ca="1">IF(A84="","",'4 Eingabe Friseure'!BC37)</f>
        <v/>
      </c>
      <c r="N84" s="1446" t="str">
        <f t="shared" ca="1" si="55"/>
        <v/>
      </c>
      <c r="O84" s="1451" t="str">
        <f t="shared" ca="1" si="56"/>
        <v/>
      </c>
      <c r="P84" s="1454" t="str">
        <f t="shared" ca="1" si="57"/>
        <v/>
      </c>
      <c r="Q84" s="1451" t="str">
        <f t="shared" ca="1" si="58"/>
        <v/>
      </c>
      <c r="R84" s="1455" t="str">
        <f t="shared" ca="1" si="59"/>
        <v/>
      </c>
      <c r="S84" s="1455" t="str">
        <f t="shared" ca="1" si="60"/>
        <v/>
      </c>
      <c r="T84" s="1456" t="str">
        <f t="shared" ca="1" si="61"/>
        <v/>
      </c>
      <c r="U84" s="1457" t="str">
        <f t="shared" ca="1" si="62"/>
        <v/>
      </c>
      <c r="V84" s="1458" t="str">
        <f t="shared" ca="1" si="63"/>
        <v/>
      </c>
      <c r="W84" s="2987" t="str">
        <f ca="1">IF(A84="","",IF('4 Eingabe Friseure'!BG37&gt;10,10,'4 Eingabe Friseure'!BG37/12*10))</f>
        <v/>
      </c>
      <c r="X84" s="1348"/>
      <c r="Y84" s="1348">
        <v>58195.200000000004</v>
      </c>
      <c r="Z84" s="1348"/>
      <c r="AA84" s="1348"/>
      <c r="AB84" s="1348"/>
      <c r="AC84" s="1348"/>
      <c r="AD84" s="720"/>
      <c r="AE84" s="720"/>
      <c r="AF84" s="720"/>
      <c r="AG84" s="720"/>
      <c r="AH84" s="720"/>
      <c r="AI84" s="720"/>
      <c r="AJ84" s="1348"/>
      <c r="AK84" s="1348"/>
      <c r="AL84" s="1348"/>
    </row>
    <row r="85" spans="1:38" s="15" customFormat="1" ht="18" customHeight="1">
      <c r="A85" s="1459" t="str">
        <f ca="1">IF('21 Lohnfaktor'!C38=0,"",IF('21 Lohnfaktor'!B38=0,"",'21 Lohnfaktor'!B38))</f>
        <v/>
      </c>
      <c r="B85" s="1449" t="str">
        <f ca="1">IF('21 Lohnfaktor'!C38=0,"",'21 Lohnfaktor'!C38)</f>
        <v/>
      </c>
      <c r="C85" s="1450" t="str">
        <f t="shared" ca="1" si="50"/>
        <v/>
      </c>
      <c r="D85" s="1451" t="str">
        <f t="shared" ca="1" si="51"/>
        <v/>
      </c>
      <c r="E85" s="1452" t="str">
        <f t="shared" ca="1" si="52"/>
        <v/>
      </c>
      <c r="F85" s="4174" t="str">
        <f t="shared" ca="1" si="53"/>
        <v/>
      </c>
      <c r="G85" s="4175"/>
      <c r="H85" s="4176"/>
      <c r="I85" s="1453" t="str">
        <f t="shared" ca="1" si="54"/>
        <v/>
      </c>
      <c r="J85" s="267"/>
      <c r="K85" s="267"/>
      <c r="L85" s="1446" t="str">
        <f ca="1">IF(A85="","",'4 Eingabe Friseure'!BB38)</f>
        <v/>
      </c>
      <c r="M85" s="1446" t="str">
        <f ca="1">IF(A85="","",'4 Eingabe Friseure'!BC38)</f>
        <v/>
      </c>
      <c r="N85" s="1446" t="str">
        <f t="shared" ca="1" si="55"/>
        <v/>
      </c>
      <c r="O85" s="1451" t="str">
        <f t="shared" ca="1" si="56"/>
        <v/>
      </c>
      <c r="P85" s="1454" t="str">
        <f t="shared" ca="1" si="57"/>
        <v/>
      </c>
      <c r="Q85" s="1451" t="str">
        <f t="shared" ca="1" si="58"/>
        <v/>
      </c>
      <c r="R85" s="1455" t="str">
        <f t="shared" ca="1" si="59"/>
        <v/>
      </c>
      <c r="S85" s="1455" t="str">
        <f t="shared" ca="1" si="60"/>
        <v/>
      </c>
      <c r="T85" s="1456" t="str">
        <f t="shared" ca="1" si="61"/>
        <v/>
      </c>
      <c r="U85" s="1457" t="str">
        <f t="shared" ca="1" si="62"/>
        <v/>
      </c>
      <c r="V85" s="1458" t="str">
        <f t="shared" ca="1" si="63"/>
        <v/>
      </c>
      <c r="W85" s="2987" t="str">
        <f ca="1">IF(A85="","",IF('4 Eingabe Friseure'!BG38&gt;10,10,'4 Eingabe Friseure'!BG38/12*10))</f>
        <v/>
      </c>
      <c r="X85" s="1348"/>
      <c r="Y85" s="1348">
        <v>16367.4</v>
      </c>
      <c r="Z85" s="1348"/>
      <c r="AA85" s="1348"/>
      <c r="AB85" s="1348"/>
      <c r="AC85" s="1348"/>
      <c r="AD85" s="720"/>
      <c r="AE85" s="720"/>
      <c r="AF85" s="720"/>
      <c r="AG85" s="720"/>
      <c r="AH85" s="720"/>
      <c r="AI85" s="720"/>
      <c r="AJ85" s="1348"/>
      <c r="AK85" s="1348"/>
      <c r="AL85" s="1348"/>
    </row>
    <row r="86" spans="1:38" s="15" customFormat="1" ht="18" customHeight="1">
      <c r="A86" s="1459" t="str">
        <f ca="1">IF('21 Lohnfaktor'!C39=0,"",IF('21 Lohnfaktor'!B39=0,"",'21 Lohnfaktor'!B39))</f>
        <v/>
      </c>
      <c r="B86" s="1449" t="str">
        <f ca="1">IF('21 Lohnfaktor'!C39=0,"",'21 Lohnfaktor'!C39)</f>
        <v/>
      </c>
      <c r="C86" s="1450" t="str">
        <f t="shared" ca="1" si="50"/>
        <v/>
      </c>
      <c r="D86" s="1451" t="str">
        <f t="shared" ca="1" si="51"/>
        <v/>
      </c>
      <c r="E86" s="1452" t="str">
        <f t="shared" ca="1" si="52"/>
        <v/>
      </c>
      <c r="F86" s="4174" t="str">
        <f t="shared" ca="1" si="53"/>
        <v/>
      </c>
      <c r="G86" s="4175"/>
      <c r="H86" s="4176"/>
      <c r="I86" s="1453" t="str">
        <f t="shared" ca="1" si="54"/>
        <v/>
      </c>
      <c r="J86" s="267"/>
      <c r="K86" s="267"/>
      <c r="L86" s="1446" t="str">
        <f ca="1">IF(A86="","",'4 Eingabe Friseure'!BB39)</f>
        <v/>
      </c>
      <c r="M86" s="1446" t="str">
        <f ca="1">IF(A86="","",'4 Eingabe Friseure'!BC39)</f>
        <v/>
      </c>
      <c r="N86" s="1446" t="str">
        <f t="shared" ca="1" si="55"/>
        <v/>
      </c>
      <c r="O86" s="1451" t="str">
        <f t="shared" ca="1" si="56"/>
        <v/>
      </c>
      <c r="P86" s="1454" t="str">
        <f t="shared" ca="1" si="57"/>
        <v/>
      </c>
      <c r="Q86" s="1451" t="str">
        <f t="shared" ca="1" si="58"/>
        <v/>
      </c>
      <c r="R86" s="1455" t="str">
        <f t="shared" ca="1" si="59"/>
        <v/>
      </c>
      <c r="S86" s="1455" t="str">
        <f t="shared" ca="1" si="60"/>
        <v/>
      </c>
      <c r="T86" s="1456" t="str">
        <f t="shared" ca="1" si="61"/>
        <v/>
      </c>
      <c r="U86" s="1457" t="str">
        <f t="shared" ca="1" si="62"/>
        <v/>
      </c>
      <c r="V86" s="1458" t="str">
        <f t="shared" ca="1" si="63"/>
        <v/>
      </c>
      <c r="W86" s="2987" t="str">
        <f ca="1">IF(A86="","",IF('4 Eingabe Friseure'!BG39&gt;10,10,'4 Eingabe Friseure'!BG39/12*10))</f>
        <v/>
      </c>
      <c r="X86" s="1348"/>
      <c r="Y86" s="1348">
        <v>54558</v>
      </c>
      <c r="Z86" s="1348"/>
      <c r="AA86" s="1348"/>
      <c r="AB86" s="1348"/>
      <c r="AC86" s="1348"/>
      <c r="AD86" s="720"/>
      <c r="AE86" s="720"/>
      <c r="AF86" s="720"/>
      <c r="AG86" s="720"/>
      <c r="AH86" s="720"/>
      <c r="AI86" s="720"/>
      <c r="AJ86" s="1348"/>
      <c r="AK86" s="1348"/>
      <c r="AL86" s="1348"/>
    </row>
    <row r="87" spans="1:38" ht="18" customHeight="1">
      <c r="A87" s="1459" t="str">
        <f ca="1">IF('21 Lohnfaktor'!C40=0,"",IF('21 Lohnfaktor'!B40=0,"",'21 Lohnfaktor'!B40))</f>
        <v/>
      </c>
      <c r="B87" s="1449" t="str">
        <f ca="1">IF('21 Lohnfaktor'!C40=0,"",'21 Lohnfaktor'!C40)</f>
        <v/>
      </c>
      <c r="C87" s="1450" t="str">
        <f t="shared" ca="1" si="50"/>
        <v/>
      </c>
      <c r="D87" s="1451" t="str">
        <f t="shared" ca="1" si="51"/>
        <v/>
      </c>
      <c r="E87" s="1452" t="str">
        <f t="shared" ca="1" si="52"/>
        <v/>
      </c>
      <c r="F87" s="4174" t="str">
        <f t="shared" ca="1" si="53"/>
        <v/>
      </c>
      <c r="G87" s="4175"/>
      <c r="H87" s="4176"/>
      <c r="I87" s="1453" t="str">
        <f t="shared" ca="1" si="54"/>
        <v/>
      </c>
      <c r="J87" s="267"/>
      <c r="K87" s="267"/>
      <c r="L87" s="1446" t="str">
        <f ca="1">IF(A87="","",'4 Eingabe Friseure'!BB40)</f>
        <v/>
      </c>
      <c r="M87" s="1446" t="str">
        <f ca="1">IF(A87="","",'4 Eingabe Friseure'!BC40)</f>
        <v/>
      </c>
      <c r="N87" s="1446" t="str">
        <f t="shared" ca="1" si="55"/>
        <v/>
      </c>
      <c r="O87" s="1451" t="str">
        <f t="shared" ca="1" si="56"/>
        <v/>
      </c>
      <c r="P87" s="1454" t="str">
        <f t="shared" ca="1" si="57"/>
        <v/>
      </c>
      <c r="Q87" s="1451" t="str">
        <f t="shared" ca="1" si="58"/>
        <v/>
      </c>
      <c r="R87" s="1455" t="str">
        <f t="shared" ca="1" si="59"/>
        <v/>
      </c>
      <c r="S87" s="1455" t="str">
        <f t="shared" ca="1" si="60"/>
        <v/>
      </c>
      <c r="T87" s="1456" t="str">
        <f t="shared" ca="1" si="61"/>
        <v/>
      </c>
      <c r="U87" s="1457" t="str">
        <f t="shared" ca="1" si="62"/>
        <v/>
      </c>
      <c r="V87" s="1458" t="str">
        <f t="shared" ca="1" si="63"/>
        <v/>
      </c>
      <c r="W87" s="2987" t="str">
        <f ca="1">IF(A87="","",IF('4 Eingabe Friseure'!BG40&gt;10,10,'4 Eingabe Friseure'!BG40/12*10))</f>
        <v/>
      </c>
      <c r="X87" s="1348"/>
      <c r="Y87" s="1348"/>
      <c r="Z87" s="1348"/>
      <c r="AA87" s="1348"/>
      <c r="AB87" s="267"/>
      <c r="AC87" s="267"/>
      <c r="AD87" s="566"/>
      <c r="AE87" s="566"/>
      <c r="AF87" s="566"/>
      <c r="AG87" s="566"/>
      <c r="AH87" s="566"/>
      <c r="AI87" s="566"/>
      <c r="AJ87" s="267"/>
      <c r="AK87" s="267"/>
      <c r="AL87" s="267"/>
    </row>
    <row r="88" spans="1:38" ht="18" customHeight="1">
      <c r="A88" s="1459" t="str">
        <f ca="1">IF('21 Lohnfaktor'!C41=0,"",IF('21 Lohnfaktor'!B41=0,"",'21 Lohnfaktor'!B41))</f>
        <v/>
      </c>
      <c r="B88" s="1449" t="str">
        <f ca="1">IF('21 Lohnfaktor'!C41=0,"",'21 Lohnfaktor'!C41)</f>
        <v/>
      </c>
      <c r="C88" s="1450" t="str">
        <f t="shared" ca="1" si="50"/>
        <v/>
      </c>
      <c r="D88" s="1451" t="str">
        <f t="shared" ca="1" si="51"/>
        <v/>
      </c>
      <c r="E88" s="1452" t="str">
        <f t="shared" ca="1" si="52"/>
        <v/>
      </c>
      <c r="F88" s="4174" t="str">
        <f t="shared" ca="1" si="53"/>
        <v/>
      </c>
      <c r="G88" s="4175"/>
      <c r="H88" s="4176"/>
      <c r="I88" s="1453" t="str">
        <f t="shared" ca="1" si="54"/>
        <v/>
      </c>
      <c r="J88" s="267"/>
      <c r="K88" s="267"/>
      <c r="L88" s="1446" t="str">
        <f ca="1">IF(A88="","",'4 Eingabe Friseure'!BB41)</f>
        <v/>
      </c>
      <c r="M88" s="1446" t="str">
        <f ca="1">IF(A88="","",'4 Eingabe Friseure'!BC41)</f>
        <v/>
      </c>
      <c r="N88" s="1446" t="str">
        <f t="shared" ca="1" si="55"/>
        <v/>
      </c>
      <c r="O88" s="1451" t="str">
        <f t="shared" ca="1" si="56"/>
        <v/>
      </c>
      <c r="P88" s="1454" t="str">
        <f t="shared" ca="1" si="57"/>
        <v/>
      </c>
      <c r="Q88" s="1451" t="str">
        <f t="shared" ca="1" si="58"/>
        <v/>
      </c>
      <c r="R88" s="1455" t="str">
        <f t="shared" ca="1" si="59"/>
        <v/>
      </c>
      <c r="S88" s="1455" t="str">
        <f t="shared" ca="1" si="60"/>
        <v/>
      </c>
      <c r="T88" s="1456" t="str">
        <f t="shared" ca="1" si="61"/>
        <v/>
      </c>
      <c r="U88" s="1457" t="str">
        <f t="shared" ca="1" si="62"/>
        <v/>
      </c>
      <c r="V88" s="1458" t="str">
        <f t="shared" ca="1" si="63"/>
        <v/>
      </c>
      <c r="W88" s="2987" t="str">
        <f ca="1">IF(A88="","",IF('4 Eingabe Friseure'!BG41&gt;10,10,'4 Eingabe Friseure'!BG41/12*10))</f>
        <v/>
      </c>
      <c r="X88" s="1348"/>
      <c r="Y88" s="1348"/>
      <c r="Z88" s="1348"/>
      <c r="AA88" s="1348"/>
      <c r="AB88" s="267"/>
      <c r="AC88" s="267"/>
      <c r="AD88" s="566"/>
      <c r="AE88" s="566"/>
      <c r="AF88" s="566"/>
      <c r="AG88" s="566"/>
      <c r="AH88" s="566"/>
      <c r="AI88" s="566"/>
      <c r="AJ88" s="267"/>
      <c r="AK88" s="267"/>
      <c r="AL88" s="267"/>
    </row>
    <row r="89" spans="1:38" ht="18" customHeight="1">
      <c r="A89" s="1459" t="str">
        <f ca="1">IF('21 Lohnfaktor'!C42=0,"",IF('21 Lohnfaktor'!B42=0,"",'21 Lohnfaktor'!B42))</f>
        <v/>
      </c>
      <c r="B89" s="1449" t="str">
        <f ca="1">IF('21 Lohnfaktor'!C42=0,"",'21 Lohnfaktor'!C42)</f>
        <v/>
      </c>
      <c r="C89" s="1450" t="str">
        <f t="shared" ca="1" si="50"/>
        <v/>
      </c>
      <c r="D89" s="1451" t="str">
        <f t="shared" ca="1" si="51"/>
        <v/>
      </c>
      <c r="E89" s="1452" t="str">
        <f t="shared" ca="1" si="52"/>
        <v/>
      </c>
      <c r="F89" s="4174" t="str">
        <f t="shared" ca="1" si="53"/>
        <v/>
      </c>
      <c r="G89" s="4175"/>
      <c r="H89" s="4176"/>
      <c r="I89" s="1453" t="str">
        <f t="shared" ca="1" si="54"/>
        <v/>
      </c>
      <c r="J89" s="267"/>
      <c r="K89" s="267"/>
      <c r="L89" s="1446" t="str">
        <f ca="1">IF(A89="","",'4 Eingabe Friseure'!BB42)</f>
        <v/>
      </c>
      <c r="M89" s="1446" t="str">
        <f ca="1">IF(A89="","",'4 Eingabe Friseure'!BC42)</f>
        <v/>
      </c>
      <c r="N89" s="1446" t="str">
        <f t="shared" ca="1" si="55"/>
        <v/>
      </c>
      <c r="O89" s="1451" t="str">
        <f t="shared" ca="1" si="56"/>
        <v/>
      </c>
      <c r="P89" s="1454" t="str">
        <f t="shared" ca="1" si="57"/>
        <v/>
      </c>
      <c r="Q89" s="1451" t="str">
        <f t="shared" ca="1" si="58"/>
        <v/>
      </c>
      <c r="R89" s="1455" t="str">
        <f t="shared" ca="1" si="59"/>
        <v/>
      </c>
      <c r="S89" s="1455" t="str">
        <f t="shared" ca="1" si="60"/>
        <v/>
      </c>
      <c r="T89" s="1456" t="str">
        <f t="shared" ca="1" si="61"/>
        <v/>
      </c>
      <c r="U89" s="1457" t="str">
        <f t="shared" ca="1" si="62"/>
        <v/>
      </c>
      <c r="V89" s="1458" t="str">
        <f t="shared" ca="1" si="63"/>
        <v/>
      </c>
      <c r="W89" s="2987" t="str">
        <f ca="1">IF(A89="","",IF('4 Eingabe Friseure'!BG42&gt;10,10,'4 Eingabe Friseure'!BG42/12*10))</f>
        <v/>
      </c>
      <c r="X89" s="1348"/>
      <c r="Y89" s="1348"/>
      <c r="Z89" s="1348"/>
      <c r="AA89" s="1348"/>
      <c r="AB89" s="267"/>
      <c r="AC89" s="267"/>
      <c r="AD89" s="566"/>
      <c r="AE89" s="566"/>
      <c r="AF89" s="566"/>
      <c r="AG89" s="566"/>
      <c r="AH89" s="566"/>
      <c r="AI89" s="566"/>
      <c r="AJ89" s="267"/>
      <c r="AK89" s="267"/>
      <c r="AL89" s="267"/>
    </row>
    <row r="90" spans="1:38" ht="18" customHeight="1">
      <c r="A90" s="1459" t="str">
        <f ca="1">IF('21 Lohnfaktor'!C43=0,"",IF('21 Lohnfaktor'!B43=0,"",'21 Lohnfaktor'!B43))</f>
        <v/>
      </c>
      <c r="B90" s="1449" t="str">
        <f ca="1">IF('21 Lohnfaktor'!C43=0,"",'21 Lohnfaktor'!C43)</f>
        <v/>
      </c>
      <c r="C90" s="1450" t="str">
        <f t="shared" ca="1" si="50"/>
        <v/>
      </c>
      <c r="D90" s="1451" t="str">
        <f t="shared" ca="1" si="51"/>
        <v/>
      </c>
      <c r="E90" s="1452" t="str">
        <f t="shared" ca="1" si="52"/>
        <v/>
      </c>
      <c r="F90" s="4174" t="str">
        <f t="shared" ca="1" si="53"/>
        <v/>
      </c>
      <c r="G90" s="4175"/>
      <c r="H90" s="4176"/>
      <c r="I90" s="1453" t="str">
        <f t="shared" ca="1" si="54"/>
        <v/>
      </c>
      <c r="J90" s="267"/>
      <c r="K90" s="267"/>
      <c r="L90" s="1446" t="str">
        <f ca="1">IF(A90="","",'4 Eingabe Friseure'!BB43)</f>
        <v/>
      </c>
      <c r="M90" s="1446" t="str">
        <f ca="1">IF(A90="","",'4 Eingabe Friseure'!BC43)</f>
        <v/>
      </c>
      <c r="N90" s="1446" t="str">
        <f t="shared" ca="1" si="55"/>
        <v/>
      </c>
      <c r="O90" s="1451" t="str">
        <f t="shared" ca="1" si="56"/>
        <v/>
      </c>
      <c r="P90" s="1454" t="str">
        <f t="shared" ca="1" si="57"/>
        <v/>
      </c>
      <c r="Q90" s="1451" t="str">
        <f t="shared" ca="1" si="58"/>
        <v/>
      </c>
      <c r="R90" s="1455" t="str">
        <f t="shared" ca="1" si="59"/>
        <v/>
      </c>
      <c r="S90" s="1455" t="str">
        <f t="shared" ca="1" si="60"/>
        <v/>
      </c>
      <c r="T90" s="1456" t="str">
        <f t="shared" ca="1" si="61"/>
        <v/>
      </c>
      <c r="U90" s="1457" t="str">
        <f t="shared" ca="1" si="62"/>
        <v/>
      </c>
      <c r="V90" s="1458" t="str">
        <f t="shared" ca="1" si="63"/>
        <v/>
      </c>
      <c r="W90" s="2987" t="str">
        <f ca="1">IF(A90="","",IF('4 Eingabe Friseure'!BG43&gt;10,10,'4 Eingabe Friseure'!BG43/12*10))</f>
        <v/>
      </c>
      <c r="X90" s="1348"/>
      <c r="Y90" s="1348"/>
      <c r="Z90" s="1348"/>
      <c r="AA90" s="1348"/>
      <c r="AB90" s="267"/>
      <c r="AC90" s="267"/>
      <c r="AD90" s="566"/>
      <c r="AE90" s="566"/>
      <c r="AF90" s="566"/>
      <c r="AG90" s="566"/>
      <c r="AH90" s="566"/>
      <c r="AI90" s="566"/>
      <c r="AJ90" s="267"/>
      <c r="AK90" s="267"/>
      <c r="AL90" s="267"/>
    </row>
    <row r="91" spans="1:38" ht="18" customHeight="1">
      <c r="A91" s="1459" t="str">
        <f ca="1">IF('21 Lohnfaktor'!C44=0,"",IF('21 Lohnfaktor'!B44=0,"",'21 Lohnfaktor'!B44))</f>
        <v/>
      </c>
      <c r="B91" s="1449" t="str">
        <f ca="1">IF('21 Lohnfaktor'!C44=0,"",'21 Lohnfaktor'!C44)</f>
        <v/>
      </c>
      <c r="C91" s="1450" t="str">
        <f t="shared" ca="1" si="50"/>
        <v/>
      </c>
      <c r="D91" s="1451" t="str">
        <f t="shared" ca="1" si="51"/>
        <v/>
      </c>
      <c r="E91" s="1452" t="str">
        <f t="shared" ca="1" si="52"/>
        <v/>
      </c>
      <c r="F91" s="4174" t="str">
        <f t="shared" ca="1" si="53"/>
        <v/>
      </c>
      <c r="G91" s="4175"/>
      <c r="H91" s="4176"/>
      <c r="I91" s="1453" t="str">
        <f t="shared" ca="1" si="54"/>
        <v/>
      </c>
      <c r="J91" s="267"/>
      <c r="K91" s="267"/>
      <c r="L91" s="1446" t="str">
        <f ca="1">IF(A91="","",'4 Eingabe Friseure'!BB44)</f>
        <v/>
      </c>
      <c r="M91" s="1446" t="str">
        <f ca="1">IF(A91="","",'4 Eingabe Friseure'!BC44)</f>
        <v/>
      </c>
      <c r="N91" s="1446" t="str">
        <f t="shared" ca="1" si="55"/>
        <v/>
      </c>
      <c r="O91" s="1451" t="str">
        <f t="shared" ca="1" si="56"/>
        <v/>
      </c>
      <c r="P91" s="1454" t="str">
        <f t="shared" ca="1" si="57"/>
        <v/>
      </c>
      <c r="Q91" s="1451" t="str">
        <f t="shared" ca="1" si="58"/>
        <v/>
      </c>
      <c r="R91" s="1455" t="str">
        <f t="shared" ca="1" si="59"/>
        <v/>
      </c>
      <c r="S91" s="1455" t="str">
        <f t="shared" ca="1" si="60"/>
        <v/>
      </c>
      <c r="T91" s="1456" t="str">
        <f t="shared" ca="1" si="61"/>
        <v/>
      </c>
      <c r="U91" s="1457" t="str">
        <f t="shared" ca="1" si="62"/>
        <v/>
      </c>
      <c r="V91" s="1458" t="str">
        <f t="shared" ca="1" si="63"/>
        <v/>
      </c>
      <c r="W91" s="2987" t="str">
        <f ca="1">IF(A91="","",IF('4 Eingabe Friseure'!BG44&gt;10,10,'4 Eingabe Friseure'!BG44/12*10))</f>
        <v/>
      </c>
      <c r="X91" s="1348"/>
      <c r="Y91" s="1348"/>
      <c r="Z91" s="1348"/>
      <c r="AA91" s="1348"/>
      <c r="AB91" s="267"/>
      <c r="AC91" s="267"/>
      <c r="AD91" s="566"/>
      <c r="AE91" s="566"/>
      <c r="AF91" s="566"/>
      <c r="AG91" s="566"/>
      <c r="AH91" s="566"/>
      <c r="AI91" s="566"/>
      <c r="AJ91" s="267"/>
      <c r="AK91" s="267"/>
      <c r="AL91" s="267"/>
    </row>
    <row r="92" spans="1:38" ht="20.25" customHeight="1">
      <c r="A92" s="1459" t="str">
        <f ca="1">IF('21 Lohnfaktor'!C45=0,"",IF('21 Lohnfaktor'!B45=0,"",'21 Lohnfaktor'!B45))</f>
        <v/>
      </c>
      <c r="B92" s="1449" t="str">
        <f ca="1">IF('21 Lohnfaktor'!C45=0,"",'21 Lohnfaktor'!C45)</f>
        <v/>
      </c>
      <c r="C92" s="1450" t="str">
        <f t="shared" ca="1" si="50"/>
        <v/>
      </c>
      <c r="D92" s="1451" t="str">
        <f t="shared" ca="1" si="51"/>
        <v/>
      </c>
      <c r="E92" s="1452" t="str">
        <f t="shared" ca="1" si="52"/>
        <v/>
      </c>
      <c r="F92" s="4174" t="str">
        <f t="shared" ca="1" si="53"/>
        <v/>
      </c>
      <c r="G92" s="4175"/>
      <c r="H92" s="4176"/>
      <c r="I92" s="1453" t="str">
        <f t="shared" ca="1" si="54"/>
        <v/>
      </c>
      <c r="J92" s="267"/>
      <c r="K92" s="267"/>
      <c r="L92" s="1446" t="str">
        <f ca="1">IF(A92="","",'4 Eingabe Friseure'!BB45)</f>
        <v/>
      </c>
      <c r="M92" s="1446" t="str">
        <f ca="1">IF(A92="","",'4 Eingabe Friseure'!BC45)</f>
        <v/>
      </c>
      <c r="N92" s="1446" t="str">
        <f t="shared" ca="1" si="55"/>
        <v/>
      </c>
      <c r="O92" s="1451" t="str">
        <f t="shared" ca="1" si="56"/>
        <v/>
      </c>
      <c r="P92" s="1454" t="str">
        <f t="shared" ca="1" si="57"/>
        <v/>
      </c>
      <c r="Q92" s="1451" t="str">
        <f t="shared" ca="1" si="58"/>
        <v/>
      </c>
      <c r="R92" s="1455" t="str">
        <f t="shared" ca="1" si="59"/>
        <v/>
      </c>
      <c r="S92" s="1455" t="str">
        <f t="shared" ca="1" si="60"/>
        <v/>
      </c>
      <c r="T92" s="1456" t="str">
        <f t="shared" ca="1" si="61"/>
        <v/>
      </c>
      <c r="U92" s="1457" t="str">
        <f t="shared" ca="1" si="62"/>
        <v/>
      </c>
      <c r="V92" s="1458" t="str">
        <f t="shared" ca="1" si="63"/>
        <v/>
      </c>
      <c r="W92" s="2987" t="str">
        <f ca="1">IF(A92="","",IF('4 Eingabe Friseure'!BG45&gt;10,10,'4 Eingabe Friseure'!BG45/12*10))</f>
        <v/>
      </c>
      <c r="X92" s="1348"/>
      <c r="Y92" s="1348"/>
      <c r="Z92" s="1348"/>
      <c r="AA92" s="1348"/>
      <c r="AB92" s="267"/>
      <c r="AC92" s="267"/>
      <c r="AD92" s="566"/>
      <c r="AE92" s="566"/>
      <c r="AF92" s="566"/>
      <c r="AG92" s="566"/>
      <c r="AH92" s="566"/>
      <c r="AI92" s="566"/>
      <c r="AJ92" s="267"/>
      <c r="AK92" s="267"/>
      <c r="AL92" s="267"/>
    </row>
    <row r="93" spans="1:38" ht="20.25" customHeight="1">
      <c r="A93" s="1348"/>
      <c r="B93" s="1348"/>
      <c r="C93" s="1348"/>
      <c r="D93" s="1348"/>
      <c r="E93" s="1348"/>
      <c r="F93" s="1348"/>
      <c r="G93" s="1348"/>
      <c r="H93" s="1348"/>
      <c r="I93" s="1348"/>
      <c r="J93" s="1348"/>
      <c r="K93" s="1348"/>
      <c r="L93" s="1348"/>
      <c r="M93" s="1348"/>
      <c r="N93" s="1348"/>
      <c r="O93" s="1348"/>
      <c r="P93" s="1348"/>
      <c r="Q93" s="1348"/>
      <c r="R93" s="1348"/>
      <c r="S93" s="1348"/>
      <c r="T93" s="1348"/>
      <c r="U93" s="1457" t="s">
        <v>94</v>
      </c>
      <c r="V93" s="1458">
        <f ca="1">SUM(V77:V92)</f>
        <v>0</v>
      </c>
      <c r="W93" s="1348"/>
      <c r="X93" s="1348"/>
      <c r="Y93" s="1348"/>
      <c r="Z93" s="1348"/>
      <c r="AA93" s="1348"/>
      <c r="AB93" s="267"/>
      <c r="AC93" s="267"/>
      <c r="AD93" s="566"/>
      <c r="AE93" s="566"/>
      <c r="AF93" s="566"/>
      <c r="AG93" s="566"/>
      <c r="AH93" s="566"/>
      <c r="AI93" s="566"/>
      <c r="AJ93" s="267"/>
      <c r="AK93" s="267"/>
      <c r="AL93" s="267"/>
    </row>
    <row r="94" spans="1:38">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566"/>
      <c r="AE94" s="566"/>
      <c r="AF94" s="566"/>
      <c r="AG94" s="566"/>
      <c r="AH94" s="566"/>
      <c r="AI94" s="566"/>
      <c r="AJ94" s="267"/>
      <c r="AK94" s="267"/>
      <c r="AL94" s="267"/>
    </row>
    <row r="95" spans="1:38" ht="82.5" customHeight="1">
      <c r="A95" s="933" t="s">
        <v>51</v>
      </c>
      <c r="B95" s="933"/>
      <c r="C95" s="933"/>
      <c r="D95" s="267"/>
      <c r="E95" s="267"/>
      <c r="F95" s="267"/>
      <c r="G95" s="1424"/>
      <c r="H95" s="267"/>
      <c r="I95" s="267"/>
      <c r="J95" s="267"/>
      <c r="K95" s="267"/>
      <c r="L95" s="267"/>
      <c r="M95" s="267"/>
      <c r="N95" s="267"/>
      <c r="O95" s="267"/>
      <c r="P95" s="267"/>
      <c r="Q95" s="267"/>
      <c r="R95" s="1463" t="e">
        <f>'2a Chefeingaben'!#REF!</f>
        <v>#REF!</v>
      </c>
      <c r="S95" s="267"/>
      <c r="T95" s="267"/>
      <c r="U95" s="267"/>
      <c r="V95" s="267"/>
      <c r="W95" s="267"/>
      <c r="X95" s="267"/>
      <c r="Y95" s="267"/>
      <c r="Z95" s="267"/>
      <c r="AA95" s="267"/>
      <c r="AB95" s="267"/>
      <c r="AC95" s="267"/>
      <c r="AD95" s="566"/>
      <c r="AE95" s="566"/>
      <c r="AF95" s="566"/>
      <c r="AG95" s="566"/>
      <c r="AH95" s="566"/>
      <c r="AI95" s="566"/>
      <c r="AJ95" s="267"/>
      <c r="AK95" s="267"/>
      <c r="AL95" s="267"/>
    </row>
    <row r="96" spans="1:38" ht="42" customHeight="1">
      <c r="A96" s="1464">
        <f ca="1">C102</f>
        <v>4.63</v>
      </c>
      <c r="B96" s="4179" t="s">
        <v>927</v>
      </c>
      <c r="C96" s="4179"/>
      <c r="D96" s="4179"/>
      <c r="E96" s="4179"/>
      <c r="F96" s="4179"/>
      <c r="G96" s="4179"/>
      <c r="H96" s="4179"/>
      <c r="I96" s="4179"/>
      <c r="J96" s="4179"/>
      <c r="K96" s="4179"/>
      <c r="L96" s="4179"/>
      <c r="M96" s="4179"/>
      <c r="N96" s="4179"/>
      <c r="O96" s="4179"/>
      <c r="P96" s="4179"/>
      <c r="Q96" s="4179"/>
      <c r="R96" s="4179"/>
      <c r="S96" s="4179"/>
      <c r="T96" s="4179"/>
      <c r="U96" s="1465"/>
      <c r="V96" s="1465"/>
      <c r="W96" s="1465"/>
      <c r="X96" s="267"/>
      <c r="Y96" s="267"/>
      <c r="Z96" s="267"/>
      <c r="AA96" s="267"/>
      <c r="AB96" s="267"/>
      <c r="AC96" s="267"/>
      <c r="AD96" s="566"/>
      <c r="AE96" s="566"/>
      <c r="AF96" s="566"/>
      <c r="AG96" s="566"/>
      <c r="AH96" s="566"/>
      <c r="AI96" s="566"/>
      <c r="AJ96" s="267"/>
      <c r="AK96" s="267"/>
      <c r="AL96" s="267"/>
    </row>
    <row r="97" spans="1:38" ht="29.25" customHeight="1">
      <c r="A97" s="4180" t="s">
        <v>512</v>
      </c>
      <c r="B97" s="4181"/>
      <c r="C97" s="4181"/>
      <c r="D97" s="4181"/>
      <c r="E97" s="4181"/>
      <c r="F97" s="4181"/>
      <c r="G97" s="4181"/>
      <c r="H97" s="4181"/>
      <c r="I97" s="4181"/>
      <c r="J97" s="4181"/>
      <c r="K97" s="4181"/>
      <c r="L97" s="4181"/>
      <c r="M97" s="4181"/>
      <c r="N97" s="4181"/>
      <c r="O97" s="4181"/>
      <c r="P97" s="4181"/>
      <c r="Q97" s="4181"/>
      <c r="R97" s="4181"/>
      <c r="S97" s="4181"/>
      <c r="T97" s="4181"/>
      <c r="U97" s="4181"/>
      <c r="V97" s="4181"/>
      <c r="W97" s="4182"/>
      <c r="X97" s="267"/>
      <c r="Y97" s="267"/>
      <c r="Z97" s="267"/>
      <c r="AA97" s="267"/>
      <c r="AB97" s="267"/>
      <c r="AC97" s="267"/>
      <c r="AD97" s="566"/>
      <c r="AE97" s="566"/>
      <c r="AF97" s="566"/>
      <c r="AG97" s="566"/>
      <c r="AH97" s="566"/>
      <c r="AI97" s="566"/>
      <c r="AJ97" s="267"/>
      <c r="AK97" s="267"/>
      <c r="AL97" s="267"/>
    </row>
    <row r="98" spans="1:38" ht="17.25" customHeight="1">
      <c r="A98" s="4214"/>
      <c r="B98" s="4214"/>
      <c r="C98" s="4214"/>
      <c r="D98" s="4214"/>
      <c r="E98" s="4214"/>
      <c r="F98" s="267"/>
      <c r="G98" s="1439" t="str">
        <f>IF(G99="","","% aus Planung")</f>
        <v>% aus Planung</v>
      </c>
      <c r="H98" s="267"/>
      <c r="I98" s="4188"/>
      <c r="J98" s="4188"/>
      <c r="K98" s="4188"/>
      <c r="L98" s="4188"/>
      <c r="M98" s="4188"/>
      <c r="N98" s="4188"/>
      <c r="O98" s="1348"/>
      <c r="P98" s="267"/>
      <c r="Q98" s="267"/>
      <c r="R98" s="267"/>
      <c r="S98" s="267"/>
      <c r="T98" s="267"/>
      <c r="U98" s="1148" t="s">
        <v>87</v>
      </c>
      <c r="V98" s="267"/>
      <c r="W98" s="267"/>
      <c r="X98" s="267"/>
      <c r="Y98" s="267"/>
      <c r="Z98" s="267"/>
      <c r="AA98" s="267"/>
      <c r="AB98" s="267"/>
      <c r="AC98" s="267"/>
      <c r="AD98" s="566"/>
      <c r="AE98" s="566"/>
      <c r="AF98" s="566"/>
      <c r="AG98" s="566"/>
      <c r="AH98" s="566"/>
      <c r="AI98" s="566"/>
      <c r="AJ98" s="267"/>
      <c r="AK98" s="267"/>
      <c r="AL98" s="267"/>
    </row>
    <row r="99" spans="1:38" ht="17.25" customHeight="1">
      <c r="A99" s="4189" t="s">
        <v>206</v>
      </c>
      <c r="B99" s="4215" t="s">
        <v>55</v>
      </c>
      <c r="C99" s="4215" t="s">
        <v>49</v>
      </c>
      <c r="D99" s="4215" t="s">
        <v>211</v>
      </c>
      <c r="E99" s="4177" t="s">
        <v>80</v>
      </c>
      <c r="F99" s="4177" t="s">
        <v>191</v>
      </c>
      <c r="G99" s="1466">
        <f>'22 Sollumsatz pro MA '!G53</f>
        <v>5.5021555102258946</v>
      </c>
      <c r="H99" s="1440"/>
      <c r="I99" s="267"/>
      <c r="J99" s="267"/>
      <c r="K99" s="267"/>
      <c r="L99" s="1441">
        <f>'4 Eingabe Friseure'!J4</f>
        <v>40</v>
      </c>
      <c r="M99" s="4204" t="s">
        <v>70</v>
      </c>
      <c r="N99" s="4204" t="s">
        <v>70</v>
      </c>
      <c r="O99" s="1442">
        <f>'22 Sollumsatz pro MA '!O53</f>
        <v>4.33</v>
      </c>
      <c r="P99" s="267"/>
      <c r="Q99" s="976"/>
      <c r="R99" s="267"/>
      <c r="S99" s="267"/>
      <c r="T99" s="267"/>
      <c r="U99" s="1148" t="s">
        <v>88</v>
      </c>
      <c r="V99" s="267"/>
      <c r="W99" s="267"/>
      <c r="X99" s="267"/>
      <c r="Y99" s="267"/>
      <c r="Z99" s="267"/>
      <c r="AA99" s="267"/>
      <c r="AB99" s="267"/>
      <c r="AC99" s="267"/>
      <c r="AD99" s="566"/>
      <c r="AE99" s="566"/>
      <c r="AF99" s="566"/>
      <c r="AG99" s="566"/>
      <c r="AH99" s="566"/>
      <c r="AI99" s="566"/>
      <c r="AJ99" s="267"/>
      <c r="AK99" s="267"/>
      <c r="AL99" s="267"/>
    </row>
    <row r="100" spans="1:38" ht="17.25" customHeight="1">
      <c r="A100" s="4189"/>
      <c r="B100" s="4215"/>
      <c r="C100" s="4215"/>
      <c r="D100" s="4215"/>
      <c r="E100" s="4177"/>
      <c r="F100" s="4177"/>
      <c r="G100" s="4217" t="s">
        <v>193</v>
      </c>
      <c r="H100" s="1467"/>
      <c r="I100" s="4217" t="s">
        <v>192</v>
      </c>
      <c r="J100" s="267"/>
      <c r="K100" s="267"/>
      <c r="L100" s="1443" t="s">
        <v>60</v>
      </c>
      <c r="M100" s="4204"/>
      <c r="N100" s="4204"/>
      <c r="O100" s="1444" t="s">
        <v>61</v>
      </c>
      <c r="P100" s="1444" t="s">
        <v>188</v>
      </c>
      <c r="Q100" s="1444" t="s">
        <v>189</v>
      </c>
      <c r="R100" s="920" t="s">
        <v>61</v>
      </c>
      <c r="S100" s="920" t="s">
        <v>61</v>
      </c>
      <c r="T100" s="920" t="s">
        <v>64</v>
      </c>
      <c r="U100" s="2992">
        <f>'22 Sollumsatz pro MA '!T54</f>
        <v>0.2</v>
      </c>
      <c r="V100" s="641"/>
      <c r="W100" s="267"/>
      <c r="X100" s="1447" t="s">
        <v>121</v>
      </c>
      <c r="Y100" s="1447"/>
      <c r="Z100" s="267"/>
      <c r="AA100" s="1471">
        <v>0.15</v>
      </c>
      <c r="AB100" s="267"/>
      <c r="AC100" s="267"/>
      <c r="AD100" s="566"/>
      <c r="AE100" s="566"/>
      <c r="AF100" s="566"/>
      <c r="AG100" s="566"/>
      <c r="AH100" s="566"/>
      <c r="AI100" s="566"/>
      <c r="AJ100" s="267"/>
      <c r="AK100" s="267"/>
      <c r="AL100" s="267"/>
    </row>
    <row r="101" spans="1:38" ht="18" customHeight="1" thickBot="1">
      <c r="A101" s="4190"/>
      <c r="B101" s="4216"/>
      <c r="C101" s="4216"/>
      <c r="D101" s="4216"/>
      <c r="E101" s="4178"/>
      <c r="F101" s="4178"/>
      <c r="G101" s="4218"/>
      <c r="H101" s="1468"/>
      <c r="I101" s="4218"/>
      <c r="J101" s="267"/>
      <c r="K101" s="267"/>
      <c r="L101" s="1445">
        <f>ROUND(L99*4.33,0)</f>
        <v>173</v>
      </c>
      <c r="M101" s="1445" t="s">
        <v>69</v>
      </c>
      <c r="N101" s="1445" t="s">
        <v>71</v>
      </c>
      <c r="O101" s="1469" t="s">
        <v>190</v>
      </c>
      <c r="P101" s="1469" t="s">
        <v>190</v>
      </c>
      <c r="Q101" s="1469" t="s">
        <v>190</v>
      </c>
      <c r="R101" s="1470" t="s">
        <v>105</v>
      </c>
      <c r="S101" s="1470" t="s">
        <v>63</v>
      </c>
      <c r="T101" s="1470" t="s">
        <v>65</v>
      </c>
      <c r="U101" s="267" t="s">
        <v>89</v>
      </c>
      <c r="V101" s="4205" t="s">
        <v>106</v>
      </c>
      <c r="W101" s="4205"/>
      <c r="X101" s="267"/>
      <c r="Y101" s="267"/>
      <c r="Z101" s="267"/>
      <c r="AA101" s="1471">
        <v>0.5</v>
      </c>
      <c r="AB101" s="267"/>
      <c r="AC101" s="267"/>
      <c r="AD101" s="566"/>
      <c r="AE101" s="566"/>
      <c r="AF101" s="566"/>
      <c r="AG101" s="566"/>
      <c r="AH101" s="566"/>
      <c r="AI101" s="566"/>
      <c r="AJ101" s="267"/>
      <c r="AK101" s="267"/>
      <c r="AL101" s="267"/>
    </row>
    <row r="102" spans="1:38" ht="18" customHeight="1">
      <c r="A102" s="1448" t="str">
        <f ca="1">IF('21 Lohnfaktor'!C7=0,"",IF('21 Lohnfaktor'!B7=0,"",'21 Lohnfaktor'!B7))</f>
        <v>Maria</v>
      </c>
      <c r="B102" s="1449">
        <f ca="1">IF('21 Lohnfaktor'!C7=0,"",'21 Lohnfaktor'!C7)</f>
        <v>2515.6359500000003</v>
      </c>
      <c r="C102" s="1450">
        <f ca="1">IF(A102="","",$B$3)</f>
        <v>4.63</v>
      </c>
      <c r="D102" s="1451">
        <f t="shared" ref="D102:D116" ca="1" si="64">IF(A102="","",(ROUND(IF(A102="","",C102*B102),0)))</f>
        <v>11647</v>
      </c>
      <c r="E102" s="1452">
        <f t="shared" ref="E102:E119" ca="1" si="65">IF(A102="","",(ROUND(IF(A102="","",D102/N102),2)))</f>
        <v>554.62</v>
      </c>
      <c r="F102" s="2993">
        <f t="shared" ref="F102:F119" ca="1" si="66">IF(E102="","",(ROUND(IF(E102="","",E102),0)))</f>
        <v>555</v>
      </c>
      <c r="G102" s="1472">
        <f t="shared" ref="G102:G117" ca="1" si="67">IF(A102="","",F102*$G$99%)</f>
        <v>30.536963081753715</v>
      </c>
      <c r="H102" s="1473"/>
      <c r="I102" s="1472">
        <f t="shared" ref="I102:I119" ca="1" si="68">IF(A102="","",F102-G102)</f>
        <v>524.4630369182463</v>
      </c>
      <c r="J102" s="267"/>
      <c r="K102" s="267"/>
      <c r="L102" s="1446">
        <f ca="1">IF(A102="","",'4 Eingabe Friseure'!BB10)</f>
        <v>39.5</v>
      </c>
      <c r="M102" s="1446">
        <f ca="1">IF(B102="","",'4 Eingabe Friseure'!BC10)</f>
        <v>5</v>
      </c>
      <c r="N102" s="1446">
        <f t="shared" ref="N102:N117" ca="1" si="69">IF(A102="","",IF(M102=5,21,IF(M102=6,25,M102*4.33)))</f>
        <v>21</v>
      </c>
      <c r="O102" s="1451">
        <f t="shared" ref="O102:O119" ca="1" si="70">D102</f>
        <v>11647</v>
      </c>
      <c r="P102" s="1451">
        <f t="shared" ref="P102:P120" ca="1" si="71">IF(A102="","",O102-(O102*$G$99%))</f>
        <v>11006.16394772399</v>
      </c>
      <c r="Q102" s="1451">
        <f t="shared" ref="Q102:Q120" ca="1" si="72">IF(A102="","",O102*$G$99%)</f>
        <v>640.83605227600992</v>
      </c>
      <c r="R102" s="1451">
        <f t="shared" ref="R102:R119" ca="1" si="73">IF(A102="","",F102*M102)</f>
        <v>2775</v>
      </c>
      <c r="S102" s="1455">
        <f t="shared" ref="S102:S119" ca="1" si="74">IF(A102="","",O102/4.33/L102)</f>
        <v>68.09717309322653</v>
      </c>
      <c r="T102" s="1455">
        <f t="shared" ref="T102:T117" ca="1" si="75">IF(A102="","",B102/(L102*4.33))</f>
        <v>14.708310872043736</v>
      </c>
      <c r="U102" s="1456">
        <f t="shared" ref="U102:U120" ca="1" si="76">IF(A102="","",S102/(L102-(L102*$U$100))*L102)</f>
        <v>85.121466366533156</v>
      </c>
      <c r="V102" s="1457" t="str">
        <f t="shared" ref="V102:V119" ca="1" si="77">A102</f>
        <v>Maria</v>
      </c>
      <c r="W102" s="1458">
        <f t="shared" ref="W102:W120" ca="1" si="78">IF(V102="","",N102*X102*F102)</f>
        <v>116550</v>
      </c>
      <c r="X102" s="2987">
        <f ca="1">IF(A102="","",IF('4 Eingabe Friseure'!BG10&gt;10,10,'4 Eingabe Friseure'!BG10/12*10))</f>
        <v>10</v>
      </c>
      <c r="Y102" s="267"/>
      <c r="Z102" s="267"/>
      <c r="AA102" s="267"/>
      <c r="AB102" s="267"/>
      <c r="AC102" s="267"/>
      <c r="AD102" s="566"/>
      <c r="AE102" s="566"/>
      <c r="AF102" s="566"/>
      <c r="AG102" s="566"/>
      <c r="AH102" s="566"/>
      <c r="AI102" s="566"/>
      <c r="AJ102" s="267"/>
      <c r="AK102" s="267"/>
      <c r="AL102" s="267"/>
    </row>
    <row r="103" spans="1:38" ht="18" customHeight="1">
      <c r="A103" s="1459" t="str">
        <f ca="1">IF('21 Lohnfaktor'!C8=0,"",IF('21 Lohnfaktor'!B8=0,"",'21 Lohnfaktor'!B8))</f>
        <v>Jutta</v>
      </c>
      <c r="B103" s="1449">
        <f ca="1">IF('21 Lohnfaktor'!C8=0,"",'21 Lohnfaktor'!C8)</f>
        <v>1782.53</v>
      </c>
      <c r="C103" s="1450">
        <f t="shared" ref="C103:C117" ca="1" si="79">IF(A103="","",$B$3)</f>
        <v>4.63</v>
      </c>
      <c r="D103" s="1451">
        <f t="shared" ca="1" si="64"/>
        <v>8253</v>
      </c>
      <c r="E103" s="1452">
        <f t="shared" ca="1" si="65"/>
        <v>476.5</v>
      </c>
      <c r="F103" s="1474">
        <f t="shared" ca="1" si="66"/>
        <v>477</v>
      </c>
      <c r="G103" s="1475">
        <f t="shared" ca="1" si="67"/>
        <v>26.245281783777518</v>
      </c>
      <c r="H103" s="1476"/>
      <c r="I103" s="1475">
        <f t="shared" ca="1" si="68"/>
        <v>450.7547182162225</v>
      </c>
      <c r="J103" s="267"/>
      <c r="K103" s="267"/>
      <c r="L103" s="1446">
        <f ca="1">IF(A103="","",'4 Eingabe Friseure'!BB11)</f>
        <v>30</v>
      </c>
      <c r="M103" s="1446">
        <f ca="1">IF(B103="","",'4 Eingabe Friseure'!BC11)</f>
        <v>4</v>
      </c>
      <c r="N103" s="1446">
        <f t="shared" ca="1" si="69"/>
        <v>17.32</v>
      </c>
      <c r="O103" s="1451">
        <f t="shared" ca="1" si="70"/>
        <v>8253</v>
      </c>
      <c r="P103" s="1451">
        <f t="shared" ca="1" si="71"/>
        <v>7798.9071057410565</v>
      </c>
      <c r="Q103" s="1451">
        <f t="shared" ca="1" si="72"/>
        <v>454.09289425894309</v>
      </c>
      <c r="R103" s="1451">
        <f t="shared" ca="1" si="73"/>
        <v>1908</v>
      </c>
      <c r="S103" s="1455">
        <f t="shared" ca="1" si="74"/>
        <v>63.533487297921482</v>
      </c>
      <c r="T103" s="1455">
        <f t="shared" ca="1" si="75"/>
        <v>13.722324865280985</v>
      </c>
      <c r="U103" s="1456">
        <f t="shared" ca="1" si="76"/>
        <v>79.41685912240186</v>
      </c>
      <c r="V103" s="1457" t="str">
        <f t="shared" ca="1" si="77"/>
        <v>Jutta</v>
      </c>
      <c r="W103" s="1458">
        <f t="shared" ca="1" si="78"/>
        <v>82616.399999999994</v>
      </c>
      <c r="X103" s="2987">
        <f ca="1">IF(A103="","",IF('4 Eingabe Friseure'!BG11&gt;10,10,'4 Eingabe Friseure'!BG11/12*10))</f>
        <v>10</v>
      </c>
      <c r="Y103" s="267"/>
      <c r="Z103" s="267"/>
      <c r="AA103" s="267"/>
      <c r="AB103" s="267"/>
      <c r="AC103" s="267"/>
      <c r="AD103" s="566"/>
      <c r="AE103" s="566"/>
      <c r="AF103" s="566"/>
      <c r="AG103" s="566"/>
      <c r="AH103" s="566"/>
      <c r="AI103" s="566"/>
      <c r="AJ103" s="267"/>
      <c r="AK103" s="267"/>
      <c r="AL103" s="267"/>
    </row>
    <row r="104" spans="1:38" ht="18" customHeight="1">
      <c r="A104" s="1459" t="str">
        <f ca="1">IF('21 Lohnfaktor'!C9=0,"",IF('21 Lohnfaktor'!B9=0,"",'21 Lohnfaktor'!B9))</f>
        <v>Karina</v>
      </c>
      <c r="B104" s="1449">
        <f ca="1">IF('21 Lohnfaktor'!C9=0,"",'21 Lohnfaktor'!C9)</f>
        <v>1490.5592000000001</v>
      </c>
      <c r="C104" s="1450">
        <f t="shared" ca="1" si="79"/>
        <v>4.63</v>
      </c>
      <c r="D104" s="1451">
        <f t="shared" ca="1" si="64"/>
        <v>6901</v>
      </c>
      <c r="E104" s="1452">
        <f t="shared" ca="1" si="65"/>
        <v>455.36</v>
      </c>
      <c r="F104" s="1474">
        <f t="shared" ca="1" si="66"/>
        <v>455</v>
      </c>
      <c r="G104" s="1475">
        <f t="shared" ca="1" si="67"/>
        <v>25.034807571527821</v>
      </c>
      <c r="H104" s="1476"/>
      <c r="I104" s="1475">
        <f t="shared" ca="1" si="68"/>
        <v>429.96519242847216</v>
      </c>
      <c r="J104" s="267"/>
      <c r="K104" s="267"/>
      <c r="L104" s="1446">
        <f ca="1">IF(A104="","",'4 Eingabe Friseure'!BB12)</f>
        <v>26</v>
      </c>
      <c r="M104" s="1446">
        <f ca="1">IF(B104="","",'4 Eingabe Friseure'!BC12)</f>
        <v>3.5</v>
      </c>
      <c r="N104" s="1446">
        <f t="shared" ca="1" si="69"/>
        <v>15.155000000000001</v>
      </c>
      <c r="O104" s="1451">
        <f t="shared" ca="1" si="70"/>
        <v>6901</v>
      </c>
      <c r="P104" s="1451">
        <f t="shared" ca="1" si="71"/>
        <v>6521.2962482393114</v>
      </c>
      <c r="Q104" s="1451">
        <f t="shared" ca="1" si="72"/>
        <v>379.70375176068899</v>
      </c>
      <c r="R104" s="1451">
        <f t="shared" ca="1" si="73"/>
        <v>1592.5</v>
      </c>
      <c r="S104" s="1455">
        <f t="shared" ca="1" si="74"/>
        <v>61.29863208385148</v>
      </c>
      <c r="T104" s="1455">
        <f t="shared" ca="1" si="75"/>
        <v>13.240000000000002</v>
      </c>
      <c r="U104" s="1456">
        <f t="shared" ca="1" si="76"/>
        <v>76.623290104814345</v>
      </c>
      <c r="V104" s="1457" t="str">
        <f t="shared" ca="1" si="77"/>
        <v>Karina</v>
      </c>
      <c r="W104" s="1458">
        <f t="shared" ca="1" si="78"/>
        <v>68955.25</v>
      </c>
      <c r="X104" s="2987">
        <f ca="1">IF(A104="","",IF('4 Eingabe Friseure'!BG12&gt;10,10,'4 Eingabe Friseure'!BG12/12*10))</f>
        <v>10</v>
      </c>
      <c r="Y104" s="267"/>
      <c r="Z104" s="267"/>
      <c r="AA104" s="267"/>
      <c r="AB104" s="267"/>
      <c r="AC104" s="267"/>
      <c r="AD104" s="566"/>
      <c r="AE104" s="566"/>
      <c r="AF104" s="566"/>
      <c r="AG104" s="566"/>
      <c r="AH104" s="566"/>
      <c r="AI104" s="566"/>
      <c r="AJ104" s="1471"/>
      <c r="AK104" s="267"/>
      <c r="AL104" s="267"/>
    </row>
    <row r="105" spans="1:38" ht="18" customHeight="1">
      <c r="A105" s="1459" t="str">
        <f ca="1">IF('21 Lohnfaktor'!C10=0,"",IF('21 Lohnfaktor'!B10=0,"",'21 Lohnfaktor'!B10))</f>
        <v>Cordula</v>
      </c>
      <c r="B105" s="1449">
        <f ca="1">IF('21 Lohnfaktor'!C10=0,"",'21 Lohnfaktor'!C10)</f>
        <v>1310</v>
      </c>
      <c r="C105" s="1450">
        <f t="shared" ca="1" si="79"/>
        <v>4.63</v>
      </c>
      <c r="D105" s="1451">
        <f t="shared" ca="1" si="64"/>
        <v>6065</v>
      </c>
      <c r="E105" s="1452">
        <f t="shared" ca="1" si="65"/>
        <v>466.9</v>
      </c>
      <c r="F105" s="1474">
        <f t="shared" ca="1" si="66"/>
        <v>467</v>
      </c>
      <c r="G105" s="1475">
        <f t="shared" ca="1" si="67"/>
        <v>25.695066232754925</v>
      </c>
      <c r="H105" s="1476"/>
      <c r="I105" s="1475">
        <f t="shared" ca="1" si="68"/>
        <v>441.30493376724507</v>
      </c>
      <c r="J105" s="267"/>
      <c r="K105" s="267"/>
      <c r="L105" s="1446">
        <f ca="1">IF(A105="","",'4 Eingabe Friseure'!BB13)</f>
        <v>22</v>
      </c>
      <c r="M105" s="1446">
        <f ca="1">IF(B105="","",'4 Eingabe Friseure'!BC13)</f>
        <v>3</v>
      </c>
      <c r="N105" s="1446">
        <f t="shared" ca="1" si="69"/>
        <v>12.99</v>
      </c>
      <c r="O105" s="1451">
        <f t="shared" ca="1" si="70"/>
        <v>6065</v>
      </c>
      <c r="P105" s="1451">
        <f t="shared" ca="1" si="71"/>
        <v>5731.2942683047995</v>
      </c>
      <c r="Q105" s="1451">
        <f t="shared" ca="1" si="72"/>
        <v>333.70573169520048</v>
      </c>
      <c r="R105" s="1451">
        <f t="shared" ca="1" si="73"/>
        <v>1401</v>
      </c>
      <c r="S105" s="1455">
        <f t="shared" ca="1" si="74"/>
        <v>63.667856393029609</v>
      </c>
      <c r="T105" s="1455">
        <f t="shared" ca="1" si="75"/>
        <v>13.75183707747218</v>
      </c>
      <c r="U105" s="1456">
        <f t="shared" ca="1" si="76"/>
        <v>79.584820491287005</v>
      </c>
      <c r="V105" s="1457" t="str">
        <f t="shared" ca="1" si="77"/>
        <v>Cordula</v>
      </c>
      <c r="W105" s="1458">
        <f t="shared" ca="1" si="78"/>
        <v>60663.3</v>
      </c>
      <c r="X105" s="2987">
        <f ca="1">IF(A105="","",IF('4 Eingabe Friseure'!BG13&gt;10,10,'4 Eingabe Friseure'!BG13/12*10))</f>
        <v>10</v>
      </c>
      <c r="Y105" s="267"/>
      <c r="Z105" s="267"/>
      <c r="AA105" s="267"/>
      <c r="AB105" s="267"/>
      <c r="AC105" s="267"/>
      <c r="AD105" s="566"/>
      <c r="AE105" s="566"/>
      <c r="AF105" s="566"/>
      <c r="AG105" s="566"/>
      <c r="AH105" s="566"/>
      <c r="AI105" s="566"/>
      <c r="AJ105" s="267"/>
      <c r="AK105" s="267"/>
      <c r="AL105" s="267"/>
    </row>
    <row r="106" spans="1:38" ht="18" customHeight="1">
      <c r="A106" s="1459" t="str">
        <f ca="1">IF('21 Lohnfaktor'!C11=0,"",IF('21 Lohnfaktor'!B11=0,"",'21 Lohnfaktor'!B11))</f>
        <v>Christa</v>
      </c>
      <c r="B106" s="1449">
        <f ca="1">IF('21 Lohnfaktor'!C11=0,"",'21 Lohnfaktor'!C11)</f>
        <v>1040</v>
      </c>
      <c r="C106" s="1450">
        <f t="shared" ca="1" si="79"/>
        <v>4.63</v>
      </c>
      <c r="D106" s="1451">
        <f t="shared" ca="1" si="64"/>
        <v>4815</v>
      </c>
      <c r="E106" s="1452">
        <f t="shared" ca="1" si="65"/>
        <v>556</v>
      </c>
      <c r="F106" s="1474">
        <f t="shared" ca="1" si="66"/>
        <v>556</v>
      </c>
      <c r="G106" s="1475">
        <f t="shared" ca="1" si="67"/>
        <v>30.591984636855972</v>
      </c>
      <c r="H106" s="1476"/>
      <c r="I106" s="1475">
        <f t="shared" ca="1" si="68"/>
        <v>525.40801536314405</v>
      </c>
      <c r="J106" s="267"/>
      <c r="K106" s="267"/>
      <c r="L106" s="1446">
        <f ca="1">IF(A106="","",'4 Eingabe Friseure'!BB14)</f>
        <v>16</v>
      </c>
      <c r="M106" s="1446">
        <f ca="1">IF(B106="","",'4 Eingabe Friseure'!BC14)</f>
        <v>2</v>
      </c>
      <c r="N106" s="1446">
        <f t="shared" ca="1" si="69"/>
        <v>8.66</v>
      </c>
      <c r="O106" s="1451">
        <f t="shared" ca="1" si="70"/>
        <v>4815</v>
      </c>
      <c r="P106" s="1451">
        <f t="shared" ca="1" si="71"/>
        <v>4550.0712121826236</v>
      </c>
      <c r="Q106" s="1451">
        <f t="shared" ca="1" si="72"/>
        <v>264.92878781737681</v>
      </c>
      <c r="R106" s="1451">
        <f t="shared" ca="1" si="73"/>
        <v>1112</v>
      </c>
      <c r="S106" s="1455">
        <f t="shared" ca="1" si="74"/>
        <v>69.500577367205537</v>
      </c>
      <c r="T106" s="1455">
        <f t="shared" ca="1" si="75"/>
        <v>15.011547344110854</v>
      </c>
      <c r="U106" s="1456">
        <f t="shared" ca="1" si="76"/>
        <v>86.87572170900691</v>
      </c>
      <c r="V106" s="1457" t="str">
        <f t="shared" ca="1" si="77"/>
        <v>Christa</v>
      </c>
      <c r="W106" s="1458">
        <f t="shared" ca="1" si="78"/>
        <v>48149.599999999999</v>
      </c>
      <c r="X106" s="2987">
        <f ca="1">IF(A106="","",IF('4 Eingabe Friseure'!BG14&gt;10,10,'4 Eingabe Friseure'!BG14/12*10))</f>
        <v>10</v>
      </c>
      <c r="Y106" s="267"/>
      <c r="Z106" s="267"/>
      <c r="AA106" s="267"/>
      <c r="AB106" s="267"/>
      <c r="AC106" s="267"/>
      <c r="AD106" s="566"/>
      <c r="AE106" s="566"/>
      <c r="AF106" s="566"/>
      <c r="AG106" s="566"/>
      <c r="AH106" s="566"/>
      <c r="AI106" s="566"/>
      <c r="AJ106" s="1471"/>
      <c r="AK106" s="267"/>
      <c r="AL106" s="267"/>
    </row>
    <row r="107" spans="1:38" ht="18" customHeight="1">
      <c r="A107" s="1459" t="str">
        <f ca="1">IF('21 Lohnfaktor'!C12=0,"",IF('21 Lohnfaktor'!B12=0,"",'21 Lohnfaktor'!B12))</f>
        <v>Horst</v>
      </c>
      <c r="B107" s="1449">
        <f ca="1">IF('21 Lohnfaktor'!C12=0,"",'21 Lohnfaktor'!C12)</f>
        <v>1350</v>
      </c>
      <c r="C107" s="1450">
        <f t="shared" ca="1" si="79"/>
        <v>4.63</v>
      </c>
      <c r="D107" s="1451">
        <f t="shared" ca="1" si="64"/>
        <v>6251</v>
      </c>
      <c r="E107" s="1452">
        <f t="shared" ca="1" si="65"/>
        <v>481.22</v>
      </c>
      <c r="F107" s="1474">
        <f t="shared" ca="1" si="66"/>
        <v>481</v>
      </c>
      <c r="G107" s="1475">
        <f t="shared" ca="1" si="67"/>
        <v>26.465368004186551</v>
      </c>
      <c r="H107" s="1476"/>
      <c r="I107" s="1475">
        <f t="shared" ca="1" si="68"/>
        <v>454.53463199581347</v>
      </c>
      <c r="J107" s="267"/>
      <c r="K107" s="267"/>
      <c r="L107" s="1446">
        <f ca="1">IF(A107="","",'4 Eingabe Friseure'!BB15)</f>
        <v>21</v>
      </c>
      <c r="M107" s="1446">
        <f ca="1">IF(B107="","",'4 Eingabe Friseure'!BC15)</f>
        <v>3</v>
      </c>
      <c r="N107" s="1446">
        <f t="shared" ca="1" si="69"/>
        <v>12.99</v>
      </c>
      <c r="O107" s="1451">
        <f t="shared" ca="1" si="70"/>
        <v>6251</v>
      </c>
      <c r="P107" s="1451">
        <f t="shared" ca="1" si="71"/>
        <v>5907.0602590557792</v>
      </c>
      <c r="Q107" s="1451">
        <f t="shared" ca="1" si="72"/>
        <v>343.93974094422066</v>
      </c>
      <c r="R107" s="1451">
        <f t="shared" ca="1" si="73"/>
        <v>1443</v>
      </c>
      <c r="S107" s="1455">
        <f t="shared" ca="1" si="74"/>
        <v>68.745188606620474</v>
      </c>
      <c r="T107" s="1455">
        <f t="shared" ca="1" si="75"/>
        <v>14.846585285384361</v>
      </c>
      <c r="U107" s="1456">
        <f t="shared" ca="1" si="76"/>
        <v>85.931485758275585</v>
      </c>
      <c r="V107" s="1457" t="str">
        <f t="shared" ca="1" si="77"/>
        <v>Horst</v>
      </c>
      <c r="W107" s="1458">
        <f t="shared" ca="1" si="78"/>
        <v>62481.9</v>
      </c>
      <c r="X107" s="2987">
        <f ca="1">IF(A107="","",IF('4 Eingabe Friseure'!BG15&gt;10,10,'4 Eingabe Friseure'!BG15/12*10))</f>
        <v>10</v>
      </c>
      <c r="Y107" s="267"/>
      <c r="Z107" s="267"/>
      <c r="AA107" s="267"/>
      <c r="AB107" s="267"/>
      <c r="AC107" s="267"/>
      <c r="AD107" s="566"/>
      <c r="AE107" s="566"/>
      <c r="AF107" s="566"/>
      <c r="AG107" s="566"/>
      <c r="AH107" s="566"/>
      <c r="AI107" s="721"/>
      <c r="AJ107" s="267"/>
      <c r="AK107" s="267"/>
      <c r="AL107" s="267"/>
    </row>
    <row r="108" spans="1:38" ht="18" customHeight="1">
      <c r="A108" s="1459" t="str">
        <f ca="1">IF('21 Lohnfaktor'!C13=0,"",IF('21 Lohnfaktor'!B13=0,"",'21 Lohnfaktor'!B13))</f>
        <v/>
      </c>
      <c r="B108" s="1449" t="str">
        <f ca="1">IF('21 Lohnfaktor'!C13=0,"",'21 Lohnfaktor'!C13)</f>
        <v/>
      </c>
      <c r="C108" s="1450" t="str">
        <f t="shared" ca="1" si="79"/>
        <v/>
      </c>
      <c r="D108" s="1451" t="str">
        <f t="shared" ca="1" si="64"/>
        <v/>
      </c>
      <c r="E108" s="1452" t="str">
        <f t="shared" ca="1" si="65"/>
        <v/>
      </c>
      <c r="F108" s="1474" t="str">
        <f t="shared" ca="1" si="66"/>
        <v/>
      </c>
      <c r="G108" s="1475" t="str">
        <f t="shared" ca="1" si="67"/>
        <v/>
      </c>
      <c r="H108" s="1476"/>
      <c r="I108" s="1475" t="str">
        <f t="shared" ca="1" si="68"/>
        <v/>
      </c>
      <c r="J108" s="267"/>
      <c r="K108" s="267"/>
      <c r="L108" s="1446" t="str">
        <f ca="1">IF(A108="","",'4 Eingabe Friseure'!BB16)</f>
        <v/>
      </c>
      <c r="M108" s="1446" t="str">
        <f ca="1">IF(B108="","",'4 Eingabe Friseure'!BC16)</f>
        <v/>
      </c>
      <c r="N108" s="1446" t="str">
        <f t="shared" ca="1" si="69"/>
        <v/>
      </c>
      <c r="O108" s="1451" t="str">
        <f t="shared" ca="1" si="70"/>
        <v/>
      </c>
      <c r="P108" s="1451" t="str">
        <f t="shared" ca="1" si="71"/>
        <v/>
      </c>
      <c r="Q108" s="1451" t="str">
        <f t="shared" ca="1" si="72"/>
        <v/>
      </c>
      <c r="R108" s="1451" t="str">
        <f t="shared" ca="1" si="73"/>
        <v/>
      </c>
      <c r="S108" s="1455" t="str">
        <f t="shared" ca="1" si="74"/>
        <v/>
      </c>
      <c r="T108" s="1455" t="str">
        <f t="shared" ca="1" si="75"/>
        <v/>
      </c>
      <c r="U108" s="1456" t="str">
        <f t="shared" ca="1" si="76"/>
        <v/>
      </c>
      <c r="V108" s="1457" t="str">
        <f t="shared" ca="1" si="77"/>
        <v/>
      </c>
      <c r="W108" s="1458" t="str">
        <f t="shared" ca="1" si="78"/>
        <v/>
      </c>
      <c r="X108" s="2987" t="str">
        <f ca="1">IF(A108="","",IF('4 Eingabe Friseure'!BG16&gt;10,10,'4 Eingabe Friseure'!BG16/12*10))</f>
        <v/>
      </c>
      <c r="Y108" s="267"/>
      <c r="Z108" s="267"/>
      <c r="AA108" s="267"/>
      <c r="AB108" s="267"/>
      <c r="AC108" s="267"/>
      <c r="AD108" s="566"/>
      <c r="AE108" s="566"/>
      <c r="AF108" s="566"/>
      <c r="AG108" s="566"/>
      <c r="AH108" s="566"/>
      <c r="AI108" s="721"/>
      <c r="AJ108" s="1471"/>
      <c r="AK108" s="267"/>
      <c r="AL108" s="267"/>
    </row>
    <row r="109" spans="1:38" ht="18" customHeight="1">
      <c r="A109" s="1459" t="str">
        <f ca="1">IF('21 Lohnfaktor'!C14=0,"",IF('21 Lohnfaktor'!B14=0,"",'21 Lohnfaktor'!B14))</f>
        <v>Salli</v>
      </c>
      <c r="B109" s="1449">
        <f ca="1">IF('21 Lohnfaktor'!C14=0,"",'21 Lohnfaktor'!C14)</f>
        <v>1326.8851999999999</v>
      </c>
      <c r="C109" s="1450">
        <f t="shared" ca="1" si="79"/>
        <v>4.63</v>
      </c>
      <c r="D109" s="1451">
        <f t="shared" ca="1" si="64"/>
        <v>6143</v>
      </c>
      <c r="E109" s="1452">
        <f t="shared" ca="1" si="65"/>
        <v>472.9</v>
      </c>
      <c r="F109" s="1474">
        <f t="shared" ca="1" si="66"/>
        <v>473</v>
      </c>
      <c r="G109" s="1475">
        <f t="shared" ca="1" si="67"/>
        <v>26.025195563368481</v>
      </c>
      <c r="H109" s="1476"/>
      <c r="I109" s="1475">
        <f t="shared" ca="1" si="68"/>
        <v>446.97480443663153</v>
      </c>
      <c r="J109" s="267"/>
      <c r="K109" s="267"/>
      <c r="L109" s="1446">
        <f ca="1">IF(A109="","",'4 Eingabe Friseure'!BB17)</f>
        <v>23.5</v>
      </c>
      <c r="M109" s="1446">
        <f ca="1">IF(B109="","",'4 Eingabe Friseure'!BC17)</f>
        <v>3</v>
      </c>
      <c r="N109" s="1446">
        <f t="shared" ca="1" si="69"/>
        <v>12.99</v>
      </c>
      <c r="O109" s="1451">
        <f t="shared" ca="1" si="70"/>
        <v>6143</v>
      </c>
      <c r="P109" s="1451">
        <f t="shared" ca="1" si="71"/>
        <v>5805.002587006823</v>
      </c>
      <c r="Q109" s="1451">
        <f t="shared" ca="1" si="72"/>
        <v>337.99741299317668</v>
      </c>
      <c r="R109" s="1451">
        <f t="shared" ca="1" si="73"/>
        <v>1419</v>
      </c>
      <c r="S109" s="1455">
        <f t="shared" ca="1" si="74"/>
        <v>60.370497764237633</v>
      </c>
      <c r="T109" s="1455">
        <f t="shared" ca="1" si="75"/>
        <v>13.04</v>
      </c>
      <c r="U109" s="1456">
        <f t="shared" ca="1" si="76"/>
        <v>75.46312220529704</v>
      </c>
      <c r="V109" s="1457" t="str">
        <f t="shared" ca="1" si="77"/>
        <v>Salli</v>
      </c>
      <c r="W109" s="1458">
        <f t="shared" ca="1" si="78"/>
        <v>35841.575000000004</v>
      </c>
      <c r="X109" s="2987">
        <f ca="1">IF(A109="","",IF('4 Eingabe Friseure'!BG17&gt;10,10,'4 Eingabe Friseure'!BG17/12*10))</f>
        <v>5.8333333333333339</v>
      </c>
      <c r="Y109" s="267"/>
      <c r="Z109" s="267"/>
      <c r="AA109" s="267"/>
      <c r="AB109" s="267"/>
      <c r="AC109" s="267"/>
      <c r="AD109" s="566"/>
      <c r="AE109" s="566"/>
      <c r="AF109" s="566"/>
      <c r="AG109" s="566"/>
      <c r="AH109" s="566"/>
      <c r="AI109" s="721"/>
      <c r="AJ109" s="267"/>
      <c r="AK109" s="267"/>
      <c r="AL109" s="267"/>
    </row>
    <row r="110" spans="1:38" ht="18" customHeight="1">
      <c r="A110" s="1459" t="str">
        <f ca="1">IF('21 Lohnfaktor'!C15=0,"",IF('21 Lohnfaktor'!B15=0,"",'21 Lohnfaktor'!B15))</f>
        <v>Salli</v>
      </c>
      <c r="B110" s="1449">
        <f ca="1">IF('21 Lohnfaktor'!C15=0,"",'21 Lohnfaktor'!C15)</f>
        <v>1600</v>
      </c>
      <c r="C110" s="1450">
        <f t="shared" ca="1" si="79"/>
        <v>4.63</v>
      </c>
      <c r="D110" s="1451">
        <f t="shared" ca="1" si="64"/>
        <v>7408</v>
      </c>
      <c r="E110" s="1452">
        <f t="shared" ca="1" si="65"/>
        <v>488.82</v>
      </c>
      <c r="F110" s="1474">
        <f t="shared" ca="1" si="66"/>
        <v>489</v>
      </c>
      <c r="G110" s="1475">
        <f t="shared" ca="1" si="67"/>
        <v>26.905540445004625</v>
      </c>
      <c r="H110" s="1476"/>
      <c r="I110" s="1475">
        <f t="shared" ca="1" si="68"/>
        <v>462.09445955499535</v>
      </c>
      <c r="J110" s="267"/>
      <c r="K110" s="267"/>
      <c r="L110" s="1446">
        <f ca="1">IF(A110="","",'4 Eingabe Friseure'!BB18)</f>
        <v>25.5</v>
      </c>
      <c r="M110" s="1446">
        <f ca="1">IF(B110="","",'4 Eingabe Friseure'!BC18)</f>
        <v>3.5</v>
      </c>
      <c r="N110" s="1446">
        <f t="shared" ca="1" si="69"/>
        <v>15.155000000000001</v>
      </c>
      <c r="O110" s="1451">
        <f t="shared" ca="1" si="70"/>
        <v>7408</v>
      </c>
      <c r="P110" s="1451">
        <f t="shared" ca="1" si="71"/>
        <v>7000.4003198024657</v>
      </c>
      <c r="Q110" s="1451">
        <f t="shared" ca="1" si="72"/>
        <v>407.59968019753427</v>
      </c>
      <c r="R110" s="1451">
        <f t="shared" ca="1" si="73"/>
        <v>1711.5</v>
      </c>
      <c r="S110" s="1455">
        <f t="shared" ca="1" si="74"/>
        <v>67.092333469184439</v>
      </c>
      <c r="T110" s="1455">
        <f t="shared" ca="1" si="75"/>
        <v>14.490784766562513</v>
      </c>
      <c r="U110" s="1456">
        <f t="shared" ca="1" si="76"/>
        <v>83.865416836480549</v>
      </c>
      <c r="V110" s="1457" t="str">
        <f t="shared" ca="1" si="77"/>
        <v>Salli</v>
      </c>
      <c r="W110" s="1458">
        <f t="shared" ca="1" si="78"/>
        <v>30878.312500000004</v>
      </c>
      <c r="X110" s="2987">
        <f ca="1">IF(A110="","",IF('4 Eingabe Friseure'!BG18&gt;10,10,'4 Eingabe Friseure'!BG18/12*10))</f>
        <v>4.166666666666667</v>
      </c>
      <c r="Y110" s="267"/>
      <c r="Z110" s="267" t="s">
        <v>77</v>
      </c>
      <c r="AA110" s="267"/>
      <c r="AB110" s="267"/>
      <c r="AC110" s="267"/>
      <c r="AD110" s="566"/>
      <c r="AE110" s="566"/>
      <c r="AF110" s="566"/>
      <c r="AG110" s="566"/>
      <c r="AH110" s="566"/>
      <c r="AI110" s="721"/>
      <c r="AJ110" s="267"/>
      <c r="AK110" s="267"/>
      <c r="AL110" s="267"/>
    </row>
    <row r="111" spans="1:38" ht="18" customHeight="1">
      <c r="A111" s="1459" t="str">
        <f ca="1">IF('21 Lohnfaktor'!C16=0,"",IF('21 Lohnfaktor'!B16=0,"",'21 Lohnfaktor'!B16))</f>
        <v/>
      </c>
      <c r="B111" s="1449" t="str">
        <f ca="1">IF('21 Lohnfaktor'!C16=0,"",'21 Lohnfaktor'!C16)</f>
        <v/>
      </c>
      <c r="C111" s="1450" t="str">
        <f t="shared" ca="1" si="79"/>
        <v/>
      </c>
      <c r="D111" s="1451" t="str">
        <f t="shared" ca="1" si="64"/>
        <v/>
      </c>
      <c r="E111" s="1452" t="str">
        <f t="shared" ca="1" si="65"/>
        <v/>
      </c>
      <c r="F111" s="1474" t="str">
        <f t="shared" ca="1" si="66"/>
        <v/>
      </c>
      <c r="G111" s="1475" t="str">
        <f t="shared" ca="1" si="67"/>
        <v/>
      </c>
      <c r="H111" s="1476"/>
      <c r="I111" s="1475" t="str">
        <f t="shared" ca="1" si="68"/>
        <v/>
      </c>
      <c r="J111" s="267"/>
      <c r="K111" s="267"/>
      <c r="L111" s="1446" t="str">
        <f ca="1">IF(A111="","",'4 Eingabe Friseure'!BB19)</f>
        <v/>
      </c>
      <c r="M111" s="1446" t="str">
        <f ca="1">IF(B111="","",'4 Eingabe Friseure'!BC19)</f>
        <v/>
      </c>
      <c r="N111" s="1446" t="str">
        <f t="shared" ca="1" si="69"/>
        <v/>
      </c>
      <c r="O111" s="1451" t="str">
        <f t="shared" ca="1" si="70"/>
        <v/>
      </c>
      <c r="P111" s="1451" t="str">
        <f t="shared" ca="1" si="71"/>
        <v/>
      </c>
      <c r="Q111" s="1451" t="str">
        <f t="shared" ca="1" si="72"/>
        <v/>
      </c>
      <c r="R111" s="1451" t="str">
        <f t="shared" ca="1" si="73"/>
        <v/>
      </c>
      <c r="S111" s="1455" t="str">
        <f t="shared" ca="1" si="74"/>
        <v/>
      </c>
      <c r="T111" s="1455" t="str">
        <f t="shared" ca="1" si="75"/>
        <v/>
      </c>
      <c r="U111" s="1456" t="str">
        <f t="shared" ca="1" si="76"/>
        <v/>
      </c>
      <c r="V111" s="1457" t="str">
        <f t="shared" ca="1" si="77"/>
        <v/>
      </c>
      <c r="W111" s="1458" t="str">
        <f t="shared" ca="1" si="78"/>
        <v/>
      </c>
      <c r="X111" s="2987" t="str">
        <f ca="1">IF(A111="","",IF('4 Eingabe Friseure'!BG19&gt;10,10,'4 Eingabe Friseure'!BG19/12*10))</f>
        <v/>
      </c>
      <c r="Y111" s="267"/>
      <c r="Z111" s="1348" t="s">
        <v>78</v>
      </c>
      <c r="AA111" s="267"/>
      <c r="AB111" s="267"/>
      <c r="AC111" s="267"/>
      <c r="AD111" s="566"/>
      <c r="AE111" s="566"/>
      <c r="AF111" s="566"/>
      <c r="AG111" s="566"/>
      <c r="AH111" s="566"/>
      <c r="AI111" s="566"/>
      <c r="AJ111" s="267"/>
      <c r="AK111" s="267"/>
      <c r="AL111" s="267"/>
    </row>
    <row r="112" spans="1:38" ht="18" customHeight="1">
      <c r="A112" s="1459" t="str">
        <f ca="1">IF('21 Lohnfaktor'!C17=0,"",IF('21 Lohnfaktor'!B17=0,"",'21 Lohnfaktor'!B17))</f>
        <v/>
      </c>
      <c r="B112" s="1449" t="str">
        <f ca="1">IF('21 Lohnfaktor'!C17=0,"",'21 Lohnfaktor'!C17)</f>
        <v/>
      </c>
      <c r="C112" s="1450" t="str">
        <f t="shared" ca="1" si="79"/>
        <v/>
      </c>
      <c r="D112" s="1451" t="str">
        <f t="shared" ca="1" si="64"/>
        <v/>
      </c>
      <c r="E112" s="1452" t="str">
        <f t="shared" ca="1" si="65"/>
        <v/>
      </c>
      <c r="F112" s="1474" t="str">
        <f t="shared" ca="1" si="66"/>
        <v/>
      </c>
      <c r="G112" s="1475" t="str">
        <f t="shared" ca="1" si="67"/>
        <v/>
      </c>
      <c r="H112" s="1476"/>
      <c r="I112" s="1475" t="str">
        <f t="shared" ca="1" si="68"/>
        <v/>
      </c>
      <c r="J112" s="267"/>
      <c r="K112" s="267"/>
      <c r="L112" s="1446" t="str">
        <f ca="1">IF(A112="","",'4 Eingabe Friseure'!BB20)</f>
        <v/>
      </c>
      <c r="M112" s="1446" t="str">
        <f ca="1">IF(B112="","",'4 Eingabe Friseure'!BC20)</f>
        <v/>
      </c>
      <c r="N112" s="1446" t="str">
        <f t="shared" ca="1" si="69"/>
        <v/>
      </c>
      <c r="O112" s="1451" t="str">
        <f t="shared" ca="1" si="70"/>
        <v/>
      </c>
      <c r="P112" s="1451" t="str">
        <f t="shared" ca="1" si="71"/>
        <v/>
      </c>
      <c r="Q112" s="1451" t="str">
        <f t="shared" ca="1" si="72"/>
        <v/>
      </c>
      <c r="R112" s="1451" t="str">
        <f t="shared" ca="1" si="73"/>
        <v/>
      </c>
      <c r="S112" s="1455" t="str">
        <f t="shared" ca="1" si="74"/>
        <v/>
      </c>
      <c r="T112" s="1455" t="str">
        <f t="shared" ca="1" si="75"/>
        <v/>
      </c>
      <c r="U112" s="1456" t="str">
        <f t="shared" ca="1" si="76"/>
        <v/>
      </c>
      <c r="V112" s="1457" t="str">
        <f t="shared" ca="1" si="77"/>
        <v/>
      </c>
      <c r="W112" s="1458" t="str">
        <f t="shared" ca="1" si="78"/>
        <v/>
      </c>
      <c r="X112" s="2987" t="str">
        <f ca="1">IF(A112="","",IF('4 Eingabe Friseure'!BG20&gt;10,10,'4 Eingabe Friseure'!BG20/12*10))</f>
        <v/>
      </c>
      <c r="Y112" s="267"/>
      <c r="Z112" s="1460" t="s">
        <v>79</v>
      </c>
      <c r="AA112" s="267"/>
      <c r="AB112" s="267"/>
      <c r="AC112" s="267"/>
      <c r="AD112" s="566"/>
      <c r="AE112" s="566"/>
      <c r="AF112" s="566"/>
      <c r="AG112" s="566"/>
      <c r="AH112" s="566"/>
      <c r="AI112" s="566"/>
      <c r="AJ112" s="267"/>
      <c r="AK112" s="267"/>
      <c r="AL112" s="267"/>
    </row>
    <row r="113" spans="1:38" ht="18" customHeight="1">
      <c r="A113" s="1459" t="str">
        <f ca="1">IF('21 Lohnfaktor'!C18=0,"",IF('21 Lohnfaktor'!B18=0,"",'21 Lohnfaktor'!B18))</f>
        <v/>
      </c>
      <c r="B113" s="1449" t="str">
        <f ca="1">IF('21 Lohnfaktor'!C18=0,"",'21 Lohnfaktor'!C18)</f>
        <v/>
      </c>
      <c r="C113" s="1450" t="str">
        <f t="shared" ca="1" si="79"/>
        <v/>
      </c>
      <c r="D113" s="1451" t="str">
        <f t="shared" ca="1" si="64"/>
        <v/>
      </c>
      <c r="E113" s="1452" t="str">
        <f t="shared" ca="1" si="65"/>
        <v/>
      </c>
      <c r="F113" s="1474" t="str">
        <f t="shared" ca="1" si="66"/>
        <v/>
      </c>
      <c r="G113" s="1475" t="str">
        <f t="shared" ca="1" si="67"/>
        <v/>
      </c>
      <c r="H113" s="1476"/>
      <c r="I113" s="1475" t="str">
        <f t="shared" ca="1" si="68"/>
        <v/>
      </c>
      <c r="J113" s="267"/>
      <c r="K113" s="267"/>
      <c r="L113" s="1446" t="str">
        <f ca="1">IF(A113="","",'4 Eingabe Friseure'!BB21)</f>
        <v/>
      </c>
      <c r="M113" s="1446" t="str">
        <f ca="1">IF(B113="","",'4 Eingabe Friseure'!BC21)</f>
        <v/>
      </c>
      <c r="N113" s="1446" t="str">
        <f t="shared" ca="1" si="69"/>
        <v/>
      </c>
      <c r="O113" s="1451" t="str">
        <f t="shared" ca="1" si="70"/>
        <v/>
      </c>
      <c r="P113" s="1451" t="str">
        <f t="shared" ca="1" si="71"/>
        <v/>
      </c>
      <c r="Q113" s="1451" t="str">
        <f t="shared" ca="1" si="72"/>
        <v/>
      </c>
      <c r="R113" s="1451" t="str">
        <f t="shared" ca="1" si="73"/>
        <v/>
      </c>
      <c r="S113" s="1455" t="str">
        <f t="shared" ca="1" si="74"/>
        <v/>
      </c>
      <c r="T113" s="1455" t="str">
        <f t="shared" ca="1" si="75"/>
        <v/>
      </c>
      <c r="U113" s="1456" t="str">
        <f t="shared" ca="1" si="76"/>
        <v/>
      </c>
      <c r="V113" s="1457" t="str">
        <f t="shared" ca="1" si="77"/>
        <v/>
      </c>
      <c r="W113" s="1458" t="str">
        <f t="shared" ca="1" si="78"/>
        <v/>
      </c>
      <c r="X113" s="2987" t="str">
        <f ca="1">IF(A113="","",IF('4 Eingabe Friseure'!BG21&gt;10,10,'4 Eingabe Friseure'!BG21/12*10))</f>
        <v/>
      </c>
      <c r="Y113" s="267"/>
      <c r="Z113" s="267"/>
      <c r="AA113" s="267"/>
      <c r="AB113" s="267"/>
      <c r="AC113" s="267"/>
      <c r="AD113" s="566"/>
      <c r="AE113" s="566"/>
      <c r="AF113" s="566"/>
      <c r="AG113" s="566"/>
      <c r="AH113" s="566"/>
      <c r="AI113" s="566"/>
      <c r="AJ113" s="267"/>
      <c r="AK113" s="267"/>
      <c r="AL113" s="267"/>
    </row>
    <row r="114" spans="1:38" ht="18" customHeight="1">
      <c r="A114" s="1459" t="str">
        <f ca="1">IF('21 Lohnfaktor'!C19=0,"",IF('21 Lohnfaktor'!B19=0,"",'21 Lohnfaktor'!B19))</f>
        <v/>
      </c>
      <c r="B114" s="1449" t="str">
        <f ca="1">IF('21 Lohnfaktor'!C19=0,"",'21 Lohnfaktor'!C19)</f>
        <v/>
      </c>
      <c r="C114" s="1450" t="str">
        <f t="shared" ca="1" si="79"/>
        <v/>
      </c>
      <c r="D114" s="1451" t="str">
        <f t="shared" ca="1" si="64"/>
        <v/>
      </c>
      <c r="E114" s="1452" t="str">
        <f t="shared" ca="1" si="65"/>
        <v/>
      </c>
      <c r="F114" s="1474" t="str">
        <f t="shared" ca="1" si="66"/>
        <v/>
      </c>
      <c r="G114" s="1475" t="str">
        <f t="shared" ca="1" si="67"/>
        <v/>
      </c>
      <c r="H114" s="1476"/>
      <c r="I114" s="1475" t="str">
        <f t="shared" ca="1" si="68"/>
        <v/>
      </c>
      <c r="J114" s="267"/>
      <c r="K114" s="267"/>
      <c r="L114" s="1446" t="str">
        <f ca="1">IF(A114="","",'4 Eingabe Friseure'!BB22)</f>
        <v/>
      </c>
      <c r="M114" s="1446" t="str">
        <f ca="1">IF(B114="","",'4 Eingabe Friseure'!BC22)</f>
        <v/>
      </c>
      <c r="N114" s="1446" t="str">
        <f t="shared" ca="1" si="69"/>
        <v/>
      </c>
      <c r="O114" s="1451" t="str">
        <f t="shared" ca="1" si="70"/>
        <v/>
      </c>
      <c r="P114" s="1451" t="str">
        <f t="shared" ca="1" si="71"/>
        <v/>
      </c>
      <c r="Q114" s="1451" t="str">
        <f t="shared" ca="1" si="72"/>
        <v/>
      </c>
      <c r="R114" s="1451" t="str">
        <f t="shared" ca="1" si="73"/>
        <v/>
      </c>
      <c r="S114" s="1455" t="str">
        <f t="shared" ca="1" si="74"/>
        <v/>
      </c>
      <c r="T114" s="1455" t="str">
        <f t="shared" ca="1" si="75"/>
        <v/>
      </c>
      <c r="U114" s="1456" t="str">
        <f t="shared" ca="1" si="76"/>
        <v/>
      </c>
      <c r="V114" s="1457" t="str">
        <f t="shared" ca="1" si="77"/>
        <v/>
      </c>
      <c r="W114" s="1458" t="str">
        <f t="shared" ca="1" si="78"/>
        <v/>
      </c>
      <c r="X114" s="2987" t="str">
        <f ca="1">IF(A114="","",IF('4 Eingabe Friseure'!BG22&gt;10,10,'4 Eingabe Friseure'!BG22/12*10))</f>
        <v/>
      </c>
      <c r="Y114" s="267"/>
      <c r="Z114" s="267"/>
      <c r="AA114" s="267"/>
      <c r="AB114" s="267"/>
      <c r="AC114" s="267"/>
      <c r="AD114" s="566"/>
      <c r="AE114" s="566"/>
      <c r="AF114" s="566"/>
      <c r="AG114" s="566"/>
      <c r="AH114" s="566"/>
      <c r="AI114" s="566"/>
      <c r="AJ114" s="267"/>
      <c r="AK114" s="267"/>
      <c r="AL114" s="267"/>
    </row>
    <row r="115" spans="1:38" ht="18" customHeight="1">
      <c r="A115" s="1459" t="str">
        <f ca="1">IF('21 Lohnfaktor'!C20=0,"",IF('21 Lohnfaktor'!B20=0,"",'21 Lohnfaktor'!B20))</f>
        <v/>
      </c>
      <c r="B115" s="1449" t="str">
        <f ca="1">IF('21 Lohnfaktor'!C20=0,"",'21 Lohnfaktor'!C20)</f>
        <v/>
      </c>
      <c r="C115" s="1450" t="str">
        <f t="shared" ca="1" si="79"/>
        <v/>
      </c>
      <c r="D115" s="1451" t="str">
        <f t="shared" ca="1" si="64"/>
        <v/>
      </c>
      <c r="E115" s="1452" t="str">
        <f t="shared" ca="1" si="65"/>
        <v/>
      </c>
      <c r="F115" s="1474" t="str">
        <f t="shared" ca="1" si="66"/>
        <v/>
      </c>
      <c r="G115" s="1475" t="str">
        <f t="shared" ca="1" si="67"/>
        <v/>
      </c>
      <c r="H115" s="1476"/>
      <c r="I115" s="1475" t="str">
        <f t="shared" ca="1" si="68"/>
        <v/>
      </c>
      <c r="J115" s="267"/>
      <c r="K115" s="267"/>
      <c r="L115" s="1446" t="str">
        <f ca="1">IF(A115="","",'4 Eingabe Friseure'!BB23)</f>
        <v/>
      </c>
      <c r="M115" s="1446" t="str">
        <f ca="1">IF(B115="","",'4 Eingabe Friseure'!BC23)</f>
        <v/>
      </c>
      <c r="N115" s="1446" t="str">
        <f t="shared" ca="1" si="69"/>
        <v/>
      </c>
      <c r="O115" s="1451" t="str">
        <f t="shared" ca="1" si="70"/>
        <v/>
      </c>
      <c r="P115" s="1451" t="str">
        <f t="shared" ca="1" si="71"/>
        <v/>
      </c>
      <c r="Q115" s="1451" t="str">
        <f t="shared" ca="1" si="72"/>
        <v/>
      </c>
      <c r="R115" s="1451" t="str">
        <f t="shared" ca="1" si="73"/>
        <v/>
      </c>
      <c r="S115" s="1455" t="str">
        <f t="shared" ca="1" si="74"/>
        <v/>
      </c>
      <c r="T115" s="1455" t="str">
        <f t="shared" ca="1" si="75"/>
        <v/>
      </c>
      <c r="U115" s="1456" t="str">
        <f t="shared" ca="1" si="76"/>
        <v/>
      </c>
      <c r="V115" s="1457" t="str">
        <f t="shared" ca="1" si="77"/>
        <v/>
      </c>
      <c r="W115" s="1458" t="str">
        <f t="shared" ca="1" si="78"/>
        <v/>
      </c>
      <c r="X115" s="2987" t="str">
        <f ca="1">IF(A115="","",IF('4 Eingabe Friseure'!BG23&gt;10,10,'4 Eingabe Friseure'!BG23/12*10))</f>
        <v/>
      </c>
      <c r="Y115" s="267"/>
      <c r="Z115" s="267"/>
      <c r="AA115" s="267"/>
      <c r="AB115" s="267"/>
      <c r="AC115" s="267"/>
      <c r="AD115" s="566"/>
      <c r="AE115" s="566"/>
      <c r="AF115" s="566"/>
      <c r="AG115" s="566"/>
      <c r="AH115" s="566"/>
      <c r="AI115" s="566"/>
      <c r="AJ115" s="267"/>
      <c r="AK115" s="267"/>
      <c r="AL115" s="267"/>
    </row>
    <row r="116" spans="1:38" ht="18" customHeight="1">
      <c r="A116" s="1459" t="str">
        <f ca="1">IF('21 Lohnfaktor'!C21=0,"",IF('21 Lohnfaktor'!B21=0,"",'21 Lohnfaktor'!B21))</f>
        <v/>
      </c>
      <c r="B116" s="1449" t="str">
        <f ca="1">IF('21 Lohnfaktor'!C21=0,"",'21 Lohnfaktor'!C21)</f>
        <v/>
      </c>
      <c r="C116" s="1450" t="str">
        <f t="shared" ca="1" si="79"/>
        <v/>
      </c>
      <c r="D116" s="1451" t="str">
        <f t="shared" ca="1" si="64"/>
        <v/>
      </c>
      <c r="E116" s="1452" t="str">
        <f t="shared" ca="1" si="65"/>
        <v/>
      </c>
      <c r="F116" s="1474" t="str">
        <f t="shared" ca="1" si="66"/>
        <v/>
      </c>
      <c r="G116" s="1475" t="str">
        <f t="shared" ca="1" si="67"/>
        <v/>
      </c>
      <c r="H116" s="1476"/>
      <c r="I116" s="1475" t="str">
        <f t="shared" ca="1" si="68"/>
        <v/>
      </c>
      <c r="J116" s="267"/>
      <c r="K116" s="267"/>
      <c r="L116" s="1446" t="str">
        <f ca="1">IF(A116="","",'4 Eingabe Friseure'!BB24)</f>
        <v/>
      </c>
      <c r="M116" s="1446" t="str">
        <f ca="1">IF(B116="","",'4 Eingabe Friseure'!BC24)</f>
        <v/>
      </c>
      <c r="N116" s="1446" t="str">
        <f t="shared" ca="1" si="69"/>
        <v/>
      </c>
      <c r="O116" s="1451" t="str">
        <f t="shared" ca="1" si="70"/>
        <v/>
      </c>
      <c r="P116" s="1451" t="str">
        <f t="shared" ca="1" si="71"/>
        <v/>
      </c>
      <c r="Q116" s="1451" t="str">
        <f t="shared" ca="1" si="72"/>
        <v/>
      </c>
      <c r="R116" s="1451" t="str">
        <f t="shared" ca="1" si="73"/>
        <v/>
      </c>
      <c r="S116" s="1455" t="str">
        <f t="shared" ca="1" si="74"/>
        <v/>
      </c>
      <c r="T116" s="1455" t="str">
        <f t="shared" ca="1" si="75"/>
        <v/>
      </c>
      <c r="U116" s="1456" t="str">
        <f t="shared" ca="1" si="76"/>
        <v/>
      </c>
      <c r="V116" s="1457" t="str">
        <f t="shared" ca="1" si="77"/>
        <v/>
      </c>
      <c r="W116" s="1458" t="str">
        <f t="shared" ca="1" si="78"/>
        <v/>
      </c>
      <c r="X116" s="2987" t="str">
        <f ca="1">IF(A116="","",IF('4 Eingabe Friseure'!BG24&gt;10,10,'4 Eingabe Friseure'!BG24/12*10))</f>
        <v/>
      </c>
      <c r="Y116" s="267"/>
      <c r="Z116" s="267"/>
      <c r="AA116" s="267"/>
      <c r="AB116" s="267"/>
      <c r="AC116" s="267"/>
      <c r="AD116" s="566"/>
      <c r="AE116" s="566"/>
      <c r="AF116" s="566"/>
      <c r="AG116" s="566"/>
      <c r="AH116" s="566"/>
      <c r="AI116" s="566"/>
      <c r="AJ116" s="267"/>
      <c r="AK116" s="267"/>
      <c r="AL116" s="267"/>
    </row>
    <row r="117" spans="1:38" ht="18" customHeight="1">
      <c r="A117" s="1459" t="str">
        <f ca="1">IF('21 Lohnfaktor'!C22=0,"",IF('21 Lohnfaktor'!B22=0,"",'21 Lohnfaktor'!B22))</f>
        <v/>
      </c>
      <c r="B117" s="1449" t="str">
        <f ca="1">IF('21 Lohnfaktor'!C22=0,"",'21 Lohnfaktor'!C22)</f>
        <v/>
      </c>
      <c r="C117" s="1450" t="str">
        <f t="shared" ca="1" si="79"/>
        <v/>
      </c>
      <c r="D117" s="1451" t="str">
        <f ca="1">IF(A117="","",(ROUND(IF(A117="","",C117*B117),0)))</f>
        <v/>
      </c>
      <c r="E117" s="1452" t="str">
        <f t="shared" ca="1" si="65"/>
        <v/>
      </c>
      <c r="F117" s="1474" t="str">
        <f t="shared" ca="1" si="66"/>
        <v/>
      </c>
      <c r="G117" s="1475" t="str">
        <f t="shared" ca="1" si="67"/>
        <v/>
      </c>
      <c r="H117" s="1476"/>
      <c r="I117" s="1475" t="str">
        <f t="shared" ca="1" si="68"/>
        <v/>
      </c>
      <c r="J117" s="267"/>
      <c r="K117" s="267"/>
      <c r="L117" s="1446" t="str">
        <f ca="1">IF(A117="","",'4 Eingabe Friseure'!BB25)</f>
        <v/>
      </c>
      <c r="M117" s="1446" t="str">
        <f ca="1">IF(B117="","",'4 Eingabe Friseure'!BC25)</f>
        <v/>
      </c>
      <c r="N117" s="1446" t="str">
        <f t="shared" ca="1" si="69"/>
        <v/>
      </c>
      <c r="O117" s="1451" t="str">
        <f t="shared" ca="1" si="70"/>
        <v/>
      </c>
      <c r="P117" s="1451" t="str">
        <f t="shared" ca="1" si="71"/>
        <v/>
      </c>
      <c r="Q117" s="1451" t="str">
        <f t="shared" ca="1" si="72"/>
        <v/>
      </c>
      <c r="R117" s="1451" t="str">
        <f t="shared" ca="1" si="73"/>
        <v/>
      </c>
      <c r="S117" s="1455" t="str">
        <f t="shared" ca="1" si="74"/>
        <v/>
      </c>
      <c r="T117" s="1455" t="str">
        <f t="shared" ca="1" si="75"/>
        <v/>
      </c>
      <c r="U117" s="1456" t="str">
        <f t="shared" ca="1" si="76"/>
        <v/>
      </c>
      <c r="V117" s="1457" t="str">
        <f t="shared" ca="1" si="77"/>
        <v/>
      </c>
      <c r="W117" s="1458" t="str">
        <f t="shared" ca="1" si="78"/>
        <v/>
      </c>
      <c r="X117" s="2987" t="str">
        <f ca="1">IF(A117="","",IF('4 Eingabe Friseure'!BG25&gt;10,10,'4 Eingabe Friseure'!BG25/12*10))</f>
        <v/>
      </c>
      <c r="Y117" s="267"/>
      <c r="Z117" s="1457" t="s">
        <v>94</v>
      </c>
      <c r="AA117" s="1458">
        <f ca="1">SUM(W122,W140)</f>
        <v>506136.33750000002</v>
      </c>
      <c r="AB117" s="267"/>
      <c r="AC117" s="267"/>
      <c r="AD117" s="566"/>
      <c r="AE117" s="566"/>
      <c r="AF117" s="566"/>
      <c r="AG117" s="566"/>
      <c r="AH117" s="566"/>
      <c r="AI117" s="566"/>
      <c r="AJ117" s="267"/>
      <c r="AK117" s="267"/>
      <c r="AL117" s="267"/>
    </row>
    <row r="118" spans="1:38" ht="15.75" customHeight="1">
      <c r="A118" s="3188" t="str">
        <f>IF('4 Eingabe Friseure'!A7="","",'4 Eingabe Friseure'!A7)</f>
        <v xml:space="preserve">Linda </v>
      </c>
      <c r="B118" s="3189" t="str">
        <f>IF(A118="","",IF('21 Lohnfaktor'!C4="","Monate",IF('21 Lohnfaktor'!C4&gt;0,'21 Lohnfaktor'!C4,"")))</f>
        <v>Monate</v>
      </c>
      <c r="C118" s="3190">
        <f>IF(B118="Monate",'22 Sollumsatz pro MA '!C72,IF(B118&gt;0,B$3,""))</f>
        <v>10</v>
      </c>
      <c r="D118" s="3191">
        <f ca="1">IF(A118="","",IF(C118=B$3,(ROUND(IF(A118="","",C118*B118),0)),'19 Sollumsatz pro Arbeitsmonat'!O22/C118))</f>
        <v>9500</v>
      </c>
      <c r="E118" s="3192">
        <f t="shared" ca="1" si="65"/>
        <v>438.8</v>
      </c>
      <c r="F118" s="3193">
        <f t="shared" ca="1" si="66"/>
        <v>439</v>
      </c>
      <c r="G118" s="3194">
        <f ca="1">IF(A118="","",F118*$G$122%)</f>
        <v>24.145</v>
      </c>
      <c r="H118" s="3195"/>
      <c r="I118" s="3194">
        <f t="shared" ca="1" si="68"/>
        <v>414.85500000000002</v>
      </c>
      <c r="J118" s="927"/>
      <c r="K118" s="927"/>
      <c r="L118" s="3196">
        <f>IF(A118="","",'4 Eingabe Friseure'!BB7)</f>
        <v>40</v>
      </c>
      <c r="M118" s="3196">
        <f>IF(B118="","",'4 Eingabe Friseure'!BC7)</f>
        <v>5</v>
      </c>
      <c r="N118" s="3196">
        <f>IF(A118="","",M118*4.33)</f>
        <v>21.65</v>
      </c>
      <c r="O118" s="3191">
        <f t="shared" ca="1" si="70"/>
        <v>9500</v>
      </c>
      <c r="P118" s="3191">
        <f t="shared" ca="1" si="71"/>
        <v>8977.2952265285403</v>
      </c>
      <c r="Q118" s="3191">
        <f t="shared" ca="1" si="72"/>
        <v>522.70477347145993</v>
      </c>
      <c r="R118" s="3191">
        <f t="shared" ca="1" si="73"/>
        <v>2195</v>
      </c>
      <c r="S118" s="3197">
        <f t="shared" ca="1" si="74"/>
        <v>54.849884526558888</v>
      </c>
      <c r="T118" s="3197"/>
      <c r="U118" s="3198">
        <f t="shared" ca="1" si="76"/>
        <v>68.562355658198612</v>
      </c>
      <c r="V118" s="3199" t="str">
        <f t="shared" si="77"/>
        <v xml:space="preserve">Linda </v>
      </c>
      <c r="W118" s="3187">
        <f t="shared" ca="1" si="78"/>
        <v>95043.5</v>
      </c>
      <c r="X118" s="2987">
        <f>IF(A118="","",IF('4 Eingabe Friseure'!BG7&gt;10,10,'4 Eingabe Friseure'!BG7/12*10))</f>
        <v>10</v>
      </c>
      <c r="Y118" s="267"/>
      <c r="Z118" s="1457" t="s">
        <v>109</v>
      </c>
      <c r="AA118" s="1458">
        <f>IF('19 Sollumsatz pro Arbeitsmonat'!H9=0,SUM(W118:W120),'19 Sollumsatz pro Arbeitsmonat'!H9)</f>
        <v>95000</v>
      </c>
      <c r="AB118" s="267"/>
      <c r="AC118" s="267"/>
      <c r="AD118" s="566"/>
      <c r="AE118" s="566"/>
      <c r="AF118" s="566"/>
      <c r="AG118" s="566"/>
      <c r="AH118" s="566"/>
      <c r="AI118" s="566"/>
      <c r="AJ118" s="267"/>
      <c r="AK118" s="267"/>
      <c r="AL118" s="267"/>
    </row>
    <row r="119" spans="1:38" ht="15.75" customHeight="1">
      <c r="A119" s="3188" t="str">
        <f>IF('4 Eingabe Friseure'!A8="","",'4 Eingabe Friseure'!A8)</f>
        <v/>
      </c>
      <c r="B119" s="3189" t="str">
        <f>IF(A119="","",IF('21 Lohnfaktor'!C5="","Monate",IF('21 Lohnfaktor'!C5&gt;0,'21 Lohnfaktor'!C5,"")))</f>
        <v/>
      </c>
      <c r="C119" s="3190">
        <f ca="1">IF(B119="Monate",'22 Sollumsatz pro MA '!C73,IF(B119&gt;0,B$3,""))</f>
        <v>4.63</v>
      </c>
      <c r="D119" s="3191" t="str">
        <f>IF(A119="","",IF(C118=B$3,(ROUND(IF(A119="","",C119*B119),0)),'19 Sollumsatz pro Arbeitsmonat'!R22/C119))</f>
        <v/>
      </c>
      <c r="E119" s="3192" t="str">
        <f t="shared" si="65"/>
        <v/>
      </c>
      <c r="F119" s="3193" t="str">
        <f t="shared" si="66"/>
        <v/>
      </c>
      <c r="G119" s="3194" t="str">
        <f>IF(A119="","",F119*$G$122%)</f>
        <v/>
      </c>
      <c r="H119" s="3195"/>
      <c r="I119" s="3194" t="str">
        <f t="shared" si="68"/>
        <v/>
      </c>
      <c r="J119" s="927"/>
      <c r="K119" s="927"/>
      <c r="L119" s="3196" t="str">
        <f>IF(A119="","",'4 Eingabe Friseure'!BB8)</f>
        <v/>
      </c>
      <c r="M119" s="3196" t="str">
        <f>IF(B119="","",'4 Eingabe Friseure'!BC8)</f>
        <v/>
      </c>
      <c r="N119" s="3196" t="str">
        <f>IF(A119="","",M119*4.33)</f>
        <v/>
      </c>
      <c r="O119" s="3191" t="str">
        <f t="shared" si="70"/>
        <v/>
      </c>
      <c r="P119" s="3191" t="str">
        <f t="shared" si="71"/>
        <v/>
      </c>
      <c r="Q119" s="3191" t="str">
        <f t="shared" si="72"/>
        <v/>
      </c>
      <c r="R119" s="3191" t="str">
        <f t="shared" si="73"/>
        <v/>
      </c>
      <c r="S119" s="3197" t="str">
        <f t="shared" si="74"/>
        <v/>
      </c>
      <c r="T119" s="3197"/>
      <c r="U119" s="3198" t="str">
        <f t="shared" si="76"/>
        <v/>
      </c>
      <c r="V119" s="3199" t="str">
        <f t="shared" si="77"/>
        <v/>
      </c>
      <c r="W119" s="3187" t="str">
        <f t="shared" si="78"/>
        <v/>
      </c>
      <c r="X119" s="2987" t="str">
        <f>IF(A119="","",IF('4 Eingabe Friseure'!BG8&gt;10,10,'4 Eingabe Friseure'!BG8/12*10))</f>
        <v/>
      </c>
      <c r="Y119" s="267"/>
      <c r="Z119" s="1457"/>
      <c r="AA119" s="1458"/>
      <c r="AB119" s="267"/>
      <c r="AC119" s="267"/>
      <c r="AD119" s="566"/>
      <c r="AE119" s="566"/>
      <c r="AF119" s="566"/>
      <c r="AG119" s="566"/>
      <c r="AH119" s="566"/>
      <c r="AI119" s="566"/>
      <c r="AJ119" s="267"/>
      <c r="AK119" s="267"/>
      <c r="AL119" s="267"/>
    </row>
    <row r="120" spans="1:38" ht="15.75" customHeight="1">
      <c r="A120" s="3188" t="str">
        <f>IF('4 Eingabe Friseure'!A9="","",'4 Eingabe Friseure'!A9)</f>
        <v/>
      </c>
      <c r="B120" s="3189" t="str">
        <f>IF(A120="","",IF('21 Lohnfaktor'!C6="","Monate",IF('21 Lohnfaktor'!C6&gt;0,'21 Lohnfaktor'!C6,"")))</f>
        <v/>
      </c>
      <c r="C120" s="3190">
        <f ca="1">IF(B120="Monate",'22 Sollumsatz pro MA '!C74,IF(B120&gt;0,B$3,""))</f>
        <v>4.63</v>
      </c>
      <c r="D120" s="3191" t="str">
        <f>IF(A120="","",IF(C120=B$3,(ROUND(IF(A120="","",C120*B120),0)),'19 Sollumsatz pro Arbeitsmonat'!U22/C120))</f>
        <v/>
      </c>
      <c r="E120" s="3192" t="str">
        <f t="shared" ref="E120" si="80">IF(A120="","",(ROUND(IF(A120="","",D120/N120),2)))</f>
        <v/>
      </c>
      <c r="F120" s="3193" t="str">
        <f t="shared" ref="F120" si="81">IF(E120="","",(ROUND(IF(E120="","",E120),0)))</f>
        <v/>
      </c>
      <c r="G120" s="3194" t="str">
        <f>IF(A120="","",F120*$G$122%)</f>
        <v/>
      </c>
      <c r="H120" s="3195"/>
      <c r="I120" s="3194" t="str">
        <f t="shared" ref="I120" si="82">IF(A120="","",F120-G120)</f>
        <v/>
      </c>
      <c r="J120" s="927"/>
      <c r="K120" s="927"/>
      <c r="L120" s="3196" t="str">
        <f>IF(A120="","",'4 Eingabe Friseure'!BB9)</f>
        <v/>
      </c>
      <c r="M120" s="3196" t="str">
        <f>IF(B120="","",'4 Eingabe Friseure'!BC9)</f>
        <v/>
      </c>
      <c r="N120" s="3196" t="str">
        <f>IF(A120="","",M120*4.33)</f>
        <v/>
      </c>
      <c r="O120" s="3191" t="str">
        <f t="shared" ref="O120" si="83">D120</f>
        <v/>
      </c>
      <c r="P120" s="3191" t="str">
        <f t="shared" si="71"/>
        <v/>
      </c>
      <c r="Q120" s="3191" t="str">
        <f t="shared" si="72"/>
        <v/>
      </c>
      <c r="R120" s="3191" t="str">
        <f t="shared" ref="R120" si="84">IF(A120="","",F120*M120)</f>
        <v/>
      </c>
      <c r="S120" s="3197" t="str">
        <f t="shared" ref="S120" si="85">IF(A120="","",O120/4.33/L120)</f>
        <v/>
      </c>
      <c r="T120" s="3197"/>
      <c r="U120" s="3198" t="str">
        <f t="shared" si="76"/>
        <v/>
      </c>
      <c r="V120" s="3199" t="str">
        <f t="shared" ref="V120" si="86">A120</f>
        <v/>
      </c>
      <c r="W120" s="3187" t="str">
        <f t="shared" si="78"/>
        <v/>
      </c>
      <c r="X120" s="2987" t="str">
        <f>IF(A120="","",IF('4 Eingabe Friseure'!BG9&gt;10,10,'4 Eingabe Friseure'!BG9/12*10))</f>
        <v/>
      </c>
      <c r="Y120" s="267"/>
      <c r="Z120" s="1457" t="s">
        <v>3</v>
      </c>
      <c r="AA120" s="1458">
        <f>'19 Sollumsatz pro Arbeitsmonat'!H10</f>
        <v>0</v>
      </c>
      <c r="AB120" s="267"/>
      <c r="AC120" s="267"/>
      <c r="AD120" s="566"/>
      <c r="AE120" s="566"/>
      <c r="AF120" s="566"/>
      <c r="AG120" s="566"/>
      <c r="AH120" s="566"/>
      <c r="AI120" s="566"/>
      <c r="AJ120" s="267"/>
      <c r="AK120" s="267"/>
      <c r="AL120" s="267"/>
    </row>
    <row r="121" spans="1:38" ht="15.75" customHeight="1">
      <c r="A121" s="2994"/>
      <c r="B121" s="2995"/>
      <c r="C121" s="2990"/>
      <c r="D121" s="1451"/>
      <c r="E121" s="1452"/>
      <c r="F121" s="1474"/>
      <c r="G121" s="1475"/>
      <c r="H121" s="1476"/>
      <c r="I121" s="1475"/>
      <c r="J121" s="267"/>
      <c r="K121" s="267"/>
      <c r="L121" s="1446"/>
      <c r="M121" s="1446"/>
      <c r="N121" s="1446"/>
      <c r="O121" s="1451"/>
      <c r="P121" s="1451"/>
      <c r="Q121" s="1451"/>
      <c r="R121" s="1451"/>
      <c r="S121" s="1455"/>
      <c r="T121" s="1455"/>
      <c r="U121" s="1456"/>
      <c r="V121" s="1457"/>
      <c r="W121" s="1458"/>
      <c r="X121" s="267"/>
      <c r="Y121" s="267"/>
      <c r="Z121" s="1457" t="s">
        <v>3</v>
      </c>
      <c r="AA121" s="1458">
        <f>'19 Sollumsatz pro Arbeitsmonat'!H11</f>
        <v>505993.68263966485</v>
      </c>
      <c r="AB121" s="267"/>
      <c r="AC121" s="267"/>
      <c r="AD121" s="566"/>
      <c r="AE121" s="566"/>
      <c r="AF121" s="566"/>
      <c r="AG121" s="566"/>
      <c r="AH121" s="566"/>
      <c r="AI121" s="566"/>
      <c r="AJ121" s="267"/>
      <c r="AK121" s="267"/>
      <c r="AL121" s="267"/>
    </row>
    <row r="122" spans="1:38" s="15" customFormat="1" ht="15.75" customHeight="1">
      <c r="A122" s="267"/>
      <c r="B122" s="267"/>
      <c r="C122" s="267"/>
      <c r="D122" s="267"/>
      <c r="E122" s="267"/>
      <c r="F122" s="1457" t="s">
        <v>298</v>
      </c>
      <c r="G122" s="2987">
        <f>'22 Sollumsatz pro MA '!G75</f>
        <v>5.5</v>
      </c>
      <c r="H122" s="2991"/>
      <c r="I122" s="267"/>
      <c r="J122" s="267"/>
      <c r="K122" s="267"/>
      <c r="L122" s="267"/>
      <c r="M122" s="267"/>
      <c r="N122" s="267"/>
      <c r="O122" s="267"/>
      <c r="P122" s="267"/>
      <c r="Q122" s="267"/>
      <c r="R122" s="267"/>
      <c r="S122" s="267"/>
      <c r="T122" s="267"/>
      <c r="U122" s="267"/>
      <c r="V122" s="1457" t="s">
        <v>94</v>
      </c>
      <c r="W122" s="1458">
        <f ca="1">SUM(W102:W117)</f>
        <v>506136.33750000002</v>
      </c>
      <c r="X122" s="1348"/>
      <c r="Y122" s="1348"/>
      <c r="Z122" s="1457" t="s">
        <v>94</v>
      </c>
      <c r="AA122" s="1458">
        <f ca="1">SUM(AA117:AA120)</f>
        <v>601136.33750000002</v>
      </c>
      <c r="AB122" s="1348"/>
      <c r="AC122" s="1348"/>
      <c r="AD122" s="720"/>
      <c r="AE122" s="720"/>
      <c r="AF122" s="720"/>
      <c r="AG122" s="720"/>
      <c r="AH122" s="720"/>
      <c r="AI122" s="720"/>
      <c r="AJ122" s="1348"/>
      <c r="AK122" s="1348"/>
      <c r="AL122" s="1348"/>
    </row>
    <row r="123" spans="1:38" s="15" customFormat="1" ht="20.25" customHeight="1" thickBot="1">
      <c r="A123" s="1348"/>
      <c r="B123" s="1348"/>
      <c r="C123" s="1348"/>
      <c r="D123" s="1348"/>
      <c r="E123" s="1348"/>
      <c r="F123" s="1348"/>
      <c r="G123" s="1462"/>
      <c r="H123" s="1348"/>
      <c r="I123" s="1348"/>
      <c r="J123" s="1348"/>
      <c r="K123" s="1348"/>
      <c r="L123" s="1348"/>
      <c r="M123" s="1348"/>
      <c r="N123" s="1348"/>
      <c r="O123" s="1348"/>
      <c r="P123" s="1348"/>
      <c r="Q123" s="1348"/>
      <c r="R123" s="1348"/>
      <c r="S123" s="267"/>
      <c r="T123" s="1348"/>
      <c r="U123" s="1348"/>
      <c r="V123" s="1348"/>
      <c r="W123" s="1348"/>
      <c r="X123" s="2987" t="str">
        <f ca="1">IF(A124="","",IF('4 Eingabe Friseure'!BG30&gt;10,10,'4 Eingabe Friseure'!BG30/12*10))</f>
        <v/>
      </c>
      <c r="Y123" s="1348"/>
      <c r="Z123" s="1457" t="s">
        <v>125</v>
      </c>
      <c r="AA123" s="1458">
        <f>'18 Zielumsatz Planungsjahr'!R5</f>
        <v>600993.68263966474</v>
      </c>
      <c r="AB123" s="1348"/>
      <c r="AC123" s="1348"/>
      <c r="AD123" s="720"/>
      <c r="AE123" s="720"/>
      <c r="AF123" s="720"/>
      <c r="AG123" s="720"/>
      <c r="AH123" s="720"/>
      <c r="AI123" s="720"/>
      <c r="AJ123" s="1348"/>
      <c r="AK123" s="1348"/>
      <c r="AL123" s="1348"/>
    </row>
    <row r="124" spans="1:38" s="15" customFormat="1" ht="20.25" customHeight="1">
      <c r="A124" s="1459" t="str">
        <f ca="1">IF('21 Lohnfaktor'!C30=0,"",IF('21 Lohnfaktor'!B30=0,"",'21 Lohnfaktor'!B30))</f>
        <v/>
      </c>
      <c r="B124" s="1449" t="str">
        <f ca="1">IF('21 Lohnfaktor'!C30=0,"",'21 Lohnfaktor'!C30)</f>
        <v/>
      </c>
      <c r="C124" s="1450" t="str">
        <f t="shared" ref="C124:C139" ca="1" si="87">IF(A124="","",$B$3)</f>
        <v/>
      </c>
      <c r="D124" s="1451" t="str">
        <f t="shared" ref="D124:D139" ca="1" si="88">IF(A124="","",(ROUND(IF(A124="","",C124*B124),0)))</f>
        <v/>
      </c>
      <c r="E124" s="1452" t="str">
        <f t="shared" ref="E124:E139" ca="1" si="89">IF(A124="","",(ROUND(IF(A124="","",D124/N124),2)))</f>
        <v/>
      </c>
      <c r="F124" s="1474" t="str">
        <f t="shared" ref="F124:F139" ca="1" si="90">IF(E124="","",(ROUND(IF(E124="","",E124),0)))</f>
        <v/>
      </c>
      <c r="G124" s="1472" t="str">
        <f t="shared" ref="G124:G139" ca="1" si="91">IF(A124="","",F124*$G$99%)</f>
        <v/>
      </c>
      <c r="H124" s="1473"/>
      <c r="I124" s="1472" t="str">
        <f t="shared" ref="I124:I139" ca="1" si="92">IF(A124="","",F124-G124)</f>
        <v/>
      </c>
      <c r="J124" s="267"/>
      <c r="K124" s="267"/>
      <c r="L124" s="1446" t="str">
        <f ca="1">IF(A124="","",'4 Eingabe Friseure'!BB30)</f>
        <v/>
      </c>
      <c r="M124" s="1446" t="str">
        <f ca="1">IF(B124="","",'4 Eingabe Friseure'!BC30)</f>
        <v/>
      </c>
      <c r="N124" s="1446" t="str">
        <f t="shared" ref="N124:N139" ca="1" si="93">IF(A124="","",IF(M124=5,21,IF(M124=6,25,M124*4.33)))</f>
        <v/>
      </c>
      <c r="O124" s="1451" t="str">
        <f t="shared" ref="O124:O139" ca="1" si="94">D124</f>
        <v/>
      </c>
      <c r="P124" s="1451" t="str">
        <f t="shared" ref="P124:P139" ca="1" si="95">IF(A124="","",O124-(O124*$G$99%))</f>
        <v/>
      </c>
      <c r="Q124" s="1451" t="str">
        <f t="shared" ref="Q124:Q139" ca="1" si="96">IF(A124="","",O124*$G$99%)</f>
        <v/>
      </c>
      <c r="R124" s="1451" t="str">
        <f t="shared" ref="R124:R139" ca="1" si="97">IF(A124="","",F124*M124)</f>
        <v/>
      </c>
      <c r="S124" s="1455" t="str">
        <f t="shared" ref="S124:S139" ca="1" si="98">IF(A124="","",O124/4.33/L124)</f>
        <v/>
      </c>
      <c r="T124" s="1455" t="str">
        <f t="shared" ref="T124:T139" ca="1" si="99">IF(A124="","",B124/(L124*4.33))</f>
        <v/>
      </c>
      <c r="U124" s="1456" t="str">
        <f t="shared" ref="U124:U140" ca="1" si="100">IF(A124="","",S124/(L124-(L124*$U$100))*L124)</f>
        <v/>
      </c>
      <c r="V124" s="1457" t="str">
        <f t="shared" ref="V124:V139" ca="1" si="101">A124</f>
        <v/>
      </c>
      <c r="W124" s="1458" t="str">
        <f t="shared" ref="W124:W139" ca="1" si="102">IF(V124="","",N124*X123*F124)</f>
        <v/>
      </c>
      <c r="X124" s="2987" t="str">
        <f ca="1">IF(A125="","",IF('4 Eingabe Friseure'!BG31&gt;10,10,'4 Eingabe Friseure'!BG31/12*10))</f>
        <v/>
      </c>
      <c r="Y124" s="1348"/>
      <c r="Z124" s="1457" t="s">
        <v>126</v>
      </c>
      <c r="AA124" s="1458">
        <f ca="1">AA122-AA123</f>
        <v>142.65486033528578</v>
      </c>
      <c r="AB124" s="1348"/>
      <c r="AC124" s="1348"/>
      <c r="AD124" s="720"/>
      <c r="AE124" s="720"/>
      <c r="AF124" s="720"/>
      <c r="AG124" s="720"/>
      <c r="AH124" s="720"/>
      <c r="AI124" s="720"/>
      <c r="AJ124" s="1348"/>
      <c r="AK124" s="1348"/>
      <c r="AL124" s="1348"/>
    </row>
    <row r="125" spans="1:38" s="15" customFormat="1" ht="20.25" customHeight="1">
      <c r="A125" s="1459" t="str">
        <f ca="1">IF('21 Lohnfaktor'!C31=0,"",IF('21 Lohnfaktor'!B31=0,"",'21 Lohnfaktor'!B31))</f>
        <v/>
      </c>
      <c r="B125" s="1449" t="str">
        <f ca="1">IF('21 Lohnfaktor'!C31=0,"",'21 Lohnfaktor'!C31)</f>
        <v/>
      </c>
      <c r="C125" s="1450" t="str">
        <f t="shared" ca="1" si="87"/>
        <v/>
      </c>
      <c r="D125" s="1451" t="str">
        <f t="shared" ca="1" si="88"/>
        <v/>
      </c>
      <c r="E125" s="1452" t="str">
        <f t="shared" ca="1" si="89"/>
        <v/>
      </c>
      <c r="F125" s="1474" t="str">
        <f t="shared" ca="1" si="90"/>
        <v/>
      </c>
      <c r="G125" s="1475" t="str">
        <f t="shared" ca="1" si="91"/>
        <v/>
      </c>
      <c r="H125" s="1476"/>
      <c r="I125" s="1475" t="str">
        <f t="shared" ca="1" si="92"/>
        <v/>
      </c>
      <c r="J125" s="267"/>
      <c r="K125" s="267"/>
      <c r="L125" s="1446" t="str">
        <f ca="1">IF(A125="","",'4 Eingabe Friseure'!BB31)</f>
        <v/>
      </c>
      <c r="M125" s="1446" t="str">
        <f ca="1">IF(B125="","",'4 Eingabe Friseure'!BC31)</f>
        <v/>
      </c>
      <c r="N125" s="1446" t="str">
        <f t="shared" ca="1" si="93"/>
        <v/>
      </c>
      <c r="O125" s="1451" t="str">
        <f t="shared" ca="1" si="94"/>
        <v/>
      </c>
      <c r="P125" s="1451" t="str">
        <f t="shared" ca="1" si="95"/>
        <v/>
      </c>
      <c r="Q125" s="1451" t="str">
        <f t="shared" ca="1" si="96"/>
        <v/>
      </c>
      <c r="R125" s="1451" t="str">
        <f t="shared" ca="1" si="97"/>
        <v/>
      </c>
      <c r="S125" s="1455" t="str">
        <f t="shared" ca="1" si="98"/>
        <v/>
      </c>
      <c r="T125" s="1455" t="str">
        <f t="shared" ca="1" si="99"/>
        <v/>
      </c>
      <c r="U125" s="1456" t="str">
        <f t="shared" ca="1" si="100"/>
        <v/>
      </c>
      <c r="V125" s="1457" t="str">
        <f t="shared" ca="1" si="101"/>
        <v/>
      </c>
      <c r="W125" s="1458" t="str">
        <f t="shared" ca="1" si="102"/>
        <v/>
      </c>
      <c r="X125" s="2987" t="str">
        <f ca="1">IF(A126="","",IF('4 Eingabe Friseure'!BG32&gt;10,10,'4 Eingabe Friseure'!BG32/12*10))</f>
        <v/>
      </c>
      <c r="Y125" s="1348"/>
      <c r="Z125" s="1348"/>
      <c r="AA125" s="1348"/>
      <c r="AB125" s="1348"/>
      <c r="AC125" s="1348"/>
      <c r="AD125" s="720"/>
      <c r="AE125" s="720"/>
      <c r="AF125" s="720"/>
      <c r="AG125" s="720"/>
      <c r="AH125" s="720"/>
      <c r="AI125" s="720"/>
      <c r="AJ125" s="1348"/>
      <c r="AK125" s="1348"/>
      <c r="AL125" s="1348"/>
    </row>
    <row r="126" spans="1:38" s="15" customFormat="1" ht="20.25" customHeight="1">
      <c r="A126" s="1459" t="str">
        <f ca="1">IF('21 Lohnfaktor'!C32=0,"",IF('21 Lohnfaktor'!B32=0,"",'21 Lohnfaktor'!B32))</f>
        <v/>
      </c>
      <c r="B126" s="1449" t="str">
        <f ca="1">IF('21 Lohnfaktor'!C32=0,"",'21 Lohnfaktor'!C32)</f>
        <v/>
      </c>
      <c r="C126" s="1450" t="str">
        <f t="shared" ca="1" si="87"/>
        <v/>
      </c>
      <c r="D126" s="1451" t="str">
        <f t="shared" ca="1" si="88"/>
        <v/>
      </c>
      <c r="E126" s="1452" t="str">
        <f t="shared" ca="1" si="89"/>
        <v/>
      </c>
      <c r="F126" s="1474" t="str">
        <f t="shared" ca="1" si="90"/>
        <v/>
      </c>
      <c r="G126" s="1475" t="str">
        <f t="shared" ca="1" si="91"/>
        <v/>
      </c>
      <c r="H126" s="1476"/>
      <c r="I126" s="1475" t="str">
        <f t="shared" ca="1" si="92"/>
        <v/>
      </c>
      <c r="J126" s="267"/>
      <c r="K126" s="267"/>
      <c r="L126" s="1446" t="str">
        <f ca="1">IF(A126="","",'4 Eingabe Friseure'!BB32)</f>
        <v/>
      </c>
      <c r="M126" s="1446" t="str">
        <f ca="1">IF(B126="","",'4 Eingabe Friseure'!BC32)</f>
        <v/>
      </c>
      <c r="N126" s="1446" t="str">
        <f t="shared" ca="1" si="93"/>
        <v/>
      </c>
      <c r="O126" s="1451" t="str">
        <f t="shared" ca="1" si="94"/>
        <v/>
      </c>
      <c r="P126" s="1451" t="str">
        <f t="shared" ca="1" si="95"/>
        <v/>
      </c>
      <c r="Q126" s="1451" t="str">
        <f t="shared" ca="1" si="96"/>
        <v/>
      </c>
      <c r="R126" s="1451" t="str">
        <f t="shared" ca="1" si="97"/>
        <v/>
      </c>
      <c r="S126" s="1455" t="str">
        <f t="shared" ca="1" si="98"/>
        <v/>
      </c>
      <c r="T126" s="1455" t="str">
        <f t="shared" ca="1" si="99"/>
        <v/>
      </c>
      <c r="U126" s="1456" t="str">
        <f t="shared" ca="1" si="100"/>
        <v/>
      </c>
      <c r="V126" s="1457" t="str">
        <f t="shared" ca="1" si="101"/>
        <v/>
      </c>
      <c r="W126" s="1458" t="str">
        <f t="shared" ca="1" si="102"/>
        <v/>
      </c>
      <c r="X126" s="2987" t="str">
        <f ca="1">IF(A127="","",IF('4 Eingabe Friseure'!BG33&gt;10,10,'4 Eingabe Friseure'!BG33/12*10))</f>
        <v/>
      </c>
      <c r="Y126" s="1348"/>
      <c r="Z126" s="1348"/>
      <c r="AA126" s="1348"/>
      <c r="AB126" s="1348"/>
      <c r="AC126" s="1348"/>
      <c r="AD126" s="720"/>
      <c r="AE126" s="720"/>
      <c r="AF126" s="720"/>
      <c r="AG126" s="720"/>
      <c r="AH126" s="720"/>
      <c r="AI126" s="720"/>
      <c r="AJ126" s="1348"/>
      <c r="AK126" s="1348"/>
      <c r="AL126" s="1348"/>
    </row>
    <row r="127" spans="1:38" s="15" customFormat="1" ht="20.25" customHeight="1">
      <c r="A127" s="1459" t="str">
        <f ca="1">IF('21 Lohnfaktor'!C33=0,"",IF('21 Lohnfaktor'!B33=0,"",'21 Lohnfaktor'!B33))</f>
        <v/>
      </c>
      <c r="B127" s="1449" t="str">
        <f ca="1">IF('21 Lohnfaktor'!C33=0,"",'21 Lohnfaktor'!C33)</f>
        <v/>
      </c>
      <c r="C127" s="1450" t="str">
        <f t="shared" ca="1" si="87"/>
        <v/>
      </c>
      <c r="D127" s="1451" t="str">
        <f t="shared" ca="1" si="88"/>
        <v/>
      </c>
      <c r="E127" s="1452" t="str">
        <f t="shared" ca="1" si="89"/>
        <v/>
      </c>
      <c r="F127" s="1474" t="str">
        <f t="shared" ca="1" si="90"/>
        <v/>
      </c>
      <c r="G127" s="1475" t="str">
        <f t="shared" ca="1" si="91"/>
        <v/>
      </c>
      <c r="H127" s="1476"/>
      <c r="I127" s="1475" t="str">
        <f t="shared" ca="1" si="92"/>
        <v/>
      </c>
      <c r="J127" s="267"/>
      <c r="K127" s="267"/>
      <c r="L127" s="1446" t="str">
        <f ca="1">IF(A127="","",'4 Eingabe Friseure'!BB33)</f>
        <v/>
      </c>
      <c r="M127" s="1446" t="str">
        <f ca="1">IF(B127="","",'4 Eingabe Friseure'!BC33)</f>
        <v/>
      </c>
      <c r="N127" s="1446" t="str">
        <f t="shared" ca="1" si="93"/>
        <v/>
      </c>
      <c r="O127" s="1451" t="str">
        <f t="shared" ca="1" si="94"/>
        <v/>
      </c>
      <c r="P127" s="1451" t="str">
        <f t="shared" ca="1" si="95"/>
        <v/>
      </c>
      <c r="Q127" s="1451" t="str">
        <f t="shared" ca="1" si="96"/>
        <v/>
      </c>
      <c r="R127" s="1451" t="str">
        <f t="shared" ca="1" si="97"/>
        <v/>
      </c>
      <c r="S127" s="1455" t="str">
        <f t="shared" ca="1" si="98"/>
        <v/>
      </c>
      <c r="T127" s="1455" t="str">
        <f t="shared" ca="1" si="99"/>
        <v/>
      </c>
      <c r="U127" s="1456" t="str">
        <f t="shared" ca="1" si="100"/>
        <v/>
      </c>
      <c r="V127" s="1457" t="str">
        <f t="shared" ca="1" si="101"/>
        <v/>
      </c>
      <c r="W127" s="1458" t="str">
        <f t="shared" ca="1" si="102"/>
        <v/>
      </c>
      <c r="X127" s="2987" t="str">
        <f ca="1">IF(A128="","",IF('4 Eingabe Friseure'!BG34&gt;10,10,'4 Eingabe Friseure'!BG34/12*10))</f>
        <v/>
      </c>
      <c r="Y127" s="1348"/>
      <c r="Z127" s="1348"/>
      <c r="AA127" s="1348"/>
      <c r="AB127" s="1348"/>
      <c r="AC127" s="1348"/>
      <c r="AD127" s="720"/>
      <c r="AE127" s="720"/>
      <c r="AF127" s="720"/>
      <c r="AG127" s="720"/>
      <c r="AH127" s="720"/>
      <c r="AI127" s="720"/>
      <c r="AJ127" s="1348"/>
      <c r="AK127" s="1348"/>
      <c r="AL127" s="1348"/>
    </row>
    <row r="128" spans="1:38" s="15" customFormat="1" ht="20.25" customHeight="1">
      <c r="A128" s="1459" t="str">
        <f ca="1">IF('21 Lohnfaktor'!C34=0,"",IF('21 Lohnfaktor'!B34=0,"",'21 Lohnfaktor'!B34))</f>
        <v/>
      </c>
      <c r="B128" s="1449" t="str">
        <f ca="1">IF('21 Lohnfaktor'!C34=0,"",'21 Lohnfaktor'!C34)</f>
        <v/>
      </c>
      <c r="C128" s="1450" t="str">
        <f t="shared" ca="1" si="87"/>
        <v/>
      </c>
      <c r="D128" s="1451" t="str">
        <f t="shared" ca="1" si="88"/>
        <v/>
      </c>
      <c r="E128" s="1452" t="str">
        <f t="shared" ca="1" si="89"/>
        <v/>
      </c>
      <c r="F128" s="1474" t="str">
        <f t="shared" ca="1" si="90"/>
        <v/>
      </c>
      <c r="G128" s="1475" t="str">
        <f t="shared" ca="1" si="91"/>
        <v/>
      </c>
      <c r="H128" s="1476"/>
      <c r="I128" s="1475" t="str">
        <f t="shared" ca="1" si="92"/>
        <v/>
      </c>
      <c r="J128" s="267"/>
      <c r="K128" s="267"/>
      <c r="L128" s="1446" t="str">
        <f ca="1">IF(A128="","",'4 Eingabe Friseure'!BB34)</f>
        <v/>
      </c>
      <c r="M128" s="1446" t="str">
        <f ca="1">IF(B128="","",'4 Eingabe Friseure'!BC34)</f>
        <v/>
      </c>
      <c r="N128" s="1446" t="str">
        <f t="shared" ca="1" si="93"/>
        <v/>
      </c>
      <c r="O128" s="1451" t="str">
        <f t="shared" ca="1" si="94"/>
        <v/>
      </c>
      <c r="P128" s="1451" t="str">
        <f t="shared" ca="1" si="95"/>
        <v/>
      </c>
      <c r="Q128" s="1451" t="str">
        <f t="shared" ca="1" si="96"/>
        <v/>
      </c>
      <c r="R128" s="1451" t="str">
        <f t="shared" ca="1" si="97"/>
        <v/>
      </c>
      <c r="S128" s="1455" t="str">
        <f t="shared" ca="1" si="98"/>
        <v/>
      </c>
      <c r="T128" s="1455" t="str">
        <f t="shared" ca="1" si="99"/>
        <v/>
      </c>
      <c r="U128" s="1456" t="str">
        <f t="shared" ca="1" si="100"/>
        <v/>
      </c>
      <c r="V128" s="1457" t="str">
        <f t="shared" ca="1" si="101"/>
        <v/>
      </c>
      <c r="W128" s="1458" t="str">
        <f t="shared" ca="1" si="102"/>
        <v/>
      </c>
      <c r="X128" s="2987" t="str">
        <f ca="1">IF(A129="","",IF('4 Eingabe Friseure'!BG35&gt;10,10,'4 Eingabe Friseure'!BG35/12*10))</f>
        <v/>
      </c>
      <c r="Y128" s="1348"/>
      <c r="Z128" s="1348"/>
      <c r="AA128" s="1348"/>
      <c r="AB128" s="1348"/>
      <c r="AC128" s="1348"/>
      <c r="AD128" s="720"/>
      <c r="AE128" s="720"/>
      <c r="AF128" s="720"/>
      <c r="AG128" s="720"/>
      <c r="AH128" s="720"/>
      <c r="AI128" s="720"/>
      <c r="AJ128" s="1348"/>
      <c r="AK128" s="1348"/>
      <c r="AL128" s="1348"/>
    </row>
    <row r="129" spans="1:38" s="15" customFormat="1" ht="20.25" customHeight="1">
      <c r="A129" s="1459" t="str">
        <f ca="1">IF('21 Lohnfaktor'!C35=0,"",IF('21 Lohnfaktor'!B35=0,"",'21 Lohnfaktor'!B35))</f>
        <v/>
      </c>
      <c r="B129" s="1449" t="str">
        <f ca="1">IF('21 Lohnfaktor'!C35=0,"",'21 Lohnfaktor'!C35)</f>
        <v/>
      </c>
      <c r="C129" s="1450" t="str">
        <f t="shared" ca="1" si="87"/>
        <v/>
      </c>
      <c r="D129" s="1451" t="str">
        <f t="shared" ca="1" si="88"/>
        <v/>
      </c>
      <c r="E129" s="1452" t="str">
        <f t="shared" ca="1" si="89"/>
        <v/>
      </c>
      <c r="F129" s="1474" t="str">
        <f t="shared" ca="1" si="90"/>
        <v/>
      </c>
      <c r="G129" s="1475" t="str">
        <f t="shared" ca="1" si="91"/>
        <v/>
      </c>
      <c r="H129" s="1476"/>
      <c r="I129" s="1475" t="str">
        <f t="shared" ca="1" si="92"/>
        <v/>
      </c>
      <c r="J129" s="267"/>
      <c r="K129" s="267"/>
      <c r="L129" s="1446" t="str">
        <f ca="1">IF(A129="","",'4 Eingabe Friseure'!BB35)</f>
        <v/>
      </c>
      <c r="M129" s="1446" t="str">
        <f ca="1">IF(B129="","",'4 Eingabe Friseure'!BC35)</f>
        <v/>
      </c>
      <c r="N129" s="1446" t="str">
        <f t="shared" ca="1" si="93"/>
        <v/>
      </c>
      <c r="O129" s="1451" t="str">
        <f t="shared" ca="1" si="94"/>
        <v/>
      </c>
      <c r="P129" s="1451" t="str">
        <f t="shared" ca="1" si="95"/>
        <v/>
      </c>
      <c r="Q129" s="1451" t="str">
        <f t="shared" ca="1" si="96"/>
        <v/>
      </c>
      <c r="R129" s="1451" t="str">
        <f t="shared" ca="1" si="97"/>
        <v/>
      </c>
      <c r="S129" s="1455" t="str">
        <f t="shared" ca="1" si="98"/>
        <v/>
      </c>
      <c r="T129" s="1455" t="str">
        <f t="shared" ca="1" si="99"/>
        <v/>
      </c>
      <c r="U129" s="1456" t="str">
        <f t="shared" ca="1" si="100"/>
        <v/>
      </c>
      <c r="V129" s="1457" t="str">
        <f t="shared" ca="1" si="101"/>
        <v/>
      </c>
      <c r="W129" s="1458" t="str">
        <f t="shared" ca="1" si="102"/>
        <v/>
      </c>
      <c r="X129" s="2987" t="str">
        <f ca="1">IF(A130="","",IF('4 Eingabe Friseure'!BG36&gt;10,10,'4 Eingabe Friseure'!BG36/12*10))</f>
        <v/>
      </c>
      <c r="Y129" s="1348"/>
      <c r="Z129" s="1348"/>
      <c r="AA129" s="1348"/>
      <c r="AB129" s="1348"/>
      <c r="AC129" s="1348"/>
      <c r="AD129" s="720"/>
      <c r="AE129" s="720"/>
      <c r="AF129" s="720"/>
      <c r="AG129" s="720"/>
      <c r="AH129" s="720"/>
      <c r="AI129" s="720"/>
      <c r="AJ129" s="1348"/>
      <c r="AK129" s="1348"/>
      <c r="AL129" s="1348"/>
    </row>
    <row r="130" spans="1:38" s="15" customFormat="1" ht="20.25" customHeight="1">
      <c r="A130" s="1459" t="str">
        <f ca="1">IF('21 Lohnfaktor'!C36=0,"",IF('21 Lohnfaktor'!B36=0,"",'21 Lohnfaktor'!B36))</f>
        <v/>
      </c>
      <c r="B130" s="1449" t="str">
        <f ca="1">IF('21 Lohnfaktor'!C36=0,"",'21 Lohnfaktor'!C36)</f>
        <v/>
      </c>
      <c r="C130" s="1450" t="str">
        <f t="shared" ca="1" si="87"/>
        <v/>
      </c>
      <c r="D130" s="1451" t="str">
        <f t="shared" ca="1" si="88"/>
        <v/>
      </c>
      <c r="E130" s="1452" t="str">
        <f t="shared" ca="1" si="89"/>
        <v/>
      </c>
      <c r="F130" s="1474" t="str">
        <f t="shared" ca="1" si="90"/>
        <v/>
      </c>
      <c r="G130" s="1475" t="str">
        <f t="shared" ca="1" si="91"/>
        <v/>
      </c>
      <c r="H130" s="1476"/>
      <c r="I130" s="1475" t="str">
        <f t="shared" ca="1" si="92"/>
        <v/>
      </c>
      <c r="J130" s="267"/>
      <c r="K130" s="267"/>
      <c r="L130" s="1446" t="str">
        <f ca="1">IF(A130="","",'4 Eingabe Friseure'!BB36)</f>
        <v/>
      </c>
      <c r="M130" s="1446" t="str">
        <f ca="1">IF(B130="","",'4 Eingabe Friseure'!BC36)</f>
        <v/>
      </c>
      <c r="N130" s="1446" t="str">
        <f t="shared" ca="1" si="93"/>
        <v/>
      </c>
      <c r="O130" s="1451" t="str">
        <f t="shared" ca="1" si="94"/>
        <v/>
      </c>
      <c r="P130" s="1451" t="str">
        <f t="shared" ca="1" si="95"/>
        <v/>
      </c>
      <c r="Q130" s="1451" t="str">
        <f t="shared" ca="1" si="96"/>
        <v/>
      </c>
      <c r="R130" s="1451" t="str">
        <f t="shared" ca="1" si="97"/>
        <v/>
      </c>
      <c r="S130" s="1455" t="str">
        <f t="shared" ca="1" si="98"/>
        <v/>
      </c>
      <c r="T130" s="1455" t="str">
        <f t="shared" ca="1" si="99"/>
        <v/>
      </c>
      <c r="U130" s="1456" t="str">
        <f t="shared" ca="1" si="100"/>
        <v/>
      </c>
      <c r="V130" s="1457" t="str">
        <f t="shared" ca="1" si="101"/>
        <v/>
      </c>
      <c r="W130" s="1458" t="str">
        <f t="shared" ca="1" si="102"/>
        <v/>
      </c>
      <c r="X130" s="2987" t="str">
        <f ca="1">IF(A131="","",IF('4 Eingabe Friseure'!BG37&gt;10,10,'4 Eingabe Friseure'!BG37/12*10))</f>
        <v/>
      </c>
      <c r="Y130" s="1348"/>
      <c r="Z130" s="1348"/>
      <c r="AA130" s="1348"/>
      <c r="AB130" s="1348"/>
      <c r="AC130" s="1348"/>
      <c r="AD130" s="720"/>
      <c r="AE130" s="720"/>
      <c r="AF130" s="720"/>
      <c r="AG130" s="720"/>
      <c r="AH130" s="720"/>
      <c r="AI130" s="720"/>
      <c r="AJ130" s="1348"/>
      <c r="AK130" s="1348"/>
      <c r="AL130" s="1348"/>
    </row>
    <row r="131" spans="1:38" s="15" customFormat="1" ht="20.25" customHeight="1">
      <c r="A131" s="1459" t="str">
        <f ca="1">IF('21 Lohnfaktor'!C37=0,"",IF('21 Lohnfaktor'!B37=0,"",'21 Lohnfaktor'!B37))</f>
        <v/>
      </c>
      <c r="B131" s="1449" t="str">
        <f ca="1">IF('21 Lohnfaktor'!C37=0,"",'21 Lohnfaktor'!C37)</f>
        <v/>
      </c>
      <c r="C131" s="1450" t="str">
        <f t="shared" ca="1" si="87"/>
        <v/>
      </c>
      <c r="D131" s="1451" t="str">
        <f t="shared" ca="1" si="88"/>
        <v/>
      </c>
      <c r="E131" s="1452" t="str">
        <f t="shared" ca="1" si="89"/>
        <v/>
      </c>
      <c r="F131" s="1474" t="str">
        <f t="shared" ca="1" si="90"/>
        <v/>
      </c>
      <c r="G131" s="1475" t="str">
        <f t="shared" ca="1" si="91"/>
        <v/>
      </c>
      <c r="H131" s="1476"/>
      <c r="I131" s="1475" t="str">
        <f t="shared" ca="1" si="92"/>
        <v/>
      </c>
      <c r="J131" s="267"/>
      <c r="K131" s="267"/>
      <c r="L131" s="1446" t="str">
        <f ca="1">IF(A131="","",'4 Eingabe Friseure'!BB37)</f>
        <v/>
      </c>
      <c r="M131" s="1446" t="str">
        <f ca="1">IF(B131="","",'4 Eingabe Friseure'!BC37)</f>
        <v/>
      </c>
      <c r="N131" s="1446" t="str">
        <f t="shared" ca="1" si="93"/>
        <v/>
      </c>
      <c r="O131" s="1451" t="str">
        <f t="shared" ca="1" si="94"/>
        <v/>
      </c>
      <c r="P131" s="1451" t="str">
        <f t="shared" ca="1" si="95"/>
        <v/>
      </c>
      <c r="Q131" s="1451" t="str">
        <f t="shared" ca="1" si="96"/>
        <v/>
      </c>
      <c r="R131" s="1451" t="str">
        <f t="shared" ca="1" si="97"/>
        <v/>
      </c>
      <c r="S131" s="1455" t="str">
        <f t="shared" ca="1" si="98"/>
        <v/>
      </c>
      <c r="T131" s="1455" t="str">
        <f t="shared" ca="1" si="99"/>
        <v/>
      </c>
      <c r="U131" s="1456" t="str">
        <f t="shared" ca="1" si="100"/>
        <v/>
      </c>
      <c r="V131" s="1457" t="str">
        <f t="shared" ca="1" si="101"/>
        <v/>
      </c>
      <c r="W131" s="1458" t="str">
        <f t="shared" ca="1" si="102"/>
        <v/>
      </c>
      <c r="X131" s="2987" t="str">
        <f ca="1">IF(A132="","",IF('4 Eingabe Friseure'!BG38&gt;10,10,'4 Eingabe Friseure'!BG38/12*10))</f>
        <v/>
      </c>
      <c r="Y131" s="1348"/>
      <c r="Z131" s="1348"/>
      <c r="AA131" s="1348"/>
      <c r="AB131" s="1348"/>
      <c r="AC131" s="1348"/>
      <c r="AD131" s="720"/>
      <c r="AE131" s="720"/>
      <c r="AF131" s="720"/>
      <c r="AG131" s="720"/>
      <c r="AH131" s="720"/>
      <c r="AI131" s="720"/>
      <c r="AJ131" s="1348"/>
      <c r="AK131" s="1348"/>
      <c r="AL131" s="1348"/>
    </row>
    <row r="132" spans="1:38" s="15" customFormat="1" ht="20.25" customHeight="1">
      <c r="A132" s="1459" t="str">
        <f ca="1">IF('21 Lohnfaktor'!C38=0,"",IF('21 Lohnfaktor'!B38=0,"",'21 Lohnfaktor'!B38))</f>
        <v/>
      </c>
      <c r="B132" s="1449" t="str">
        <f ca="1">IF('21 Lohnfaktor'!C38=0,"",'21 Lohnfaktor'!C38)</f>
        <v/>
      </c>
      <c r="C132" s="1450" t="str">
        <f t="shared" ca="1" si="87"/>
        <v/>
      </c>
      <c r="D132" s="1451" t="str">
        <f t="shared" ca="1" si="88"/>
        <v/>
      </c>
      <c r="E132" s="1452" t="str">
        <f t="shared" ca="1" si="89"/>
        <v/>
      </c>
      <c r="F132" s="1474" t="str">
        <f t="shared" ca="1" si="90"/>
        <v/>
      </c>
      <c r="G132" s="1475" t="str">
        <f t="shared" ca="1" si="91"/>
        <v/>
      </c>
      <c r="H132" s="1476"/>
      <c r="I132" s="1475" t="str">
        <f t="shared" ca="1" si="92"/>
        <v/>
      </c>
      <c r="J132" s="267"/>
      <c r="K132" s="267"/>
      <c r="L132" s="1446" t="str">
        <f ca="1">IF(A132="","",'4 Eingabe Friseure'!BB38)</f>
        <v/>
      </c>
      <c r="M132" s="1446" t="str">
        <f ca="1">IF(B132="","",'4 Eingabe Friseure'!BC38)</f>
        <v/>
      </c>
      <c r="N132" s="1446" t="str">
        <f t="shared" ca="1" si="93"/>
        <v/>
      </c>
      <c r="O132" s="1451" t="str">
        <f t="shared" ca="1" si="94"/>
        <v/>
      </c>
      <c r="P132" s="1451" t="str">
        <f t="shared" ca="1" si="95"/>
        <v/>
      </c>
      <c r="Q132" s="1451" t="str">
        <f t="shared" ca="1" si="96"/>
        <v/>
      </c>
      <c r="R132" s="1451" t="str">
        <f t="shared" ca="1" si="97"/>
        <v/>
      </c>
      <c r="S132" s="1455" t="str">
        <f t="shared" ca="1" si="98"/>
        <v/>
      </c>
      <c r="T132" s="1455" t="str">
        <f t="shared" ca="1" si="99"/>
        <v/>
      </c>
      <c r="U132" s="1456" t="str">
        <f t="shared" ca="1" si="100"/>
        <v/>
      </c>
      <c r="V132" s="1457" t="str">
        <f t="shared" ca="1" si="101"/>
        <v/>
      </c>
      <c r="W132" s="1458" t="str">
        <f t="shared" ca="1" si="102"/>
        <v/>
      </c>
      <c r="X132" s="2987" t="str">
        <f ca="1">IF(A133="","",IF('4 Eingabe Friseure'!BG39&gt;10,10,'4 Eingabe Friseure'!BG39/12*10))</f>
        <v/>
      </c>
      <c r="Y132" s="1447"/>
      <c r="Z132" s="1348"/>
      <c r="AA132" s="1348"/>
      <c r="AB132" s="1348"/>
      <c r="AC132" s="1348"/>
      <c r="AD132" s="720"/>
      <c r="AE132" s="720"/>
      <c r="AF132" s="720"/>
      <c r="AG132" s="720"/>
      <c r="AH132" s="720"/>
      <c r="AI132" s="720"/>
      <c r="AJ132" s="1348"/>
      <c r="AK132" s="1348"/>
      <c r="AL132" s="1348"/>
    </row>
    <row r="133" spans="1:38" s="15" customFormat="1" ht="20.25" customHeight="1">
      <c r="A133" s="1459" t="str">
        <f ca="1">IF('21 Lohnfaktor'!C39=0,"",IF('21 Lohnfaktor'!B39=0,"",'21 Lohnfaktor'!B39))</f>
        <v/>
      </c>
      <c r="B133" s="1449" t="str">
        <f ca="1">IF('21 Lohnfaktor'!C39=0,"",'21 Lohnfaktor'!C39)</f>
        <v/>
      </c>
      <c r="C133" s="1450" t="str">
        <f t="shared" ca="1" si="87"/>
        <v/>
      </c>
      <c r="D133" s="1451" t="str">
        <f t="shared" ca="1" si="88"/>
        <v/>
      </c>
      <c r="E133" s="1452" t="str">
        <f t="shared" ca="1" si="89"/>
        <v/>
      </c>
      <c r="F133" s="1474" t="str">
        <f t="shared" ca="1" si="90"/>
        <v/>
      </c>
      <c r="G133" s="1475" t="str">
        <f t="shared" ca="1" si="91"/>
        <v/>
      </c>
      <c r="H133" s="1476"/>
      <c r="I133" s="1475" t="str">
        <f t="shared" ca="1" si="92"/>
        <v/>
      </c>
      <c r="J133" s="267"/>
      <c r="K133" s="267"/>
      <c r="L133" s="1446" t="str">
        <f ca="1">IF(A133="","",'4 Eingabe Friseure'!BB39)</f>
        <v/>
      </c>
      <c r="M133" s="1446" t="str">
        <f ca="1">IF(B133="","",'4 Eingabe Friseure'!BC39)</f>
        <v/>
      </c>
      <c r="N133" s="1446" t="str">
        <f t="shared" ca="1" si="93"/>
        <v/>
      </c>
      <c r="O133" s="1451" t="str">
        <f t="shared" ca="1" si="94"/>
        <v/>
      </c>
      <c r="P133" s="1451" t="str">
        <f t="shared" ca="1" si="95"/>
        <v/>
      </c>
      <c r="Q133" s="1451" t="str">
        <f t="shared" ca="1" si="96"/>
        <v/>
      </c>
      <c r="R133" s="1451" t="str">
        <f t="shared" ca="1" si="97"/>
        <v/>
      </c>
      <c r="S133" s="1455" t="str">
        <f t="shared" ca="1" si="98"/>
        <v/>
      </c>
      <c r="T133" s="1455" t="str">
        <f t="shared" ca="1" si="99"/>
        <v/>
      </c>
      <c r="U133" s="1456" t="str">
        <f t="shared" ca="1" si="100"/>
        <v/>
      </c>
      <c r="V133" s="1457" t="str">
        <f t="shared" ca="1" si="101"/>
        <v/>
      </c>
      <c r="W133" s="1458" t="str">
        <f t="shared" ca="1" si="102"/>
        <v/>
      </c>
      <c r="X133" s="2987" t="str">
        <f ca="1">IF(A134="","",IF('4 Eingabe Friseure'!BG40&gt;10,10,'4 Eingabe Friseure'!BG40/12*10))</f>
        <v/>
      </c>
      <c r="Y133" s="1477"/>
      <c r="Z133" s="1348"/>
      <c r="AA133" s="1348"/>
      <c r="AB133" s="1348"/>
      <c r="AC133" s="1348"/>
      <c r="AD133" s="720"/>
      <c r="AE133" s="720"/>
      <c r="AF133" s="720"/>
      <c r="AG133" s="720"/>
      <c r="AH133" s="720"/>
      <c r="AI133" s="720"/>
      <c r="AJ133" s="1348"/>
      <c r="AK133" s="1348"/>
      <c r="AL133" s="1348"/>
    </row>
    <row r="134" spans="1:38" ht="20.25" customHeight="1">
      <c r="A134" s="1459" t="str">
        <f ca="1">IF('21 Lohnfaktor'!C40=0,"",IF('21 Lohnfaktor'!B40=0,"",'21 Lohnfaktor'!B40))</f>
        <v/>
      </c>
      <c r="B134" s="1449" t="str">
        <f ca="1">IF('21 Lohnfaktor'!C40=0,"",'21 Lohnfaktor'!C40)</f>
        <v/>
      </c>
      <c r="C134" s="1450" t="str">
        <f t="shared" ca="1" si="87"/>
        <v/>
      </c>
      <c r="D134" s="1451" t="str">
        <f t="shared" ca="1" si="88"/>
        <v/>
      </c>
      <c r="E134" s="1452" t="str">
        <f t="shared" ca="1" si="89"/>
        <v/>
      </c>
      <c r="F134" s="1474" t="str">
        <f t="shared" ca="1" si="90"/>
        <v/>
      </c>
      <c r="G134" s="1475" t="str">
        <f t="shared" ca="1" si="91"/>
        <v/>
      </c>
      <c r="H134" s="1476"/>
      <c r="I134" s="1475" t="str">
        <f t="shared" ca="1" si="92"/>
        <v/>
      </c>
      <c r="J134" s="267"/>
      <c r="K134" s="267"/>
      <c r="L134" s="1446" t="str">
        <f ca="1">IF(A134="","",'4 Eingabe Friseure'!BB40)</f>
        <v/>
      </c>
      <c r="M134" s="1446" t="str">
        <f ca="1">IF(B134="","",'4 Eingabe Friseure'!BC40)</f>
        <v/>
      </c>
      <c r="N134" s="1446" t="str">
        <f t="shared" ca="1" si="93"/>
        <v/>
      </c>
      <c r="O134" s="1451" t="str">
        <f t="shared" ca="1" si="94"/>
        <v/>
      </c>
      <c r="P134" s="1451" t="str">
        <f t="shared" ca="1" si="95"/>
        <v/>
      </c>
      <c r="Q134" s="1451" t="str">
        <f t="shared" ca="1" si="96"/>
        <v/>
      </c>
      <c r="R134" s="1451" t="str">
        <f t="shared" ca="1" si="97"/>
        <v/>
      </c>
      <c r="S134" s="1455" t="str">
        <f t="shared" ca="1" si="98"/>
        <v/>
      </c>
      <c r="T134" s="1455" t="str">
        <f t="shared" ca="1" si="99"/>
        <v/>
      </c>
      <c r="U134" s="1456" t="str">
        <f t="shared" ca="1" si="100"/>
        <v/>
      </c>
      <c r="V134" s="1457" t="str">
        <f t="shared" ca="1" si="101"/>
        <v/>
      </c>
      <c r="W134" s="1458" t="str">
        <f t="shared" ca="1" si="102"/>
        <v/>
      </c>
      <c r="X134" s="2987" t="str">
        <f ca="1">IF(A135="","",IF('4 Eingabe Friseure'!BG41&gt;10,10,'4 Eingabe Friseure'!BG41/12*10))</f>
        <v/>
      </c>
      <c r="Y134" s="1477"/>
      <c r="Z134" s="267"/>
      <c r="AA134" s="267"/>
      <c r="AB134" s="267"/>
      <c r="AC134" s="267"/>
      <c r="AD134" s="566"/>
      <c r="AE134" s="566"/>
      <c r="AF134" s="566"/>
      <c r="AG134" s="566"/>
      <c r="AH134" s="566"/>
      <c r="AI134" s="566"/>
      <c r="AJ134" s="267"/>
      <c r="AK134" s="267"/>
      <c r="AL134" s="267"/>
    </row>
    <row r="135" spans="1:38" ht="20.25" customHeight="1">
      <c r="A135" s="1459" t="str">
        <f ca="1">IF('21 Lohnfaktor'!C41=0,"",IF('21 Lohnfaktor'!B41=0,"",'21 Lohnfaktor'!B41))</f>
        <v/>
      </c>
      <c r="B135" s="1449" t="str">
        <f ca="1">IF('21 Lohnfaktor'!C41=0,"",'21 Lohnfaktor'!C41)</f>
        <v/>
      </c>
      <c r="C135" s="1450" t="str">
        <f t="shared" ca="1" si="87"/>
        <v/>
      </c>
      <c r="D135" s="1451" t="str">
        <f t="shared" ca="1" si="88"/>
        <v/>
      </c>
      <c r="E135" s="1452" t="str">
        <f t="shared" ca="1" si="89"/>
        <v/>
      </c>
      <c r="F135" s="1474" t="str">
        <f t="shared" ca="1" si="90"/>
        <v/>
      </c>
      <c r="G135" s="1475" t="str">
        <f t="shared" ca="1" si="91"/>
        <v/>
      </c>
      <c r="H135" s="1476"/>
      <c r="I135" s="1475" t="str">
        <f t="shared" ca="1" si="92"/>
        <v/>
      </c>
      <c r="J135" s="267"/>
      <c r="K135" s="267"/>
      <c r="L135" s="1446" t="str">
        <f ca="1">IF(A135="","",'4 Eingabe Friseure'!BB41)</f>
        <v/>
      </c>
      <c r="M135" s="1446" t="str">
        <f ca="1">IF(B135="","",'4 Eingabe Friseure'!BC41)</f>
        <v/>
      </c>
      <c r="N135" s="1446" t="str">
        <f t="shared" ca="1" si="93"/>
        <v/>
      </c>
      <c r="O135" s="1451" t="str">
        <f t="shared" ca="1" si="94"/>
        <v/>
      </c>
      <c r="P135" s="1451" t="str">
        <f t="shared" ca="1" si="95"/>
        <v/>
      </c>
      <c r="Q135" s="1451" t="str">
        <f t="shared" ca="1" si="96"/>
        <v/>
      </c>
      <c r="R135" s="1451" t="str">
        <f t="shared" ca="1" si="97"/>
        <v/>
      </c>
      <c r="S135" s="1455" t="str">
        <f t="shared" ca="1" si="98"/>
        <v/>
      </c>
      <c r="T135" s="1455" t="str">
        <f t="shared" ca="1" si="99"/>
        <v/>
      </c>
      <c r="U135" s="1456" t="str">
        <f t="shared" ca="1" si="100"/>
        <v/>
      </c>
      <c r="V135" s="1457" t="str">
        <f t="shared" ca="1" si="101"/>
        <v/>
      </c>
      <c r="W135" s="1458" t="str">
        <f t="shared" ca="1" si="102"/>
        <v/>
      </c>
      <c r="X135" s="2987" t="str">
        <f ca="1">IF(A136="","",IF('4 Eingabe Friseure'!BG42&gt;10,10,'4 Eingabe Friseure'!BG42/12*10))</f>
        <v/>
      </c>
      <c r="Y135" s="1477"/>
      <c r="Z135" s="267"/>
      <c r="AA135" s="267"/>
      <c r="AB135" s="267"/>
      <c r="AC135" s="267"/>
      <c r="AD135" s="566"/>
      <c r="AE135" s="566"/>
      <c r="AF135" s="566"/>
      <c r="AG135" s="566"/>
      <c r="AH135" s="566"/>
      <c r="AI135" s="566"/>
      <c r="AJ135" s="267"/>
      <c r="AK135" s="267"/>
      <c r="AL135" s="267"/>
    </row>
    <row r="136" spans="1:38" ht="20.25" customHeight="1">
      <c r="A136" s="1459" t="str">
        <f ca="1">IF('21 Lohnfaktor'!C42=0,"",IF('21 Lohnfaktor'!B42=0,"",'21 Lohnfaktor'!B42))</f>
        <v/>
      </c>
      <c r="B136" s="1449" t="str">
        <f ca="1">IF('21 Lohnfaktor'!C42=0,"",'21 Lohnfaktor'!C42)</f>
        <v/>
      </c>
      <c r="C136" s="1450" t="str">
        <f t="shared" ca="1" si="87"/>
        <v/>
      </c>
      <c r="D136" s="1451" t="str">
        <f t="shared" ca="1" si="88"/>
        <v/>
      </c>
      <c r="E136" s="1452" t="str">
        <f t="shared" ca="1" si="89"/>
        <v/>
      </c>
      <c r="F136" s="1474" t="str">
        <f t="shared" ca="1" si="90"/>
        <v/>
      </c>
      <c r="G136" s="1475" t="str">
        <f t="shared" ca="1" si="91"/>
        <v/>
      </c>
      <c r="H136" s="1476"/>
      <c r="I136" s="1475" t="str">
        <f t="shared" ca="1" si="92"/>
        <v/>
      </c>
      <c r="J136" s="267"/>
      <c r="K136" s="267"/>
      <c r="L136" s="1446" t="str">
        <f ca="1">IF(A136="","",'4 Eingabe Friseure'!BB42)</f>
        <v/>
      </c>
      <c r="M136" s="1446" t="str">
        <f ca="1">IF(B136="","",'4 Eingabe Friseure'!BC42)</f>
        <v/>
      </c>
      <c r="N136" s="1446" t="str">
        <f t="shared" ca="1" si="93"/>
        <v/>
      </c>
      <c r="O136" s="1451" t="str">
        <f t="shared" ca="1" si="94"/>
        <v/>
      </c>
      <c r="P136" s="1451" t="str">
        <f t="shared" ca="1" si="95"/>
        <v/>
      </c>
      <c r="Q136" s="1451" t="str">
        <f t="shared" ca="1" si="96"/>
        <v/>
      </c>
      <c r="R136" s="1451" t="str">
        <f t="shared" ca="1" si="97"/>
        <v/>
      </c>
      <c r="S136" s="1455" t="str">
        <f t="shared" ca="1" si="98"/>
        <v/>
      </c>
      <c r="T136" s="1455" t="str">
        <f t="shared" ca="1" si="99"/>
        <v/>
      </c>
      <c r="U136" s="1456" t="str">
        <f t="shared" ca="1" si="100"/>
        <v/>
      </c>
      <c r="V136" s="1457" t="str">
        <f t="shared" ca="1" si="101"/>
        <v/>
      </c>
      <c r="W136" s="1458" t="str">
        <f t="shared" ca="1" si="102"/>
        <v/>
      </c>
      <c r="X136" s="2987" t="str">
        <f ca="1">IF(A137="","",IF('4 Eingabe Friseure'!BG43&gt;10,10,'4 Eingabe Friseure'!BG43/12*10))</f>
        <v/>
      </c>
      <c r="Y136" s="1477"/>
      <c r="Z136" s="267"/>
      <c r="AA136" s="267"/>
      <c r="AB136" s="267"/>
      <c r="AC136" s="267"/>
      <c r="AD136" s="566"/>
      <c r="AE136" s="566"/>
      <c r="AF136" s="566"/>
      <c r="AG136" s="566"/>
      <c r="AH136" s="566"/>
      <c r="AI136" s="566"/>
      <c r="AJ136" s="267"/>
      <c r="AK136" s="267"/>
      <c r="AL136" s="267"/>
    </row>
    <row r="137" spans="1:38" ht="20.25" customHeight="1">
      <c r="A137" s="1459" t="str">
        <f ca="1">IF('21 Lohnfaktor'!C43=0,"",IF('21 Lohnfaktor'!B43=0,"",'21 Lohnfaktor'!B43))</f>
        <v/>
      </c>
      <c r="B137" s="1449" t="str">
        <f ca="1">IF('21 Lohnfaktor'!C43=0,"",'21 Lohnfaktor'!C43)</f>
        <v/>
      </c>
      <c r="C137" s="1450" t="str">
        <f t="shared" ca="1" si="87"/>
        <v/>
      </c>
      <c r="D137" s="1451" t="str">
        <f t="shared" ca="1" si="88"/>
        <v/>
      </c>
      <c r="E137" s="1452" t="str">
        <f t="shared" ca="1" si="89"/>
        <v/>
      </c>
      <c r="F137" s="1474" t="str">
        <f t="shared" ca="1" si="90"/>
        <v/>
      </c>
      <c r="G137" s="1475" t="str">
        <f t="shared" ca="1" si="91"/>
        <v/>
      </c>
      <c r="H137" s="1476"/>
      <c r="I137" s="1475" t="str">
        <f t="shared" ca="1" si="92"/>
        <v/>
      </c>
      <c r="J137" s="267"/>
      <c r="K137" s="267"/>
      <c r="L137" s="1446" t="str">
        <f ca="1">IF(A137="","",'4 Eingabe Friseure'!BB43)</f>
        <v/>
      </c>
      <c r="M137" s="1446" t="str">
        <f ca="1">IF(B137="","",'4 Eingabe Friseure'!BC43)</f>
        <v/>
      </c>
      <c r="N137" s="1446" t="str">
        <f t="shared" ca="1" si="93"/>
        <v/>
      </c>
      <c r="O137" s="1451" t="str">
        <f t="shared" ca="1" si="94"/>
        <v/>
      </c>
      <c r="P137" s="1451" t="str">
        <f t="shared" ca="1" si="95"/>
        <v/>
      </c>
      <c r="Q137" s="1451" t="str">
        <f t="shared" ca="1" si="96"/>
        <v/>
      </c>
      <c r="R137" s="1451" t="str">
        <f t="shared" ca="1" si="97"/>
        <v/>
      </c>
      <c r="S137" s="1455" t="str">
        <f t="shared" ca="1" si="98"/>
        <v/>
      </c>
      <c r="T137" s="1455" t="str">
        <f t="shared" ca="1" si="99"/>
        <v/>
      </c>
      <c r="U137" s="1456" t="str">
        <f t="shared" ca="1" si="100"/>
        <v/>
      </c>
      <c r="V137" s="1457" t="str">
        <f t="shared" ca="1" si="101"/>
        <v/>
      </c>
      <c r="W137" s="1458" t="str">
        <f t="shared" ca="1" si="102"/>
        <v/>
      </c>
      <c r="X137" s="2987" t="str">
        <f ca="1">IF(A138="","",IF('4 Eingabe Friseure'!BG44&gt;10,10,'4 Eingabe Friseure'!BG44/12*10))</f>
        <v/>
      </c>
      <c r="Y137" s="1477"/>
      <c r="Z137" s="267"/>
      <c r="AA137" s="267"/>
      <c r="AB137" s="267"/>
      <c r="AC137" s="267"/>
      <c r="AD137" s="566"/>
      <c r="AE137" s="566"/>
      <c r="AF137" s="566"/>
      <c r="AG137" s="566"/>
      <c r="AH137" s="566"/>
      <c r="AI137" s="566"/>
      <c r="AJ137" s="267"/>
      <c r="AK137" s="267"/>
      <c r="AL137" s="267"/>
    </row>
    <row r="138" spans="1:38" ht="20.25" customHeight="1">
      <c r="A138" s="1459" t="str">
        <f ca="1">IF('21 Lohnfaktor'!C44=0,"",IF('21 Lohnfaktor'!B44=0,"",'21 Lohnfaktor'!B44))</f>
        <v/>
      </c>
      <c r="B138" s="1449" t="str">
        <f ca="1">IF('21 Lohnfaktor'!C44=0,"",'21 Lohnfaktor'!C44)</f>
        <v/>
      </c>
      <c r="C138" s="1450" t="str">
        <f t="shared" ca="1" si="87"/>
        <v/>
      </c>
      <c r="D138" s="1451" t="str">
        <f t="shared" ca="1" si="88"/>
        <v/>
      </c>
      <c r="E138" s="1452" t="str">
        <f t="shared" ca="1" si="89"/>
        <v/>
      </c>
      <c r="F138" s="1474" t="str">
        <f t="shared" ca="1" si="90"/>
        <v/>
      </c>
      <c r="G138" s="1475" t="str">
        <f t="shared" ca="1" si="91"/>
        <v/>
      </c>
      <c r="H138" s="1476"/>
      <c r="I138" s="1475" t="str">
        <f t="shared" ca="1" si="92"/>
        <v/>
      </c>
      <c r="J138" s="267"/>
      <c r="K138" s="267"/>
      <c r="L138" s="1446" t="str">
        <f ca="1">IF(A138="","",'4 Eingabe Friseure'!BB44)</f>
        <v/>
      </c>
      <c r="M138" s="1446" t="str">
        <f ca="1">IF(B138="","",'4 Eingabe Friseure'!BC44)</f>
        <v/>
      </c>
      <c r="N138" s="1446" t="str">
        <f t="shared" ca="1" si="93"/>
        <v/>
      </c>
      <c r="O138" s="1451" t="str">
        <f t="shared" ca="1" si="94"/>
        <v/>
      </c>
      <c r="P138" s="1451" t="str">
        <f t="shared" ca="1" si="95"/>
        <v/>
      </c>
      <c r="Q138" s="1451" t="str">
        <f t="shared" ca="1" si="96"/>
        <v/>
      </c>
      <c r="R138" s="1451" t="str">
        <f t="shared" ca="1" si="97"/>
        <v/>
      </c>
      <c r="S138" s="1455" t="str">
        <f t="shared" ca="1" si="98"/>
        <v/>
      </c>
      <c r="T138" s="1455" t="str">
        <f t="shared" ca="1" si="99"/>
        <v/>
      </c>
      <c r="U138" s="1456" t="str">
        <f t="shared" ca="1" si="100"/>
        <v/>
      </c>
      <c r="V138" s="1457" t="str">
        <f t="shared" ca="1" si="101"/>
        <v/>
      </c>
      <c r="W138" s="1458" t="str">
        <f t="shared" ca="1" si="102"/>
        <v/>
      </c>
      <c r="X138" s="2987" t="str">
        <f ca="1">IF(A139="","",IF('4 Eingabe Friseure'!BG45&gt;10,10,'4 Eingabe Friseure'!BG45/12*10))</f>
        <v/>
      </c>
      <c r="Y138" s="1477"/>
      <c r="Z138" s="267"/>
      <c r="AA138" s="267"/>
      <c r="AB138" s="267"/>
      <c r="AC138" s="267"/>
      <c r="AD138" s="566"/>
      <c r="AE138" s="566"/>
      <c r="AF138" s="566"/>
      <c r="AG138" s="566"/>
      <c r="AH138" s="566"/>
      <c r="AI138" s="566"/>
      <c r="AJ138" s="267"/>
      <c r="AK138" s="267"/>
      <c r="AL138" s="267"/>
    </row>
    <row r="139" spans="1:38" ht="20.25" customHeight="1">
      <c r="A139" s="1459" t="str">
        <f ca="1">IF('21 Lohnfaktor'!C45=0,"",IF('21 Lohnfaktor'!B45=0,"",'21 Lohnfaktor'!B45))</f>
        <v/>
      </c>
      <c r="B139" s="1449" t="str">
        <f ca="1">IF('21 Lohnfaktor'!C45=0,"",'21 Lohnfaktor'!C45)</f>
        <v/>
      </c>
      <c r="C139" s="1450" t="str">
        <f t="shared" ca="1" si="87"/>
        <v/>
      </c>
      <c r="D139" s="1451" t="str">
        <f t="shared" ca="1" si="88"/>
        <v/>
      </c>
      <c r="E139" s="1452" t="str">
        <f t="shared" ca="1" si="89"/>
        <v/>
      </c>
      <c r="F139" s="1474" t="str">
        <f t="shared" ca="1" si="90"/>
        <v/>
      </c>
      <c r="G139" s="1475" t="str">
        <f t="shared" ca="1" si="91"/>
        <v/>
      </c>
      <c r="H139" s="1476"/>
      <c r="I139" s="1475" t="str">
        <f t="shared" ca="1" si="92"/>
        <v/>
      </c>
      <c r="J139" s="267"/>
      <c r="K139" s="267"/>
      <c r="L139" s="1446" t="str">
        <f ca="1">IF(A139="","",'4 Eingabe Friseure'!BB45)</f>
        <v/>
      </c>
      <c r="M139" s="1446" t="str">
        <f ca="1">IF(B139="","",'4 Eingabe Friseure'!BC45)</f>
        <v/>
      </c>
      <c r="N139" s="1446" t="str">
        <f t="shared" ca="1" si="93"/>
        <v/>
      </c>
      <c r="O139" s="1451" t="str">
        <f t="shared" ca="1" si="94"/>
        <v/>
      </c>
      <c r="P139" s="1451" t="str">
        <f t="shared" ca="1" si="95"/>
        <v/>
      </c>
      <c r="Q139" s="1451" t="str">
        <f t="shared" ca="1" si="96"/>
        <v/>
      </c>
      <c r="R139" s="1451" t="str">
        <f t="shared" ca="1" si="97"/>
        <v/>
      </c>
      <c r="S139" s="1455" t="str">
        <f t="shared" ca="1" si="98"/>
        <v/>
      </c>
      <c r="T139" s="1455" t="str">
        <f t="shared" ca="1" si="99"/>
        <v/>
      </c>
      <c r="U139" s="1456" t="str">
        <f t="shared" ca="1" si="100"/>
        <v/>
      </c>
      <c r="V139" s="1457" t="str">
        <f t="shared" ca="1" si="101"/>
        <v/>
      </c>
      <c r="W139" s="1458" t="str">
        <f t="shared" ca="1" si="102"/>
        <v/>
      </c>
      <c r="X139" s="267"/>
      <c r="Y139" s="1477"/>
      <c r="Z139" s="267"/>
      <c r="AA139" s="267"/>
      <c r="AB139" s="267"/>
      <c r="AC139" s="267"/>
      <c r="AD139" s="566"/>
      <c r="AE139" s="566"/>
      <c r="AF139" s="566"/>
      <c r="AG139" s="566"/>
      <c r="AH139" s="566"/>
      <c r="AI139" s="566"/>
      <c r="AJ139" s="267"/>
      <c r="AK139" s="267"/>
      <c r="AL139" s="267"/>
    </row>
    <row r="140" spans="1:38" ht="17.25" customHeight="1">
      <c r="A140" s="267"/>
      <c r="B140" s="267"/>
      <c r="C140" s="267"/>
      <c r="D140" s="267"/>
      <c r="E140" s="267"/>
      <c r="F140" s="267"/>
      <c r="G140" s="267"/>
      <c r="H140" s="267"/>
      <c r="I140" s="267"/>
      <c r="J140" s="267"/>
      <c r="K140" s="267"/>
      <c r="L140" s="267"/>
      <c r="M140" s="267"/>
      <c r="N140" s="267"/>
      <c r="O140" s="267"/>
      <c r="P140" s="267"/>
      <c r="Q140" s="267"/>
      <c r="R140" s="267"/>
      <c r="S140" s="267"/>
      <c r="T140" s="267"/>
      <c r="U140" s="1456" t="str">
        <f t="shared" si="100"/>
        <v/>
      </c>
      <c r="V140" s="1457" t="s">
        <v>94</v>
      </c>
      <c r="W140" s="1458">
        <f ca="1">SUM(W124:W139)</f>
        <v>0</v>
      </c>
      <c r="X140" s="267"/>
      <c r="Y140" s="1477"/>
      <c r="Z140" s="267"/>
      <c r="AA140" s="267"/>
      <c r="AB140" s="267"/>
      <c r="AC140" s="267"/>
      <c r="AD140" s="566"/>
      <c r="AE140" s="566"/>
      <c r="AF140" s="566"/>
      <c r="AG140" s="566"/>
      <c r="AH140" s="566"/>
      <c r="AI140" s="566"/>
      <c r="AJ140" s="267"/>
      <c r="AK140" s="267"/>
      <c r="AL140" s="267"/>
    </row>
    <row r="141" spans="1:38" ht="17.25" customHeight="1">
      <c r="A141" s="267"/>
      <c r="B141" s="267"/>
      <c r="C141" s="267"/>
      <c r="D141" s="267"/>
      <c r="E141" s="267"/>
      <c r="F141" s="267"/>
      <c r="G141" s="1424"/>
      <c r="H141" s="267"/>
      <c r="I141" s="267"/>
      <c r="J141" s="267"/>
      <c r="K141" s="267"/>
      <c r="L141" s="267"/>
      <c r="M141" s="267"/>
      <c r="N141" s="267"/>
      <c r="O141" s="267"/>
      <c r="P141" s="267"/>
      <c r="Q141" s="267"/>
      <c r="R141" s="267"/>
      <c r="S141" s="267"/>
      <c r="T141" s="267"/>
      <c r="U141" s="267"/>
      <c r="V141" s="267"/>
      <c r="W141" s="267"/>
      <c r="X141" s="267"/>
      <c r="Y141" s="1477"/>
      <c r="Z141" s="267"/>
      <c r="AA141" s="267"/>
      <c r="AB141" s="267"/>
      <c r="AC141" s="267"/>
      <c r="AD141" s="566"/>
      <c r="AE141" s="566"/>
      <c r="AF141" s="566"/>
      <c r="AG141" s="566"/>
      <c r="AH141" s="566"/>
      <c r="AI141" s="566"/>
      <c r="AJ141" s="267"/>
      <c r="AK141" s="267"/>
      <c r="AL141" s="267"/>
    </row>
    <row r="142" spans="1:38">
      <c r="A142" s="267"/>
      <c r="B142" s="267"/>
      <c r="C142" s="267"/>
      <c r="D142" s="267"/>
      <c r="E142" s="267"/>
      <c r="F142" s="267"/>
      <c r="G142" s="1424"/>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566"/>
      <c r="AE142" s="566"/>
      <c r="AF142" s="566"/>
      <c r="AG142" s="566"/>
      <c r="AH142" s="566"/>
      <c r="AI142" s="566"/>
      <c r="AJ142" s="267"/>
      <c r="AK142" s="267"/>
      <c r="AL142" s="267"/>
    </row>
    <row r="143" spans="1:38">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566"/>
      <c r="AE143" s="566"/>
      <c r="AF143" s="566"/>
      <c r="AG143" s="566"/>
      <c r="AH143" s="566"/>
      <c r="AI143" s="566"/>
      <c r="AJ143" s="267"/>
      <c r="AK143" s="267"/>
      <c r="AL143" s="267"/>
    </row>
    <row r="144" spans="1:38">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566"/>
      <c r="AE144" s="566"/>
      <c r="AF144" s="566"/>
      <c r="AG144" s="566"/>
      <c r="AH144" s="566"/>
      <c r="AI144" s="566"/>
      <c r="AJ144" s="267"/>
      <c r="AK144" s="267"/>
      <c r="AL144" s="267"/>
    </row>
    <row r="145" spans="1:38">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566"/>
      <c r="Y145" s="566"/>
      <c r="Z145" s="566"/>
      <c r="AA145" s="566"/>
      <c r="AB145" s="566"/>
      <c r="AC145" s="566"/>
      <c r="AD145" s="566"/>
      <c r="AE145" s="566"/>
      <c r="AF145" s="566"/>
      <c r="AG145" s="566"/>
      <c r="AH145" s="566"/>
      <c r="AI145" s="566"/>
      <c r="AJ145" s="267"/>
      <c r="AK145" s="267"/>
      <c r="AL145" s="267"/>
    </row>
    <row r="146" spans="1:38">
      <c r="A146" s="566"/>
      <c r="B146" s="566"/>
      <c r="C146" s="566"/>
      <c r="D146" s="566"/>
      <c r="E146" s="566"/>
      <c r="F146" s="566"/>
      <c r="G146" s="566"/>
      <c r="H146" s="566"/>
      <c r="I146" s="566"/>
      <c r="J146" s="566"/>
      <c r="K146" s="566"/>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267"/>
      <c r="AK146" s="267"/>
      <c r="AL146" s="267"/>
    </row>
    <row r="147" spans="1:38">
      <c r="A147" s="566"/>
      <c r="B147" s="566"/>
      <c r="C147" s="566"/>
      <c r="D147" s="566"/>
      <c r="E147" s="566"/>
      <c r="F147" s="566"/>
      <c r="G147" s="566"/>
      <c r="H147" s="566"/>
      <c r="I147" s="566"/>
      <c r="J147" s="566"/>
      <c r="K147" s="566"/>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267"/>
      <c r="AK147" s="267"/>
      <c r="AL147" s="267"/>
    </row>
    <row r="148" spans="1:38">
      <c r="A148" s="566"/>
      <c r="B148" s="566"/>
      <c r="C148" s="566"/>
      <c r="D148" s="566"/>
      <c r="E148" s="566"/>
      <c r="F148" s="566"/>
      <c r="G148" s="566"/>
      <c r="H148" s="566"/>
      <c r="I148" s="566"/>
      <c r="J148" s="566"/>
      <c r="K148" s="566"/>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267"/>
      <c r="AK148" s="267"/>
      <c r="AL148" s="267"/>
    </row>
    <row r="149" spans="1:38">
      <c r="A149" s="566"/>
      <c r="B149" s="566"/>
      <c r="C149" s="566"/>
      <c r="D149" s="566"/>
      <c r="E149" s="566"/>
      <c r="F149" s="566"/>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267"/>
      <c r="AK149" s="267"/>
      <c r="AL149" s="267"/>
    </row>
    <row r="150" spans="1:38">
      <c r="A150" s="566"/>
      <c r="B150" s="566"/>
      <c r="C150" s="566"/>
      <c r="D150" s="566"/>
      <c r="E150" s="566"/>
      <c r="F150" s="566"/>
      <c r="G150" s="566"/>
      <c r="H150" s="566"/>
      <c r="I150" s="566"/>
      <c r="J150" s="566"/>
      <c r="K150" s="566"/>
      <c r="L150" s="566"/>
      <c r="M150" s="566"/>
      <c r="N150" s="566"/>
      <c r="O150" s="566"/>
      <c r="P150" s="566"/>
      <c r="Q150" s="566"/>
      <c r="R150" s="566"/>
      <c r="S150" s="566"/>
      <c r="T150" s="566"/>
      <c r="U150" s="566"/>
      <c r="V150" s="566"/>
      <c r="W150" s="566"/>
      <c r="X150" s="566"/>
      <c r="Y150" s="566"/>
      <c r="Z150" s="566"/>
      <c r="AA150" s="566"/>
      <c r="AB150" s="566"/>
      <c r="AC150" s="566"/>
      <c r="AD150" s="566"/>
      <c r="AE150" s="566"/>
      <c r="AF150" s="566"/>
      <c r="AG150" s="566"/>
      <c r="AH150" s="566"/>
      <c r="AI150" s="566"/>
      <c r="AJ150" s="267"/>
      <c r="AK150" s="267"/>
      <c r="AL150" s="267"/>
    </row>
    <row r="151" spans="1:38">
      <c r="A151" s="566"/>
      <c r="B151" s="566"/>
      <c r="C151" s="566"/>
      <c r="D151" s="566"/>
      <c r="E151" s="566"/>
      <c r="F151" s="566"/>
      <c r="G151" s="566"/>
      <c r="H151" s="566"/>
      <c r="I151" s="566"/>
      <c r="J151" s="566"/>
      <c r="K151" s="566"/>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267"/>
      <c r="AK151" s="267"/>
      <c r="AL151" s="267"/>
    </row>
    <row r="152" spans="1:38">
      <c r="A152" s="566"/>
      <c r="B152" s="566"/>
      <c r="C152" s="566"/>
      <c r="D152" s="566"/>
      <c r="E152" s="566"/>
      <c r="F152" s="566"/>
      <c r="G152" s="566"/>
      <c r="H152" s="566"/>
      <c r="I152" s="566"/>
      <c r="J152" s="566"/>
      <c r="K152" s="566"/>
      <c r="L152" s="566"/>
      <c r="M152" s="566"/>
      <c r="N152" s="566"/>
      <c r="O152" s="566"/>
      <c r="P152" s="566"/>
      <c r="Q152" s="566"/>
      <c r="R152" s="566"/>
      <c r="S152" s="566"/>
      <c r="T152" s="566"/>
      <c r="U152" s="566"/>
      <c r="V152" s="566"/>
      <c r="W152" s="566"/>
      <c r="X152" s="267"/>
      <c r="Y152" s="267"/>
      <c r="Z152" s="267"/>
      <c r="AA152" s="267"/>
      <c r="AB152" s="267"/>
      <c r="AC152" s="267"/>
      <c r="AD152" s="267"/>
      <c r="AE152" s="267"/>
      <c r="AF152" s="267"/>
      <c r="AG152" s="267"/>
      <c r="AH152" s="267"/>
      <c r="AI152" s="267"/>
      <c r="AJ152" s="267"/>
      <c r="AK152" s="267"/>
      <c r="AL152" s="267"/>
    </row>
    <row r="153" spans="1:38">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row>
    <row r="154" spans="1:38">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row>
    <row r="155" spans="1:38">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row>
    <row r="156" spans="1:38">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row>
    <row r="157" spans="1:38">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row>
  </sheetData>
  <customSheetViews>
    <customSheetView guid="{91EE9386-9500-473B-B86C-27DB8DF0BA46}" scale="90" showGridLines="0">
      <pageMargins left="0.25" right="0.25" top="0.75" bottom="0.75" header="0.3" footer="0.3"/>
      <pageSetup paperSize="9" scale="55" orientation="portrait" r:id="rId1"/>
    </customSheetView>
    <customSheetView guid="{B8019777-F14C-4393-8CE3-CE0081D0CD28}" scale="90" showGridLines="0">
      <pageMargins left="0.25" right="0.25" top="0.75" bottom="0.75" header="0.3" footer="0.3"/>
      <pageSetup paperSize="9" scale="55" orientation="portrait" r:id="rId2"/>
    </customSheetView>
  </customSheetViews>
  <mergeCells count="119">
    <mergeCell ref="X2:AA3"/>
    <mergeCell ref="T2:V2"/>
    <mergeCell ref="F42:H42"/>
    <mergeCell ref="F43:H43"/>
    <mergeCell ref="F44:H44"/>
    <mergeCell ref="F45:H45"/>
    <mergeCell ref="F46:H46"/>
    <mergeCell ref="F37:H37"/>
    <mergeCell ref="F38:H38"/>
    <mergeCell ref="F39:H39"/>
    <mergeCell ref="F40:H40"/>
    <mergeCell ref="F41:H41"/>
    <mergeCell ref="F32:H32"/>
    <mergeCell ref="F33:H33"/>
    <mergeCell ref="F34:H34"/>
    <mergeCell ref="F35:H35"/>
    <mergeCell ref="F36:H36"/>
    <mergeCell ref="F26:H26"/>
    <mergeCell ref="F8:H8"/>
    <mergeCell ref="F9:H9"/>
    <mergeCell ref="F13:H13"/>
    <mergeCell ref="F14:H14"/>
    <mergeCell ref="F15:H15"/>
    <mergeCell ref="V7:W7"/>
    <mergeCell ref="F11:H11"/>
    <mergeCell ref="B30:C30"/>
    <mergeCell ref="F31:H31"/>
    <mergeCell ref="F21:H21"/>
    <mergeCell ref="F22:H22"/>
    <mergeCell ref="F23:H23"/>
    <mergeCell ref="F24:H24"/>
    <mergeCell ref="F25:H25"/>
    <mergeCell ref="F16:H16"/>
    <mergeCell ref="F17:H17"/>
    <mergeCell ref="F18:H18"/>
    <mergeCell ref="F19:H19"/>
    <mergeCell ref="F20:H20"/>
    <mergeCell ref="F12:H12"/>
    <mergeCell ref="F10:H10"/>
    <mergeCell ref="A4:E4"/>
    <mergeCell ref="A5:A7"/>
    <mergeCell ref="B5:B7"/>
    <mergeCell ref="D5:D7"/>
    <mergeCell ref="E5:E7"/>
    <mergeCell ref="I5:I7"/>
    <mergeCell ref="M5:M6"/>
    <mergeCell ref="N5:N6"/>
    <mergeCell ref="F6:H7"/>
    <mergeCell ref="C6:C7"/>
    <mergeCell ref="I3:L3"/>
    <mergeCell ref="D3:H3"/>
    <mergeCell ref="O3:S3"/>
    <mergeCell ref="T3:V3"/>
    <mergeCell ref="B2:S2"/>
    <mergeCell ref="I98:N98"/>
    <mergeCell ref="V101:W101"/>
    <mergeCell ref="A98:E98"/>
    <mergeCell ref="A99:A101"/>
    <mergeCell ref="B99:B101"/>
    <mergeCell ref="C99:C101"/>
    <mergeCell ref="D99:D101"/>
    <mergeCell ref="M99:M100"/>
    <mergeCell ref="N99:N100"/>
    <mergeCell ref="G100:G101"/>
    <mergeCell ref="F99:F101"/>
    <mergeCell ref="I100:I101"/>
    <mergeCell ref="F77:H77"/>
    <mergeCell ref="F78:H78"/>
    <mergeCell ref="F79:H79"/>
    <mergeCell ref="F80:H80"/>
    <mergeCell ref="F68:H68"/>
    <mergeCell ref="F69:H69"/>
    <mergeCell ref="F66:H66"/>
    <mergeCell ref="I53:I55"/>
    <mergeCell ref="M53:M54"/>
    <mergeCell ref="N53:N54"/>
    <mergeCell ref="F71:H71"/>
    <mergeCell ref="F60:H60"/>
    <mergeCell ref="F64:H64"/>
    <mergeCell ref="F59:H59"/>
    <mergeCell ref="F63:H63"/>
    <mergeCell ref="U55:V55"/>
    <mergeCell ref="B76:C76"/>
    <mergeCell ref="F62:H62"/>
    <mergeCell ref="B53:B55"/>
    <mergeCell ref="C53:C55"/>
    <mergeCell ref="D53:D55"/>
    <mergeCell ref="F61:H61"/>
    <mergeCell ref="F70:H70"/>
    <mergeCell ref="F72:H72"/>
    <mergeCell ref="F65:H65"/>
    <mergeCell ref="F58:H58"/>
    <mergeCell ref="F67:H67"/>
    <mergeCell ref="E53:E55"/>
    <mergeCell ref="F74:H74"/>
    <mergeCell ref="F91:H91"/>
    <mergeCell ref="F92:H92"/>
    <mergeCell ref="F87:H87"/>
    <mergeCell ref="E99:E101"/>
    <mergeCell ref="B96:T96"/>
    <mergeCell ref="A97:W97"/>
    <mergeCell ref="F73:H73"/>
    <mergeCell ref="B50:U50"/>
    <mergeCell ref="A51:W51"/>
    <mergeCell ref="A52:E52"/>
    <mergeCell ref="I52:N52"/>
    <mergeCell ref="F81:H81"/>
    <mergeCell ref="F82:H82"/>
    <mergeCell ref="F83:H83"/>
    <mergeCell ref="F84:H84"/>
    <mergeCell ref="F85:H85"/>
    <mergeCell ref="F86:H86"/>
    <mergeCell ref="F88:H88"/>
    <mergeCell ref="F89:H89"/>
    <mergeCell ref="F90:H90"/>
    <mergeCell ref="A53:A55"/>
    <mergeCell ref="F57:H57"/>
    <mergeCell ref="F54:H55"/>
    <mergeCell ref="F56:H56"/>
  </mergeCells>
  <phoneticPr fontId="4" type="noConversion"/>
  <pageMargins left="0.25" right="0.25" top="0.75" bottom="0.75" header="0.3" footer="0.3"/>
  <pageSetup paperSize="9" scale="50"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54"/>
  <sheetViews>
    <sheetView showGridLines="0" zoomScale="90" zoomScaleNormal="90" workbookViewId="0">
      <selection activeCell="A2" sqref="A2:B2"/>
    </sheetView>
  </sheetViews>
  <sheetFormatPr baseColWidth="10" defaultColWidth="11" defaultRowHeight="15"/>
  <cols>
    <col min="1" max="1" width="11" style="3"/>
    <col min="2" max="2" width="12" style="3" customWidth="1"/>
    <col min="3" max="3" width="9" style="3" customWidth="1"/>
    <col min="4" max="4" width="7.44140625" style="3" customWidth="1"/>
    <col min="5" max="5" width="12.21875" style="3" customWidth="1"/>
    <col min="6" max="6" width="12" style="3" customWidth="1"/>
    <col min="7" max="7" width="3.44140625" style="3" customWidth="1"/>
    <col min="8" max="8" width="5" style="3" customWidth="1"/>
    <col min="9" max="9" width="4.44140625" style="3" customWidth="1"/>
    <col min="10" max="10" width="9.77734375" style="3" customWidth="1"/>
    <col min="11" max="12" width="0.44140625" style="3" customWidth="1"/>
    <col min="13" max="13" width="7.44140625" style="3" customWidth="1"/>
    <col min="14" max="14" width="7.77734375" style="3" customWidth="1"/>
    <col min="15" max="15" width="8.44140625" style="3" customWidth="1"/>
    <col min="16" max="16" width="9.44140625" style="3" customWidth="1"/>
    <col min="17" max="17" width="10.21875" style="3" bestFit="1" customWidth="1"/>
    <col min="18" max="18" width="10.44140625" style="3" customWidth="1"/>
    <col min="19" max="19" width="9.77734375" style="3" customWidth="1"/>
    <col min="20" max="20" width="9.21875" style="3" customWidth="1"/>
    <col min="21" max="21" width="2" style="3" customWidth="1"/>
    <col min="22" max="22" width="8.77734375" style="3" customWidth="1"/>
    <col min="23" max="23" width="15" style="3" customWidth="1"/>
    <col min="24" max="24" width="13.44140625" style="3" customWidth="1"/>
    <col min="25" max="25" width="6.44140625" style="3" customWidth="1"/>
    <col min="26" max="26" width="17.44140625" style="3" customWidth="1"/>
    <col min="27" max="27" width="12.44140625" style="3" customWidth="1"/>
    <col min="28" max="31" width="11" style="3"/>
    <col min="32" max="32" width="12" style="3" bestFit="1" customWidth="1"/>
    <col min="33" max="34" width="11" style="3"/>
    <col min="35" max="35" width="13.109375" style="3" customWidth="1"/>
    <col min="36" max="16384" width="11" style="3"/>
  </cols>
  <sheetData>
    <row r="1" spans="1:35" ht="51" customHeight="1">
      <c r="A1" s="159" t="s">
        <v>520</v>
      </c>
      <c r="D1" s="4259" t="s">
        <v>922</v>
      </c>
      <c r="E1" s="4259"/>
      <c r="F1" s="4259"/>
      <c r="G1" s="4259"/>
      <c r="H1" s="4259"/>
      <c r="I1" s="4259"/>
      <c r="J1" s="4259"/>
      <c r="K1" s="4259"/>
      <c r="L1" s="4259"/>
      <c r="M1" s="4259"/>
      <c r="N1" s="4259"/>
      <c r="O1" s="4259"/>
      <c r="P1" s="4259"/>
      <c r="Q1" s="4259"/>
      <c r="R1" s="4259"/>
      <c r="S1" s="4259"/>
      <c r="T1" s="4259"/>
      <c r="U1" s="4259"/>
      <c r="V1" s="4259"/>
      <c r="W1" s="4259"/>
      <c r="Z1" s="4244" t="s">
        <v>1129</v>
      </c>
      <c r="AA1" s="4244"/>
      <c r="AB1" s="4244"/>
      <c r="AC1" s="4244"/>
    </row>
    <row r="2" spans="1:35" ht="57.75" customHeight="1">
      <c r="A2" s="3744" t="s">
        <v>1447</v>
      </c>
      <c r="B2" s="4264"/>
      <c r="C2" s="1421">
        <v>4.63</v>
      </c>
      <c r="D2" s="1419" t="s">
        <v>366</v>
      </c>
      <c r="E2" s="4209" t="s">
        <v>1448</v>
      </c>
      <c r="F2" s="4209"/>
      <c r="G2" s="4209"/>
      <c r="H2" s="4209"/>
      <c r="I2" s="4210"/>
      <c r="J2" s="4206"/>
      <c r="K2" s="4207"/>
      <c r="L2" s="4207"/>
      <c r="M2" s="4208"/>
      <c r="N2" s="1421" t="s">
        <v>525</v>
      </c>
      <c r="O2" s="1419" t="s">
        <v>525</v>
      </c>
      <c r="P2" s="4129" t="s">
        <v>525</v>
      </c>
      <c r="Q2" s="4129"/>
      <c r="R2" s="4129"/>
      <c r="S2" s="4129"/>
      <c r="T2" s="4130"/>
      <c r="U2" s="4211"/>
      <c r="V2" s="4212"/>
      <c r="W2" s="4212"/>
      <c r="Z2" s="4244"/>
      <c r="AA2" s="4244"/>
      <c r="AB2" s="4244"/>
      <c r="AC2" s="4244"/>
    </row>
    <row r="3" spans="1:35" ht="57.75" customHeight="1">
      <c r="B3" s="1424">
        <v>0</v>
      </c>
      <c r="C3" s="726"/>
      <c r="D3" s="4128" t="s">
        <v>1449</v>
      </c>
      <c r="E3" s="4129"/>
      <c r="F3" s="4129"/>
      <c r="G3" s="4129"/>
      <c r="H3" s="1422"/>
      <c r="I3" s="724"/>
      <c r="J3" s="724"/>
      <c r="K3" s="724"/>
      <c r="L3" s="724"/>
      <c r="N3" s="726"/>
      <c r="O3" s="4128" t="s">
        <v>1450</v>
      </c>
      <c r="P3" s="4129"/>
      <c r="Q3" s="4129"/>
      <c r="R3" s="4129"/>
      <c r="S3" s="1422"/>
      <c r="T3" s="4260"/>
      <c r="U3" s="4261"/>
      <c r="V3" s="4261"/>
      <c r="Z3" s="4244"/>
      <c r="AA3" s="4244"/>
      <c r="AB3" s="4244"/>
      <c r="AC3" s="4244"/>
    </row>
    <row r="4" spans="1:35" ht="24.75" customHeight="1">
      <c r="A4" s="4263" t="s">
        <v>1451</v>
      </c>
      <c r="B4" s="4263"/>
      <c r="C4" s="4263"/>
      <c r="D4" s="4263"/>
      <c r="E4" s="3219"/>
      <c r="F4" s="3219"/>
      <c r="G4" s="2"/>
      <c r="H4" s="33" t="s">
        <v>1452</v>
      </c>
      <c r="I4" s="2"/>
      <c r="J4" s="4262"/>
      <c r="K4" s="4262"/>
      <c r="L4" s="4262"/>
      <c r="M4" s="4262"/>
      <c r="N4" s="4262"/>
      <c r="O4" s="4262"/>
      <c r="P4" s="274" t="s">
        <v>1081</v>
      </c>
      <c r="Q4" s="99"/>
      <c r="R4" s="99"/>
      <c r="S4" s="280"/>
      <c r="T4" s="280" t="s">
        <v>209</v>
      </c>
      <c r="U4" s="278"/>
      <c r="V4" s="99"/>
      <c r="W4" s="99"/>
      <c r="X4" s="99"/>
      <c r="Y4" s="99"/>
      <c r="Z4" s="3214" t="s">
        <v>1412</v>
      </c>
      <c r="AA4" s="3214"/>
      <c r="AB4" s="3214"/>
      <c r="AC4" s="3222"/>
    </row>
    <row r="5" spans="1:35" ht="17.25" customHeight="1">
      <c r="A5" s="4265" t="s">
        <v>515</v>
      </c>
      <c r="B5" s="4266"/>
      <c r="C5" s="4225" t="s">
        <v>1082</v>
      </c>
      <c r="D5" s="4225" t="s">
        <v>49</v>
      </c>
      <c r="E5" s="4225" t="s">
        <v>1453</v>
      </c>
      <c r="F5" s="4227" t="s">
        <v>1077</v>
      </c>
      <c r="G5" s="4" t="s">
        <v>17</v>
      </c>
      <c r="H5" s="554">
        <v>5.5021555102258946</v>
      </c>
      <c r="I5" s="1428" t="s">
        <v>28</v>
      </c>
      <c r="J5" s="4229" t="s">
        <v>1080</v>
      </c>
      <c r="K5" s="99"/>
      <c r="M5" s="228">
        <v>40</v>
      </c>
      <c r="N5" s="4231" t="s">
        <v>70</v>
      </c>
      <c r="O5" s="4231" t="s">
        <v>70</v>
      </c>
      <c r="P5" s="369">
        <v>4.33</v>
      </c>
      <c r="Q5" s="99"/>
      <c r="R5" s="99"/>
      <c r="S5" s="99"/>
      <c r="T5" s="99"/>
      <c r="U5" s="99"/>
      <c r="V5" s="278"/>
      <c r="W5" s="99"/>
      <c r="X5" s="99"/>
      <c r="Y5" s="99"/>
      <c r="Z5" s="3214"/>
      <c r="AA5" s="3214"/>
      <c r="AB5" s="3214"/>
    </row>
    <row r="6" spans="1:35" ht="17.25" customHeight="1">
      <c r="A6" s="4117"/>
      <c r="B6" s="4267"/>
      <c r="C6" s="4225"/>
      <c r="D6" s="4225"/>
      <c r="E6" s="4225"/>
      <c r="F6" s="4227"/>
      <c r="G6" s="4227" t="s">
        <v>1078</v>
      </c>
      <c r="H6" s="4232"/>
      <c r="I6" s="4233"/>
      <c r="J6" s="4229"/>
      <c r="K6" s="99"/>
      <c r="M6" s="1426" t="s">
        <v>60</v>
      </c>
      <c r="N6" s="4231"/>
      <c r="O6" s="4231"/>
      <c r="P6" s="274" t="s">
        <v>61</v>
      </c>
      <c r="Q6" s="274" t="s">
        <v>513</v>
      </c>
      <c r="R6" s="274" t="s">
        <v>514</v>
      </c>
      <c r="S6" s="275" t="s">
        <v>61</v>
      </c>
      <c r="T6" s="275" t="s">
        <v>61</v>
      </c>
      <c r="U6" s="275"/>
      <c r="V6" s="1613">
        <v>0.2</v>
      </c>
      <c r="W6" s="1612" t="s">
        <v>962</v>
      </c>
      <c r="X6" s="99"/>
      <c r="Y6" s="99"/>
      <c r="Z6" s="3215" t="s">
        <v>94</v>
      </c>
      <c r="AA6" s="3216">
        <v>506136.33750000002</v>
      </c>
      <c r="AB6" s="3214"/>
    </row>
    <row r="7" spans="1:35" ht="17.25" customHeight="1" thickBot="1">
      <c r="A7" s="4268"/>
      <c r="B7" s="4269"/>
      <c r="C7" s="4226"/>
      <c r="D7" s="4226"/>
      <c r="E7" s="4226"/>
      <c r="F7" s="4228"/>
      <c r="G7" s="4234"/>
      <c r="H7" s="4235"/>
      <c r="I7" s="4236"/>
      <c r="J7" s="4230"/>
      <c r="K7" s="99"/>
      <c r="M7" s="1427">
        <v>173</v>
      </c>
      <c r="N7" s="1427" t="s">
        <v>69</v>
      </c>
      <c r="O7" s="1427" t="s">
        <v>71</v>
      </c>
      <c r="P7" s="318" t="s">
        <v>190</v>
      </c>
      <c r="Q7" s="318" t="s">
        <v>190</v>
      </c>
      <c r="R7" s="318" t="s">
        <v>190</v>
      </c>
      <c r="S7" s="319" t="s">
        <v>105</v>
      </c>
      <c r="T7" s="319" t="s">
        <v>63</v>
      </c>
      <c r="U7" s="319"/>
      <c r="V7" s="280" t="s">
        <v>89</v>
      </c>
      <c r="W7" s="4252" t="s">
        <v>106</v>
      </c>
      <c r="X7" s="4252"/>
      <c r="Y7" s="738" t="s">
        <v>121</v>
      </c>
      <c r="Z7" s="3215" t="s">
        <v>124</v>
      </c>
      <c r="AA7" s="3216">
        <v>95000</v>
      </c>
      <c r="AB7" s="3214"/>
      <c r="AG7" s="566" t="s">
        <v>414</v>
      </c>
      <c r="AH7" s="566" t="s">
        <v>127</v>
      </c>
      <c r="AI7" s="566" t="s">
        <v>128</v>
      </c>
    </row>
    <row r="8" spans="1:35" ht="17.25" customHeight="1">
      <c r="A8" s="1420"/>
      <c r="B8" s="2952" t="s">
        <v>1454</v>
      </c>
      <c r="C8" s="2953" t="s">
        <v>924</v>
      </c>
      <c r="D8" s="2954">
        <v>10</v>
      </c>
      <c r="E8" s="2955">
        <v>9500</v>
      </c>
      <c r="F8" s="2956">
        <v>414.65566866182638</v>
      </c>
      <c r="G8" s="4256">
        <v>24.143407550644802</v>
      </c>
      <c r="H8" s="4257">
        <v>5.5021555102258946</v>
      </c>
      <c r="I8" s="4258">
        <v>0</v>
      </c>
      <c r="J8" s="97">
        <v>438.8</v>
      </c>
      <c r="K8" s="99">
        <v>0</v>
      </c>
      <c r="L8" s="3">
        <v>0</v>
      </c>
      <c r="M8" s="2957">
        <v>40</v>
      </c>
      <c r="N8" s="2957">
        <v>5</v>
      </c>
      <c r="O8" s="2957">
        <v>21.65</v>
      </c>
      <c r="P8" s="276">
        <v>9500</v>
      </c>
      <c r="Q8" s="98">
        <v>8977.2952265285403</v>
      </c>
      <c r="R8" s="276">
        <v>522.70477347145993</v>
      </c>
      <c r="S8" s="276">
        <v>2195</v>
      </c>
      <c r="T8" s="276">
        <v>54.849884526558888</v>
      </c>
      <c r="U8" s="277"/>
      <c r="V8" s="2555">
        <v>68.562355658198612</v>
      </c>
      <c r="W8" s="739" t="s">
        <v>1454</v>
      </c>
      <c r="X8" s="740">
        <v>95043.5</v>
      </c>
      <c r="Y8" s="1429">
        <v>10</v>
      </c>
      <c r="Z8" s="3215" t="s">
        <v>3</v>
      </c>
      <c r="AA8" s="3216">
        <v>0</v>
      </c>
      <c r="AB8" s="3214"/>
      <c r="AG8" s="566">
        <v>438.8</v>
      </c>
      <c r="AH8" s="2971">
        <v>414.85500000000002</v>
      </c>
      <c r="AI8" s="2971">
        <v>24.145</v>
      </c>
    </row>
    <row r="9" spans="1:35" ht="17.25" customHeight="1">
      <c r="A9" s="1420"/>
      <c r="B9" s="2952" t="s">
        <v>525</v>
      </c>
      <c r="C9" s="2953" t="s">
        <v>525</v>
      </c>
      <c r="D9" s="2954" t="s">
        <v>525</v>
      </c>
      <c r="E9" s="2955" t="s">
        <v>525</v>
      </c>
      <c r="F9" s="2956" t="s">
        <v>525</v>
      </c>
      <c r="G9" s="4256" t="s">
        <v>525</v>
      </c>
      <c r="H9" s="4257" t="s">
        <v>193</v>
      </c>
      <c r="I9" s="4258">
        <v>0</v>
      </c>
      <c r="J9" s="97" t="s">
        <v>525</v>
      </c>
      <c r="K9" s="99">
        <v>0</v>
      </c>
      <c r="L9" s="3">
        <v>0</v>
      </c>
      <c r="M9" s="2957" t="s">
        <v>525</v>
      </c>
      <c r="N9" s="2957" t="s">
        <v>525</v>
      </c>
      <c r="O9" s="2957" t="s">
        <v>525</v>
      </c>
      <c r="P9" s="276" t="s">
        <v>525</v>
      </c>
      <c r="Q9" s="98" t="s">
        <v>525</v>
      </c>
      <c r="R9" s="276" t="s">
        <v>525</v>
      </c>
      <c r="S9" s="276" t="s">
        <v>525</v>
      </c>
      <c r="T9" s="276" t="s">
        <v>525</v>
      </c>
      <c r="U9" s="277"/>
      <c r="V9" s="2555" t="s">
        <v>525</v>
      </c>
      <c r="W9" s="739" t="s">
        <v>525</v>
      </c>
      <c r="X9" s="740" t="s">
        <v>525</v>
      </c>
      <c r="Y9" s="1429" t="s">
        <v>525</v>
      </c>
      <c r="Z9" s="3215" t="s">
        <v>94</v>
      </c>
      <c r="AA9" s="3216">
        <v>601136.33750000002</v>
      </c>
      <c r="AB9" s="3217"/>
      <c r="AG9" s="566" t="s">
        <v>525</v>
      </c>
      <c r="AH9" s="2971" t="s">
        <v>525</v>
      </c>
      <c r="AI9" s="2971" t="s">
        <v>525</v>
      </c>
    </row>
    <row r="10" spans="1:35" ht="17.25" customHeight="1" thickBot="1">
      <c r="A10" s="2958"/>
      <c r="B10" s="2959" t="s">
        <v>525</v>
      </c>
      <c r="C10" s="2960" t="s">
        <v>525</v>
      </c>
      <c r="D10" s="2961" t="s">
        <v>525</v>
      </c>
      <c r="E10" s="2962" t="s">
        <v>525</v>
      </c>
      <c r="F10" s="2963" t="s">
        <v>525</v>
      </c>
      <c r="G10" s="4253" t="s">
        <v>525</v>
      </c>
      <c r="H10" s="4254">
        <v>0</v>
      </c>
      <c r="I10" s="4255">
        <v>0</v>
      </c>
      <c r="J10" s="2964" t="s">
        <v>525</v>
      </c>
      <c r="K10" s="2965">
        <v>0</v>
      </c>
      <c r="L10" s="1027">
        <v>0</v>
      </c>
      <c r="M10" s="2966" t="s">
        <v>525</v>
      </c>
      <c r="N10" s="2966" t="s">
        <v>525</v>
      </c>
      <c r="O10" s="2966" t="s">
        <v>525</v>
      </c>
      <c r="P10" s="2967" t="s">
        <v>525</v>
      </c>
      <c r="Q10" s="2968" t="s">
        <v>525</v>
      </c>
      <c r="R10" s="2967" t="s">
        <v>525</v>
      </c>
      <c r="S10" s="2967" t="s">
        <v>525</v>
      </c>
      <c r="T10" s="2967" t="s">
        <v>525</v>
      </c>
      <c r="U10" s="2969"/>
      <c r="V10" s="2970" t="s">
        <v>525</v>
      </c>
      <c r="W10" s="2730" t="s">
        <v>525</v>
      </c>
      <c r="X10" s="2731" t="s">
        <v>525</v>
      </c>
      <c r="Y10" s="2732" t="s">
        <v>525</v>
      </c>
      <c r="Z10" s="3215" t="s">
        <v>125</v>
      </c>
      <c r="AA10" s="3216">
        <v>600993.68263966474</v>
      </c>
      <c r="AB10" s="3217"/>
      <c r="AG10" s="566" t="s">
        <v>525</v>
      </c>
      <c r="AH10" s="2971" t="s">
        <v>525</v>
      </c>
      <c r="AI10" s="2971" t="s">
        <v>525</v>
      </c>
    </row>
    <row r="11" spans="1:35" ht="18" customHeight="1">
      <c r="A11" s="1420"/>
      <c r="B11" s="102" t="s">
        <v>1419</v>
      </c>
      <c r="C11" s="7">
        <v>2515.6359500000003</v>
      </c>
      <c r="D11" s="8">
        <v>4.63</v>
      </c>
      <c r="E11" s="9">
        <v>11647</v>
      </c>
      <c r="F11" s="10">
        <v>524.10304512971379</v>
      </c>
      <c r="G11" s="4237">
        <v>30.516002489333808</v>
      </c>
      <c r="H11" s="4238">
        <v>30.536963081753715</v>
      </c>
      <c r="I11" s="4239">
        <v>0</v>
      </c>
      <c r="J11" s="96">
        <v>554.62</v>
      </c>
      <c r="K11" s="99">
        <v>0</v>
      </c>
      <c r="L11" s="3">
        <v>0</v>
      </c>
      <c r="M11" s="77">
        <v>39.5</v>
      </c>
      <c r="N11" s="77">
        <v>5</v>
      </c>
      <c r="O11" s="77">
        <v>21</v>
      </c>
      <c r="P11" s="276">
        <v>11647</v>
      </c>
      <c r="Q11" s="98">
        <v>11006.16394772399</v>
      </c>
      <c r="R11" s="276">
        <v>640.83605227600992</v>
      </c>
      <c r="S11" s="276">
        <v>2775</v>
      </c>
      <c r="T11" s="276">
        <v>68.09717309322653</v>
      </c>
      <c r="U11" s="277"/>
      <c r="V11" s="2555">
        <v>85.121466366533156</v>
      </c>
      <c r="W11" s="739" t="s">
        <v>1419</v>
      </c>
      <c r="X11" s="740">
        <v>116550</v>
      </c>
      <c r="Y11" s="1429">
        <v>10</v>
      </c>
      <c r="Z11" s="3215" t="s">
        <v>126</v>
      </c>
      <c r="AA11" s="3216">
        <v>142.65486033528578</v>
      </c>
      <c r="AB11" s="3218">
        <v>2.3736499144004605E-4</v>
      </c>
      <c r="AG11" s="566">
        <v>554.62</v>
      </c>
      <c r="AH11" s="2971">
        <v>524.10304512971379</v>
      </c>
      <c r="AI11" s="2971">
        <v>30.516002489333808</v>
      </c>
    </row>
    <row r="12" spans="1:35" ht="18" customHeight="1">
      <c r="A12" s="1420"/>
      <c r="B12" s="103" t="s">
        <v>1420</v>
      </c>
      <c r="C12" s="7">
        <v>1782.53</v>
      </c>
      <c r="D12" s="8">
        <v>4.63</v>
      </c>
      <c r="E12" s="9">
        <v>8253</v>
      </c>
      <c r="F12" s="10">
        <v>450.7547182162225</v>
      </c>
      <c r="G12" s="4241">
        <v>26.217834541509415</v>
      </c>
      <c r="H12" s="4242">
        <v>26.245281783777518</v>
      </c>
      <c r="I12" s="4243">
        <v>0</v>
      </c>
      <c r="J12" s="97">
        <v>476.5</v>
      </c>
      <c r="K12" s="99">
        <v>0</v>
      </c>
      <c r="L12" s="3">
        <v>0</v>
      </c>
      <c r="M12" s="77">
        <v>30</v>
      </c>
      <c r="N12" s="77">
        <v>4</v>
      </c>
      <c r="O12" s="77">
        <v>17.32</v>
      </c>
      <c r="P12" s="276">
        <v>8253</v>
      </c>
      <c r="Q12" s="98">
        <v>7798.9071057410565</v>
      </c>
      <c r="R12" s="276">
        <v>454.09289425894309</v>
      </c>
      <c r="S12" s="276">
        <v>1908</v>
      </c>
      <c r="T12" s="276">
        <v>63.533487297921482</v>
      </c>
      <c r="U12" s="277"/>
      <c r="V12" s="2555">
        <v>79.41685912240186</v>
      </c>
      <c r="W12" s="739" t="s">
        <v>1420</v>
      </c>
      <c r="X12" s="740">
        <v>82616.399999999994</v>
      </c>
      <c r="Y12" s="1429">
        <v>10</v>
      </c>
      <c r="AG12" s="566">
        <v>476.5</v>
      </c>
      <c r="AH12" s="2971">
        <v>450.7547182162225</v>
      </c>
      <c r="AI12" s="2971">
        <v>26.217834541509415</v>
      </c>
    </row>
    <row r="13" spans="1:35" ht="18" customHeight="1">
      <c r="A13" s="1420"/>
      <c r="B13" s="103" t="s">
        <v>1421</v>
      </c>
      <c r="C13" s="7">
        <v>1490.5592000000001</v>
      </c>
      <c r="D13" s="8">
        <v>4.63</v>
      </c>
      <c r="E13" s="9">
        <v>6901</v>
      </c>
      <c r="F13" s="10">
        <v>429.96519242847216</v>
      </c>
      <c r="G13" s="4241">
        <v>25.054685038646582</v>
      </c>
      <c r="H13" s="4242">
        <v>25.034807571527821</v>
      </c>
      <c r="I13" s="4243">
        <v>0</v>
      </c>
      <c r="J13" s="97">
        <v>455.36</v>
      </c>
      <c r="K13" s="99">
        <v>0</v>
      </c>
      <c r="L13" s="3">
        <v>0</v>
      </c>
      <c r="M13" s="77">
        <v>26</v>
      </c>
      <c r="N13" s="77">
        <v>3.5</v>
      </c>
      <c r="O13" s="77">
        <v>15.155000000000001</v>
      </c>
      <c r="P13" s="276">
        <v>6901</v>
      </c>
      <c r="Q13" s="98">
        <v>6521.2962482393114</v>
      </c>
      <c r="R13" s="276">
        <v>379.70375176068899</v>
      </c>
      <c r="S13" s="276">
        <v>1592.5</v>
      </c>
      <c r="T13" s="276">
        <v>61.29863208385148</v>
      </c>
      <c r="U13" s="277"/>
      <c r="V13" s="2555">
        <v>76.623290104814345</v>
      </c>
      <c r="W13" s="739" t="s">
        <v>1421</v>
      </c>
      <c r="X13" s="740">
        <v>68955.25</v>
      </c>
      <c r="Y13" s="1429">
        <v>10</v>
      </c>
      <c r="AG13" s="566">
        <v>455.36</v>
      </c>
      <c r="AH13" s="2971">
        <v>429.96519242847216</v>
      </c>
      <c r="AI13" s="2971">
        <v>25.054685038646582</v>
      </c>
    </row>
    <row r="14" spans="1:35" ht="18" customHeight="1">
      <c r="A14" s="1420"/>
      <c r="B14" s="103" t="s">
        <v>1422</v>
      </c>
      <c r="C14" s="7">
        <v>1310</v>
      </c>
      <c r="D14" s="8">
        <v>4.63</v>
      </c>
      <c r="E14" s="9">
        <v>6065</v>
      </c>
      <c r="F14" s="10">
        <v>441.30493376724507</v>
      </c>
      <c r="G14" s="4241">
        <v>25.689432770993108</v>
      </c>
      <c r="H14" s="4242">
        <v>25.695066232754925</v>
      </c>
      <c r="I14" s="4243">
        <v>0</v>
      </c>
      <c r="J14" s="97">
        <v>466.9</v>
      </c>
      <c r="K14" s="99">
        <v>0</v>
      </c>
      <c r="L14" s="3">
        <v>0</v>
      </c>
      <c r="M14" s="77">
        <v>22</v>
      </c>
      <c r="N14" s="77">
        <v>3</v>
      </c>
      <c r="O14" s="77">
        <v>12.99</v>
      </c>
      <c r="P14" s="276">
        <v>6065</v>
      </c>
      <c r="Q14" s="98">
        <v>5731.2942683047995</v>
      </c>
      <c r="R14" s="276">
        <v>333.70573169520048</v>
      </c>
      <c r="S14" s="276">
        <v>1401</v>
      </c>
      <c r="T14" s="276">
        <v>63.667856393029609</v>
      </c>
      <c r="U14" s="277"/>
      <c r="V14" s="2555">
        <v>79.584820491287005</v>
      </c>
      <c r="W14" s="739" t="s">
        <v>1422</v>
      </c>
      <c r="X14" s="740">
        <v>60663.3</v>
      </c>
      <c r="Y14" s="1429">
        <v>10</v>
      </c>
      <c r="AG14" s="566">
        <v>466.9</v>
      </c>
      <c r="AH14" s="2971">
        <v>441.30493376724507</v>
      </c>
      <c r="AI14" s="2971">
        <v>25.689432770993108</v>
      </c>
    </row>
    <row r="15" spans="1:35" ht="18" customHeight="1">
      <c r="A15" s="1420"/>
      <c r="B15" s="103" t="s">
        <v>1424</v>
      </c>
      <c r="C15" s="7">
        <v>1040</v>
      </c>
      <c r="D15" s="8">
        <v>4.63</v>
      </c>
      <c r="E15" s="9">
        <v>4815</v>
      </c>
      <c r="F15" s="10">
        <v>525.40801536314405</v>
      </c>
      <c r="G15" s="4241">
        <v>30.592238777988083</v>
      </c>
      <c r="H15" s="4242">
        <v>30.591984636855972</v>
      </c>
      <c r="I15" s="4243">
        <v>0</v>
      </c>
      <c r="J15" s="97">
        <v>556</v>
      </c>
      <c r="K15" s="99">
        <v>0</v>
      </c>
      <c r="L15" s="3">
        <v>0</v>
      </c>
      <c r="M15" s="77">
        <v>16</v>
      </c>
      <c r="N15" s="77">
        <v>2</v>
      </c>
      <c r="O15" s="77">
        <v>8.66</v>
      </c>
      <c r="P15" s="276">
        <v>4815</v>
      </c>
      <c r="Q15" s="98">
        <v>4550.0712121826236</v>
      </c>
      <c r="R15" s="276">
        <v>264.92878781737681</v>
      </c>
      <c r="S15" s="276">
        <v>1112</v>
      </c>
      <c r="T15" s="276">
        <v>69.500577367205537</v>
      </c>
      <c r="U15" s="277"/>
      <c r="V15" s="2555">
        <v>86.87572170900691</v>
      </c>
      <c r="W15" s="739" t="s">
        <v>1424</v>
      </c>
      <c r="X15" s="740">
        <v>48149.599999999999</v>
      </c>
      <c r="Y15" s="1429">
        <v>10</v>
      </c>
      <c r="AG15" s="566">
        <v>556</v>
      </c>
      <c r="AH15" s="2971">
        <v>525.40801536314405</v>
      </c>
      <c r="AI15" s="2971">
        <v>30.592238777988083</v>
      </c>
    </row>
    <row r="16" spans="1:35" ht="18" customHeight="1">
      <c r="A16" s="1420"/>
      <c r="B16" s="103" t="s">
        <v>1418</v>
      </c>
      <c r="C16" s="7">
        <v>1350</v>
      </c>
      <c r="D16" s="8">
        <v>4.63</v>
      </c>
      <c r="E16" s="9">
        <v>6251</v>
      </c>
      <c r="F16" s="10">
        <v>454.53463199581347</v>
      </c>
      <c r="G16" s="4241">
        <v>26.477270280540466</v>
      </c>
      <c r="H16" s="4242">
        <v>26.465368004186551</v>
      </c>
      <c r="I16" s="4243">
        <v>0</v>
      </c>
      <c r="J16" s="97">
        <v>481.22</v>
      </c>
      <c r="K16" s="99">
        <v>0</v>
      </c>
      <c r="L16" s="3">
        <v>0</v>
      </c>
      <c r="M16" s="77">
        <v>21</v>
      </c>
      <c r="N16" s="77">
        <v>3</v>
      </c>
      <c r="O16" s="77">
        <v>12.99</v>
      </c>
      <c r="P16" s="276">
        <v>6251</v>
      </c>
      <c r="Q16" s="98">
        <v>5907.0602590557792</v>
      </c>
      <c r="R16" s="276">
        <v>343.93974094422066</v>
      </c>
      <c r="S16" s="276">
        <v>1443</v>
      </c>
      <c r="T16" s="276">
        <v>68.745188606620474</v>
      </c>
      <c r="U16" s="277"/>
      <c r="V16" s="2555">
        <v>85.931485758275585</v>
      </c>
      <c r="W16" s="739" t="s">
        <v>1418</v>
      </c>
      <c r="X16" s="740">
        <v>62481.9</v>
      </c>
      <c r="Y16" s="1429">
        <v>10</v>
      </c>
      <c r="AG16" s="566">
        <v>481.22</v>
      </c>
      <c r="AH16" s="2971">
        <v>454.53463199581347</v>
      </c>
      <c r="AI16" s="2971">
        <v>26.477270280540466</v>
      </c>
    </row>
    <row r="17" spans="1:35" ht="18" customHeight="1">
      <c r="A17" s="1420"/>
      <c r="B17" s="103" t="s">
        <v>525</v>
      </c>
      <c r="C17" s="7" t="s">
        <v>525</v>
      </c>
      <c r="D17" s="8" t="s">
        <v>525</v>
      </c>
      <c r="E17" s="9" t="s">
        <v>525</v>
      </c>
      <c r="F17" s="10" t="s">
        <v>525</v>
      </c>
      <c r="G17" s="4241" t="s">
        <v>525</v>
      </c>
      <c r="H17" s="4242" t="s">
        <v>525</v>
      </c>
      <c r="I17" s="4243">
        <v>0</v>
      </c>
      <c r="J17" s="97" t="s">
        <v>525</v>
      </c>
      <c r="K17" s="99">
        <v>0</v>
      </c>
      <c r="L17" s="3">
        <v>0</v>
      </c>
      <c r="M17" s="77" t="s">
        <v>525</v>
      </c>
      <c r="N17" s="77" t="s">
        <v>525</v>
      </c>
      <c r="O17" s="77" t="s">
        <v>525</v>
      </c>
      <c r="P17" s="276" t="s">
        <v>525</v>
      </c>
      <c r="Q17" s="98" t="s">
        <v>525</v>
      </c>
      <c r="R17" s="276" t="s">
        <v>525</v>
      </c>
      <c r="S17" s="276" t="s">
        <v>525</v>
      </c>
      <c r="T17" s="276" t="s">
        <v>525</v>
      </c>
      <c r="U17" s="277"/>
      <c r="V17" s="2555" t="s">
        <v>525</v>
      </c>
      <c r="W17" s="739" t="s">
        <v>525</v>
      </c>
      <c r="X17" s="740" t="s">
        <v>525</v>
      </c>
      <c r="Y17" s="1429" t="s">
        <v>525</v>
      </c>
      <c r="AG17" s="566" t="s">
        <v>525</v>
      </c>
      <c r="AH17" s="2971" t="s">
        <v>525</v>
      </c>
      <c r="AI17" s="2971" t="s">
        <v>525</v>
      </c>
    </row>
    <row r="18" spans="1:35" ht="18" customHeight="1">
      <c r="A18" s="1420"/>
      <c r="B18" s="103" t="s">
        <v>1423</v>
      </c>
      <c r="C18" s="7">
        <v>1326.8851999999999</v>
      </c>
      <c r="D18" s="8">
        <v>4.63</v>
      </c>
      <c r="E18" s="9">
        <v>6143</v>
      </c>
      <c r="F18" s="10">
        <v>446.97480443663153</v>
      </c>
      <c r="G18" s="4241">
        <v>26.019816242738774</v>
      </c>
      <c r="H18" s="4242">
        <v>26.025195563368481</v>
      </c>
      <c r="I18" s="4243">
        <v>0</v>
      </c>
      <c r="J18" s="97">
        <v>472.9</v>
      </c>
      <c r="K18" s="99">
        <v>0</v>
      </c>
      <c r="L18" s="3">
        <v>0</v>
      </c>
      <c r="M18" s="77">
        <v>23.5</v>
      </c>
      <c r="N18" s="77">
        <v>3</v>
      </c>
      <c r="O18" s="77">
        <v>12.99</v>
      </c>
      <c r="P18" s="276">
        <v>6143</v>
      </c>
      <c r="Q18" s="98">
        <v>5805.002587006823</v>
      </c>
      <c r="R18" s="276">
        <v>337.99741299317668</v>
      </c>
      <c r="S18" s="276">
        <v>1419</v>
      </c>
      <c r="T18" s="276">
        <v>60.370497764237633</v>
      </c>
      <c r="U18" s="277"/>
      <c r="V18" s="2555">
        <v>75.46312220529704</v>
      </c>
      <c r="W18" s="739" t="s">
        <v>1423</v>
      </c>
      <c r="X18" s="740">
        <v>35841.575000000004</v>
      </c>
      <c r="Y18" s="1429">
        <v>5.8333333333333339</v>
      </c>
      <c r="AG18" s="566">
        <v>472.9</v>
      </c>
      <c r="AH18" s="2971">
        <v>446.97480443663153</v>
      </c>
      <c r="AI18" s="2971">
        <v>26.019816242738774</v>
      </c>
    </row>
    <row r="19" spans="1:35" ht="18" customHeight="1">
      <c r="A19" s="1420"/>
      <c r="B19" s="103" t="s">
        <v>1423</v>
      </c>
      <c r="C19" s="7">
        <v>1600</v>
      </c>
      <c r="D19" s="8">
        <v>4.63</v>
      </c>
      <c r="E19" s="9">
        <v>7408</v>
      </c>
      <c r="F19" s="10">
        <v>462.09445955499535</v>
      </c>
      <c r="G19" s="4241">
        <v>26.895392952658149</v>
      </c>
      <c r="H19" s="4242">
        <v>26.905540445004625</v>
      </c>
      <c r="I19" s="4243">
        <v>0</v>
      </c>
      <c r="J19" s="97">
        <v>488.82</v>
      </c>
      <c r="K19" s="99">
        <v>0</v>
      </c>
      <c r="L19" s="3">
        <v>0</v>
      </c>
      <c r="M19" s="77">
        <v>25.5</v>
      </c>
      <c r="N19" s="77">
        <v>3.5</v>
      </c>
      <c r="O19" s="77">
        <v>15.155000000000001</v>
      </c>
      <c r="P19" s="276">
        <v>7408</v>
      </c>
      <c r="Q19" s="98">
        <v>7000.4003198024657</v>
      </c>
      <c r="R19" s="276">
        <v>407.59968019753427</v>
      </c>
      <c r="S19" s="276">
        <v>1711.5</v>
      </c>
      <c r="T19" s="276">
        <v>67.092333469184439</v>
      </c>
      <c r="U19" s="277"/>
      <c r="V19" s="2555">
        <v>83.865416836480549</v>
      </c>
      <c r="W19" s="739" t="s">
        <v>1423</v>
      </c>
      <c r="X19" s="740">
        <v>30878.312500000004</v>
      </c>
      <c r="Y19" s="1429">
        <v>4.166666666666667</v>
      </c>
      <c r="AG19" s="566">
        <v>488.82</v>
      </c>
      <c r="AH19" s="2971">
        <v>462.09445955499535</v>
      </c>
      <c r="AI19" s="2971">
        <v>26.895392952658149</v>
      </c>
    </row>
    <row r="20" spans="1:35" ht="18" customHeight="1">
      <c r="A20" s="1420"/>
      <c r="B20" s="103" t="s">
        <v>525</v>
      </c>
      <c r="C20" s="7" t="s">
        <v>525</v>
      </c>
      <c r="D20" s="8" t="s">
        <v>525</v>
      </c>
      <c r="E20" s="9" t="s">
        <v>525</v>
      </c>
      <c r="F20" s="10" t="s">
        <v>525</v>
      </c>
      <c r="G20" s="4241" t="s">
        <v>525</v>
      </c>
      <c r="H20" s="4242" t="s">
        <v>525</v>
      </c>
      <c r="I20" s="4243">
        <v>0</v>
      </c>
      <c r="J20" s="97" t="s">
        <v>525</v>
      </c>
      <c r="K20" s="99">
        <v>0</v>
      </c>
      <c r="L20" s="3">
        <v>0</v>
      </c>
      <c r="M20" s="77" t="s">
        <v>525</v>
      </c>
      <c r="N20" s="77" t="s">
        <v>525</v>
      </c>
      <c r="O20" s="77" t="s">
        <v>525</v>
      </c>
      <c r="P20" s="276" t="s">
        <v>525</v>
      </c>
      <c r="Q20" s="98" t="s">
        <v>525</v>
      </c>
      <c r="R20" s="276" t="s">
        <v>525</v>
      </c>
      <c r="S20" s="276" t="s">
        <v>525</v>
      </c>
      <c r="T20" s="276" t="s">
        <v>525</v>
      </c>
      <c r="U20" s="277"/>
      <c r="V20" s="2555" t="s">
        <v>525</v>
      </c>
      <c r="W20" s="739" t="s">
        <v>525</v>
      </c>
      <c r="X20" s="740" t="s">
        <v>525</v>
      </c>
      <c r="Y20" s="1429" t="s">
        <v>525</v>
      </c>
      <c r="AG20" s="566" t="s">
        <v>525</v>
      </c>
      <c r="AH20" s="2971" t="s">
        <v>525</v>
      </c>
      <c r="AI20" s="2971" t="s">
        <v>525</v>
      </c>
    </row>
    <row r="21" spans="1:35" ht="18" customHeight="1">
      <c r="A21" s="1420"/>
      <c r="B21" s="103" t="s">
        <v>525</v>
      </c>
      <c r="C21" s="7" t="s">
        <v>525</v>
      </c>
      <c r="D21" s="8" t="s">
        <v>525</v>
      </c>
      <c r="E21" s="9" t="s">
        <v>525</v>
      </c>
      <c r="F21" s="10" t="s">
        <v>525</v>
      </c>
      <c r="G21" s="4241" t="s">
        <v>525</v>
      </c>
      <c r="H21" s="4242" t="s">
        <v>525</v>
      </c>
      <c r="I21" s="4243">
        <v>0</v>
      </c>
      <c r="J21" s="97" t="s">
        <v>525</v>
      </c>
      <c r="K21" s="99">
        <v>0</v>
      </c>
      <c r="L21" s="3">
        <v>0</v>
      </c>
      <c r="M21" s="77" t="s">
        <v>525</v>
      </c>
      <c r="N21" s="77" t="s">
        <v>525</v>
      </c>
      <c r="O21" s="77" t="s">
        <v>525</v>
      </c>
      <c r="P21" s="276" t="s">
        <v>525</v>
      </c>
      <c r="Q21" s="98" t="s">
        <v>525</v>
      </c>
      <c r="R21" s="276" t="s">
        <v>525</v>
      </c>
      <c r="S21" s="276" t="s">
        <v>525</v>
      </c>
      <c r="T21" s="276" t="s">
        <v>525</v>
      </c>
      <c r="U21" s="277"/>
      <c r="V21" s="2555" t="s">
        <v>525</v>
      </c>
      <c r="W21" s="739" t="s">
        <v>525</v>
      </c>
      <c r="X21" s="740" t="s">
        <v>525</v>
      </c>
      <c r="Y21" s="1429" t="s">
        <v>525</v>
      </c>
      <c r="AG21" s="566" t="s">
        <v>525</v>
      </c>
      <c r="AH21" s="2971" t="s">
        <v>525</v>
      </c>
      <c r="AI21" s="2971" t="s">
        <v>525</v>
      </c>
    </row>
    <row r="22" spans="1:35" ht="18" customHeight="1">
      <c r="A22" s="1420"/>
      <c r="B22" s="103" t="s">
        <v>525</v>
      </c>
      <c r="C22" s="7" t="s">
        <v>525</v>
      </c>
      <c r="D22" s="8" t="s">
        <v>525</v>
      </c>
      <c r="E22" s="9" t="s">
        <v>525</v>
      </c>
      <c r="F22" s="10" t="s">
        <v>525</v>
      </c>
      <c r="G22" s="4241" t="s">
        <v>525</v>
      </c>
      <c r="H22" s="4242" t="s">
        <v>525</v>
      </c>
      <c r="I22" s="4243">
        <v>0</v>
      </c>
      <c r="J22" s="97" t="s">
        <v>525</v>
      </c>
      <c r="K22" s="99">
        <v>0</v>
      </c>
      <c r="L22" s="3">
        <v>0</v>
      </c>
      <c r="M22" s="77" t="s">
        <v>525</v>
      </c>
      <c r="N22" s="77" t="s">
        <v>525</v>
      </c>
      <c r="O22" s="77" t="s">
        <v>525</v>
      </c>
      <c r="P22" s="276" t="s">
        <v>525</v>
      </c>
      <c r="Q22" s="98" t="s">
        <v>525</v>
      </c>
      <c r="R22" s="276" t="s">
        <v>525</v>
      </c>
      <c r="S22" s="276" t="s">
        <v>525</v>
      </c>
      <c r="T22" s="276" t="s">
        <v>525</v>
      </c>
      <c r="U22" s="277"/>
      <c r="V22" s="2555" t="s">
        <v>525</v>
      </c>
      <c r="W22" s="739" t="s">
        <v>525</v>
      </c>
      <c r="X22" s="740" t="s">
        <v>525</v>
      </c>
      <c r="Y22" s="1429" t="s">
        <v>525</v>
      </c>
      <c r="AG22" s="566" t="s">
        <v>525</v>
      </c>
      <c r="AH22" s="2971" t="s">
        <v>525</v>
      </c>
      <c r="AI22" s="2971" t="s">
        <v>525</v>
      </c>
    </row>
    <row r="23" spans="1:35" ht="18" customHeight="1">
      <c r="A23" s="1420"/>
      <c r="B23" s="103" t="s">
        <v>525</v>
      </c>
      <c r="C23" s="7" t="s">
        <v>525</v>
      </c>
      <c r="D23" s="8" t="s">
        <v>525</v>
      </c>
      <c r="E23" s="9" t="s">
        <v>525</v>
      </c>
      <c r="F23" s="10" t="s">
        <v>525</v>
      </c>
      <c r="G23" s="4241" t="s">
        <v>525</v>
      </c>
      <c r="H23" s="4242" t="s">
        <v>525</v>
      </c>
      <c r="I23" s="4243">
        <v>0</v>
      </c>
      <c r="J23" s="97" t="s">
        <v>525</v>
      </c>
      <c r="K23" s="99">
        <v>0</v>
      </c>
      <c r="L23" s="3">
        <v>0</v>
      </c>
      <c r="M23" s="77" t="s">
        <v>525</v>
      </c>
      <c r="N23" s="77" t="s">
        <v>525</v>
      </c>
      <c r="O23" s="77" t="s">
        <v>525</v>
      </c>
      <c r="P23" s="276" t="s">
        <v>525</v>
      </c>
      <c r="Q23" s="98" t="s">
        <v>525</v>
      </c>
      <c r="R23" s="276" t="s">
        <v>525</v>
      </c>
      <c r="S23" s="276" t="s">
        <v>525</v>
      </c>
      <c r="T23" s="276" t="s">
        <v>525</v>
      </c>
      <c r="U23" s="277"/>
      <c r="V23" s="2555" t="s">
        <v>525</v>
      </c>
      <c r="W23" s="739" t="s">
        <v>525</v>
      </c>
      <c r="X23" s="740" t="s">
        <v>525</v>
      </c>
      <c r="Y23" s="1429" t="s">
        <v>525</v>
      </c>
      <c r="Z23" s="2" t="s">
        <v>77</v>
      </c>
      <c r="AG23" s="566" t="s">
        <v>525</v>
      </c>
      <c r="AH23" s="2971" t="s">
        <v>525</v>
      </c>
      <c r="AI23" s="2971" t="s">
        <v>525</v>
      </c>
    </row>
    <row r="24" spans="1:35" ht="18" customHeight="1">
      <c r="A24" s="1420"/>
      <c r="B24" s="103" t="s">
        <v>525</v>
      </c>
      <c r="C24" s="7" t="s">
        <v>525</v>
      </c>
      <c r="D24" s="8" t="s">
        <v>525</v>
      </c>
      <c r="E24" s="9" t="s">
        <v>525</v>
      </c>
      <c r="F24" s="10" t="s">
        <v>525</v>
      </c>
      <c r="G24" s="4241" t="s">
        <v>525</v>
      </c>
      <c r="H24" s="4242" t="s">
        <v>525</v>
      </c>
      <c r="I24" s="4243">
        <v>0</v>
      </c>
      <c r="J24" s="97" t="s">
        <v>525</v>
      </c>
      <c r="K24" s="99">
        <v>0</v>
      </c>
      <c r="L24" s="3">
        <v>0</v>
      </c>
      <c r="M24" s="77" t="s">
        <v>525</v>
      </c>
      <c r="N24" s="77" t="s">
        <v>525</v>
      </c>
      <c r="O24" s="77" t="s">
        <v>525</v>
      </c>
      <c r="P24" s="276" t="s">
        <v>525</v>
      </c>
      <c r="Q24" s="98" t="s">
        <v>525</v>
      </c>
      <c r="R24" s="276" t="s">
        <v>525</v>
      </c>
      <c r="S24" s="276" t="s">
        <v>525</v>
      </c>
      <c r="T24" s="276" t="s">
        <v>525</v>
      </c>
      <c r="U24" s="277"/>
      <c r="V24" s="2555" t="s">
        <v>525</v>
      </c>
      <c r="W24" s="739" t="s">
        <v>525</v>
      </c>
      <c r="X24" s="740" t="s">
        <v>525</v>
      </c>
      <c r="Y24" s="1429" t="s">
        <v>525</v>
      </c>
      <c r="Z24" s="14" t="s">
        <v>78</v>
      </c>
      <c r="AG24" s="566" t="s">
        <v>525</v>
      </c>
      <c r="AH24" s="2971" t="s">
        <v>525</v>
      </c>
      <c r="AI24" s="2971" t="s">
        <v>525</v>
      </c>
    </row>
    <row r="25" spans="1:35" ht="18" customHeight="1">
      <c r="A25" s="1420"/>
      <c r="B25" s="103" t="s">
        <v>525</v>
      </c>
      <c r="C25" s="7" t="s">
        <v>525</v>
      </c>
      <c r="D25" s="8" t="s">
        <v>525</v>
      </c>
      <c r="E25" s="9" t="s">
        <v>525</v>
      </c>
      <c r="F25" s="10" t="s">
        <v>525</v>
      </c>
      <c r="G25" s="4241" t="s">
        <v>525</v>
      </c>
      <c r="H25" s="4242" t="s">
        <v>525</v>
      </c>
      <c r="I25" s="4243">
        <v>0</v>
      </c>
      <c r="J25" s="97" t="s">
        <v>525</v>
      </c>
      <c r="K25" s="99">
        <v>0</v>
      </c>
      <c r="L25" s="3">
        <v>0</v>
      </c>
      <c r="M25" s="77" t="s">
        <v>525</v>
      </c>
      <c r="N25" s="77" t="s">
        <v>525</v>
      </c>
      <c r="O25" s="77" t="s">
        <v>525</v>
      </c>
      <c r="P25" s="276" t="s">
        <v>525</v>
      </c>
      <c r="Q25" s="98" t="s">
        <v>525</v>
      </c>
      <c r="R25" s="276" t="s">
        <v>525</v>
      </c>
      <c r="S25" s="276" t="s">
        <v>525</v>
      </c>
      <c r="T25" s="276" t="s">
        <v>525</v>
      </c>
      <c r="U25" s="277"/>
      <c r="V25" s="2555" t="s">
        <v>525</v>
      </c>
      <c r="W25" s="739" t="s">
        <v>525</v>
      </c>
      <c r="X25" s="740" t="s">
        <v>525</v>
      </c>
      <c r="Y25" s="1429" t="s">
        <v>525</v>
      </c>
      <c r="Z25" s="11" t="s">
        <v>79</v>
      </c>
      <c r="AG25" s="566" t="s">
        <v>525</v>
      </c>
      <c r="AH25" s="2971" t="s">
        <v>525</v>
      </c>
      <c r="AI25" s="2971" t="s">
        <v>525</v>
      </c>
    </row>
    <row r="26" spans="1:35" ht="18" customHeight="1">
      <c r="A26" s="1420"/>
      <c r="B26" s="103" t="s">
        <v>525</v>
      </c>
      <c r="C26" s="7" t="s">
        <v>525</v>
      </c>
      <c r="D26" s="8" t="s">
        <v>525</v>
      </c>
      <c r="E26" s="9" t="s">
        <v>525</v>
      </c>
      <c r="F26" s="10" t="s">
        <v>525</v>
      </c>
      <c r="G26" s="4241" t="s">
        <v>525</v>
      </c>
      <c r="H26" s="4242" t="s">
        <v>525</v>
      </c>
      <c r="I26" s="4243">
        <v>0</v>
      </c>
      <c r="J26" s="97" t="s">
        <v>525</v>
      </c>
      <c r="K26" s="99">
        <v>0</v>
      </c>
      <c r="L26" s="3">
        <v>0</v>
      </c>
      <c r="M26" s="77" t="s">
        <v>525</v>
      </c>
      <c r="N26" s="77" t="s">
        <v>525</v>
      </c>
      <c r="O26" s="77" t="s">
        <v>525</v>
      </c>
      <c r="P26" s="276" t="s">
        <v>525</v>
      </c>
      <c r="Q26" s="98" t="s">
        <v>525</v>
      </c>
      <c r="R26" s="276" t="s">
        <v>525</v>
      </c>
      <c r="S26" s="276" t="s">
        <v>525</v>
      </c>
      <c r="T26" s="276" t="s">
        <v>525</v>
      </c>
      <c r="U26" s="277"/>
      <c r="V26" s="2555" t="s">
        <v>525</v>
      </c>
      <c r="W26" s="739" t="s">
        <v>525</v>
      </c>
      <c r="X26" s="740" t="s">
        <v>525</v>
      </c>
      <c r="Y26" s="1429" t="s">
        <v>525</v>
      </c>
      <c r="AG26" s="566" t="s">
        <v>525</v>
      </c>
      <c r="AH26" s="2971" t="s">
        <v>525</v>
      </c>
      <c r="AI26" s="2971" t="s">
        <v>525</v>
      </c>
    </row>
    <row r="27" spans="1:35" ht="18" customHeight="1">
      <c r="B27" s="182"/>
      <c r="C27" s="349"/>
      <c r="D27" s="226"/>
      <c r="E27" s="9"/>
      <c r="F27" s="10"/>
      <c r="G27" s="4241"/>
      <c r="H27" s="4242"/>
      <c r="I27" s="4243"/>
      <c r="J27" s="96"/>
      <c r="K27" s="99"/>
      <c r="M27" s="77"/>
      <c r="N27" s="77"/>
      <c r="O27" s="77"/>
      <c r="P27" s="276"/>
      <c r="Q27" s="98"/>
      <c r="R27" s="276"/>
      <c r="S27" s="276"/>
      <c r="T27" s="276"/>
      <c r="U27" s="277"/>
      <c r="V27" s="2555"/>
      <c r="W27" s="739"/>
      <c r="X27" s="740">
        <v>506136.33750000002</v>
      </c>
      <c r="Y27" s="741"/>
      <c r="AG27" s="566">
        <v>0</v>
      </c>
      <c r="AH27" s="2971">
        <v>0</v>
      </c>
      <c r="AI27" s="2971">
        <v>0</v>
      </c>
    </row>
    <row r="28" spans="1:35" ht="16.5" customHeight="1">
      <c r="B28" s="182"/>
      <c r="C28" s="349"/>
      <c r="D28" s="226"/>
      <c r="E28" s="9"/>
      <c r="F28" s="10"/>
      <c r="G28" s="4237"/>
      <c r="H28" s="4238"/>
      <c r="I28" s="4239"/>
      <c r="J28" s="96"/>
      <c r="K28" s="99"/>
      <c r="M28" s="77"/>
      <c r="N28" s="77"/>
      <c r="O28" s="77"/>
      <c r="P28" s="276"/>
      <c r="Q28" s="98"/>
      <c r="R28" s="276"/>
      <c r="S28" s="276"/>
      <c r="T28" s="276"/>
      <c r="U28" s="277"/>
      <c r="V28" s="2555"/>
      <c r="W28" s="739"/>
      <c r="X28" s="740"/>
      <c r="Y28" s="741"/>
      <c r="AG28" s="566">
        <v>0</v>
      </c>
      <c r="AH28" s="2971">
        <v>0</v>
      </c>
      <c r="AI28" s="2971">
        <v>0</v>
      </c>
    </row>
    <row r="29" spans="1:35" ht="16.5" customHeight="1">
      <c r="F29" s="57" t="s">
        <v>298</v>
      </c>
      <c r="G29" s="58"/>
      <c r="H29" s="380">
        <v>5.5</v>
      </c>
      <c r="I29" s="12"/>
      <c r="K29" s="2"/>
      <c r="T29" s="152"/>
      <c r="V29" s="168"/>
      <c r="Y29" s="15"/>
      <c r="AG29" s="566">
        <v>0</v>
      </c>
      <c r="AH29" s="2971" t="s">
        <v>298</v>
      </c>
      <c r="AI29" s="2971">
        <v>0</v>
      </c>
    </row>
    <row r="30" spans="1:35" s="15" customFormat="1" ht="16.5" customHeight="1">
      <c r="C30" s="4240"/>
      <c r="D30" s="4240"/>
      <c r="G30" s="14"/>
      <c r="H30" s="14"/>
      <c r="I30" s="14"/>
      <c r="K30" s="14"/>
      <c r="T30" s="23"/>
      <c r="V30" s="168"/>
      <c r="AG30" s="566">
        <v>0</v>
      </c>
      <c r="AH30" s="2971">
        <v>0</v>
      </c>
      <c r="AI30" s="2971">
        <v>0</v>
      </c>
    </row>
    <row r="31" spans="1:35" s="15" customFormat="1" ht="18" customHeight="1">
      <c r="A31" s="725"/>
      <c r="B31" s="103" t="s">
        <v>525</v>
      </c>
      <c r="C31" s="709" t="s">
        <v>525</v>
      </c>
      <c r="D31" s="710" t="s">
        <v>525</v>
      </c>
      <c r="E31" s="711" t="s">
        <v>525</v>
      </c>
      <c r="F31" s="708" t="s">
        <v>525</v>
      </c>
      <c r="G31" s="4241" t="s">
        <v>525</v>
      </c>
      <c r="H31" s="4242" t="s">
        <v>525</v>
      </c>
      <c r="I31" s="4243">
        <v>0</v>
      </c>
      <c r="J31" s="97" t="s">
        <v>525</v>
      </c>
      <c r="K31" s="712">
        <v>0</v>
      </c>
      <c r="L31" s="107">
        <v>0</v>
      </c>
      <c r="M31" s="713" t="s">
        <v>525</v>
      </c>
      <c r="N31" s="713" t="s">
        <v>525</v>
      </c>
      <c r="O31" s="713" t="s">
        <v>525</v>
      </c>
      <c r="P31" s="714" t="s">
        <v>525</v>
      </c>
      <c r="Q31" s="715" t="s">
        <v>525</v>
      </c>
      <c r="R31" s="714" t="s">
        <v>525</v>
      </c>
      <c r="S31" s="714" t="s">
        <v>525</v>
      </c>
      <c r="T31" s="714" t="s">
        <v>525</v>
      </c>
      <c r="U31" s="716"/>
      <c r="V31" s="741" t="s">
        <v>525</v>
      </c>
      <c r="W31" s="739" t="s">
        <v>525</v>
      </c>
      <c r="X31" s="740" t="s">
        <v>525</v>
      </c>
      <c r="Y31" s="1429" t="s">
        <v>525</v>
      </c>
      <c r="AG31" s="566" t="s">
        <v>525</v>
      </c>
      <c r="AH31" s="2971" t="s">
        <v>525</v>
      </c>
      <c r="AI31" s="2971" t="s">
        <v>525</v>
      </c>
    </row>
    <row r="32" spans="1:35" s="15" customFormat="1" ht="18" customHeight="1">
      <c r="A32" s="725"/>
      <c r="B32" s="103" t="s">
        <v>525</v>
      </c>
      <c r="C32" s="7" t="s">
        <v>525</v>
      </c>
      <c r="D32" s="8" t="s">
        <v>525</v>
      </c>
      <c r="E32" s="9" t="s">
        <v>525</v>
      </c>
      <c r="F32" s="10" t="s">
        <v>525</v>
      </c>
      <c r="G32" s="4241" t="s">
        <v>525</v>
      </c>
      <c r="H32" s="4242" t="s">
        <v>525</v>
      </c>
      <c r="I32" s="4243">
        <v>0</v>
      </c>
      <c r="J32" s="97" t="s">
        <v>525</v>
      </c>
      <c r="K32" s="99">
        <v>0</v>
      </c>
      <c r="L32" s="3">
        <v>0</v>
      </c>
      <c r="M32" s="77" t="s">
        <v>525</v>
      </c>
      <c r="N32" s="77" t="s">
        <v>525</v>
      </c>
      <c r="O32" s="77" t="s">
        <v>525</v>
      </c>
      <c r="P32" s="276" t="s">
        <v>525</v>
      </c>
      <c r="Q32" s="98" t="s">
        <v>525</v>
      </c>
      <c r="R32" s="276" t="s">
        <v>525</v>
      </c>
      <c r="S32" s="276" t="s">
        <v>525</v>
      </c>
      <c r="T32" s="276" t="s">
        <v>525</v>
      </c>
      <c r="U32" s="277"/>
      <c r="V32" s="741" t="s">
        <v>525</v>
      </c>
      <c r="W32" s="739" t="s">
        <v>525</v>
      </c>
      <c r="X32" s="740" t="s">
        <v>525</v>
      </c>
      <c r="Y32" s="1429" t="s">
        <v>525</v>
      </c>
      <c r="AG32" s="566" t="s">
        <v>525</v>
      </c>
      <c r="AH32" s="2971" t="s">
        <v>525</v>
      </c>
      <c r="AI32" s="2971" t="s">
        <v>525</v>
      </c>
    </row>
    <row r="33" spans="1:36" s="15" customFormat="1" ht="18" customHeight="1">
      <c r="A33" s="725"/>
      <c r="B33" s="103" t="s">
        <v>525</v>
      </c>
      <c r="C33" s="7" t="s">
        <v>525</v>
      </c>
      <c r="D33" s="8" t="s">
        <v>525</v>
      </c>
      <c r="E33" s="9" t="s">
        <v>525</v>
      </c>
      <c r="F33" s="10" t="s">
        <v>525</v>
      </c>
      <c r="G33" s="4241" t="s">
        <v>525</v>
      </c>
      <c r="H33" s="4242" t="s">
        <v>525</v>
      </c>
      <c r="I33" s="4243">
        <v>0</v>
      </c>
      <c r="J33" s="97" t="s">
        <v>525</v>
      </c>
      <c r="K33" s="99">
        <v>0</v>
      </c>
      <c r="L33" s="3">
        <v>0</v>
      </c>
      <c r="M33" s="77" t="s">
        <v>525</v>
      </c>
      <c r="N33" s="77" t="s">
        <v>525</v>
      </c>
      <c r="O33" s="77" t="s">
        <v>525</v>
      </c>
      <c r="P33" s="276" t="s">
        <v>525</v>
      </c>
      <c r="Q33" s="98" t="s">
        <v>525</v>
      </c>
      <c r="R33" s="276" t="s">
        <v>525</v>
      </c>
      <c r="S33" s="276" t="s">
        <v>525</v>
      </c>
      <c r="T33" s="276" t="s">
        <v>525</v>
      </c>
      <c r="U33" s="277"/>
      <c r="V33" s="741" t="s">
        <v>525</v>
      </c>
      <c r="W33" s="739" t="s">
        <v>525</v>
      </c>
      <c r="X33" s="740" t="s">
        <v>525</v>
      </c>
      <c r="Y33" s="1429" t="s">
        <v>525</v>
      </c>
      <c r="AG33" s="566" t="s">
        <v>525</v>
      </c>
      <c r="AH33" s="2971" t="s">
        <v>525</v>
      </c>
      <c r="AI33" s="2971" t="s">
        <v>525</v>
      </c>
    </row>
    <row r="34" spans="1:36" s="15" customFormat="1" ht="18" customHeight="1">
      <c r="A34" s="725"/>
      <c r="B34" s="103" t="s">
        <v>525</v>
      </c>
      <c r="C34" s="7" t="s">
        <v>525</v>
      </c>
      <c r="D34" s="8" t="s">
        <v>525</v>
      </c>
      <c r="E34" s="9" t="s">
        <v>525</v>
      </c>
      <c r="F34" s="10" t="s">
        <v>525</v>
      </c>
      <c r="G34" s="4241" t="s">
        <v>525</v>
      </c>
      <c r="H34" s="4242" t="s">
        <v>525</v>
      </c>
      <c r="I34" s="4243">
        <v>0</v>
      </c>
      <c r="J34" s="97" t="s">
        <v>525</v>
      </c>
      <c r="K34" s="99">
        <v>0</v>
      </c>
      <c r="L34" s="3">
        <v>0</v>
      </c>
      <c r="M34" s="77" t="s">
        <v>525</v>
      </c>
      <c r="N34" s="77" t="s">
        <v>525</v>
      </c>
      <c r="O34" s="77" t="s">
        <v>525</v>
      </c>
      <c r="P34" s="276" t="s">
        <v>525</v>
      </c>
      <c r="Q34" s="98" t="s">
        <v>525</v>
      </c>
      <c r="R34" s="276" t="s">
        <v>525</v>
      </c>
      <c r="S34" s="276" t="s">
        <v>525</v>
      </c>
      <c r="T34" s="276" t="s">
        <v>525</v>
      </c>
      <c r="U34" s="277"/>
      <c r="V34" s="741" t="s">
        <v>525</v>
      </c>
      <c r="W34" s="739" t="s">
        <v>525</v>
      </c>
      <c r="X34" s="740" t="s">
        <v>525</v>
      </c>
      <c r="Y34" s="1429" t="s">
        <v>525</v>
      </c>
      <c r="AG34" s="566" t="s">
        <v>525</v>
      </c>
      <c r="AH34" s="2971" t="s">
        <v>525</v>
      </c>
      <c r="AI34" s="2971" t="s">
        <v>525</v>
      </c>
    </row>
    <row r="35" spans="1:36" s="15" customFormat="1" ht="18" customHeight="1">
      <c r="A35" s="725"/>
      <c r="B35" s="103" t="s">
        <v>525</v>
      </c>
      <c r="C35" s="7" t="s">
        <v>525</v>
      </c>
      <c r="D35" s="8" t="s">
        <v>525</v>
      </c>
      <c r="E35" s="9" t="s">
        <v>525</v>
      </c>
      <c r="F35" s="10" t="s">
        <v>525</v>
      </c>
      <c r="G35" s="4241" t="s">
        <v>525</v>
      </c>
      <c r="H35" s="4242" t="s">
        <v>525</v>
      </c>
      <c r="I35" s="4243">
        <v>0</v>
      </c>
      <c r="J35" s="97" t="s">
        <v>525</v>
      </c>
      <c r="K35" s="99">
        <v>0</v>
      </c>
      <c r="L35" s="3">
        <v>0</v>
      </c>
      <c r="M35" s="77" t="s">
        <v>525</v>
      </c>
      <c r="N35" s="77" t="s">
        <v>525</v>
      </c>
      <c r="O35" s="77" t="s">
        <v>525</v>
      </c>
      <c r="P35" s="276" t="s">
        <v>525</v>
      </c>
      <c r="Q35" s="98" t="s">
        <v>525</v>
      </c>
      <c r="R35" s="276" t="s">
        <v>525</v>
      </c>
      <c r="S35" s="276" t="s">
        <v>525</v>
      </c>
      <c r="T35" s="276" t="s">
        <v>525</v>
      </c>
      <c r="U35" s="277"/>
      <c r="V35" s="741" t="s">
        <v>525</v>
      </c>
      <c r="W35" s="739" t="s">
        <v>525</v>
      </c>
      <c r="X35" s="740" t="s">
        <v>525</v>
      </c>
      <c r="Y35" s="1429" t="s">
        <v>525</v>
      </c>
      <c r="AG35" s="566" t="s">
        <v>525</v>
      </c>
      <c r="AH35" s="2971" t="s">
        <v>525</v>
      </c>
      <c r="AI35" s="2971" t="s">
        <v>525</v>
      </c>
    </row>
    <row r="36" spans="1:36" s="15" customFormat="1" ht="18" customHeight="1">
      <c r="A36" s="725"/>
      <c r="B36" s="103" t="s">
        <v>525</v>
      </c>
      <c r="C36" s="7" t="s">
        <v>525</v>
      </c>
      <c r="D36" s="8" t="s">
        <v>525</v>
      </c>
      <c r="E36" s="9" t="s">
        <v>525</v>
      </c>
      <c r="F36" s="10" t="s">
        <v>525</v>
      </c>
      <c r="G36" s="4241" t="s">
        <v>525</v>
      </c>
      <c r="H36" s="4242" t="s">
        <v>525</v>
      </c>
      <c r="I36" s="4243">
        <v>0</v>
      </c>
      <c r="J36" s="97" t="s">
        <v>525</v>
      </c>
      <c r="K36" s="99">
        <v>0</v>
      </c>
      <c r="L36" s="3">
        <v>0</v>
      </c>
      <c r="M36" s="77" t="s">
        <v>525</v>
      </c>
      <c r="N36" s="77" t="s">
        <v>525</v>
      </c>
      <c r="O36" s="77" t="s">
        <v>525</v>
      </c>
      <c r="P36" s="276" t="s">
        <v>525</v>
      </c>
      <c r="Q36" s="98" t="s">
        <v>525</v>
      </c>
      <c r="R36" s="276" t="s">
        <v>525</v>
      </c>
      <c r="S36" s="276" t="s">
        <v>525</v>
      </c>
      <c r="T36" s="276" t="s">
        <v>525</v>
      </c>
      <c r="U36" s="277"/>
      <c r="V36" s="741" t="s">
        <v>525</v>
      </c>
      <c r="W36" s="739" t="s">
        <v>525</v>
      </c>
      <c r="X36" s="740" t="s">
        <v>525</v>
      </c>
      <c r="Y36" s="1429" t="s">
        <v>525</v>
      </c>
      <c r="AG36" s="566" t="s">
        <v>525</v>
      </c>
      <c r="AH36" s="2971" t="s">
        <v>525</v>
      </c>
      <c r="AI36" s="2971" t="s">
        <v>525</v>
      </c>
    </row>
    <row r="37" spans="1:36" s="15" customFormat="1" ht="18" customHeight="1">
      <c r="A37" s="725"/>
      <c r="B37" s="103" t="s">
        <v>525</v>
      </c>
      <c r="C37" s="7" t="s">
        <v>525</v>
      </c>
      <c r="D37" s="8" t="s">
        <v>525</v>
      </c>
      <c r="E37" s="9" t="s">
        <v>525</v>
      </c>
      <c r="F37" s="10" t="s">
        <v>525</v>
      </c>
      <c r="G37" s="4241" t="s">
        <v>525</v>
      </c>
      <c r="H37" s="4242" t="s">
        <v>525</v>
      </c>
      <c r="I37" s="4243">
        <v>0</v>
      </c>
      <c r="J37" s="97" t="s">
        <v>525</v>
      </c>
      <c r="K37" s="99">
        <v>0</v>
      </c>
      <c r="L37" s="3">
        <v>0</v>
      </c>
      <c r="M37" s="77" t="s">
        <v>525</v>
      </c>
      <c r="N37" s="77" t="s">
        <v>525</v>
      </c>
      <c r="O37" s="77" t="s">
        <v>525</v>
      </c>
      <c r="P37" s="276" t="s">
        <v>525</v>
      </c>
      <c r="Q37" s="98" t="s">
        <v>525</v>
      </c>
      <c r="R37" s="276" t="s">
        <v>525</v>
      </c>
      <c r="S37" s="276" t="s">
        <v>525</v>
      </c>
      <c r="T37" s="276" t="s">
        <v>525</v>
      </c>
      <c r="U37" s="277"/>
      <c r="V37" s="741" t="s">
        <v>525</v>
      </c>
      <c r="W37" s="739" t="s">
        <v>525</v>
      </c>
      <c r="X37" s="740" t="s">
        <v>525</v>
      </c>
      <c r="Y37" s="1429" t="s">
        <v>525</v>
      </c>
      <c r="AG37" s="566" t="s">
        <v>525</v>
      </c>
      <c r="AH37" s="2971" t="s">
        <v>525</v>
      </c>
      <c r="AI37" s="2971" t="s">
        <v>525</v>
      </c>
    </row>
    <row r="38" spans="1:36" s="15" customFormat="1" ht="18" customHeight="1">
      <c r="A38" s="725"/>
      <c r="B38" s="103" t="s">
        <v>525</v>
      </c>
      <c r="C38" s="7" t="s">
        <v>525</v>
      </c>
      <c r="D38" s="8" t="s">
        <v>525</v>
      </c>
      <c r="E38" s="9" t="s">
        <v>525</v>
      </c>
      <c r="F38" s="10" t="s">
        <v>525</v>
      </c>
      <c r="G38" s="4241" t="s">
        <v>525</v>
      </c>
      <c r="H38" s="4242" t="s">
        <v>525</v>
      </c>
      <c r="I38" s="4243">
        <v>0</v>
      </c>
      <c r="J38" s="97" t="s">
        <v>525</v>
      </c>
      <c r="K38" s="99">
        <v>0</v>
      </c>
      <c r="L38" s="3">
        <v>0</v>
      </c>
      <c r="M38" s="77" t="s">
        <v>525</v>
      </c>
      <c r="N38" s="77" t="s">
        <v>525</v>
      </c>
      <c r="O38" s="77" t="s">
        <v>525</v>
      </c>
      <c r="P38" s="276" t="s">
        <v>525</v>
      </c>
      <c r="Q38" s="98" t="s">
        <v>525</v>
      </c>
      <c r="R38" s="276" t="s">
        <v>525</v>
      </c>
      <c r="S38" s="276" t="s">
        <v>525</v>
      </c>
      <c r="T38" s="276" t="s">
        <v>525</v>
      </c>
      <c r="U38" s="277"/>
      <c r="V38" s="741" t="s">
        <v>525</v>
      </c>
      <c r="W38" s="739" t="s">
        <v>525</v>
      </c>
      <c r="X38" s="740" t="s">
        <v>525</v>
      </c>
      <c r="Y38" s="1429" t="s">
        <v>525</v>
      </c>
      <c r="AG38" s="566" t="s">
        <v>525</v>
      </c>
      <c r="AH38" s="2971" t="s">
        <v>525</v>
      </c>
      <c r="AI38" s="2971" t="s">
        <v>525</v>
      </c>
    </row>
    <row r="39" spans="1:36" s="15" customFormat="1" ht="18" customHeight="1">
      <c r="A39" s="725"/>
      <c r="B39" s="103" t="s">
        <v>525</v>
      </c>
      <c r="C39" s="7" t="s">
        <v>525</v>
      </c>
      <c r="D39" s="8" t="s">
        <v>525</v>
      </c>
      <c r="E39" s="9" t="s">
        <v>525</v>
      </c>
      <c r="F39" s="10" t="s">
        <v>525</v>
      </c>
      <c r="G39" s="4241" t="s">
        <v>525</v>
      </c>
      <c r="H39" s="4242" t="s">
        <v>525</v>
      </c>
      <c r="I39" s="4243">
        <v>0</v>
      </c>
      <c r="J39" s="97" t="s">
        <v>525</v>
      </c>
      <c r="K39" s="99">
        <v>0</v>
      </c>
      <c r="L39" s="3">
        <v>0</v>
      </c>
      <c r="M39" s="77" t="s">
        <v>525</v>
      </c>
      <c r="N39" s="77" t="s">
        <v>525</v>
      </c>
      <c r="O39" s="77" t="s">
        <v>525</v>
      </c>
      <c r="P39" s="276" t="s">
        <v>525</v>
      </c>
      <c r="Q39" s="98" t="s">
        <v>525</v>
      </c>
      <c r="R39" s="276" t="s">
        <v>525</v>
      </c>
      <c r="S39" s="276" t="s">
        <v>525</v>
      </c>
      <c r="T39" s="276" t="s">
        <v>525</v>
      </c>
      <c r="U39" s="277"/>
      <c r="V39" s="741" t="s">
        <v>525</v>
      </c>
      <c r="W39" s="739" t="s">
        <v>525</v>
      </c>
      <c r="X39" s="740" t="s">
        <v>525</v>
      </c>
      <c r="Y39" s="1429" t="s">
        <v>525</v>
      </c>
      <c r="AG39" s="566" t="s">
        <v>525</v>
      </c>
      <c r="AH39" s="2971" t="s">
        <v>525</v>
      </c>
      <c r="AI39" s="2971" t="s">
        <v>525</v>
      </c>
    </row>
    <row r="40" spans="1:36" s="15" customFormat="1" ht="18" customHeight="1">
      <c r="A40" s="725"/>
      <c r="B40" s="103" t="s">
        <v>525</v>
      </c>
      <c r="C40" s="7" t="s">
        <v>525</v>
      </c>
      <c r="D40" s="8" t="s">
        <v>525</v>
      </c>
      <c r="E40" s="9" t="s">
        <v>525</v>
      </c>
      <c r="F40" s="10" t="s">
        <v>525</v>
      </c>
      <c r="G40" s="4241" t="s">
        <v>525</v>
      </c>
      <c r="H40" s="4242" t="s">
        <v>525</v>
      </c>
      <c r="I40" s="4243">
        <v>0</v>
      </c>
      <c r="J40" s="97" t="s">
        <v>525</v>
      </c>
      <c r="K40" s="99">
        <v>0</v>
      </c>
      <c r="L40" s="3">
        <v>0</v>
      </c>
      <c r="M40" s="77" t="s">
        <v>525</v>
      </c>
      <c r="N40" s="77" t="s">
        <v>525</v>
      </c>
      <c r="O40" s="77" t="s">
        <v>525</v>
      </c>
      <c r="P40" s="276" t="s">
        <v>525</v>
      </c>
      <c r="Q40" s="98" t="s">
        <v>525</v>
      </c>
      <c r="R40" s="276" t="s">
        <v>525</v>
      </c>
      <c r="S40" s="276" t="s">
        <v>525</v>
      </c>
      <c r="T40" s="276" t="s">
        <v>525</v>
      </c>
      <c r="U40" s="277"/>
      <c r="V40" s="741" t="s">
        <v>525</v>
      </c>
      <c r="W40" s="739" t="s">
        <v>525</v>
      </c>
      <c r="X40" s="740" t="s">
        <v>525</v>
      </c>
      <c r="Y40" s="1429" t="s">
        <v>525</v>
      </c>
      <c r="AG40" s="566" t="s">
        <v>525</v>
      </c>
      <c r="AH40" s="2971" t="s">
        <v>525</v>
      </c>
      <c r="AI40" s="2971" t="s">
        <v>525</v>
      </c>
    </row>
    <row r="41" spans="1:36" s="15" customFormat="1" ht="18" customHeight="1">
      <c r="A41" s="725"/>
      <c r="B41" s="103" t="s">
        <v>525</v>
      </c>
      <c r="C41" s="7" t="s">
        <v>525</v>
      </c>
      <c r="D41" s="8" t="s">
        <v>525</v>
      </c>
      <c r="E41" s="9" t="s">
        <v>525</v>
      </c>
      <c r="F41" s="10" t="s">
        <v>525</v>
      </c>
      <c r="G41" s="4241" t="s">
        <v>525</v>
      </c>
      <c r="H41" s="4242" t="s">
        <v>525</v>
      </c>
      <c r="I41" s="4243">
        <v>0</v>
      </c>
      <c r="J41" s="97" t="s">
        <v>525</v>
      </c>
      <c r="K41" s="99">
        <v>0</v>
      </c>
      <c r="L41" s="3">
        <v>0</v>
      </c>
      <c r="M41" s="77" t="s">
        <v>525</v>
      </c>
      <c r="N41" s="77" t="s">
        <v>525</v>
      </c>
      <c r="O41" s="77" t="s">
        <v>525</v>
      </c>
      <c r="P41" s="276" t="s">
        <v>525</v>
      </c>
      <c r="Q41" s="98" t="s">
        <v>525</v>
      </c>
      <c r="R41" s="276" t="s">
        <v>525</v>
      </c>
      <c r="S41" s="276" t="s">
        <v>525</v>
      </c>
      <c r="T41" s="276" t="s">
        <v>525</v>
      </c>
      <c r="U41" s="277"/>
      <c r="V41" s="741" t="s">
        <v>525</v>
      </c>
      <c r="W41" s="739" t="s">
        <v>525</v>
      </c>
      <c r="X41" s="740" t="s">
        <v>525</v>
      </c>
      <c r="Y41" s="1429" t="s">
        <v>525</v>
      </c>
      <c r="AG41" s="566" t="s">
        <v>525</v>
      </c>
      <c r="AH41" s="2971" t="s">
        <v>525</v>
      </c>
      <c r="AI41" s="2971" t="s">
        <v>525</v>
      </c>
    </row>
    <row r="42" spans="1:36" ht="18" customHeight="1">
      <c r="A42" s="725"/>
      <c r="B42" s="103" t="s">
        <v>525</v>
      </c>
      <c r="C42" s="7" t="s">
        <v>525</v>
      </c>
      <c r="D42" s="8" t="s">
        <v>525</v>
      </c>
      <c r="E42" s="9" t="s">
        <v>525</v>
      </c>
      <c r="F42" s="10" t="s">
        <v>525</v>
      </c>
      <c r="G42" s="4241" t="s">
        <v>525</v>
      </c>
      <c r="H42" s="4242" t="s">
        <v>525</v>
      </c>
      <c r="I42" s="4243">
        <v>0</v>
      </c>
      <c r="J42" s="97" t="s">
        <v>525</v>
      </c>
      <c r="K42" s="99">
        <v>0</v>
      </c>
      <c r="L42" s="3">
        <v>0</v>
      </c>
      <c r="M42" s="77" t="s">
        <v>525</v>
      </c>
      <c r="N42" s="77" t="s">
        <v>525</v>
      </c>
      <c r="O42" s="77" t="s">
        <v>525</v>
      </c>
      <c r="P42" s="276" t="s">
        <v>525</v>
      </c>
      <c r="Q42" s="98" t="s">
        <v>525</v>
      </c>
      <c r="R42" s="276" t="s">
        <v>525</v>
      </c>
      <c r="S42" s="276" t="s">
        <v>525</v>
      </c>
      <c r="T42" s="276" t="s">
        <v>525</v>
      </c>
      <c r="U42" s="277"/>
      <c r="V42" s="741" t="s">
        <v>525</v>
      </c>
      <c r="W42" s="739" t="s">
        <v>525</v>
      </c>
      <c r="X42" s="740" t="s">
        <v>525</v>
      </c>
      <c r="Y42" s="1429" t="s">
        <v>525</v>
      </c>
      <c r="Z42" s="15"/>
      <c r="AA42" s="15"/>
      <c r="AB42" s="15"/>
      <c r="AG42" s="566" t="s">
        <v>525</v>
      </c>
      <c r="AH42" s="2971" t="s">
        <v>525</v>
      </c>
      <c r="AI42" s="2971" t="s">
        <v>525</v>
      </c>
    </row>
    <row r="43" spans="1:36" ht="18" customHeight="1">
      <c r="A43" s="725"/>
      <c r="B43" s="103" t="s">
        <v>525</v>
      </c>
      <c r="C43" s="7" t="s">
        <v>525</v>
      </c>
      <c r="D43" s="8" t="s">
        <v>525</v>
      </c>
      <c r="E43" s="9" t="s">
        <v>525</v>
      </c>
      <c r="F43" s="10" t="s">
        <v>525</v>
      </c>
      <c r="G43" s="4241" t="s">
        <v>525</v>
      </c>
      <c r="H43" s="4242" t="s">
        <v>525</v>
      </c>
      <c r="I43" s="4243">
        <v>0</v>
      </c>
      <c r="J43" s="97" t="s">
        <v>525</v>
      </c>
      <c r="K43" s="99">
        <v>0</v>
      </c>
      <c r="L43" s="3">
        <v>0</v>
      </c>
      <c r="M43" s="77" t="s">
        <v>525</v>
      </c>
      <c r="N43" s="77" t="s">
        <v>525</v>
      </c>
      <c r="O43" s="77" t="s">
        <v>525</v>
      </c>
      <c r="P43" s="276" t="s">
        <v>525</v>
      </c>
      <c r="Q43" s="98" t="s">
        <v>525</v>
      </c>
      <c r="R43" s="276" t="s">
        <v>525</v>
      </c>
      <c r="S43" s="276" t="s">
        <v>525</v>
      </c>
      <c r="T43" s="276" t="s">
        <v>525</v>
      </c>
      <c r="U43" s="277"/>
      <c r="V43" s="741" t="s">
        <v>525</v>
      </c>
      <c r="W43" s="739" t="s">
        <v>525</v>
      </c>
      <c r="X43" s="740" t="s">
        <v>525</v>
      </c>
      <c r="Y43" s="1429" t="s">
        <v>525</v>
      </c>
      <c r="Z43" s="15"/>
      <c r="AA43" s="15"/>
      <c r="AB43" s="15"/>
      <c r="AG43" s="566" t="s">
        <v>525</v>
      </c>
      <c r="AH43" s="2971" t="s">
        <v>525</v>
      </c>
      <c r="AI43" s="2971" t="s">
        <v>525</v>
      </c>
    </row>
    <row r="44" spans="1:36" ht="18" customHeight="1">
      <c r="A44" s="725"/>
      <c r="B44" s="103" t="s">
        <v>525</v>
      </c>
      <c r="C44" s="7" t="s">
        <v>525</v>
      </c>
      <c r="D44" s="8" t="s">
        <v>525</v>
      </c>
      <c r="E44" s="9" t="s">
        <v>525</v>
      </c>
      <c r="F44" s="10" t="s">
        <v>525</v>
      </c>
      <c r="G44" s="4241" t="s">
        <v>525</v>
      </c>
      <c r="H44" s="4242" t="s">
        <v>525</v>
      </c>
      <c r="I44" s="4243">
        <v>0</v>
      </c>
      <c r="J44" s="97" t="s">
        <v>525</v>
      </c>
      <c r="K44" s="99">
        <v>0</v>
      </c>
      <c r="L44" s="3">
        <v>0</v>
      </c>
      <c r="M44" s="77" t="s">
        <v>525</v>
      </c>
      <c r="N44" s="77" t="s">
        <v>525</v>
      </c>
      <c r="O44" s="77" t="s">
        <v>525</v>
      </c>
      <c r="P44" s="276" t="s">
        <v>525</v>
      </c>
      <c r="Q44" s="98" t="s">
        <v>525</v>
      </c>
      <c r="R44" s="276" t="s">
        <v>525</v>
      </c>
      <c r="S44" s="276" t="s">
        <v>525</v>
      </c>
      <c r="T44" s="276" t="s">
        <v>525</v>
      </c>
      <c r="U44" s="277"/>
      <c r="V44" s="741" t="s">
        <v>525</v>
      </c>
      <c r="W44" s="739" t="s">
        <v>525</v>
      </c>
      <c r="X44" s="740" t="s">
        <v>525</v>
      </c>
      <c r="Y44" s="1429" t="s">
        <v>525</v>
      </c>
      <c r="Z44" s="15"/>
      <c r="AA44" s="15"/>
      <c r="AB44" s="15"/>
      <c r="AG44" s="566" t="s">
        <v>525</v>
      </c>
      <c r="AH44" s="2971" t="s">
        <v>525</v>
      </c>
      <c r="AI44" s="2971" t="s">
        <v>525</v>
      </c>
    </row>
    <row r="45" spans="1:36" ht="18" customHeight="1">
      <c r="A45" s="725"/>
      <c r="B45" s="103" t="s">
        <v>525</v>
      </c>
      <c r="C45" s="7" t="s">
        <v>525</v>
      </c>
      <c r="D45" s="8" t="s">
        <v>525</v>
      </c>
      <c r="E45" s="9" t="s">
        <v>525</v>
      </c>
      <c r="F45" s="10" t="s">
        <v>525</v>
      </c>
      <c r="G45" s="4241" t="s">
        <v>525</v>
      </c>
      <c r="H45" s="4242" t="s">
        <v>525</v>
      </c>
      <c r="I45" s="4243">
        <v>0</v>
      </c>
      <c r="J45" s="97" t="s">
        <v>525</v>
      </c>
      <c r="K45" s="99">
        <v>0</v>
      </c>
      <c r="L45" s="3">
        <v>0</v>
      </c>
      <c r="M45" s="77" t="s">
        <v>525</v>
      </c>
      <c r="N45" s="77" t="s">
        <v>525</v>
      </c>
      <c r="O45" s="77" t="s">
        <v>525</v>
      </c>
      <c r="P45" s="276" t="s">
        <v>525</v>
      </c>
      <c r="Q45" s="98" t="s">
        <v>525</v>
      </c>
      <c r="R45" s="276" t="s">
        <v>525</v>
      </c>
      <c r="S45" s="276" t="s">
        <v>525</v>
      </c>
      <c r="T45" s="276" t="s">
        <v>525</v>
      </c>
      <c r="U45" s="277"/>
      <c r="V45" s="741" t="s">
        <v>525</v>
      </c>
      <c r="W45" s="739" t="s">
        <v>525</v>
      </c>
      <c r="X45" s="740" t="s">
        <v>525</v>
      </c>
      <c r="Y45" s="1429" t="s">
        <v>525</v>
      </c>
      <c r="Z45" s="15"/>
      <c r="AA45" s="15"/>
      <c r="AB45" s="15"/>
      <c r="AG45" s="566" t="s">
        <v>525</v>
      </c>
      <c r="AH45" s="2971" t="s">
        <v>525</v>
      </c>
      <c r="AI45" s="2971" t="s">
        <v>525</v>
      </c>
    </row>
    <row r="46" spans="1:36" ht="18" customHeight="1">
      <c r="A46" s="725"/>
      <c r="B46" s="103" t="s">
        <v>525</v>
      </c>
      <c r="C46" s="7" t="s">
        <v>525</v>
      </c>
      <c r="D46" s="8" t="s">
        <v>525</v>
      </c>
      <c r="E46" s="9" t="s">
        <v>525</v>
      </c>
      <c r="F46" s="10" t="s">
        <v>525</v>
      </c>
      <c r="G46" s="4241" t="s">
        <v>525</v>
      </c>
      <c r="H46" s="4242" t="s">
        <v>525</v>
      </c>
      <c r="I46" s="4243">
        <v>0</v>
      </c>
      <c r="J46" s="97" t="s">
        <v>525</v>
      </c>
      <c r="K46" s="99">
        <v>0</v>
      </c>
      <c r="L46" s="3">
        <v>0</v>
      </c>
      <c r="M46" s="77" t="s">
        <v>525</v>
      </c>
      <c r="N46" s="77" t="s">
        <v>525</v>
      </c>
      <c r="O46" s="77" t="s">
        <v>525</v>
      </c>
      <c r="P46" s="276" t="s">
        <v>525</v>
      </c>
      <c r="Q46" s="98" t="s">
        <v>525</v>
      </c>
      <c r="R46" s="276" t="s">
        <v>525</v>
      </c>
      <c r="S46" s="276" t="s">
        <v>525</v>
      </c>
      <c r="T46" s="276" t="s">
        <v>525</v>
      </c>
      <c r="U46" s="277"/>
      <c r="V46" s="741" t="s">
        <v>525</v>
      </c>
      <c r="W46" s="739" t="s">
        <v>525</v>
      </c>
      <c r="X46" s="740" t="s">
        <v>525</v>
      </c>
      <c r="Y46" s="1429" t="s">
        <v>525</v>
      </c>
      <c r="Z46" s="15"/>
      <c r="AA46" s="15"/>
      <c r="AB46" s="15"/>
      <c r="AG46" s="566" t="s">
        <v>525</v>
      </c>
      <c r="AH46" s="2971" t="s">
        <v>525</v>
      </c>
      <c r="AI46" s="2971" t="s">
        <v>525</v>
      </c>
    </row>
    <row r="47" spans="1:36" ht="20.25" customHeight="1">
      <c r="B47" s="15"/>
      <c r="C47" s="15"/>
      <c r="D47" s="15"/>
      <c r="E47" s="15"/>
      <c r="F47" s="15"/>
      <c r="G47" s="15"/>
      <c r="H47" s="15"/>
      <c r="I47" s="15"/>
      <c r="J47" s="15"/>
      <c r="K47" s="15"/>
      <c r="L47" s="15"/>
      <c r="M47" s="15"/>
      <c r="N47" s="15"/>
      <c r="O47" s="15"/>
      <c r="P47" s="15"/>
      <c r="Q47" s="15"/>
      <c r="R47" s="15"/>
      <c r="S47" s="15"/>
      <c r="T47" s="15"/>
      <c r="U47" s="15"/>
      <c r="V47" s="739"/>
      <c r="W47" s="739" t="s">
        <v>94</v>
      </c>
      <c r="X47" s="740">
        <v>0</v>
      </c>
      <c r="Y47" s="142"/>
      <c r="Z47" s="15"/>
      <c r="AA47" s="15"/>
      <c r="AB47" s="15"/>
      <c r="AG47" s="566"/>
      <c r="AH47" s="566"/>
      <c r="AI47" s="566"/>
    </row>
    <row r="48" spans="1:36">
      <c r="B48" s="566"/>
      <c r="C48" s="566"/>
      <c r="D48" s="566"/>
      <c r="E48" s="566"/>
      <c r="F48" s="566"/>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row>
    <row r="49" spans="1:38" ht="17.399999999999999">
      <c r="B49" s="718" t="s">
        <v>51</v>
      </c>
      <c r="C49" s="718"/>
      <c r="D49" s="718"/>
      <c r="E49" s="566"/>
      <c r="F49" s="566"/>
      <c r="G49" s="566"/>
      <c r="H49" s="566"/>
      <c r="I49" s="566"/>
      <c r="J49" s="566"/>
      <c r="K49" s="566"/>
      <c r="L49" s="566"/>
      <c r="M49" s="566"/>
      <c r="N49" s="566"/>
      <c r="O49" s="566"/>
      <c r="P49" s="566"/>
      <c r="Q49" s="719" t="e">
        <v>#REF!</v>
      </c>
      <c r="R49" s="566"/>
      <c r="S49" s="566"/>
      <c r="T49" s="566"/>
      <c r="U49" s="566"/>
      <c r="V49" s="566"/>
      <c r="W49" s="566"/>
      <c r="X49" s="566"/>
      <c r="Y49" s="566"/>
      <c r="Z49" s="566"/>
      <c r="AA49" s="566"/>
      <c r="AB49" s="566"/>
      <c r="AC49" s="566"/>
      <c r="AD49" s="566"/>
      <c r="AE49" s="566"/>
      <c r="AF49" s="566"/>
      <c r="AG49" s="566"/>
      <c r="AH49" s="566"/>
      <c r="AI49" s="566"/>
      <c r="AJ49" s="566"/>
    </row>
    <row r="50" spans="1:38" ht="82.5" customHeight="1">
      <c r="A50" s="267"/>
      <c r="B50" s="1478" t="s">
        <v>525</v>
      </c>
      <c r="C50" s="1465" t="s">
        <v>511</v>
      </c>
      <c r="D50" s="1465"/>
      <c r="E50" s="1465"/>
      <c r="F50" s="1465"/>
      <c r="G50" s="1465"/>
      <c r="H50" s="1465"/>
      <c r="I50" s="1465"/>
      <c r="J50" s="1465"/>
      <c r="K50" s="1465"/>
      <c r="L50" s="1465"/>
      <c r="M50" s="1465"/>
      <c r="N50" s="1465"/>
      <c r="O50" s="1465"/>
      <c r="P50" s="1465"/>
      <c r="Q50" s="1465"/>
      <c r="R50" s="1465"/>
      <c r="S50" s="1465"/>
      <c r="T50" s="1465"/>
      <c r="U50" s="1465"/>
      <c r="V50" s="1465"/>
      <c r="W50" s="1465"/>
      <c r="X50" s="1465"/>
      <c r="Y50" s="267"/>
      <c r="Z50" s="267"/>
      <c r="AA50" s="267"/>
      <c r="AB50" s="267"/>
      <c r="AC50" s="566"/>
      <c r="AD50" s="566"/>
      <c r="AE50" s="566"/>
      <c r="AF50" s="566"/>
      <c r="AG50" s="566"/>
      <c r="AH50" s="566"/>
      <c r="AI50" s="566"/>
      <c r="AJ50" s="566"/>
      <c r="AK50" s="267"/>
      <c r="AL50" s="267"/>
    </row>
    <row r="51" spans="1:38" ht="57.75" customHeight="1">
      <c r="A51" s="267"/>
      <c r="B51" s="2948" t="s">
        <v>512</v>
      </c>
      <c r="C51" s="2949"/>
      <c r="D51" s="2949"/>
      <c r="E51" s="2949"/>
      <c r="F51" s="2949"/>
      <c r="G51" s="2949"/>
      <c r="H51" s="2949"/>
      <c r="I51" s="2949"/>
      <c r="J51" s="2949"/>
      <c r="K51" s="2949"/>
      <c r="L51" s="2949"/>
      <c r="M51" s="2949"/>
      <c r="N51" s="2949"/>
      <c r="O51" s="2949"/>
      <c r="P51" s="2949"/>
      <c r="Q51" s="2949"/>
      <c r="R51" s="2949"/>
      <c r="S51" s="2949"/>
      <c r="T51" s="2949"/>
      <c r="U51" s="2949"/>
      <c r="V51" s="2949"/>
      <c r="W51" s="2949"/>
      <c r="X51" s="2950"/>
      <c r="Y51" s="267"/>
      <c r="Z51" s="267"/>
      <c r="AA51" s="267"/>
      <c r="AB51" s="267"/>
      <c r="AC51" s="566"/>
      <c r="AD51" s="566"/>
      <c r="AE51" s="566"/>
      <c r="AF51" s="566"/>
      <c r="AG51" s="566"/>
      <c r="AH51" s="566"/>
      <c r="AI51" s="566"/>
      <c r="AJ51" s="566"/>
      <c r="AK51" s="267"/>
      <c r="AL51" s="267"/>
    </row>
    <row r="52" spans="1:38" ht="24.75" customHeight="1" thickBot="1">
      <c r="A52" s="267"/>
      <c r="B52" s="4187" t="s">
        <v>525</v>
      </c>
      <c r="C52" s="4187"/>
      <c r="D52" s="4187"/>
      <c r="E52" s="4187"/>
      <c r="F52" s="4187"/>
      <c r="G52" s="267"/>
      <c r="H52" s="1439" t="s">
        <v>525</v>
      </c>
      <c r="I52" s="267"/>
      <c r="J52" s="4188"/>
      <c r="K52" s="4188"/>
      <c r="L52" s="4188"/>
      <c r="M52" s="4188"/>
      <c r="N52" s="4188"/>
      <c r="O52" s="4188"/>
      <c r="P52" s="1348"/>
      <c r="Q52" s="267"/>
      <c r="R52" s="267"/>
      <c r="S52" s="615" t="s">
        <v>209</v>
      </c>
      <c r="T52" s="267"/>
      <c r="U52" s="1148"/>
      <c r="V52" s="267"/>
      <c r="W52" s="267"/>
      <c r="X52" s="267"/>
      <c r="Y52" s="267"/>
      <c r="Z52" s="267"/>
      <c r="AA52" s="267"/>
      <c r="AB52" s="267"/>
      <c r="AC52" s="566"/>
      <c r="AD52" s="566"/>
      <c r="AE52" s="566"/>
      <c r="AF52" s="566"/>
      <c r="AG52" s="566"/>
      <c r="AH52" s="566"/>
      <c r="AI52" s="566"/>
      <c r="AJ52" s="566"/>
      <c r="AK52" s="267"/>
      <c r="AL52" s="267"/>
    </row>
    <row r="53" spans="1:38" ht="17.25" customHeight="1" thickBot="1">
      <c r="A53" s="2996">
        <v>0</v>
      </c>
      <c r="B53" s="1448" t="s">
        <v>1454</v>
      </c>
      <c r="C53" s="2995" t="s">
        <v>924</v>
      </c>
      <c r="D53" s="1450">
        <v>10</v>
      </c>
      <c r="E53" s="1451">
        <v>9500</v>
      </c>
      <c r="F53" s="1452">
        <v>452.38</v>
      </c>
      <c r="G53" s="4197">
        <v>24.890651097159896</v>
      </c>
      <c r="H53" s="4198"/>
      <c r="I53" s="4199"/>
      <c r="J53" s="1453">
        <v>452.37999999999994</v>
      </c>
      <c r="K53" s="267"/>
      <c r="L53" s="267"/>
      <c r="M53" s="1446">
        <v>40</v>
      </c>
      <c r="N53" s="1446">
        <v>5</v>
      </c>
      <c r="O53" s="1446">
        <v>21</v>
      </c>
      <c r="P53" s="1451">
        <v>10053.139361319531</v>
      </c>
      <c r="Q53" s="1454">
        <v>478.72</v>
      </c>
      <c r="R53" s="1451">
        <v>2321.7411919906535</v>
      </c>
      <c r="S53" s="1455">
        <v>58.04352979976634</v>
      </c>
      <c r="T53" s="1455" t="e">
        <v>#VALUE!</v>
      </c>
      <c r="U53" s="1456">
        <v>72.554412249707923</v>
      </c>
      <c r="V53" s="1457" t="s">
        <v>1454</v>
      </c>
      <c r="W53" s="1458">
        <v>94999.799999999988</v>
      </c>
      <c r="X53" s="2987">
        <v>10</v>
      </c>
      <c r="Y53" s="267"/>
      <c r="Z53" s="267"/>
      <c r="AA53" s="267"/>
      <c r="AB53" s="267"/>
      <c r="AC53" s="566"/>
      <c r="AD53" s="566"/>
      <c r="AE53" s="566"/>
      <c r="AF53" s="566"/>
      <c r="AG53" s="566"/>
      <c r="AH53" s="566"/>
      <c r="AI53" s="566"/>
      <c r="AJ53" s="566"/>
      <c r="AK53" s="267"/>
      <c r="AL53" s="267"/>
    </row>
    <row r="54" spans="1:38" ht="17.25" customHeight="1" thickBot="1">
      <c r="A54" s="2996">
        <v>0</v>
      </c>
      <c r="B54" s="1448" t="s">
        <v>525</v>
      </c>
      <c r="C54" s="2995" t="s">
        <v>525</v>
      </c>
      <c r="D54" s="1450" t="s">
        <v>525</v>
      </c>
      <c r="E54" s="1451" t="s">
        <v>525</v>
      </c>
      <c r="F54" s="1452" t="s">
        <v>525</v>
      </c>
      <c r="G54" s="4197" t="s">
        <v>525</v>
      </c>
      <c r="H54" s="4198"/>
      <c r="I54" s="4199"/>
      <c r="J54" s="1453" t="s">
        <v>525</v>
      </c>
      <c r="K54" s="267"/>
      <c r="L54" s="267"/>
      <c r="M54" s="1446" t="s">
        <v>525</v>
      </c>
      <c r="N54" s="1446" t="s">
        <v>525</v>
      </c>
      <c r="O54" s="1446" t="s">
        <v>525</v>
      </c>
      <c r="P54" s="1451" t="s">
        <v>525</v>
      </c>
      <c r="Q54" s="1454" t="s">
        <v>525</v>
      </c>
      <c r="R54" s="1451" t="s">
        <v>525</v>
      </c>
      <c r="S54" s="1455" t="s">
        <v>525</v>
      </c>
      <c r="T54" s="1455" t="s">
        <v>525</v>
      </c>
      <c r="U54" s="1456" t="s">
        <v>525</v>
      </c>
      <c r="V54" s="1457" t="s">
        <v>525</v>
      </c>
      <c r="W54" s="1458" t="s">
        <v>525</v>
      </c>
      <c r="X54" s="2987" t="s">
        <v>525</v>
      </c>
      <c r="Y54" s="267"/>
      <c r="Z54" s="267"/>
      <c r="AA54" s="267"/>
      <c r="AB54" s="2983"/>
      <c r="AC54" s="566"/>
      <c r="AD54" s="566"/>
      <c r="AE54" s="566"/>
      <c r="AF54" s="566"/>
      <c r="AG54" s="566"/>
      <c r="AH54" s="566"/>
      <c r="AI54" s="566"/>
      <c r="AJ54" s="566"/>
      <c r="AK54" s="267"/>
      <c r="AL54" s="267"/>
    </row>
    <row r="55" spans="1:38" ht="17.25" customHeight="1" thickBot="1">
      <c r="A55" s="2996">
        <v>0</v>
      </c>
      <c r="B55" s="1448" t="s">
        <v>525</v>
      </c>
      <c r="C55" s="2995" t="s">
        <v>525</v>
      </c>
      <c r="D55" s="1450" t="s">
        <v>525</v>
      </c>
      <c r="E55" s="1451" t="s">
        <v>525</v>
      </c>
      <c r="F55" s="1452" t="s">
        <v>525</v>
      </c>
      <c r="G55" s="4197" t="s">
        <v>525</v>
      </c>
      <c r="H55" s="4198"/>
      <c r="I55" s="4199"/>
      <c r="J55" s="1453" t="s">
        <v>525</v>
      </c>
      <c r="K55" s="267"/>
      <c r="L55" s="267"/>
      <c r="M55" s="1446" t="s">
        <v>525</v>
      </c>
      <c r="N55" s="1446" t="s">
        <v>525</v>
      </c>
      <c r="O55" s="1446" t="s">
        <v>525</v>
      </c>
      <c r="P55" s="1451" t="s">
        <v>525</v>
      </c>
      <c r="Q55" s="1454" t="s">
        <v>525</v>
      </c>
      <c r="R55" s="1451" t="s">
        <v>525</v>
      </c>
      <c r="S55" s="1455" t="s">
        <v>525</v>
      </c>
      <c r="T55" s="1455" t="s">
        <v>525</v>
      </c>
      <c r="U55" s="1456" t="s">
        <v>525</v>
      </c>
      <c r="V55" s="1457" t="s">
        <v>525</v>
      </c>
      <c r="W55" s="1458" t="s">
        <v>525</v>
      </c>
      <c r="X55" s="2987" t="s">
        <v>525</v>
      </c>
      <c r="Y55" s="267"/>
      <c r="Z55" s="267"/>
      <c r="AA55" s="267"/>
      <c r="AB55" s="2983"/>
      <c r="AC55" s="566"/>
      <c r="AD55" s="566"/>
      <c r="AE55" s="566"/>
      <c r="AF55" s="566"/>
      <c r="AG55" s="566"/>
      <c r="AH55" s="566"/>
      <c r="AI55" s="566"/>
      <c r="AJ55" s="566"/>
      <c r="AK55" s="267"/>
      <c r="AL55" s="267"/>
    </row>
    <row r="56" spans="1:38" ht="18" customHeight="1" thickBot="1">
      <c r="A56" s="2996">
        <v>0</v>
      </c>
      <c r="B56" s="1448" t="s">
        <v>1419</v>
      </c>
      <c r="C56" s="1449">
        <v>2515.6359500000003</v>
      </c>
      <c r="D56" s="1450" t="s">
        <v>525</v>
      </c>
      <c r="E56" s="1451" t="e">
        <v>#VALUE!</v>
      </c>
      <c r="F56" s="1452" t="e">
        <v>#VALUE!</v>
      </c>
      <c r="G56" s="4197" t="e">
        <v>#VALUE!</v>
      </c>
      <c r="H56" s="4198"/>
      <c r="I56" s="4199"/>
      <c r="J56" s="1453" t="e">
        <v>#VALUE!</v>
      </c>
      <c r="K56" s="267"/>
      <c r="L56" s="267"/>
      <c r="M56" s="1446">
        <v>39.5</v>
      </c>
      <c r="N56" s="1446">
        <v>5</v>
      </c>
      <c r="O56" s="1446">
        <v>21</v>
      </c>
      <c r="P56" s="1451" t="e">
        <v>#VALUE!</v>
      </c>
      <c r="Q56" s="1454" t="e">
        <v>#VALUE!</v>
      </c>
      <c r="R56" s="1451" t="e">
        <v>#VALUE!</v>
      </c>
      <c r="S56" s="1455" t="e">
        <v>#VALUE!</v>
      </c>
      <c r="T56" s="1455">
        <v>14.708310872043736</v>
      </c>
      <c r="U56" s="1456" t="e">
        <v>#VALUE!</v>
      </c>
      <c r="V56" s="1457" t="s">
        <v>1419</v>
      </c>
      <c r="W56" s="1458" t="e">
        <v>#VALUE!</v>
      </c>
      <c r="X56" s="2987">
        <v>10</v>
      </c>
      <c r="Y56" s="267"/>
      <c r="Z56" s="267"/>
      <c r="AA56" s="267"/>
      <c r="AB56" s="2988"/>
      <c r="AC56" s="566"/>
      <c r="AD56" s="566"/>
      <c r="AE56" s="566"/>
      <c r="AF56" s="566"/>
      <c r="AG56" s="566"/>
      <c r="AH56" s="566"/>
      <c r="AI56" s="566"/>
      <c r="AJ56" s="566"/>
      <c r="AK56" s="267"/>
      <c r="AL56" s="267"/>
    </row>
    <row r="57" spans="1:38" ht="18" customHeight="1" thickBot="1">
      <c r="A57" s="2996">
        <v>0</v>
      </c>
      <c r="B57" s="1459" t="s">
        <v>1420</v>
      </c>
      <c r="C57" s="1449">
        <v>1782.53</v>
      </c>
      <c r="D57" s="1450" t="s">
        <v>525</v>
      </c>
      <c r="E57" s="1451" t="e">
        <v>#VALUE!</v>
      </c>
      <c r="F57" s="1452" t="e">
        <v>#VALUE!</v>
      </c>
      <c r="G57" s="4197" t="e">
        <v>#VALUE!</v>
      </c>
      <c r="H57" s="4198"/>
      <c r="I57" s="4199"/>
      <c r="J57" s="1453" t="e">
        <v>#VALUE!</v>
      </c>
      <c r="K57" s="267"/>
      <c r="L57" s="267"/>
      <c r="M57" s="1446">
        <v>30</v>
      </c>
      <c r="N57" s="1446">
        <v>4</v>
      </c>
      <c r="O57" s="1446">
        <v>17.32</v>
      </c>
      <c r="P57" s="1451" t="e">
        <v>#VALUE!</v>
      </c>
      <c r="Q57" s="1454" t="e">
        <v>#VALUE!</v>
      </c>
      <c r="R57" s="1451" t="e">
        <v>#VALUE!</v>
      </c>
      <c r="S57" s="1455" t="e">
        <v>#VALUE!</v>
      </c>
      <c r="T57" s="1455">
        <v>13.722324865280985</v>
      </c>
      <c r="U57" s="1456" t="e">
        <v>#VALUE!</v>
      </c>
      <c r="V57" s="1457" t="s">
        <v>1420</v>
      </c>
      <c r="W57" s="1458" t="e">
        <v>#VALUE!</v>
      </c>
      <c r="X57" s="2987">
        <v>10</v>
      </c>
      <c r="Y57" s="267"/>
      <c r="Z57" s="267"/>
      <c r="AA57" s="267"/>
      <c r="AB57" s="2988"/>
      <c r="AC57" s="566"/>
      <c r="AD57" s="566"/>
      <c r="AE57" s="566"/>
      <c r="AF57" s="566"/>
      <c r="AG57" s="566"/>
      <c r="AH57" s="566"/>
      <c r="AI57" s="566"/>
      <c r="AJ57" s="566"/>
      <c r="AK57" s="267"/>
      <c r="AL57" s="267"/>
    </row>
    <row r="58" spans="1:38" ht="18" customHeight="1" thickBot="1">
      <c r="A58" s="2996">
        <v>0</v>
      </c>
      <c r="B58" s="1459" t="s">
        <v>1421</v>
      </c>
      <c r="C58" s="1449">
        <v>1490.5592000000001</v>
      </c>
      <c r="D58" s="1450" t="s">
        <v>525</v>
      </c>
      <c r="E58" s="1451" t="e">
        <v>#VALUE!</v>
      </c>
      <c r="F58" s="1452" t="e">
        <v>#VALUE!</v>
      </c>
      <c r="G58" s="4197" t="e">
        <v>#VALUE!</v>
      </c>
      <c r="H58" s="4198"/>
      <c r="I58" s="4199"/>
      <c r="J58" s="1453" t="e">
        <v>#VALUE!</v>
      </c>
      <c r="K58" s="267"/>
      <c r="L58" s="267"/>
      <c r="M58" s="1446">
        <v>26</v>
      </c>
      <c r="N58" s="1446">
        <v>3.5</v>
      </c>
      <c r="O58" s="1446">
        <v>15.155000000000001</v>
      </c>
      <c r="P58" s="1451" t="e">
        <v>#VALUE!</v>
      </c>
      <c r="Q58" s="1454" t="e">
        <v>#VALUE!</v>
      </c>
      <c r="R58" s="1451" t="e">
        <v>#VALUE!</v>
      </c>
      <c r="S58" s="1455" t="e">
        <v>#VALUE!</v>
      </c>
      <c r="T58" s="1455">
        <v>13.240000000000002</v>
      </c>
      <c r="U58" s="1456" t="e">
        <v>#VALUE!</v>
      </c>
      <c r="V58" s="1457" t="s">
        <v>1421</v>
      </c>
      <c r="W58" s="1458" t="e">
        <v>#VALUE!</v>
      </c>
      <c r="X58" s="2987">
        <v>10</v>
      </c>
      <c r="Y58" s="267"/>
      <c r="Z58" s="267"/>
      <c r="AA58" s="267"/>
      <c r="AB58" s="2983"/>
      <c r="AC58" s="566"/>
      <c r="AD58" s="566"/>
      <c r="AE58" s="566"/>
      <c r="AF58" s="566"/>
      <c r="AG58" s="566"/>
      <c r="AH58" s="566"/>
      <c r="AI58" s="566"/>
      <c r="AJ58" s="566"/>
      <c r="AK58" s="267"/>
      <c r="AL58" s="267"/>
    </row>
    <row r="59" spans="1:38" ht="18" customHeight="1" thickBot="1">
      <c r="A59" s="2996">
        <v>0</v>
      </c>
      <c r="B59" s="1459" t="s">
        <v>1422</v>
      </c>
      <c r="C59" s="1449">
        <v>1310</v>
      </c>
      <c r="D59" s="1450" t="s">
        <v>525</v>
      </c>
      <c r="E59" s="1451" t="e">
        <v>#VALUE!</v>
      </c>
      <c r="F59" s="1452" t="e">
        <v>#VALUE!</v>
      </c>
      <c r="G59" s="4197" t="e">
        <v>#VALUE!</v>
      </c>
      <c r="H59" s="4198"/>
      <c r="I59" s="4199"/>
      <c r="J59" s="1453" t="e">
        <v>#VALUE!</v>
      </c>
      <c r="K59" s="267"/>
      <c r="L59" s="267"/>
      <c r="M59" s="1446">
        <v>22</v>
      </c>
      <c r="N59" s="1446">
        <v>3</v>
      </c>
      <c r="O59" s="1446">
        <v>12.99</v>
      </c>
      <c r="P59" s="1451" t="e">
        <v>#VALUE!</v>
      </c>
      <c r="Q59" s="1454" t="e">
        <v>#VALUE!</v>
      </c>
      <c r="R59" s="1451" t="e">
        <v>#VALUE!</v>
      </c>
      <c r="S59" s="1455" t="e">
        <v>#VALUE!</v>
      </c>
      <c r="T59" s="1455">
        <v>13.75183707747218</v>
      </c>
      <c r="U59" s="1456" t="e">
        <v>#VALUE!</v>
      </c>
      <c r="V59" s="1457" t="s">
        <v>1422</v>
      </c>
      <c r="W59" s="1458" t="e">
        <v>#VALUE!</v>
      </c>
      <c r="X59" s="2987">
        <v>10</v>
      </c>
      <c r="Y59" s="267"/>
      <c r="Z59" s="267"/>
      <c r="AA59" s="267"/>
      <c r="AB59" s="2983"/>
      <c r="AC59" s="566"/>
      <c r="AD59" s="566"/>
      <c r="AE59" s="566"/>
      <c r="AF59" s="566"/>
      <c r="AG59" s="566"/>
      <c r="AH59" s="566"/>
      <c r="AI59" s="566"/>
      <c r="AJ59" s="566"/>
      <c r="AK59" s="267"/>
      <c r="AL59" s="267"/>
    </row>
    <row r="60" spans="1:38" ht="18" customHeight="1" thickBot="1">
      <c r="A60" s="2996">
        <v>0</v>
      </c>
      <c r="B60" s="1459" t="s">
        <v>1424</v>
      </c>
      <c r="C60" s="1449">
        <v>1040</v>
      </c>
      <c r="D60" s="1450" t="s">
        <v>525</v>
      </c>
      <c r="E60" s="1451" t="e">
        <v>#VALUE!</v>
      </c>
      <c r="F60" s="1452" t="e">
        <v>#VALUE!</v>
      </c>
      <c r="G60" s="4197" t="e">
        <v>#VALUE!</v>
      </c>
      <c r="H60" s="4198"/>
      <c r="I60" s="4199"/>
      <c r="J60" s="1453" t="e">
        <v>#VALUE!</v>
      </c>
      <c r="K60" s="267"/>
      <c r="L60" s="267"/>
      <c r="M60" s="1446">
        <v>16</v>
      </c>
      <c r="N60" s="1446">
        <v>2</v>
      </c>
      <c r="O60" s="1446">
        <v>8.66</v>
      </c>
      <c r="P60" s="1451" t="e">
        <v>#VALUE!</v>
      </c>
      <c r="Q60" s="1454" t="e">
        <v>#VALUE!</v>
      </c>
      <c r="R60" s="1451" t="e">
        <v>#VALUE!</v>
      </c>
      <c r="S60" s="1455" t="e">
        <v>#VALUE!</v>
      </c>
      <c r="T60" s="1455">
        <v>15.011547344110854</v>
      </c>
      <c r="U60" s="1456" t="e">
        <v>#VALUE!</v>
      </c>
      <c r="V60" s="1457" t="s">
        <v>1424</v>
      </c>
      <c r="W60" s="1458" t="e">
        <v>#VALUE!</v>
      </c>
      <c r="X60" s="2987">
        <v>10</v>
      </c>
      <c r="Y60" s="267"/>
      <c r="Z60" s="267"/>
      <c r="AA60" s="267"/>
      <c r="AB60" s="2989"/>
      <c r="AC60" s="566"/>
      <c r="AD60" s="566"/>
      <c r="AE60" s="566"/>
      <c r="AF60" s="566"/>
      <c r="AG60" s="566"/>
      <c r="AH60" s="566"/>
      <c r="AI60" s="566"/>
      <c r="AJ60" s="566"/>
      <c r="AK60" s="267"/>
      <c r="AL60" s="267"/>
    </row>
    <row r="61" spans="1:38" ht="18" customHeight="1" thickBot="1">
      <c r="A61" s="2996">
        <v>0</v>
      </c>
      <c r="B61" s="1459" t="s">
        <v>1418</v>
      </c>
      <c r="C61" s="1449">
        <v>1350</v>
      </c>
      <c r="D61" s="1450" t="s">
        <v>525</v>
      </c>
      <c r="E61" s="1451" t="e">
        <v>#VALUE!</v>
      </c>
      <c r="F61" s="1452" t="e">
        <v>#VALUE!</v>
      </c>
      <c r="G61" s="4197" t="e">
        <v>#VALUE!</v>
      </c>
      <c r="H61" s="4198"/>
      <c r="I61" s="4199"/>
      <c r="J61" s="1453" t="e">
        <v>#VALUE!</v>
      </c>
      <c r="K61" s="267"/>
      <c r="L61" s="267"/>
      <c r="M61" s="1446">
        <v>21</v>
      </c>
      <c r="N61" s="1446">
        <v>3</v>
      </c>
      <c r="O61" s="1446">
        <v>12.99</v>
      </c>
      <c r="P61" s="1451" t="e">
        <v>#VALUE!</v>
      </c>
      <c r="Q61" s="1454" t="e">
        <v>#VALUE!</v>
      </c>
      <c r="R61" s="1451" t="e">
        <v>#VALUE!</v>
      </c>
      <c r="S61" s="1455" t="e">
        <v>#VALUE!</v>
      </c>
      <c r="T61" s="1455">
        <v>14.846585285384361</v>
      </c>
      <c r="U61" s="1456" t="e">
        <v>#VALUE!</v>
      </c>
      <c r="V61" s="1457" t="s">
        <v>1418</v>
      </c>
      <c r="W61" s="1458" t="e">
        <v>#VALUE!</v>
      </c>
      <c r="X61" s="2987">
        <v>10</v>
      </c>
      <c r="Y61" s="267"/>
      <c r="Z61" s="267"/>
      <c r="AA61" s="267"/>
      <c r="AB61" s="2989"/>
      <c r="AC61" s="566"/>
      <c r="AD61" s="566"/>
      <c r="AE61" s="566"/>
      <c r="AF61" s="566"/>
      <c r="AG61" s="566"/>
      <c r="AH61" s="566"/>
      <c r="AI61" s="566"/>
      <c r="AJ61" s="566"/>
      <c r="AK61" s="267"/>
      <c r="AL61" s="267"/>
    </row>
    <row r="62" spans="1:38" ht="18" customHeight="1" thickBot="1">
      <c r="A62" s="2996">
        <v>0</v>
      </c>
      <c r="B62" s="1459" t="s">
        <v>525</v>
      </c>
      <c r="C62" s="1449" t="s">
        <v>525</v>
      </c>
      <c r="D62" s="1450" t="s">
        <v>525</v>
      </c>
      <c r="E62" s="1451" t="s">
        <v>525</v>
      </c>
      <c r="F62" s="1452" t="s">
        <v>525</v>
      </c>
      <c r="G62" s="4197" t="s">
        <v>525</v>
      </c>
      <c r="H62" s="4198"/>
      <c r="I62" s="4199"/>
      <c r="J62" s="1453" t="s">
        <v>525</v>
      </c>
      <c r="K62" s="267"/>
      <c r="L62" s="267"/>
      <c r="M62" s="1446" t="s">
        <v>525</v>
      </c>
      <c r="N62" s="1446" t="s">
        <v>525</v>
      </c>
      <c r="O62" s="1446" t="s">
        <v>525</v>
      </c>
      <c r="P62" s="1451" t="s">
        <v>525</v>
      </c>
      <c r="Q62" s="1454" t="s">
        <v>525</v>
      </c>
      <c r="R62" s="1451" t="s">
        <v>525</v>
      </c>
      <c r="S62" s="1455" t="s">
        <v>525</v>
      </c>
      <c r="T62" s="1455" t="s">
        <v>525</v>
      </c>
      <c r="U62" s="1456" t="s">
        <v>525</v>
      </c>
      <c r="V62" s="1457" t="s">
        <v>525</v>
      </c>
      <c r="W62" s="1458" t="s">
        <v>525</v>
      </c>
      <c r="X62" s="2987" t="s">
        <v>525</v>
      </c>
      <c r="Y62" s="267"/>
      <c r="Z62" s="267"/>
      <c r="AA62" s="267"/>
      <c r="AB62" s="2989"/>
      <c r="AC62" s="566"/>
      <c r="AD62" s="566"/>
      <c r="AE62" s="566"/>
      <c r="AF62" s="566"/>
      <c r="AG62" s="566"/>
      <c r="AH62" s="566"/>
      <c r="AI62" s="566"/>
      <c r="AJ62" s="566"/>
      <c r="AK62" s="267"/>
      <c r="AL62" s="267"/>
    </row>
    <row r="63" spans="1:38" ht="18" customHeight="1" thickBot="1">
      <c r="A63" s="2996">
        <v>0</v>
      </c>
      <c r="B63" s="1459" t="s">
        <v>1423</v>
      </c>
      <c r="C63" s="1449">
        <v>1326.8851999999999</v>
      </c>
      <c r="D63" s="1450" t="s">
        <v>525</v>
      </c>
      <c r="E63" s="1451" t="e">
        <v>#VALUE!</v>
      </c>
      <c r="F63" s="1452" t="e">
        <v>#VALUE!</v>
      </c>
      <c r="G63" s="4197" t="e">
        <v>#VALUE!</v>
      </c>
      <c r="H63" s="4198"/>
      <c r="I63" s="4199"/>
      <c r="J63" s="1453" t="e">
        <v>#VALUE!</v>
      </c>
      <c r="K63" s="267"/>
      <c r="L63" s="267"/>
      <c r="M63" s="1446">
        <v>23.5</v>
      </c>
      <c r="N63" s="1446">
        <v>3</v>
      </c>
      <c r="O63" s="1446">
        <v>12.99</v>
      </c>
      <c r="P63" s="1451" t="e">
        <v>#VALUE!</v>
      </c>
      <c r="Q63" s="1454" t="e">
        <v>#VALUE!</v>
      </c>
      <c r="R63" s="1451" t="e">
        <v>#VALUE!</v>
      </c>
      <c r="S63" s="1455" t="e">
        <v>#VALUE!</v>
      </c>
      <c r="T63" s="1455">
        <v>13.04</v>
      </c>
      <c r="U63" s="1456" t="e">
        <v>#VALUE!</v>
      </c>
      <c r="V63" s="1457" t="s">
        <v>1423</v>
      </c>
      <c r="W63" s="1458" t="e">
        <v>#VALUE!</v>
      </c>
      <c r="X63" s="2987">
        <v>5.8333333333333339</v>
      </c>
      <c r="Y63" s="267"/>
      <c r="Z63" s="267"/>
      <c r="AA63" s="267"/>
      <c r="AB63" s="267"/>
      <c r="AC63" s="566"/>
      <c r="AD63" s="566"/>
      <c r="AE63" s="566"/>
      <c r="AF63" s="566"/>
      <c r="AG63" s="566"/>
      <c r="AH63" s="566"/>
      <c r="AI63" s="566"/>
      <c r="AJ63" s="566"/>
      <c r="AK63" s="267"/>
      <c r="AL63" s="267"/>
    </row>
    <row r="64" spans="1:38" ht="18" customHeight="1" thickBot="1">
      <c r="A64" s="2996">
        <v>0</v>
      </c>
      <c r="B64" s="1459" t="s">
        <v>1423</v>
      </c>
      <c r="C64" s="1449">
        <v>1600</v>
      </c>
      <c r="D64" s="1450" t="s">
        <v>525</v>
      </c>
      <c r="E64" s="1451" t="e">
        <v>#VALUE!</v>
      </c>
      <c r="F64" s="1452" t="e">
        <v>#VALUE!</v>
      </c>
      <c r="G64" s="4197" t="e">
        <v>#VALUE!</v>
      </c>
      <c r="H64" s="4198"/>
      <c r="I64" s="4199"/>
      <c r="J64" s="1453" t="e">
        <v>#VALUE!</v>
      </c>
      <c r="K64" s="267"/>
      <c r="L64" s="267"/>
      <c r="M64" s="1446">
        <v>25.5</v>
      </c>
      <c r="N64" s="1446">
        <v>3.5</v>
      </c>
      <c r="O64" s="1446">
        <v>15.155000000000001</v>
      </c>
      <c r="P64" s="1451" t="e">
        <v>#VALUE!</v>
      </c>
      <c r="Q64" s="1454" t="e">
        <v>#VALUE!</v>
      </c>
      <c r="R64" s="1451" t="e">
        <v>#VALUE!</v>
      </c>
      <c r="S64" s="1455" t="e">
        <v>#VALUE!</v>
      </c>
      <c r="T64" s="1455">
        <v>14.490784766562513</v>
      </c>
      <c r="U64" s="1456" t="e">
        <v>#VALUE!</v>
      </c>
      <c r="V64" s="1457" t="s">
        <v>1423</v>
      </c>
      <c r="W64" s="1458" t="e">
        <v>#VALUE!</v>
      </c>
      <c r="X64" s="2987">
        <v>4.166666666666667</v>
      </c>
      <c r="Y64" s="267"/>
      <c r="Z64" s="267"/>
      <c r="AA64" s="267"/>
      <c r="AB64" s="267"/>
      <c r="AC64" s="566"/>
      <c r="AD64" s="566"/>
      <c r="AE64" s="566"/>
      <c r="AF64" s="566"/>
      <c r="AG64" s="566"/>
      <c r="AH64" s="566"/>
      <c r="AI64" s="566"/>
      <c r="AJ64" s="566"/>
      <c r="AK64" s="267"/>
      <c r="AL64" s="267"/>
    </row>
    <row r="65" spans="1:38" ht="18" customHeight="1" thickBot="1">
      <c r="A65" s="2996">
        <v>0</v>
      </c>
      <c r="B65" s="1459" t="s">
        <v>525</v>
      </c>
      <c r="C65" s="1449" t="s">
        <v>525</v>
      </c>
      <c r="D65" s="1450" t="s">
        <v>525</v>
      </c>
      <c r="E65" s="1451" t="s">
        <v>525</v>
      </c>
      <c r="F65" s="1452" t="s">
        <v>525</v>
      </c>
      <c r="G65" s="4197" t="s">
        <v>525</v>
      </c>
      <c r="H65" s="4198"/>
      <c r="I65" s="4199"/>
      <c r="J65" s="1453" t="s">
        <v>525</v>
      </c>
      <c r="K65" s="267"/>
      <c r="L65" s="267"/>
      <c r="M65" s="1446" t="s">
        <v>525</v>
      </c>
      <c r="N65" s="1446" t="s">
        <v>525</v>
      </c>
      <c r="O65" s="1446" t="s">
        <v>525</v>
      </c>
      <c r="P65" s="1451" t="s">
        <v>525</v>
      </c>
      <c r="Q65" s="1454" t="s">
        <v>525</v>
      </c>
      <c r="R65" s="1451" t="s">
        <v>525</v>
      </c>
      <c r="S65" s="1455" t="s">
        <v>525</v>
      </c>
      <c r="T65" s="1455" t="s">
        <v>525</v>
      </c>
      <c r="U65" s="1456" t="s">
        <v>525</v>
      </c>
      <c r="V65" s="1457" t="s">
        <v>525</v>
      </c>
      <c r="W65" s="1458" t="s">
        <v>525</v>
      </c>
      <c r="X65" s="2987" t="s">
        <v>525</v>
      </c>
      <c r="Y65" s="267"/>
      <c r="Z65" s="267"/>
      <c r="AA65" s="267"/>
      <c r="AB65" s="267"/>
      <c r="AC65" s="566"/>
      <c r="AD65" s="566"/>
      <c r="AE65" s="566"/>
      <c r="AF65" s="566"/>
      <c r="AG65" s="566"/>
      <c r="AH65" s="566"/>
      <c r="AI65" s="566"/>
      <c r="AJ65" s="566"/>
      <c r="AK65" s="267"/>
      <c r="AL65" s="267"/>
    </row>
    <row r="66" spans="1:38" ht="18" customHeight="1" thickBot="1">
      <c r="A66" s="2996">
        <v>0</v>
      </c>
      <c r="B66" s="1459" t="s">
        <v>525</v>
      </c>
      <c r="C66" s="1449" t="s">
        <v>525</v>
      </c>
      <c r="D66" s="1450" t="s">
        <v>525</v>
      </c>
      <c r="E66" s="1451" t="s">
        <v>525</v>
      </c>
      <c r="F66" s="1452" t="s">
        <v>525</v>
      </c>
      <c r="G66" s="4197" t="s">
        <v>525</v>
      </c>
      <c r="H66" s="4198"/>
      <c r="I66" s="4199"/>
      <c r="J66" s="1453" t="s">
        <v>525</v>
      </c>
      <c r="K66" s="267"/>
      <c r="L66" s="267"/>
      <c r="M66" s="1446" t="s">
        <v>525</v>
      </c>
      <c r="N66" s="1446" t="s">
        <v>525</v>
      </c>
      <c r="O66" s="1446" t="s">
        <v>525</v>
      </c>
      <c r="P66" s="1451" t="s">
        <v>525</v>
      </c>
      <c r="Q66" s="1454" t="s">
        <v>525</v>
      </c>
      <c r="R66" s="1451" t="s">
        <v>525</v>
      </c>
      <c r="S66" s="1455" t="s">
        <v>525</v>
      </c>
      <c r="T66" s="1455" t="s">
        <v>525</v>
      </c>
      <c r="U66" s="1456" t="s">
        <v>525</v>
      </c>
      <c r="V66" s="1457" t="s">
        <v>525</v>
      </c>
      <c r="W66" s="1458" t="s">
        <v>525</v>
      </c>
      <c r="X66" s="2987" t="s">
        <v>525</v>
      </c>
      <c r="Y66" s="267"/>
      <c r="Z66" s="267"/>
      <c r="AA66" s="267"/>
      <c r="AB66" s="267"/>
      <c r="AC66" s="566"/>
      <c r="AD66" s="566"/>
      <c r="AE66" s="566"/>
      <c r="AF66" s="566"/>
      <c r="AG66" s="566"/>
      <c r="AH66" s="566"/>
      <c r="AI66" s="566"/>
      <c r="AJ66" s="566"/>
      <c r="AK66" s="267"/>
      <c r="AL66" s="267"/>
    </row>
    <row r="67" spans="1:38" ht="18" customHeight="1" thickBot="1">
      <c r="A67" s="2996">
        <v>0</v>
      </c>
      <c r="B67" s="1459" t="s">
        <v>525</v>
      </c>
      <c r="C67" s="1449" t="s">
        <v>525</v>
      </c>
      <c r="D67" s="1450" t="s">
        <v>525</v>
      </c>
      <c r="E67" s="1451" t="s">
        <v>525</v>
      </c>
      <c r="F67" s="1452" t="s">
        <v>525</v>
      </c>
      <c r="G67" s="4197" t="s">
        <v>525</v>
      </c>
      <c r="H67" s="4198"/>
      <c r="I67" s="4199"/>
      <c r="J67" s="1453" t="s">
        <v>525</v>
      </c>
      <c r="K67" s="267"/>
      <c r="L67" s="267"/>
      <c r="M67" s="1446" t="s">
        <v>525</v>
      </c>
      <c r="N67" s="1446" t="s">
        <v>525</v>
      </c>
      <c r="O67" s="1446" t="s">
        <v>525</v>
      </c>
      <c r="P67" s="1451" t="s">
        <v>525</v>
      </c>
      <c r="Q67" s="1454" t="s">
        <v>525</v>
      </c>
      <c r="R67" s="1451" t="s">
        <v>525</v>
      </c>
      <c r="S67" s="1455" t="s">
        <v>525</v>
      </c>
      <c r="T67" s="1455" t="s">
        <v>525</v>
      </c>
      <c r="U67" s="1456" t="s">
        <v>525</v>
      </c>
      <c r="V67" s="1457" t="s">
        <v>525</v>
      </c>
      <c r="W67" s="1458" t="s">
        <v>525</v>
      </c>
      <c r="X67" s="2987" t="s">
        <v>525</v>
      </c>
      <c r="Y67" s="267"/>
      <c r="Z67" s="267"/>
      <c r="AA67" s="267"/>
      <c r="AB67" s="267"/>
      <c r="AC67" s="566"/>
      <c r="AD67" s="566"/>
      <c r="AE67" s="566"/>
      <c r="AF67" s="566"/>
      <c r="AG67" s="566"/>
      <c r="AH67" s="566"/>
      <c r="AI67" s="566"/>
      <c r="AJ67" s="566"/>
      <c r="AK67" s="267"/>
      <c r="AL67" s="267"/>
    </row>
    <row r="68" spans="1:38" ht="18" customHeight="1" thickBot="1">
      <c r="A68" s="2996">
        <v>0</v>
      </c>
      <c r="B68" s="1459" t="s">
        <v>525</v>
      </c>
      <c r="C68" s="1449" t="s">
        <v>525</v>
      </c>
      <c r="D68" s="1450" t="s">
        <v>525</v>
      </c>
      <c r="E68" s="1451" t="s">
        <v>525</v>
      </c>
      <c r="F68" s="1452" t="s">
        <v>525</v>
      </c>
      <c r="G68" s="4197" t="s">
        <v>525</v>
      </c>
      <c r="H68" s="4198"/>
      <c r="I68" s="4199"/>
      <c r="J68" s="1453" t="s">
        <v>525</v>
      </c>
      <c r="K68" s="267"/>
      <c r="L68" s="267"/>
      <c r="M68" s="1446" t="s">
        <v>525</v>
      </c>
      <c r="N68" s="1446" t="s">
        <v>525</v>
      </c>
      <c r="O68" s="1446" t="s">
        <v>525</v>
      </c>
      <c r="P68" s="1451" t="s">
        <v>525</v>
      </c>
      <c r="Q68" s="1454" t="s">
        <v>525</v>
      </c>
      <c r="R68" s="1451" t="s">
        <v>525</v>
      </c>
      <c r="S68" s="1455" t="s">
        <v>525</v>
      </c>
      <c r="T68" s="1455" t="s">
        <v>525</v>
      </c>
      <c r="U68" s="1456" t="s">
        <v>525</v>
      </c>
      <c r="V68" s="1457" t="s">
        <v>525</v>
      </c>
      <c r="W68" s="1458" t="s">
        <v>525</v>
      </c>
      <c r="X68" s="2987" t="s">
        <v>525</v>
      </c>
      <c r="Y68" s="267"/>
      <c r="Z68" s="267" t="s">
        <v>77</v>
      </c>
      <c r="AA68" s="267"/>
      <c r="AB68" s="267"/>
      <c r="AC68" s="566"/>
      <c r="AD68" s="566"/>
      <c r="AE68" s="566"/>
      <c r="AF68" s="566"/>
      <c r="AG68" s="566"/>
      <c r="AH68" s="566"/>
      <c r="AI68" s="566"/>
      <c r="AJ68" s="566"/>
      <c r="AK68" s="267"/>
      <c r="AL68" s="267"/>
    </row>
    <row r="69" spans="1:38" ht="18" customHeight="1" thickBot="1">
      <c r="A69" s="2996">
        <v>0</v>
      </c>
      <c r="B69" s="1459" t="s">
        <v>525</v>
      </c>
      <c r="C69" s="1449" t="s">
        <v>525</v>
      </c>
      <c r="D69" s="1450" t="s">
        <v>525</v>
      </c>
      <c r="E69" s="1451" t="s">
        <v>525</v>
      </c>
      <c r="F69" s="1452" t="s">
        <v>525</v>
      </c>
      <c r="G69" s="4197" t="s">
        <v>525</v>
      </c>
      <c r="H69" s="4198"/>
      <c r="I69" s="4199"/>
      <c r="J69" s="1453" t="s">
        <v>525</v>
      </c>
      <c r="K69" s="267"/>
      <c r="L69" s="267"/>
      <c r="M69" s="1446" t="s">
        <v>525</v>
      </c>
      <c r="N69" s="1446" t="s">
        <v>525</v>
      </c>
      <c r="O69" s="1446" t="s">
        <v>525</v>
      </c>
      <c r="P69" s="1451" t="s">
        <v>525</v>
      </c>
      <c r="Q69" s="1454" t="s">
        <v>525</v>
      </c>
      <c r="R69" s="1451" t="s">
        <v>525</v>
      </c>
      <c r="S69" s="1455" t="s">
        <v>525</v>
      </c>
      <c r="T69" s="1455" t="s">
        <v>525</v>
      </c>
      <c r="U69" s="1456" t="s">
        <v>525</v>
      </c>
      <c r="V69" s="1457" t="s">
        <v>525</v>
      </c>
      <c r="W69" s="1458" t="s">
        <v>525</v>
      </c>
      <c r="X69" s="2987" t="s">
        <v>525</v>
      </c>
      <c r="Y69" s="267"/>
      <c r="Z69" s="1348" t="s">
        <v>78</v>
      </c>
      <c r="AA69" s="267"/>
      <c r="AB69" s="267"/>
      <c r="AC69" s="566"/>
      <c r="AD69" s="566"/>
      <c r="AE69" s="566"/>
      <c r="AF69" s="566"/>
      <c r="AG69" s="566"/>
      <c r="AH69" s="566"/>
      <c r="AI69" s="566"/>
      <c r="AJ69" s="566"/>
      <c r="AK69" s="267"/>
      <c r="AL69" s="267"/>
    </row>
    <row r="70" spans="1:38" ht="18" customHeight="1" thickBot="1">
      <c r="A70" s="2996">
        <v>0</v>
      </c>
      <c r="B70" s="1459" t="s">
        <v>525</v>
      </c>
      <c r="C70" s="1449" t="s">
        <v>525</v>
      </c>
      <c r="D70" s="1450" t="s">
        <v>525</v>
      </c>
      <c r="E70" s="1451" t="s">
        <v>525</v>
      </c>
      <c r="F70" s="1452" t="s">
        <v>525</v>
      </c>
      <c r="G70" s="4197" t="s">
        <v>525</v>
      </c>
      <c r="H70" s="4198"/>
      <c r="I70" s="4199"/>
      <c r="J70" s="1453" t="s">
        <v>525</v>
      </c>
      <c r="K70" s="267"/>
      <c r="L70" s="267"/>
      <c r="M70" s="1446" t="s">
        <v>525</v>
      </c>
      <c r="N70" s="1446" t="s">
        <v>525</v>
      </c>
      <c r="O70" s="1446" t="s">
        <v>525</v>
      </c>
      <c r="P70" s="1451" t="s">
        <v>525</v>
      </c>
      <c r="Q70" s="1454" t="s">
        <v>525</v>
      </c>
      <c r="R70" s="1451" t="s">
        <v>525</v>
      </c>
      <c r="S70" s="1455" t="s">
        <v>525</v>
      </c>
      <c r="T70" s="1455" t="s">
        <v>525</v>
      </c>
      <c r="U70" s="1456" t="s">
        <v>525</v>
      </c>
      <c r="V70" s="1457" t="s">
        <v>525</v>
      </c>
      <c r="W70" s="1458" t="s">
        <v>525</v>
      </c>
      <c r="X70" s="2987" t="s">
        <v>525</v>
      </c>
      <c r="Y70" s="267"/>
      <c r="Z70" s="1460" t="s">
        <v>79</v>
      </c>
      <c r="AA70" s="267"/>
      <c r="AB70" s="267"/>
      <c r="AC70" s="566"/>
      <c r="AD70" s="566"/>
      <c r="AE70" s="566"/>
      <c r="AF70" s="566"/>
      <c r="AG70" s="566"/>
      <c r="AH70" s="566"/>
      <c r="AI70" s="566"/>
      <c r="AJ70" s="566"/>
      <c r="AK70" s="267"/>
      <c r="AL70" s="267"/>
    </row>
    <row r="71" spans="1:38" ht="18" customHeight="1" thickBot="1">
      <c r="A71" s="2996">
        <v>0</v>
      </c>
      <c r="B71" s="1459" t="s">
        <v>525</v>
      </c>
      <c r="C71" s="1449" t="s">
        <v>525</v>
      </c>
      <c r="D71" s="1450" t="s">
        <v>525</v>
      </c>
      <c r="E71" s="1451" t="s">
        <v>525</v>
      </c>
      <c r="F71" s="1452" t="s">
        <v>525</v>
      </c>
      <c r="G71" s="4197" t="s">
        <v>525</v>
      </c>
      <c r="H71" s="4198"/>
      <c r="I71" s="4199"/>
      <c r="J71" s="1453" t="s">
        <v>525</v>
      </c>
      <c r="K71" s="267"/>
      <c r="L71" s="267"/>
      <c r="M71" s="1446" t="s">
        <v>525</v>
      </c>
      <c r="N71" s="1446" t="s">
        <v>525</v>
      </c>
      <c r="O71" s="1446" t="s">
        <v>525</v>
      </c>
      <c r="P71" s="1451" t="s">
        <v>525</v>
      </c>
      <c r="Q71" s="1454" t="s">
        <v>525</v>
      </c>
      <c r="R71" s="1451" t="s">
        <v>525</v>
      </c>
      <c r="S71" s="1455" t="s">
        <v>525</v>
      </c>
      <c r="T71" s="1455" t="s">
        <v>525</v>
      </c>
      <c r="U71" s="1456" t="s">
        <v>525</v>
      </c>
      <c r="V71" s="1457" t="s">
        <v>525</v>
      </c>
      <c r="W71" s="1458" t="s">
        <v>525</v>
      </c>
      <c r="X71" s="2987" t="s">
        <v>525</v>
      </c>
      <c r="Y71" s="267"/>
      <c r="Z71" s="267"/>
      <c r="AA71" s="267"/>
      <c r="AB71" s="267"/>
      <c r="AC71" s="566"/>
      <c r="AD71" s="566"/>
      <c r="AE71" s="566"/>
      <c r="AF71" s="566"/>
      <c r="AG71" s="566"/>
      <c r="AH71" s="566"/>
      <c r="AI71" s="566"/>
      <c r="AJ71" s="566"/>
      <c r="AK71" s="267"/>
      <c r="AL71" s="267"/>
    </row>
    <row r="72" spans="1:38" ht="18" customHeight="1" thickBot="1">
      <c r="A72" s="2996">
        <v>0</v>
      </c>
      <c r="B72" s="1448" t="s">
        <v>1454</v>
      </c>
      <c r="C72" s="1461" t="s">
        <v>924</v>
      </c>
      <c r="D72" s="1450" t="e">
        <v>#REF!</v>
      </c>
      <c r="E72" s="1451" t="e">
        <v>#REF!</v>
      </c>
      <c r="F72" s="1452" t="e">
        <v>#REF!</v>
      </c>
      <c r="G72" s="4197" t="e">
        <v>#REF!</v>
      </c>
      <c r="H72" s="4198"/>
      <c r="I72" s="4199"/>
      <c r="J72" s="1453" t="e">
        <v>#REF!</v>
      </c>
      <c r="K72" s="267"/>
      <c r="L72" s="267"/>
      <c r="M72" s="1446">
        <v>40</v>
      </c>
      <c r="N72" s="1446">
        <v>5</v>
      </c>
      <c r="O72" s="1446">
        <v>21.65</v>
      </c>
      <c r="P72" s="1451" t="e">
        <v>#REF!</v>
      </c>
      <c r="Q72" s="1454" t="e">
        <v>#REF!</v>
      </c>
      <c r="R72" s="1451" t="e">
        <v>#REF!</v>
      </c>
      <c r="S72" s="1455" t="e">
        <v>#REF!</v>
      </c>
      <c r="T72" s="1455"/>
      <c r="U72" s="1456" t="e">
        <v>#REF!</v>
      </c>
      <c r="V72" s="1457" t="s">
        <v>94</v>
      </c>
      <c r="W72" s="1458" t="e">
        <v>#VALUE!</v>
      </c>
      <c r="X72" s="267"/>
      <c r="Y72" s="267"/>
      <c r="Z72" s="1457" t="s">
        <v>94</v>
      </c>
      <c r="AA72" s="1458" t="e">
        <v>#VALUE!</v>
      </c>
      <c r="AB72" s="267"/>
      <c r="AC72" s="566"/>
      <c r="AD72" s="566"/>
      <c r="AE72" s="566"/>
      <c r="AF72" s="566"/>
      <c r="AG72" s="566"/>
      <c r="AH72" s="566"/>
      <c r="AI72" s="566"/>
      <c r="AJ72" s="566"/>
      <c r="AK72" s="267"/>
      <c r="AL72" s="267"/>
    </row>
    <row r="73" spans="1:38" ht="16.5" customHeight="1" thickBot="1">
      <c r="A73" s="2996">
        <v>0</v>
      </c>
      <c r="B73" s="1448" t="s">
        <v>525</v>
      </c>
      <c r="C73" s="1461" t="s">
        <v>525</v>
      </c>
      <c r="D73" s="1450" t="s">
        <v>525</v>
      </c>
      <c r="E73" s="1451" t="s">
        <v>525</v>
      </c>
      <c r="F73" s="1452" t="s">
        <v>525</v>
      </c>
      <c r="G73" s="4197" t="s">
        <v>525</v>
      </c>
      <c r="H73" s="4198"/>
      <c r="I73" s="4199"/>
      <c r="J73" s="1453" t="s">
        <v>525</v>
      </c>
      <c r="K73" s="267"/>
      <c r="L73" s="267"/>
      <c r="M73" s="1446" t="s">
        <v>525</v>
      </c>
      <c r="N73" s="1446" t="s">
        <v>525</v>
      </c>
      <c r="O73" s="1446" t="s">
        <v>525</v>
      </c>
      <c r="P73" s="1451" t="s">
        <v>525</v>
      </c>
      <c r="Q73" s="1454" t="s">
        <v>525</v>
      </c>
      <c r="R73" s="1451" t="s">
        <v>525</v>
      </c>
      <c r="S73" s="1455" t="s">
        <v>525</v>
      </c>
      <c r="T73" s="1455"/>
      <c r="U73" s="1456" t="s">
        <v>525</v>
      </c>
      <c r="V73" s="1457"/>
      <c r="W73" s="1458"/>
      <c r="X73" s="267"/>
      <c r="Y73" s="267"/>
      <c r="Z73" s="1457" t="s">
        <v>124</v>
      </c>
      <c r="AA73" s="1458">
        <v>95000</v>
      </c>
      <c r="AB73" s="267"/>
      <c r="AC73" s="566"/>
      <c r="AD73" s="566"/>
      <c r="AE73" s="566"/>
      <c r="AF73" s="566"/>
      <c r="AG73" s="566"/>
      <c r="AH73" s="566"/>
      <c r="AI73" s="566"/>
      <c r="AJ73" s="566"/>
      <c r="AK73" s="267"/>
      <c r="AL73" s="267"/>
    </row>
    <row r="74" spans="1:38" ht="16.5" customHeight="1" thickBot="1">
      <c r="A74" s="2996">
        <v>0</v>
      </c>
      <c r="B74" s="267"/>
      <c r="C74" s="267"/>
      <c r="D74" s="267"/>
      <c r="E74" s="267"/>
      <c r="F74" s="1439" t="s">
        <v>298</v>
      </c>
      <c r="G74" s="4197" t="s">
        <v>525</v>
      </c>
      <c r="H74" s="4198"/>
      <c r="I74" s="4199"/>
      <c r="J74" s="267"/>
      <c r="K74" s="267"/>
      <c r="L74" s="267"/>
      <c r="M74" s="267"/>
      <c r="N74" s="267"/>
      <c r="O74" s="267"/>
      <c r="P74" s="1451" t="s">
        <v>525</v>
      </c>
      <c r="Q74" s="267"/>
      <c r="R74" s="267"/>
      <c r="S74" s="267"/>
      <c r="T74" s="267"/>
      <c r="U74" s="267"/>
      <c r="V74" s="267"/>
      <c r="W74" s="267"/>
      <c r="X74" s="267"/>
      <c r="Y74" s="1348"/>
      <c r="Z74" s="1457" t="s">
        <v>3</v>
      </c>
      <c r="AA74" s="1458">
        <v>0</v>
      </c>
      <c r="AB74" s="267"/>
      <c r="AC74" s="566"/>
      <c r="AD74" s="566"/>
      <c r="AE74" s="566"/>
      <c r="AF74" s="566"/>
      <c r="AG74" s="566"/>
      <c r="AH74" s="566"/>
      <c r="AI74" s="566"/>
      <c r="AJ74" s="566"/>
      <c r="AK74" s="267"/>
      <c r="AL74" s="267"/>
    </row>
    <row r="75" spans="1:38" s="15" customFormat="1" ht="16.5" customHeight="1" thickBot="1">
      <c r="A75" s="2996">
        <v>0</v>
      </c>
      <c r="B75" s="1348"/>
      <c r="C75" s="4200"/>
      <c r="D75" s="4200"/>
      <c r="E75" s="1348"/>
      <c r="F75" s="1348"/>
      <c r="G75" s="4197" t="s">
        <v>525</v>
      </c>
      <c r="H75" s="4198"/>
      <c r="I75" s="4199"/>
      <c r="J75" s="1348"/>
      <c r="K75" s="1348"/>
      <c r="L75" s="1348"/>
      <c r="M75" s="1348"/>
      <c r="N75" s="1348"/>
      <c r="O75" s="1348"/>
      <c r="P75" s="1451" t="s">
        <v>525</v>
      </c>
      <c r="Q75" s="1348"/>
      <c r="R75" s="1348"/>
      <c r="S75" s="1348"/>
      <c r="T75" s="1348"/>
      <c r="U75" s="1348"/>
      <c r="V75" s="1348"/>
      <c r="W75" s="1348"/>
      <c r="X75" s="1348"/>
      <c r="Y75" s="1348"/>
      <c r="Z75" s="1457" t="s">
        <v>94</v>
      </c>
      <c r="AA75" s="1458" t="e">
        <v>#VALUE!</v>
      </c>
      <c r="AB75" s="1348"/>
      <c r="AC75" s="720"/>
      <c r="AD75" s="720"/>
      <c r="AE75" s="720"/>
      <c r="AF75" s="720"/>
      <c r="AG75" s="720"/>
      <c r="AH75" s="720"/>
      <c r="AI75" s="720"/>
      <c r="AJ75" s="720"/>
      <c r="AK75" s="1348"/>
      <c r="AL75" s="1348"/>
    </row>
    <row r="76" spans="1:38" s="15" customFormat="1" ht="18" customHeight="1" thickBot="1">
      <c r="A76" s="2996">
        <v>0</v>
      </c>
      <c r="B76" s="1459" t="s">
        <v>525</v>
      </c>
      <c r="C76" s="1449" t="s">
        <v>525</v>
      </c>
      <c r="D76" s="1450" t="s">
        <v>525</v>
      </c>
      <c r="E76" s="1451" t="s">
        <v>525</v>
      </c>
      <c r="F76" s="1452" t="s">
        <v>525</v>
      </c>
      <c r="G76" s="4197" t="s">
        <v>525</v>
      </c>
      <c r="H76" s="4198"/>
      <c r="I76" s="4199"/>
      <c r="J76" s="1453" t="s">
        <v>525</v>
      </c>
      <c r="K76" s="267"/>
      <c r="L76" s="267"/>
      <c r="M76" s="1446" t="s">
        <v>525</v>
      </c>
      <c r="N76" s="1446" t="s">
        <v>525</v>
      </c>
      <c r="O76" s="1446" t="s">
        <v>525</v>
      </c>
      <c r="P76" s="1451" t="s">
        <v>525</v>
      </c>
      <c r="Q76" s="1454" t="s">
        <v>525</v>
      </c>
      <c r="R76" s="1451" t="s">
        <v>525</v>
      </c>
      <c r="S76" s="1455" t="s">
        <v>525</v>
      </c>
      <c r="T76" s="1455" t="s">
        <v>525</v>
      </c>
      <c r="U76" s="1456" t="s">
        <v>525</v>
      </c>
      <c r="V76" s="1457" t="s">
        <v>525</v>
      </c>
      <c r="W76" s="1458" t="s">
        <v>525</v>
      </c>
      <c r="X76" s="2987" t="s">
        <v>525</v>
      </c>
      <c r="Y76" s="1348"/>
      <c r="Z76" s="1457" t="s">
        <v>125</v>
      </c>
      <c r="AA76" s="1458">
        <v>600993.68263966474</v>
      </c>
      <c r="AB76" s="1348"/>
      <c r="AC76" s="720"/>
      <c r="AD76" s="720"/>
      <c r="AE76" s="720"/>
      <c r="AF76" s="720"/>
      <c r="AG76" s="720"/>
      <c r="AH76" s="720"/>
      <c r="AI76" s="720"/>
      <c r="AJ76" s="720"/>
      <c r="AK76" s="1348"/>
      <c r="AL76" s="1348"/>
    </row>
    <row r="77" spans="1:38" s="15" customFormat="1" ht="18" customHeight="1" thickBot="1">
      <c r="A77" s="2996">
        <v>0</v>
      </c>
      <c r="B77" s="1459" t="s">
        <v>525</v>
      </c>
      <c r="C77" s="1449" t="s">
        <v>525</v>
      </c>
      <c r="D77" s="1450" t="s">
        <v>525</v>
      </c>
      <c r="E77" s="1451" t="s">
        <v>525</v>
      </c>
      <c r="F77" s="1452" t="s">
        <v>525</v>
      </c>
      <c r="G77" s="4197" t="s">
        <v>525</v>
      </c>
      <c r="H77" s="4198"/>
      <c r="I77" s="4199"/>
      <c r="J77" s="1453" t="s">
        <v>525</v>
      </c>
      <c r="K77" s="267"/>
      <c r="L77" s="267"/>
      <c r="M77" s="1446" t="s">
        <v>525</v>
      </c>
      <c r="N77" s="1446" t="s">
        <v>525</v>
      </c>
      <c r="O77" s="1446" t="s">
        <v>525</v>
      </c>
      <c r="P77" s="1451" t="s">
        <v>525</v>
      </c>
      <c r="Q77" s="1454" t="s">
        <v>525</v>
      </c>
      <c r="R77" s="1451" t="s">
        <v>525</v>
      </c>
      <c r="S77" s="1455" t="s">
        <v>525</v>
      </c>
      <c r="T77" s="1455" t="s">
        <v>525</v>
      </c>
      <c r="U77" s="1456" t="s">
        <v>525</v>
      </c>
      <c r="V77" s="1457" t="s">
        <v>525</v>
      </c>
      <c r="W77" s="1458" t="s">
        <v>525</v>
      </c>
      <c r="X77" s="2987" t="s">
        <v>525</v>
      </c>
      <c r="Y77" s="1348"/>
      <c r="Z77" s="1457" t="s">
        <v>126</v>
      </c>
      <c r="AA77" s="1458" t="e">
        <v>#VALUE!</v>
      </c>
      <c r="AB77" s="1348"/>
      <c r="AC77" s="720"/>
      <c r="AD77" s="720"/>
      <c r="AE77" s="720"/>
      <c r="AF77" s="720"/>
      <c r="AG77" s="720"/>
      <c r="AH77" s="720"/>
      <c r="AI77" s="720"/>
      <c r="AJ77" s="720"/>
      <c r="AK77" s="1348"/>
      <c r="AL77" s="1348"/>
    </row>
    <row r="78" spans="1:38" s="15" customFormat="1" ht="18" customHeight="1" thickBot="1">
      <c r="A78" s="2996">
        <v>0</v>
      </c>
      <c r="B78" s="1459" t="s">
        <v>525</v>
      </c>
      <c r="C78" s="1449" t="s">
        <v>525</v>
      </c>
      <c r="D78" s="1450" t="s">
        <v>525</v>
      </c>
      <c r="E78" s="1451" t="s">
        <v>525</v>
      </c>
      <c r="F78" s="1452" t="s">
        <v>525</v>
      </c>
      <c r="G78" s="4197" t="s">
        <v>525</v>
      </c>
      <c r="H78" s="4198"/>
      <c r="I78" s="4199"/>
      <c r="J78" s="1453" t="s">
        <v>525</v>
      </c>
      <c r="K78" s="267"/>
      <c r="L78" s="267"/>
      <c r="M78" s="1446" t="s">
        <v>525</v>
      </c>
      <c r="N78" s="1446" t="s">
        <v>525</v>
      </c>
      <c r="O78" s="1446" t="s">
        <v>525</v>
      </c>
      <c r="P78" s="1451" t="s">
        <v>525</v>
      </c>
      <c r="Q78" s="1454" t="s">
        <v>525</v>
      </c>
      <c r="R78" s="1451" t="s">
        <v>525</v>
      </c>
      <c r="S78" s="1455" t="s">
        <v>525</v>
      </c>
      <c r="T78" s="1455" t="s">
        <v>525</v>
      </c>
      <c r="U78" s="1456" t="s">
        <v>525</v>
      </c>
      <c r="V78" s="1457" t="s">
        <v>525</v>
      </c>
      <c r="W78" s="1458" t="s">
        <v>525</v>
      </c>
      <c r="X78" s="2987" t="s">
        <v>525</v>
      </c>
      <c r="Y78" s="1348"/>
      <c r="Z78" s="1348"/>
      <c r="AA78" s="1348"/>
      <c r="AB78" s="1348"/>
      <c r="AC78" s="720"/>
      <c r="AD78" s="720"/>
      <c r="AE78" s="720"/>
      <c r="AF78" s="720"/>
      <c r="AG78" s="720"/>
      <c r="AH78" s="720"/>
      <c r="AI78" s="720"/>
      <c r="AJ78" s="720"/>
      <c r="AK78" s="1348"/>
      <c r="AL78" s="1348"/>
    </row>
    <row r="79" spans="1:38" s="15" customFormat="1" ht="18" customHeight="1" thickBot="1">
      <c r="A79" s="2996">
        <v>0</v>
      </c>
      <c r="B79" s="1459" t="s">
        <v>525</v>
      </c>
      <c r="C79" s="1449" t="s">
        <v>525</v>
      </c>
      <c r="D79" s="1450" t="s">
        <v>525</v>
      </c>
      <c r="E79" s="1451" t="s">
        <v>525</v>
      </c>
      <c r="F79" s="1452" t="s">
        <v>525</v>
      </c>
      <c r="G79" s="4197" t="s">
        <v>525</v>
      </c>
      <c r="H79" s="4198"/>
      <c r="I79" s="4199"/>
      <c r="J79" s="1453" t="s">
        <v>525</v>
      </c>
      <c r="K79" s="267"/>
      <c r="L79" s="267"/>
      <c r="M79" s="1446" t="s">
        <v>525</v>
      </c>
      <c r="N79" s="1446" t="s">
        <v>525</v>
      </c>
      <c r="O79" s="1446" t="s">
        <v>525</v>
      </c>
      <c r="P79" s="1451" t="s">
        <v>525</v>
      </c>
      <c r="Q79" s="1454" t="s">
        <v>525</v>
      </c>
      <c r="R79" s="1451" t="s">
        <v>525</v>
      </c>
      <c r="S79" s="1455" t="s">
        <v>525</v>
      </c>
      <c r="T79" s="1455" t="s">
        <v>525</v>
      </c>
      <c r="U79" s="1456" t="s">
        <v>525</v>
      </c>
      <c r="V79" s="1457" t="s">
        <v>525</v>
      </c>
      <c r="W79" s="1458" t="s">
        <v>525</v>
      </c>
      <c r="X79" s="2987" t="s">
        <v>525</v>
      </c>
      <c r="Y79" s="1348"/>
      <c r="Z79" s="1348"/>
      <c r="AA79" s="1348"/>
      <c r="AB79" s="1348"/>
      <c r="AC79" s="720"/>
      <c r="AD79" s="720"/>
      <c r="AE79" s="720"/>
      <c r="AF79" s="720"/>
      <c r="AG79" s="720"/>
      <c r="AH79" s="720"/>
      <c r="AI79" s="720"/>
      <c r="AJ79" s="720"/>
      <c r="AK79" s="1348"/>
      <c r="AL79" s="1348"/>
    </row>
    <row r="80" spans="1:38" s="15" customFormat="1" ht="18" customHeight="1" thickBot="1">
      <c r="A80" s="2996">
        <v>0</v>
      </c>
      <c r="B80" s="1459" t="s">
        <v>525</v>
      </c>
      <c r="C80" s="1449" t="s">
        <v>525</v>
      </c>
      <c r="D80" s="1450" t="s">
        <v>525</v>
      </c>
      <c r="E80" s="1451" t="s">
        <v>525</v>
      </c>
      <c r="F80" s="1452" t="s">
        <v>525</v>
      </c>
      <c r="G80" s="4197" t="s">
        <v>525</v>
      </c>
      <c r="H80" s="4198"/>
      <c r="I80" s="4199"/>
      <c r="J80" s="1453" t="s">
        <v>525</v>
      </c>
      <c r="K80" s="267"/>
      <c r="L80" s="267"/>
      <c r="M80" s="1446" t="s">
        <v>525</v>
      </c>
      <c r="N80" s="1446" t="s">
        <v>525</v>
      </c>
      <c r="O80" s="1446" t="s">
        <v>525</v>
      </c>
      <c r="P80" s="1451" t="s">
        <v>525</v>
      </c>
      <c r="Q80" s="1454" t="s">
        <v>525</v>
      </c>
      <c r="R80" s="1451" t="s">
        <v>525</v>
      </c>
      <c r="S80" s="1455" t="s">
        <v>525</v>
      </c>
      <c r="T80" s="1455" t="s">
        <v>525</v>
      </c>
      <c r="U80" s="1456" t="s">
        <v>525</v>
      </c>
      <c r="V80" s="1457" t="s">
        <v>525</v>
      </c>
      <c r="W80" s="1458" t="s">
        <v>525</v>
      </c>
      <c r="X80" s="2987" t="s">
        <v>525</v>
      </c>
      <c r="Y80" s="1348"/>
      <c r="Z80" s="1348"/>
      <c r="AA80" s="1348"/>
      <c r="AB80" s="1348"/>
      <c r="AC80" s="720"/>
      <c r="AD80" s="720"/>
      <c r="AE80" s="720"/>
      <c r="AF80" s="720"/>
      <c r="AG80" s="720"/>
      <c r="AH80" s="720"/>
      <c r="AI80" s="720"/>
      <c r="AJ80" s="720"/>
      <c r="AK80" s="1348"/>
      <c r="AL80" s="1348"/>
    </row>
    <row r="81" spans="1:38" s="15" customFormat="1" ht="18" customHeight="1" thickBot="1">
      <c r="A81" s="2996">
        <v>0</v>
      </c>
      <c r="B81" s="1459" t="s">
        <v>525</v>
      </c>
      <c r="C81" s="1449" t="s">
        <v>525</v>
      </c>
      <c r="D81" s="1450" t="s">
        <v>525</v>
      </c>
      <c r="E81" s="1451" t="s">
        <v>525</v>
      </c>
      <c r="F81" s="1452" t="s">
        <v>525</v>
      </c>
      <c r="G81" s="4197" t="s">
        <v>525</v>
      </c>
      <c r="H81" s="4198"/>
      <c r="I81" s="4199"/>
      <c r="J81" s="1453" t="s">
        <v>525</v>
      </c>
      <c r="K81" s="267"/>
      <c r="L81" s="267"/>
      <c r="M81" s="1446" t="s">
        <v>525</v>
      </c>
      <c r="N81" s="1446" t="s">
        <v>525</v>
      </c>
      <c r="O81" s="1446" t="s">
        <v>525</v>
      </c>
      <c r="P81" s="1451" t="s">
        <v>525</v>
      </c>
      <c r="Q81" s="1454" t="s">
        <v>525</v>
      </c>
      <c r="R81" s="1451" t="s">
        <v>525</v>
      </c>
      <c r="S81" s="1455" t="s">
        <v>525</v>
      </c>
      <c r="T81" s="1455" t="s">
        <v>525</v>
      </c>
      <c r="U81" s="1456" t="s">
        <v>525</v>
      </c>
      <c r="V81" s="1457" t="s">
        <v>525</v>
      </c>
      <c r="W81" s="1458" t="s">
        <v>525</v>
      </c>
      <c r="X81" s="2987" t="s">
        <v>525</v>
      </c>
      <c r="Y81" s="1348"/>
      <c r="Z81" s="1348"/>
      <c r="AA81" s="1348"/>
      <c r="AB81" s="1348"/>
      <c r="AC81" s="720"/>
      <c r="AD81" s="720"/>
      <c r="AE81" s="720"/>
      <c r="AF81" s="720"/>
      <c r="AG81" s="720"/>
      <c r="AH81" s="720"/>
      <c r="AI81" s="720"/>
      <c r="AJ81" s="720"/>
      <c r="AK81" s="1348"/>
      <c r="AL81" s="1348"/>
    </row>
    <row r="82" spans="1:38" s="15" customFormat="1" ht="18" customHeight="1" thickBot="1">
      <c r="A82" s="2996">
        <v>0</v>
      </c>
      <c r="B82" s="1459" t="s">
        <v>525</v>
      </c>
      <c r="C82" s="1449" t="s">
        <v>525</v>
      </c>
      <c r="D82" s="1450" t="s">
        <v>525</v>
      </c>
      <c r="E82" s="1451" t="s">
        <v>525</v>
      </c>
      <c r="F82" s="1452" t="s">
        <v>525</v>
      </c>
      <c r="G82" s="4197" t="s">
        <v>525</v>
      </c>
      <c r="H82" s="4198"/>
      <c r="I82" s="4199"/>
      <c r="J82" s="1453" t="s">
        <v>525</v>
      </c>
      <c r="K82" s="267"/>
      <c r="L82" s="267"/>
      <c r="M82" s="1446" t="s">
        <v>525</v>
      </c>
      <c r="N82" s="1446" t="s">
        <v>525</v>
      </c>
      <c r="O82" s="1446" t="s">
        <v>525</v>
      </c>
      <c r="P82" s="1451" t="s">
        <v>525</v>
      </c>
      <c r="Q82" s="1454" t="s">
        <v>525</v>
      </c>
      <c r="R82" s="1451" t="s">
        <v>525</v>
      </c>
      <c r="S82" s="1455" t="s">
        <v>525</v>
      </c>
      <c r="T82" s="1455" t="s">
        <v>525</v>
      </c>
      <c r="U82" s="1456" t="s">
        <v>525</v>
      </c>
      <c r="V82" s="1457" t="s">
        <v>525</v>
      </c>
      <c r="W82" s="1458" t="s">
        <v>525</v>
      </c>
      <c r="X82" s="2987" t="s">
        <v>525</v>
      </c>
      <c r="Y82" s="1348"/>
      <c r="Z82" s="1348"/>
      <c r="AA82" s="1348"/>
      <c r="AB82" s="1348"/>
      <c r="AC82" s="720"/>
      <c r="AD82" s="720"/>
      <c r="AE82" s="720"/>
      <c r="AF82" s="720"/>
      <c r="AG82" s="720"/>
      <c r="AH82" s="720"/>
      <c r="AI82" s="720"/>
      <c r="AJ82" s="720"/>
      <c r="AK82" s="1348"/>
      <c r="AL82" s="1348"/>
    </row>
    <row r="83" spans="1:38" s="15" customFormat="1" ht="18" customHeight="1" thickBot="1">
      <c r="A83" s="2996">
        <v>0</v>
      </c>
      <c r="B83" s="1459" t="s">
        <v>525</v>
      </c>
      <c r="C83" s="1449" t="s">
        <v>525</v>
      </c>
      <c r="D83" s="1450" t="s">
        <v>525</v>
      </c>
      <c r="E83" s="1451" t="s">
        <v>525</v>
      </c>
      <c r="F83" s="1452" t="s">
        <v>525</v>
      </c>
      <c r="G83" s="4197" t="s">
        <v>525</v>
      </c>
      <c r="H83" s="4198"/>
      <c r="I83" s="4199"/>
      <c r="J83" s="1453" t="s">
        <v>525</v>
      </c>
      <c r="K83" s="267"/>
      <c r="L83" s="267"/>
      <c r="M83" s="1446" t="s">
        <v>525</v>
      </c>
      <c r="N83" s="1446" t="s">
        <v>525</v>
      </c>
      <c r="O83" s="1446" t="s">
        <v>525</v>
      </c>
      <c r="P83" s="1451" t="s">
        <v>525</v>
      </c>
      <c r="Q83" s="1454" t="s">
        <v>525</v>
      </c>
      <c r="R83" s="1451" t="s">
        <v>525</v>
      </c>
      <c r="S83" s="1455" t="s">
        <v>525</v>
      </c>
      <c r="T83" s="1455" t="s">
        <v>525</v>
      </c>
      <c r="U83" s="1456" t="s">
        <v>525</v>
      </c>
      <c r="V83" s="1457" t="s">
        <v>525</v>
      </c>
      <c r="W83" s="1458" t="s">
        <v>525</v>
      </c>
      <c r="X83" s="2987" t="s">
        <v>525</v>
      </c>
      <c r="Y83" s="1348"/>
      <c r="Z83" s="1348"/>
      <c r="AA83" s="1348"/>
      <c r="AB83" s="1348"/>
      <c r="AC83" s="720"/>
      <c r="AD83" s="720"/>
      <c r="AE83" s="720"/>
      <c r="AF83" s="720"/>
      <c r="AG83" s="720"/>
      <c r="AH83" s="720"/>
      <c r="AI83" s="720"/>
      <c r="AJ83" s="720"/>
      <c r="AK83" s="1348"/>
      <c r="AL83" s="1348"/>
    </row>
    <row r="84" spans="1:38" s="15" customFormat="1" ht="18" customHeight="1" thickBot="1">
      <c r="A84" s="2996">
        <v>0</v>
      </c>
      <c r="B84" s="1459" t="s">
        <v>525</v>
      </c>
      <c r="C84" s="1449" t="s">
        <v>525</v>
      </c>
      <c r="D84" s="1450" t="s">
        <v>525</v>
      </c>
      <c r="E84" s="1451" t="s">
        <v>525</v>
      </c>
      <c r="F84" s="1452" t="s">
        <v>525</v>
      </c>
      <c r="G84" s="4197" t="s">
        <v>525</v>
      </c>
      <c r="H84" s="4198"/>
      <c r="I84" s="4199"/>
      <c r="J84" s="1453" t="s">
        <v>525</v>
      </c>
      <c r="K84" s="267"/>
      <c r="L84" s="267"/>
      <c r="M84" s="1446" t="s">
        <v>525</v>
      </c>
      <c r="N84" s="1446" t="s">
        <v>525</v>
      </c>
      <c r="O84" s="1446" t="s">
        <v>525</v>
      </c>
      <c r="P84" s="1451" t="s">
        <v>525</v>
      </c>
      <c r="Q84" s="1454" t="s">
        <v>525</v>
      </c>
      <c r="R84" s="1451" t="s">
        <v>525</v>
      </c>
      <c r="S84" s="1455" t="s">
        <v>525</v>
      </c>
      <c r="T84" s="1455" t="s">
        <v>525</v>
      </c>
      <c r="U84" s="1456" t="s">
        <v>525</v>
      </c>
      <c r="V84" s="1457" t="s">
        <v>525</v>
      </c>
      <c r="W84" s="1458" t="s">
        <v>525</v>
      </c>
      <c r="X84" s="2987" t="s">
        <v>525</v>
      </c>
      <c r="Y84" s="1348"/>
      <c r="Z84" s="1348"/>
      <c r="AA84" s="1348"/>
      <c r="AB84" s="1348"/>
      <c r="AC84" s="720"/>
      <c r="AD84" s="720"/>
      <c r="AE84" s="720"/>
      <c r="AF84" s="720"/>
      <c r="AG84" s="720"/>
      <c r="AH84" s="720"/>
      <c r="AI84" s="720"/>
      <c r="AJ84" s="720"/>
      <c r="AK84" s="1348"/>
      <c r="AL84" s="1348"/>
    </row>
    <row r="85" spans="1:38" s="15" customFormat="1" ht="18" customHeight="1" thickBot="1">
      <c r="A85" s="2996">
        <v>0</v>
      </c>
      <c r="B85" s="1459" t="s">
        <v>525</v>
      </c>
      <c r="C85" s="1449" t="s">
        <v>525</v>
      </c>
      <c r="D85" s="1450" t="s">
        <v>525</v>
      </c>
      <c r="E85" s="1451" t="s">
        <v>525</v>
      </c>
      <c r="F85" s="1452" t="s">
        <v>525</v>
      </c>
      <c r="G85" s="4197" t="s">
        <v>525</v>
      </c>
      <c r="H85" s="4198"/>
      <c r="I85" s="4199"/>
      <c r="J85" s="1453" t="s">
        <v>525</v>
      </c>
      <c r="K85" s="267"/>
      <c r="L85" s="267"/>
      <c r="M85" s="1446" t="s">
        <v>525</v>
      </c>
      <c r="N85" s="1446" t="s">
        <v>525</v>
      </c>
      <c r="O85" s="1446" t="s">
        <v>525</v>
      </c>
      <c r="P85" s="1451" t="s">
        <v>525</v>
      </c>
      <c r="Q85" s="1454" t="s">
        <v>525</v>
      </c>
      <c r="R85" s="1451" t="s">
        <v>525</v>
      </c>
      <c r="S85" s="1455" t="s">
        <v>525</v>
      </c>
      <c r="T85" s="1455" t="s">
        <v>525</v>
      </c>
      <c r="U85" s="1456" t="s">
        <v>525</v>
      </c>
      <c r="V85" s="1457" t="s">
        <v>525</v>
      </c>
      <c r="W85" s="1458" t="s">
        <v>525</v>
      </c>
      <c r="X85" s="2987" t="s">
        <v>525</v>
      </c>
      <c r="Y85" s="1348"/>
      <c r="Z85" s="1348"/>
      <c r="AA85" s="1348"/>
      <c r="AB85" s="1348"/>
      <c r="AC85" s="720"/>
      <c r="AD85" s="720"/>
      <c r="AE85" s="720"/>
      <c r="AF85" s="720"/>
      <c r="AG85" s="720"/>
      <c r="AH85" s="720"/>
      <c r="AI85" s="720"/>
      <c r="AJ85" s="720"/>
      <c r="AK85" s="1348"/>
      <c r="AL85" s="1348"/>
    </row>
    <row r="86" spans="1:38" s="15" customFormat="1" ht="18" customHeight="1" thickBot="1">
      <c r="A86" s="2996">
        <v>0</v>
      </c>
      <c r="B86" s="1459" t="s">
        <v>525</v>
      </c>
      <c r="C86" s="1449" t="s">
        <v>525</v>
      </c>
      <c r="D86" s="1450" t="s">
        <v>525</v>
      </c>
      <c r="E86" s="1451" t="s">
        <v>525</v>
      </c>
      <c r="F86" s="1452" t="s">
        <v>525</v>
      </c>
      <c r="G86" s="4197" t="s">
        <v>525</v>
      </c>
      <c r="H86" s="4198"/>
      <c r="I86" s="4199"/>
      <c r="J86" s="1453" t="s">
        <v>525</v>
      </c>
      <c r="K86" s="267"/>
      <c r="L86" s="267"/>
      <c r="M86" s="1446" t="s">
        <v>525</v>
      </c>
      <c r="N86" s="1446" t="s">
        <v>525</v>
      </c>
      <c r="O86" s="1446" t="s">
        <v>525</v>
      </c>
      <c r="P86" s="1451" t="s">
        <v>525</v>
      </c>
      <c r="Q86" s="1454" t="s">
        <v>525</v>
      </c>
      <c r="R86" s="1451" t="s">
        <v>525</v>
      </c>
      <c r="S86" s="1455" t="s">
        <v>525</v>
      </c>
      <c r="T86" s="1455" t="s">
        <v>525</v>
      </c>
      <c r="U86" s="1456" t="s">
        <v>525</v>
      </c>
      <c r="V86" s="1457" t="s">
        <v>525</v>
      </c>
      <c r="W86" s="1458" t="s">
        <v>525</v>
      </c>
      <c r="X86" s="2987" t="s">
        <v>525</v>
      </c>
      <c r="Y86" s="1348"/>
      <c r="Z86" s="1348"/>
      <c r="AA86" s="1348"/>
      <c r="AB86" s="1348"/>
      <c r="AC86" s="720"/>
      <c r="AD86" s="720"/>
      <c r="AE86" s="720"/>
      <c r="AF86" s="720"/>
      <c r="AG86" s="720"/>
      <c r="AH86" s="720"/>
      <c r="AI86" s="720"/>
      <c r="AJ86" s="720"/>
      <c r="AK86" s="1348"/>
      <c r="AL86" s="1348"/>
    </row>
    <row r="87" spans="1:38" ht="18" customHeight="1" thickBot="1">
      <c r="A87" s="2996">
        <v>0</v>
      </c>
      <c r="B87" s="1459" t="s">
        <v>525</v>
      </c>
      <c r="C87" s="1449" t="s">
        <v>525</v>
      </c>
      <c r="D87" s="1450" t="s">
        <v>525</v>
      </c>
      <c r="E87" s="1451" t="s">
        <v>525</v>
      </c>
      <c r="F87" s="1452" t="s">
        <v>525</v>
      </c>
      <c r="G87" s="4197" t="s">
        <v>525</v>
      </c>
      <c r="H87" s="4198"/>
      <c r="I87" s="4199"/>
      <c r="J87" s="1453" t="s">
        <v>525</v>
      </c>
      <c r="K87" s="267"/>
      <c r="L87" s="267"/>
      <c r="M87" s="1446" t="s">
        <v>525</v>
      </c>
      <c r="N87" s="1446" t="s">
        <v>525</v>
      </c>
      <c r="O87" s="1446" t="s">
        <v>525</v>
      </c>
      <c r="P87" s="1451" t="s">
        <v>525</v>
      </c>
      <c r="Q87" s="1454" t="s">
        <v>525</v>
      </c>
      <c r="R87" s="1451" t="s">
        <v>525</v>
      </c>
      <c r="S87" s="1455" t="s">
        <v>525</v>
      </c>
      <c r="T87" s="1455" t="s">
        <v>525</v>
      </c>
      <c r="U87" s="1456" t="s">
        <v>525</v>
      </c>
      <c r="V87" s="1457" t="s">
        <v>525</v>
      </c>
      <c r="W87" s="1458" t="s">
        <v>525</v>
      </c>
      <c r="X87" s="2987" t="s">
        <v>525</v>
      </c>
      <c r="Y87" s="1348"/>
      <c r="Z87" s="1348"/>
      <c r="AA87" s="1348"/>
      <c r="AB87" s="1348"/>
      <c r="AC87" s="566"/>
      <c r="AD87" s="566"/>
      <c r="AE87" s="566"/>
      <c r="AF87" s="566"/>
      <c r="AG87" s="566"/>
      <c r="AH87" s="566"/>
      <c r="AI87" s="566"/>
      <c r="AJ87" s="566"/>
      <c r="AK87" s="267"/>
      <c r="AL87" s="267"/>
    </row>
    <row r="88" spans="1:38" ht="18" customHeight="1" thickBot="1">
      <c r="A88" s="2996">
        <v>0</v>
      </c>
      <c r="B88" s="1459" t="s">
        <v>525</v>
      </c>
      <c r="C88" s="1449" t="s">
        <v>525</v>
      </c>
      <c r="D88" s="1450" t="s">
        <v>525</v>
      </c>
      <c r="E88" s="1451" t="s">
        <v>525</v>
      </c>
      <c r="F88" s="1452" t="s">
        <v>525</v>
      </c>
      <c r="G88" s="4197" t="s">
        <v>525</v>
      </c>
      <c r="H88" s="4198"/>
      <c r="I88" s="4199"/>
      <c r="J88" s="1453" t="s">
        <v>525</v>
      </c>
      <c r="K88" s="267"/>
      <c r="L88" s="267"/>
      <c r="M88" s="1446" t="s">
        <v>525</v>
      </c>
      <c r="N88" s="1446" t="s">
        <v>525</v>
      </c>
      <c r="O88" s="1446" t="s">
        <v>525</v>
      </c>
      <c r="P88" s="1451" t="s">
        <v>525</v>
      </c>
      <c r="Q88" s="1454" t="s">
        <v>525</v>
      </c>
      <c r="R88" s="1451" t="s">
        <v>525</v>
      </c>
      <c r="S88" s="1455" t="s">
        <v>525</v>
      </c>
      <c r="T88" s="1455" t="s">
        <v>525</v>
      </c>
      <c r="U88" s="1456" t="s">
        <v>525</v>
      </c>
      <c r="V88" s="1457" t="s">
        <v>525</v>
      </c>
      <c r="W88" s="1458" t="s">
        <v>525</v>
      </c>
      <c r="X88" s="2987" t="s">
        <v>525</v>
      </c>
      <c r="Y88" s="1348"/>
      <c r="Z88" s="1348"/>
      <c r="AA88" s="1348"/>
      <c r="AB88" s="1348"/>
      <c r="AC88" s="566"/>
      <c r="AD88" s="566"/>
      <c r="AE88" s="566"/>
      <c r="AF88" s="566"/>
      <c r="AG88" s="566"/>
      <c r="AH88" s="566"/>
      <c r="AI88" s="566"/>
      <c r="AJ88" s="566"/>
      <c r="AK88" s="267"/>
      <c r="AL88" s="267"/>
    </row>
    <row r="89" spans="1:38" ht="18" customHeight="1" thickBot="1">
      <c r="A89" s="2996">
        <v>0</v>
      </c>
      <c r="B89" s="1459" t="s">
        <v>525</v>
      </c>
      <c r="C89" s="1449" t="s">
        <v>525</v>
      </c>
      <c r="D89" s="1450" t="s">
        <v>525</v>
      </c>
      <c r="E89" s="1451" t="s">
        <v>525</v>
      </c>
      <c r="F89" s="1452" t="s">
        <v>525</v>
      </c>
      <c r="G89" s="4197" t="s">
        <v>525</v>
      </c>
      <c r="H89" s="4198"/>
      <c r="I89" s="4199"/>
      <c r="J89" s="1453" t="s">
        <v>525</v>
      </c>
      <c r="K89" s="267"/>
      <c r="L89" s="267"/>
      <c r="M89" s="1446" t="s">
        <v>525</v>
      </c>
      <c r="N89" s="1446" t="s">
        <v>525</v>
      </c>
      <c r="O89" s="1446" t="s">
        <v>525</v>
      </c>
      <c r="P89" s="1451" t="s">
        <v>525</v>
      </c>
      <c r="Q89" s="1454" t="s">
        <v>525</v>
      </c>
      <c r="R89" s="1451" t="s">
        <v>525</v>
      </c>
      <c r="S89" s="1455" t="s">
        <v>525</v>
      </c>
      <c r="T89" s="1455" t="s">
        <v>525</v>
      </c>
      <c r="U89" s="1456" t="s">
        <v>525</v>
      </c>
      <c r="V89" s="1457" t="s">
        <v>525</v>
      </c>
      <c r="W89" s="1458" t="s">
        <v>525</v>
      </c>
      <c r="X89" s="2987" t="s">
        <v>525</v>
      </c>
      <c r="Y89" s="1348"/>
      <c r="Z89" s="1348"/>
      <c r="AA89" s="1348"/>
      <c r="AB89" s="1348"/>
      <c r="AC89" s="566"/>
      <c r="AD89" s="566"/>
      <c r="AE89" s="566"/>
      <c r="AF89" s="566"/>
      <c r="AG89" s="566"/>
      <c r="AH89" s="566"/>
      <c r="AI89" s="566"/>
      <c r="AJ89" s="566"/>
      <c r="AK89" s="267"/>
      <c r="AL89" s="267"/>
    </row>
    <row r="90" spans="1:38" ht="18" customHeight="1" thickBot="1">
      <c r="A90" s="2996">
        <v>0</v>
      </c>
      <c r="B90" s="1459" t="s">
        <v>525</v>
      </c>
      <c r="C90" s="1449" t="s">
        <v>525</v>
      </c>
      <c r="D90" s="1450" t="s">
        <v>525</v>
      </c>
      <c r="E90" s="1451" t="s">
        <v>525</v>
      </c>
      <c r="F90" s="1452" t="s">
        <v>525</v>
      </c>
      <c r="G90" s="4197" t="s">
        <v>525</v>
      </c>
      <c r="H90" s="4198"/>
      <c r="I90" s="4199"/>
      <c r="J90" s="1453" t="s">
        <v>525</v>
      </c>
      <c r="K90" s="267"/>
      <c r="L90" s="267"/>
      <c r="M90" s="1446" t="s">
        <v>525</v>
      </c>
      <c r="N90" s="1446" t="s">
        <v>525</v>
      </c>
      <c r="O90" s="1446" t="s">
        <v>525</v>
      </c>
      <c r="P90" s="1451" t="s">
        <v>525</v>
      </c>
      <c r="Q90" s="1454" t="s">
        <v>525</v>
      </c>
      <c r="R90" s="1451" t="s">
        <v>525</v>
      </c>
      <c r="S90" s="1455" t="s">
        <v>525</v>
      </c>
      <c r="T90" s="1455" t="s">
        <v>525</v>
      </c>
      <c r="U90" s="1456" t="s">
        <v>525</v>
      </c>
      <c r="V90" s="1457" t="s">
        <v>525</v>
      </c>
      <c r="W90" s="1458" t="s">
        <v>525</v>
      </c>
      <c r="X90" s="2987" t="s">
        <v>525</v>
      </c>
      <c r="Y90" s="1348"/>
      <c r="Z90" s="1348"/>
      <c r="AA90" s="1348"/>
      <c r="AB90" s="1348"/>
      <c r="AC90" s="566"/>
      <c r="AD90" s="566"/>
      <c r="AE90" s="566"/>
      <c r="AF90" s="566"/>
      <c r="AG90" s="566"/>
      <c r="AH90" s="566"/>
      <c r="AI90" s="566"/>
      <c r="AJ90" s="566"/>
      <c r="AK90" s="267"/>
      <c r="AL90" s="267"/>
    </row>
    <row r="91" spans="1:38" ht="18" customHeight="1">
      <c r="A91" s="2996">
        <v>0</v>
      </c>
      <c r="B91" s="1459" t="s">
        <v>525</v>
      </c>
      <c r="C91" s="1449" t="s">
        <v>525</v>
      </c>
      <c r="D91" s="1450" t="s">
        <v>525</v>
      </c>
      <c r="E91" s="1451" t="s">
        <v>525</v>
      </c>
      <c r="F91" s="1452" t="s">
        <v>525</v>
      </c>
      <c r="G91" s="4197" t="s">
        <v>525</v>
      </c>
      <c r="H91" s="4198"/>
      <c r="I91" s="4199"/>
      <c r="J91" s="1453" t="s">
        <v>525</v>
      </c>
      <c r="K91" s="267"/>
      <c r="L91" s="267"/>
      <c r="M91" s="1446" t="s">
        <v>525</v>
      </c>
      <c r="N91" s="1446" t="s">
        <v>525</v>
      </c>
      <c r="O91" s="1446" t="s">
        <v>525</v>
      </c>
      <c r="P91" s="1451" t="s">
        <v>525</v>
      </c>
      <c r="Q91" s="1454" t="s">
        <v>525</v>
      </c>
      <c r="R91" s="1451" t="s">
        <v>525</v>
      </c>
      <c r="S91" s="1455" t="s">
        <v>525</v>
      </c>
      <c r="T91" s="1455" t="s">
        <v>525</v>
      </c>
      <c r="U91" s="1456" t="s">
        <v>525</v>
      </c>
      <c r="V91" s="1457" t="s">
        <v>525</v>
      </c>
      <c r="W91" s="1458" t="s">
        <v>525</v>
      </c>
      <c r="X91" s="2987" t="s">
        <v>525</v>
      </c>
      <c r="Y91" s="1348"/>
      <c r="Z91" s="1348"/>
      <c r="AA91" s="1348"/>
      <c r="AB91" s="1348"/>
      <c r="AC91" s="566"/>
      <c r="AD91" s="566"/>
      <c r="AE91" s="566"/>
      <c r="AF91" s="566"/>
      <c r="AG91" s="566"/>
      <c r="AH91" s="566"/>
      <c r="AI91" s="566"/>
      <c r="AJ91" s="566"/>
      <c r="AK91" s="267"/>
      <c r="AL91" s="267"/>
    </row>
    <row r="92" spans="1:38" ht="20.25" customHeight="1">
      <c r="A92" s="267"/>
      <c r="B92" s="1348"/>
      <c r="C92" s="1348"/>
      <c r="D92" s="1348"/>
      <c r="E92" s="1348"/>
      <c r="F92" s="1348"/>
      <c r="G92" s="1348"/>
      <c r="H92" s="1348"/>
      <c r="I92" s="1348"/>
      <c r="J92" s="1348"/>
      <c r="K92" s="1348"/>
      <c r="L92" s="1348"/>
      <c r="M92" s="1348"/>
      <c r="N92" s="1348"/>
      <c r="O92" s="1348"/>
      <c r="P92" s="1348"/>
      <c r="Q92" s="1348"/>
      <c r="R92" s="1348"/>
      <c r="S92" s="1348"/>
      <c r="T92" s="1348"/>
      <c r="U92" s="1348"/>
      <c r="V92" s="1457" t="s">
        <v>94</v>
      </c>
      <c r="W92" s="1458">
        <v>0</v>
      </c>
      <c r="X92" s="1348"/>
      <c r="Y92" s="1348"/>
      <c r="Z92" s="1348"/>
      <c r="AA92" s="1348"/>
      <c r="AB92" s="1348"/>
      <c r="AC92" s="566"/>
      <c r="AD92" s="566"/>
      <c r="AE92" s="566"/>
      <c r="AF92" s="566"/>
      <c r="AG92" s="566"/>
      <c r="AH92" s="566"/>
      <c r="AI92" s="566"/>
      <c r="AJ92" s="566"/>
      <c r="AK92" s="267"/>
      <c r="AL92" s="267"/>
    </row>
    <row r="93" spans="1:38" ht="20.25" customHeight="1">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1348"/>
      <c r="Z93" s="1348"/>
      <c r="AA93" s="1348"/>
      <c r="AB93" s="1348"/>
      <c r="AC93" s="566"/>
      <c r="AD93" s="566"/>
      <c r="AE93" s="566"/>
      <c r="AF93" s="566"/>
      <c r="AG93" s="566"/>
      <c r="AH93" s="566"/>
      <c r="AI93" s="566"/>
      <c r="AJ93" s="566"/>
      <c r="AK93" s="267"/>
      <c r="AL93" s="267"/>
    </row>
    <row r="94" spans="1:38" ht="17.399999999999999">
      <c r="A94" s="267"/>
      <c r="B94" s="933" t="s">
        <v>51</v>
      </c>
      <c r="C94" s="933"/>
      <c r="D94" s="933"/>
      <c r="E94" s="267"/>
      <c r="F94" s="267"/>
      <c r="G94" s="267"/>
      <c r="H94" s="1424"/>
      <c r="I94" s="267"/>
      <c r="J94" s="267"/>
      <c r="K94" s="267"/>
      <c r="L94" s="267"/>
      <c r="M94" s="267"/>
      <c r="N94" s="267"/>
      <c r="O94" s="267"/>
      <c r="P94" s="267"/>
      <c r="Q94" s="267"/>
      <c r="R94" s="267"/>
      <c r="S94" s="1463" t="e">
        <v>#REF!</v>
      </c>
      <c r="T94" s="267"/>
      <c r="U94" s="267"/>
      <c r="V94" s="267"/>
      <c r="W94" s="267"/>
      <c r="X94" s="267"/>
      <c r="Y94" s="267"/>
      <c r="Z94" s="267"/>
      <c r="AA94" s="267"/>
      <c r="AB94" s="267"/>
      <c r="AC94" s="566"/>
      <c r="AD94" s="566"/>
      <c r="AE94" s="566"/>
      <c r="AF94" s="566"/>
      <c r="AG94" s="566"/>
      <c r="AH94" s="566"/>
      <c r="AI94" s="566"/>
      <c r="AJ94" s="566"/>
      <c r="AK94" s="267"/>
      <c r="AL94" s="267"/>
    </row>
    <row r="95" spans="1:38" ht="82.5" customHeight="1">
      <c r="A95" s="267"/>
      <c r="B95" s="1464">
        <v>4.63</v>
      </c>
      <c r="C95" s="4179" t="s">
        <v>927</v>
      </c>
      <c r="D95" s="4179"/>
      <c r="E95" s="4179"/>
      <c r="F95" s="4179"/>
      <c r="G95" s="4179"/>
      <c r="H95" s="4179"/>
      <c r="I95" s="4179"/>
      <c r="J95" s="4179"/>
      <c r="K95" s="4179"/>
      <c r="L95" s="4179"/>
      <c r="M95" s="4179"/>
      <c r="N95" s="4179"/>
      <c r="O95" s="4179"/>
      <c r="P95" s="4179"/>
      <c r="Q95" s="4179"/>
      <c r="R95" s="4179"/>
      <c r="S95" s="4179"/>
      <c r="T95" s="4179"/>
      <c r="U95" s="4179"/>
      <c r="V95" s="1465"/>
      <c r="W95" s="1465"/>
      <c r="X95" s="1465"/>
      <c r="Y95" s="267"/>
      <c r="Z95" s="267"/>
      <c r="AA95" s="267"/>
      <c r="AB95" s="267"/>
      <c r="AC95" s="566"/>
      <c r="AD95" s="566"/>
      <c r="AE95" s="566"/>
      <c r="AF95" s="566"/>
      <c r="AG95" s="566"/>
      <c r="AH95" s="566"/>
      <c r="AI95" s="566"/>
      <c r="AJ95" s="566"/>
      <c r="AK95" s="267"/>
      <c r="AL95" s="267"/>
    </row>
    <row r="96" spans="1:38" ht="42" customHeight="1">
      <c r="A96" s="267"/>
      <c r="B96" s="2948" t="s">
        <v>512</v>
      </c>
      <c r="C96" s="2949"/>
      <c r="D96" s="2949"/>
      <c r="E96" s="2949"/>
      <c r="F96" s="2949"/>
      <c r="G96" s="2949"/>
      <c r="H96" s="2949"/>
      <c r="I96" s="2949"/>
      <c r="J96" s="2949"/>
      <c r="K96" s="2949"/>
      <c r="L96" s="2949"/>
      <c r="M96" s="2949"/>
      <c r="N96" s="2949"/>
      <c r="O96" s="2949"/>
      <c r="P96" s="2949"/>
      <c r="Q96" s="2949"/>
      <c r="R96" s="2949"/>
      <c r="S96" s="2949"/>
      <c r="T96" s="2949"/>
      <c r="U96" s="2949"/>
      <c r="V96" s="2949"/>
      <c r="W96" s="2949"/>
      <c r="X96" s="2950"/>
      <c r="Y96" s="267"/>
      <c r="Z96" s="267"/>
      <c r="AA96" s="267"/>
      <c r="AB96" s="267"/>
      <c r="AC96" s="566"/>
      <c r="AD96" s="566"/>
      <c r="AE96" s="566"/>
      <c r="AF96" s="566"/>
      <c r="AG96" s="566"/>
      <c r="AH96" s="566"/>
      <c r="AI96" s="566"/>
      <c r="AJ96" s="566"/>
      <c r="AK96" s="267"/>
      <c r="AL96" s="267"/>
    </row>
    <row r="97" spans="1:38" ht="29.25" customHeight="1">
      <c r="A97" s="267"/>
      <c r="B97" s="4214"/>
      <c r="C97" s="4214"/>
      <c r="D97" s="4214"/>
      <c r="E97" s="4214"/>
      <c r="F97" s="4214"/>
      <c r="G97" s="267"/>
      <c r="H97" s="1439" t="s">
        <v>1452</v>
      </c>
      <c r="I97" s="267"/>
      <c r="J97" s="4188"/>
      <c r="K97" s="4188"/>
      <c r="L97" s="4188"/>
      <c r="M97" s="4188"/>
      <c r="N97" s="4188"/>
      <c r="O97" s="4188"/>
      <c r="P97" s="1348"/>
      <c r="Q97" s="267"/>
      <c r="R97" s="267"/>
      <c r="S97" s="267"/>
      <c r="T97" s="267"/>
      <c r="U97" s="267"/>
      <c r="V97" s="1148" t="s">
        <v>87</v>
      </c>
      <c r="W97" s="267"/>
      <c r="X97" s="267"/>
      <c r="Y97" s="267"/>
      <c r="Z97" s="267"/>
      <c r="AA97" s="267"/>
      <c r="AB97" s="267"/>
      <c r="AC97" s="566"/>
      <c r="AD97" s="566"/>
      <c r="AE97" s="566"/>
      <c r="AF97" s="566"/>
      <c r="AG97" s="566"/>
      <c r="AH97" s="566"/>
      <c r="AI97" s="566"/>
      <c r="AJ97" s="566"/>
      <c r="AK97" s="267"/>
      <c r="AL97" s="267"/>
    </row>
    <row r="98" spans="1:38" ht="17.25" customHeight="1">
      <c r="A98" s="267"/>
      <c r="B98" s="4189" t="s">
        <v>206</v>
      </c>
      <c r="C98" s="4215" t="s">
        <v>55</v>
      </c>
      <c r="D98" s="4215" t="s">
        <v>49</v>
      </c>
      <c r="E98" s="4215" t="s">
        <v>211</v>
      </c>
      <c r="F98" s="4177" t="s">
        <v>80</v>
      </c>
      <c r="G98" s="4177" t="s">
        <v>191</v>
      </c>
      <c r="H98" s="1466">
        <v>5.5021555102258946</v>
      </c>
      <c r="I98" s="1440"/>
      <c r="J98" s="267"/>
      <c r="K98" s="267"/>
      <c r="L98" s="267"/>
      <c r="M98" s="1441">
        <v>40</v>
      </c>
      <c r="N98" s="4204" t="s">
        <v>70</v>
      </c>
      <c r="O98" s="4204" t="s">
        <v>70</v>
      </c>
      <c r="P98" s="1442">
        <v>4.33</v>
      </c>
      <c r="Q98" s="267"/>
      <c r="R98" s="976"/>
      <c r="S98" s="267"/>
      <c r="T98" s="267"/>
      <c r="U98" s="267"/>
      <c r="V98" s="1148" t="s">
        <v>88</v>
      </c>
      <c r="W98" s="267"/>
      <c r="X98" s="267"/>
      <c r="Y98" s="267"/>
      <c r="Z98" s="267"/>
      <c r="AA98" s="267"/>
      <c r="AB98" s="267"/>
      <c r="AC98" s="566"/>
      <c r="AD98" s="566"/>
      <c r="AE98" s="566"/>
      <c r="AF98" s="566"/>
      <c r="AG98" s="566"/>
      <c r="AH98" s="566"/>
      <c r="AI98" s="566"/>
      <c r="AJ98" s="566"/>
      <c r="AK98" s="267"/>
      <c r="AL98" s="267"/>
    </row>
    <row r="99" spans="1:38" ht="17.25" customHeight="1">
      <c r="A99" s="267"/>
      <c r="B99" s="4189"/>
      <c r="C99" s="4215"/>
      <c r="D99" s="4215"/>
      <c r="E99" s="4215"/>
      <c r="F99" s="4177"/>
      <c r="G99" s="4177"/>
      <c r="H99" s="4217" t="s">
        <v>193</v>
      </c>
      <c r="I99" s="1467"/>
      <c r="J99" s="4217" t="s">
        <v>192</v>
      </c>
      <c r="K99" s="267"/>
      <c r="L99" s="267"/>
      <c r="M99" s="1443" t="s">
        <v>60</v>
      </c>
      <c r="N99" s="4204"/>
      <c r="O99" s="4204"/>
      <c r="P99" s="1444" t="s">
        <v>61</v>
      </c>
      <c r="Q99" s="1444" t="s">
        <v>188</v>
      </c>
      <c r="R99" s="1444" t="s">
        <v>189</v>
      </c>
      <c r="S99" s="920" t="s">
        <v>61</v>
      </c>
      <c r="T99" s="920" t="s">
        <v>61</v>
      </c>
      <c r="U99" s="920" t="s">
        <v>64</v>
      </c>
      <c r="V99" s="2992">
        <v>0.2</v>
      </c>
      <c r="W99" s="641"/>
      <c r="X99" s="267"/>
      <c r="Y99" s="267"/>
      <c r="Z99" s="267"/>
      <c r="AA99" s="267"/>
      <c r="AB99" s="267"/>
      <c r="AC99" s="566"/>
      <c r="AD99" s="566"/>
      <c r="AE99" s="566"/>
      <c r="AF99" s="566"/>
      <c r="AG99" s="566"/>
      <c r="AH99" s="566"/>
      <c r="AI99" s="566"/>
      <c r="AJ99" s="566"/>
      <c r="AK99" s="267"/>
      <c r="AL99" s="267"/>
    </row>
    <row r="100" spans="1:38" ht="17.25" customHeight="1" thickBot="1">
      <c r="A100" s="267"/>
      <c r="B100" s="4190"/>
      <c r="C100" s="4216"/>
      <c r="D100" s="4216"/>
      <c r="E100" s="4216"/>
      <c r="F100" s="4178"/>
      <c r="G100" s="4178"/>
      <c r="H100" s="4218"/>
      <c r="I100" s="1468"/>
      <c r="J100" s="4218"/>
      <c r="K100" s="267"/>
      <c r="L100" s="267"/>
      <c r="M100" s="1445">
        <v>173</v>
      </c>
      <c r="N100" s="1445" t="s">
        <v>69</v>
      </c>
      <c r="O100" s="1445" t="s">
        <v>71</v>
      </c>
      <c r="P100" s="1469" t="s">
        <v>190</v>
      </c>
      <c r="Q100" s="1469" t="s">
        <v>190</v>
      </c>
      <c r="R100" s="1469" t="s">
        <v>190</v>
      </c>
      <c r="S100" s="1470" t="s">
        <v>105</v>
      </c>
      <c r="T100" s="1470" t="s">
        <v>63</v>
      </c>
      <c r="U100" s="1470" t="s">
        <v>65</v>
      </c>
      <c r="V100" s="267" t="s">
        <v>89</v>
      </c>
      <c r="W100" s="4205" t="s">
        <v>106</v>
      </c>
      <c r="X100" s="4205"/>
      <c r="Y100" s="1447" t="s">
        <v>121</v>
      </c>
      <c r="Z100" s="1447"/>
      <c r="AA100" s="267"/>
      <c r="AB100" s="1471">
        <v>0.15</v>
      </c>
      <c r="AC100" s="566"/>
      <c r="AD100" s="566"/>
      <c r="AE100" s="566"/>
      <c r="AF100" s="566"/>
      <c r="AG100" s="566"/>
      <c r="AH100" s="566"/>
      <c r="AI100" s="566"/>
      <c r="AJ100" s="566"/>
      <c r="AK100" s="267"/>
      <c r="AL100" s="267"/>
    </row>
    <row r="101" spans="1:38" ht="18" customHeight="1">
      <c r="A101" s="2996">
        <v>0</v>
      </c>
      <c r="B101" s="1448" t="s">
        <v>1419</v>
      </c>
      <c r="C101" s="1449">
        <v>2515.6359500000003</v>
      </c>
      <c r="D101" s="1450">
        <v>4.63</v>
      </c>
      <c r="E101" s="1451">
        <v>11647</v>
      </c>
      <c r="F101" s="1452">
        <v>554.62</v>
      </c>
      <c r="G101" s="1474">
        <v>555</v>
      </c>
      <c r="H101" s="1475">
        <v>30.536963081753715</v>
      </c>
      <c r="I101" s="1473"/>
      <c r="J101" s="1472">
        <v>524.4630369182463</v>
      </c>
      <c r="K101" s="267"/>
      <c r="L101" s="267"/>
      <c r="M101" s="1446">
        <v>39.5</v>
      </c>
      <c r="N101" s="1446">
        <v>5</v>
      </c>
      <c r="O101" s="1446">
        <v>21</v>
      </c>
      <c r="P101" s="1451">
        <v>11647</v>
      </c>
      <c r="Q101" s="1451">
        <v>11006.16394772399</v>
      </c>
      <c r="R101" s="1451">
        <v>640.83605227600992</v>
      </c>
      <c r="S101" s="1451">
        <v>2775</v>
      </c>
      <c r="T101" s="1455">
        <v>68.09717309322653</v>
      </c>
      <c r="U101" s="1455">
        <v>14.708310872043736</v>
      </c>
      <c r="V101" s="1456">
        <v>85.121466366533156</v>
      </c>
      <c r="W101" s="1457" t="s">
        <v>1419</v>
      </c>
      <c r="X101" s="1458">
        <v>116550</v>
      </c>
      <c r="Y101" s="2987">
        <v>10</v>
      </c>
      <c r="Z101" s="267"/>
      <c r="AA101" s="267"/>
      <c r="AB101" s="1471">
        <v>0.5</v>
      </c>
      <c r="AC101" s="566"/>
      <c r="AD101" s="566"/>
      <c r="AE101" s="566"/>
      <c r="AF101" s="566"/>
      <c r="AG101" s="566"/>
      <c r="AH101" s="566"/>
      <c r="AI101" s="566"/>
      <c r="AJ101" s="566"/>
      <c r="AK101" s="267"/>
      <c r="AL101" s="267"/>
    </row>
    <row r="102" spans="1:38" ht="18" customHeight="1">
      <c r="A102" s="2996">
        <v>0</v>
      </c>
      <c r="B102" s="1459" t="s">
        <v>1420</v>
      </c>
      <c r="C102" s="1449">
        <v>1782.53</v>
      </c>
      <c r="D102" s="1450">
        <v>4.63</v>
      </c>
      <c r="E102" s="1451">
        <v>8253</v>
      </c>
      <c r="F102" s="1452">
        <v>476.5</v>
      </c>
      <c r="G102" s="1474">
        <v>477</v>
      </c>
      <c r="H102" s="1475">
        <v>26.245281783777518</v>
      </c>
      <c r="I102" s="1476"/>
      <c r="J102" s="1475">
        <v>450.7547182162225</v>
      </c>
      <c r="K102" s="267"/>
      <c r="L102" s="267"/>
      <c r="M102" s="1446">
        <v>30</v>
      </c>
      <c r="N102" s="1446">
        <v>4</v>
      </c>
      <c r="O102" s="1446">
        <v>17.32</v>
      </c>
      <c r="P102" s="1451">
        <v>8253</v>
      </c>
      <c r="Q102" s="1451">
        <v>7798.9071057410565</v>
      </c>
      <c r="R102" s="1451">
        <v>454.09289425894309</v>
      </c>
      <c r="S102" s="1451">
        <v>1908</v>
      </c>
      <c r="T102" s="1455">
        <v>63.533487297921482</v>
      </c>
      <c r="U102" s="1455">
        <v>13.722324865280985</v>
      </c>
      <c r="V102" s="1456">
        <v>79.41685912240186</v>
      </c>
      <c r="W102" s="1457" t="s">
        <v>1420</v>
      </c>
      <c r="X102" s="1458">
        <v>82616.399999999994</v>
      </c>
      <c r="Y102" s="2987">
        <v>10</v>
      </c>
      <c r="Z102" s="267"/>
      <c r="AA102" s="267"/>
      <c r="AB102" s="267"/>
      <c r="AC102" s="566"/>
      <c r="AD102" s="566"/>
      <c r="AE102" s="566"/>
      <c r="AF102" s="566"/>
      <c r="AG102" s="566"/>
      <c r="AH102" s="566"/>
      <c r="AI102" s="566"/>
      <c r="AJ102" s="566"/>
      <c r="AK102" s="267"/>
      <c r="AL102" s="267"/>
    </row>
    <row r="103" spans="1:38" ht="18" customHeight="1">
      <c r="A103" s="2996">
        <v>0</v>
      </c>
      <c r="B103" s="1459" t="s">
        <v>1421</v>
      </c>
      <c r="C103" s="1449">
        <v>1490.5592000000001</v>
      </c>
      <c r="D103" s="1450">
        <v>4.63</v>
      </c>
      <c r="E103" s="1451">
        <v>6901</v>
      </c>
      <c r="F103" s="1452">
        <v>455.36</v>
      </c>
      <c r="G103" s="1474">
        <v>455</v>
      </c>
      <c r="H103" s="1475">
        <v>25.034807571527821</v>
      </c>
      <c r="I103" s="1476"/>
      <c r="J103" s="1475">
        <v>429.96519242847216</v>
      </c>
      <c r="K103" s="267"/>
      <c r="L103" s="267"/>
      <c r="M103" s="1446">
        <v>26</v>
      </c>
      <c r="N103" s="1446">
        <v>3.5</v>
      </c>
      <c r="O103" s="1446">
        <v>15.155000000000001</v>
      </c>
      <c r="P103" s="1451">
        <v>6901</v>
      </c>
      <c r="Q103" s="1451">
        <v>6521.2962482393114</v>
      </c>
      <c r="R103" s="1451">
        <v>379.70375176068899</v>
      </c>
      <c r="S103" s="1451">
        <v>1592.5</v>
      </c>
      <c r="T103" s="1455">
        <v>61.29863208385148</v>
      </c>
      <c r="U103" s="1455">
        <v>13.240000000000002</v>
      </c>
      <c r="V103" s="1456">
        <v>76.623290104814345</v>
      </c>
      <c r="W103" s="1457" t="s">
        <v>1421</v>
      </c>
      <c r="X103" s="1458">
        <v>68955.25</v>
      </c>
      <c r="Y103" s="2987">
        <v>10</v>
      </c>
      <c r="Z103" s="267"/>
      <c r="AA103" s="267"/>
      <c r="AB103" s="267"/>
      <c r="AC103" s="566"/>
      <c r="AD103" s="566"/>
      <c r="AE103" s="566"/>
      <c r="AF103" s="566"/>
      <c r="AG103" s="566"/>
      <c r="AH103" s="566"/>
      <c r="AI103" s="566"/>
      <c r="AJ103" s="566"/>
      <c r="AK103" s="267"/>
      <c r="AL103" s="267"/>
    </row>
    <row r="104" spans="1:38" ht="18" customHeight="1">
      <c r="A104" s="2996">
        <v>0</v>
      </c>
      <c r="B104" s="1459" t="s">
        <v>1422</v>
      </c>
      <c r="C104" s="1449">
        <v>1310</v>
      </c>
      <c r="D104" s="1450">
        <v>4.63</v>
      </c>
      <c r="E104" s="1451">
        <v>6065</v>
      </c>
      <c r="F104" s="1452">
        <v>466.9</v>
      </c>
      <c r="G104" s="1474">
        <v>467</v>
      </c>
      <c r="H104" s="1475">
        <v>25.695066232754925</v>
      </c>
      <c r="I104" s="1476"/>
      <c r="J104" s="1475">
        <v>441.30493376724507</v>
      </c>
      <c r="K104" s="267"/>
      <c r="L104" s="267"/>
      <c r="M104" s="1446">
        <v>22</v>
      </c>
      <c r="N104" s="1446">
        <v>3</v>
      </c>
      <c r="O104" s="1446">
        <v>12.99</v>
      </c>
      <c r="P104" s="1451">
        <v>6065</v>
      </c>
      <c r="Q104" s="1451">
        <v>5731.2942683047995</v>
      </c>
      <c r="R104" s="1451">
        <v>333.70573169520048</v>
      </c>
      <c r="S104" s="1451">
        <v>1401</v>
      </c>
      <c r="T104" s="1455">
        <v>63.667856393029609</v>
      </c>
      <c r="U104" s="1455">
        <v>13.75183707747218</v>
      </c>
      <c r="V104" s="1456">
        <v>79.584820491287005</v>
      </c>
      <c r="W104" s="1457" t="s">
        <v>1422</v>
      </c>
      <c r="X104" s="1458">
        <v>60663.3</v>
      </c>
      <c r="Y104" s="2987">
        <v>10</v>
      </c>
      <c r="Z104" s="267"/>
      <c r="AA104" s="267"/>
      <c r="AB104" s="267"/>
      <c r="AC104" s="566"/>
      <c r="AD104" s="566"/>
      <c r="AE104" s="566"/>
      <c r="AF104" s="566"/>
      <c r="AG104" s="566"/>
      <c r="AH104" s="566"/>
      <c r="AI104" s="566"/>
      <c r="AJ104" s="566"/>
      <c r="AK104" s="1471"/>
      <c r="AL104" s="267"/>
    </row>
    <row r="105" spans="1:38" ht="18" customHeight="1">
      <c r="A105" s="2996">
        <v>0</v>
      </c>
      <c r="B105" s="1459" t="s">
        <v>1424</v>
      </c>
      <c r="C105" s="1449">
        <v>1040</v>
      </c>
      <c r="D105" s="1450">
        <v>4.63</v>
      </c>
      <c r="E105" s="1451">
        <v>4815</v>
      </c>
      <c r="F105" s="1452">
        <v>556</v>
      </c>
      <c r="G105" s="1474">
        <v>556</v>
      </c>
      <c r="H105" s="1475">
        <v>30.591984636855972</v>
      </c>
      <c r="I105" s="1476"/>
      <c r="J105" s="1475">
        <v>525.40801536314405</v>
      </c>
      <c r="K105" s="267"/>
      <c r="L105" s="267"/>
      <c r="M105" s="1446">
        <v>16</v>
      </c>
      <c r="N105" s="1446">
        <v>2</v>
      </c>
      <c r="O105" s="1446">
        <v>8.66</v>
      </c>
      <c r="P105" s="1451">
        <v>4815</v>
      </c>
      <c r="Q105" s="1451">
        <v>4550.0712121826236</v>
      </c>
      <c r="R105" s="1451">
        <v>264.92878781737681</v>
      </c>
      <c r="S105" s="1451">
        <v>1112</v>
      </c>
      <c r="T105" s="1455">
        <v>69.500577367205537</v>
      </c>
      <c r="U105" s="1455">
        <v>15.011547344110854</v>
      </c>
      <c r="V105" s="1456">
        <v>86.87572170900691</v>
      </c>
      <c r="W105" s="1457" t="s">
        <v>1424</v>
      </c>
      <c r="X105" s="1458">
        <v>48149.599999999999</v>
      </c>
      <c r="Y105" s="2987">
        <v>10</v>
      </c>
      <c r="Z105" s="267"/>
      <c r="AA105" s="267"/>
      <c r="AB105" s="267"/>
      <c r="AC105" s="566"/>
      <c r="AD105" s="566"/>
      <c r="AE105" s="566"/>
      <c r="AF105" s="566"/>
      <c r="AG105" s="566"/>
      <c r="AH105" s="566"/>
      <c r="AI105" s="566"/>
      <c r="AJ105" s="566"/>
      <c r="AK105" s="267"/>
      <c r="AL105" s="267"/>
    </row>
    <row r="106" spans="1:38" ht="18" customHeight="1">
      <c r="A106" s="2996">
        <v>0</v>
      </c>
      <c r="B106" s="1459" t="s">
        <v>1418</v>
      </c>
      <c r="C106" s="1449">
        <v>1350</v>
      </c>
      <c r="D106" s="1450">
        <v>4.63</v>
      </c>
      <c r="E106" s="1451">
        <v>6251</v>
      </c>
      <c r="F106" s="1452">
        <v>481.22</v>
      </c>
      <c r="G106" s="1474">
        <v>481</v>
      </c>
      <c r="H106" s="1475">
        <v>26.465368004186551</v>
      </c>
      <c r="I106" s="1476"/>
      <c r="J106" s="1475">
        <v>454.53463199581347</v>
      </c>
      <c r="K106" s="267"/>
      <c r="L106" s="267"/>
      <c r="M106" s="1446">
        <v>21</v>
      </c>
      <c r="N106" s="1446">
        <v>3</v>
      </c>
      <c r="O106" s="1446">
        <v>12.99</v>
      </c>
      <c r="P106" s="1451">
        <v>6251</v>
      </c>
      <c r="Q106" s="1451">
        <v>5907.0602590557792</v>
      </c>
      <c r="R106" s="1451">
        <v>343.93974094422066</v>
      </c>
      <c r="S106" s="1451">
        <v>1443</v>
      </c>
      <c r="T106" s="1455">
        <v>68.745188606620474</v>
      </c>
      <c r="U106" s="1455">
        <v>14.846585285384361</v>
      </c>
      <c r="V106" s="1456">
        <v>85.931485758275585</v>
      </c>
      <c r="W106" s="1457" t="s">
        <v>1418</v>
      </c>
      <c r="X106" s="1458">
        <v>62481.9</v>
      </c>
      <c r="Y106" s="2987">
        <v>10</v>
      </c>
      <c r="Z106" s="267"/>
      <c r="AA106" s="267"/>
      <c r="AB106" s="267"/>
      <c r="AC106" s="566"/>
      <c r="AD106" s="566"/>
      <c r="AE106" s="566"/>
      <c r="AF106" s="566"/>
      <c r="AG106" s="566"/>
      <c r="AH106" s="566"/>
      <c r="AI106" s="566"/>
      <c r="AJ106" s="566"/>
      <c r="AK106" s="1471"/>
      <c r="AL106" s="267"/>
    </row>
    <row r="107" spans="1:38" ht="18" customHeight="1">
      <c r="A107" s="2996">
        <v>0</v>
      </c>
      <c r="B107" s="1459" t="s">
        <v>525</v>
      </c>
      <c r="C107" s="1449" t="s">
        <v>525</v>
      </c>
      <c r="D107" s="1450" t="s">
        <v>525</v>
      </c>
      <c r="E107" s="1451" t="s">
        <v>525</v>
      </c>
      <c r="F107" s="1452" t="s">
        <v>525</v>
      </c>
      <c r="G107" s="1474" t="s">
        <v>525</v>
      </c>
      <c r="H107" s="1475" t="s">
        <v>525</v>
      </c>
      <c r="I107" s="1476"/>
      <c r="J107" s="1475" t="s">
        <v>525</v>
      </c>
      <c r="K107" s="267"/>
      <c r="L107" s="267"/>
      <c r="M107" s="1446" t="s">
        <v>525</v>
      </c>
      <c r="N107" s="1446" t="s">
        <v>525</v>
      </c>
      <c r="O107" s="1446" t="s">
        <v>525</v>
      </c>
      <c r="P107" s="1451" t="s">
        <v>525</v>
      </c>
      <c r="Q107" s="1451" t="s">
        <v>525</v>
      </c>
      <c r="R107" s="1451" t="s">
        <v>525</v>
      </c>
      <c r="S107" s="1451" t="s">
        <v>525</v>
      </c>
      <c r="T107" s="1455" t="s">
        <v>525</v>
      </c>
      <c r="U107" s="1455" t="s">
        <v>525</v>
      </c>
      <c r="V107" s="1456" t="s">
        <v>525</v>
      </c>
      <c r="W107" s="1457" t="s">
        <v>525</v>
      </c>
      <c r="X107" s="1458" t="s">
        <v>525</v>
      </c>
      <c r="Y107" s="2987" t="s">
        <v>525</v>
      </c>
      <c r="Z107" s="267"/>
      <c r="AA107" s="267"/>
      <c r="AB107" s="267"/>
      <c r="AC107" s="566"/>
      <c r="AD107" s="566"/>
      <c r="AE107" s="566"/>
      <c r="AF107" s="566"/>
      <c r="AG107" s="566"/>
      <c r="AH107" s="566"/>
      <c r="AI107" s="566"/>
      <c r="AJ107" s="721"/>
      <c r="AK107" s="267"/>
      <c r="AL107" s="267"/>
    </row>
    <row r="108" spans="1:38" ht="18" customHeight="1">
      <c r="A108" s="2996">
        <v>0</v>
      </c>
      <c r="B108" s="1459" t="s">
        <v>1423</v>
      </c>
      <c r="C108" s="1449">
        <v>1326.8851999999999</v>
      </c>
      <c r="D108" s="1450">
        <v>4.63</v>
      </c>
      <c r="E108" s="1451">
        <v>6143</v>
      </c>
      <c r="F108" s="1452">
        <v>472.9</v>
      </c>
      <c r="G108" s="1474">
        <v>473</v>
      </c>
      <c r="H108" s="1475">
        <v>26.025195563368481</v>
      </c>
      <c r="I108" s="1476"/>
      <c r="J108" s="1475">
        <v>446.97480443663153</v>
      </c>
      <c r="K108" s="267"/>
      <c r="L108" s="267"/>
      <c r="M108" s="1446">
        <v>23.5</v>
      </c>
      <c r="N108" s="1446">
        <v>3</v>
      </c>
      <c r="O108" s="1446">
        <v>12.99</v>
      </c>
      <c r="P108" s="1451">
        <v>6143</v>
      </c>
      <c r="Q108" s="1451">
        <v>5805.002587006823</v>
      </c>
      <c r="R108" s="1451">
        <v>337.99741299317668</v>
      </c>
      <c r="S108" s="1451">
        <v>1419</v>
      </c>
      <c r="T108" s="1455">
        <v>60.370497764237633</v>
      </c>
      <c r="U108" s="1455">
        <v>13.04</v>
      </c>
      <c r="V108" s="1456">
        <v>75.46312220529704</v>
      </c>
      <c r="W108" s="1457" t="s">
        <v>1423</v>
      </c>
      <c r="X108" s="1458">
        <v>35841.575000000004</v>
      </c>
      <c r="Y108" s="2987">
        <v>5.8333333333333339</v>
      </c>
      <c r="Z108" s="267"/>
      <c r="AA108" s="267"/>
      <c r="AB108" s="267"/>
      <c r="AC108" s="566"/>
      <c r="AD108" s="566"/>
      <c r="AE108" s="566"/>
      <c r="AF108" s="566"/>
      <c r="AG108" s="566"/>
      <c r="AH108" s="566"/>
      <c r="AI108" s="566"/>
      <c r="AJ108" s="721"/>
      <c r="AK108" s="1471"/>
      <c r="AL108" s="267"/>
    </row>
    <row r="109" spans="1:38" ht="18" customHeight="1">
      <c r="A109" s="2996">
        <v>0</v>
      </c>
      <c r="B109" s="1459" t="s">
        <v>1423</v>
      </c>
      <c r="C109" s="1449">
        <v>1600</v>
      </c>
      <c r="D109" s="1450">
        <v>4.63</v>
      </c>
      <c r="E109" s="1451">
        <v>7408</v>
      </c>
      <c r="F109" s="1452">
        <v>488.82</v>
      </c>
      <c r="G109" s="1474">
        <v>489</v>
      </c>
      <c r="H109" s="1475">
        <v>26.905540445004625</v>
      </c>
      <c r="I109" s="1476"/>
      <c r="J109" s="1475">
        <v>462.09445955499535</v>
      </c>
      <c r="K109" s="267"/>
      <c r="L109" s="267"/>
      <c r="M109" s="1446">
        <v>25.5</v>
      </c>
      <c r="N109" s="1446">
        <v>3.5</v>
      </c>
      <c r="O109" s="1446">
        <v>15.155000000000001</v>
      </c>
      <c r="P109" s="1451">
        <v>7408</v>
      </c>
      <c r="Q109" s="1451">
        <v>7000.4003198024657</v>
      </c>
      <c r="R109" s="1451">
        <v>407.59968019753427</v>
      </c>
      <c r="S109" s="1451">
        <v>1711.5</v>
      </c>
      <c r="T109" s="1455">
        <v>67.092333469184439</v>
      </c>
      <c r="U109" s="1455">
        <v>14.490784766562513</v>
      </c>
      <c r="V109" s="1456">
        <v>83.865416836480549</v>
      </c>
      <c r="W109" s="1457" t="s">
        <v>1423</v>
      </c>
      <c r="X109" s="1458">
        <v>30878.312500000004</v>
      </c>
      <c r="Y109" s="2987">
        <v>4.166666666666667</v>
      </c>
      <c r="Z109" s="267"/>
      <c r="AA109" s="267"/>
      <c r="AB109" s="267"/>
      <c r="AC109" s="566"/>
      <c r="AD109" s="566"/>
      <c r="AE109" s="566"/>
      <c r="AF109" s="566"/>
      <c r="AG109" s="566"/>
      <c r="AH109" s="566"/>
      <c r="AI109" s="566"/>
      <c r="AJ109" s="721"/>
      <c r="AK109" s="267"/>
      <c r="AL109" s="267"/>
    </row>
    <row r="110" spans="1:38" ht="18" customHeight="1">
      <c r="A110" s="2996">
        <v>0</v>
      </c>
      <c r="B110" s="1459" t="s">
        <v>525</v>
      </c>
      <c r="C110" s="1449" t="s">
        <v>525</v>
      </c>
      <c r="D110" s="1450" t="s">
        <v>525</v>
      </c>
      <c r="E110" s="1451" t="s">
        <v>525</v>
      </c>
      <c r="F110" s="1452" t="s">
        <v>525</v>
      </c>
      <c r="G110" s="1474" t="s">
        <v>525</v>
      </c>
      <c r="H110" s="1475" t="s">
        <v>525</v>
      </c>
      <c r="I110" s="1476"/>
      <c r="J110" s="1475" t="s">
        <v>525</v>
      </c>
      <c r="K110" s="267"/>
      <c r="L110" s="267"/>
      <c r="M110" s="1446" t="s">
        <v>525</v>
      </c>
      <c r="N110" s="1446" t="s">
        <v>525</v>
      </c>
      <c r="O110" s="1446" t="s">
        <v>525</v>
      </c>
      <c r="P110" s="1451" t="s">
        <v>525</v>
      </c>
      <c r="Q110" s="1451" t="s">
        <v>525</v>
      </c>
      <c r="R110" s="1451" t="s">
        <v>525</v>
      </c>
      <c r="S110" s="1451" t="s">
        <v>525</v>
      </c>
      <c r="T110" s="1455" t="s">
        <v>525</v>
      </c>
      <c r="U110" s="1455" t="s">
        <v>525</v>
      </c>
      <c r="V110" s="1456" t="s">
        <v>525</v>
      </c>
      <c r="W110" s="1457" t="s">
        <v>525</v>
      </c>
      <c r="X110" s="1458" t="s">
        <v>525</v>
      </c>
      <c r="Y110" s="2987" t="s">
        <v>525</v>
      </c>
      <c r="Z110" s="267"/>
      <c r="AA110" s="267" t="s">
        <v>77</v>
      </c>
      <c r="AB110" s="267"/>
      <c r="AC110" s="566"/>
      <c r="AD110" s="566"/>
      <c r="AE110" s="566"/>
      <c r="AF110" s="566"/>
      <c r="AG110" s="566"/>
      <c r="AH110" s="566"/>
      <c r="AI110" s="566"/>
      <c r="AJ110" s="721"/>
      <c r="AK110" s="267"/>
      <c r="AL110" s="267"/>
    </row>
    <row r="111" spans="1:38" ht="18" customHeight="1">
      <c r="A111" s="2996">
        <v>0</v>
      </c>
      <c r="B111" s="1459" t="s">
        <v>525</v>
      </c>
      <c r="C111" s="1449" t="s">
        <v>525</v>
      </c>
      <c r="D111" s="1450" t="s">
        <v>525</v>
      </c>
      <c r="E111" s="1451" t="s">
        <v>525</v>
      </c>
      <c r="F111" s="1452" t="s">
        <v>525</v>
      </c>
      <c r="G111" s="1474" t="s">
        <v>525</v>
      </c>
      <c r="H111" s="1475" t="s">
        <v>525</v>
      </c>
      <c r="I111" s="1476"/>
      <c r="J111" s="1475" t="s">
        <v>525</v>
      </c>
      <c r="K111" s="267"/>
      <c r="L111" s="267"/>
      <c r="M111" s="1446" t="s">
        <v>525</v>
      </c>
      <c r="N111" s="1446" t="s">
        <v>525</v>
      </c>
      <c r="O111" s="1446" t="s">
        <v>525</v>
      </c>
      <c r="P111" s="1451" t="s">
        <v>525</v>
      </c>
      <c r="Q111" s="1451" t="s">
        <v>525</v>
      </c>
      <c r="R111" s="1451" t="s">
        <v>525</v>
      </c>
      <c r="S111" s="1451" t="s">
        <v>525</v>
      </c>
      <c r="T111" s="1455" t="s">
        <v>525</v>
      </c>
      <c r="U111" s="1455" t="s">
        <v>525</v>
      </c>
      <c r="V111" s="1456" t="s">
        <v>525</v>
      </c>
      <c r="W111" s="1457" t="s">
        <v>525</v>
      </c>
      <c r="X111" s="1458" t="s">
        <v>525</v>
      </c>
      <c r="Y111" s="2987" t="s">
        <v>525</v>
      </c>
      <c r="Z111" s="267"/>
      <c r="AA111" s="1348" t="s">
        <v>78</v>
      </c>
      <c r="AB111" s="267"/>
      <c r="AC111" s="566"/>
      <c r="AD111" s="566"/>
      <c r="AE111" s="566"/>
      <c r="AF111" s="566"/>
      <c r="AG111" s="566"/>
      <c r="AH111" s="566"/>
      <c r="AI111" s="566"/>
      <c r="AJ111" s="566"/>
      <c r="AK111" s="267"/>
      <c r="AL111" s="267"/>
    </row>
    <row r="112" spans="1:38" ht="18" customHeight="1">
      <c r="A112" s="2996">
        <v>0</v>
      </c>
      <c r="B112" s="1459" t="s">
        <v>525</v>
      </c>
      <c r="C112" s="1449" t="s">
        <v>525</v>
      </c>
      <c r="D112" s="1450" t="s">
        <v>525</v>
      </c>
      <c r="E112" s="1451" t="s">
        <v>525</v>
      </c>
      <c r="F112" s="1452" t="s">
        <v>525</v>
      </c>
      <c r="G112" s="1474" t="s">
        <v>525</v>
      </c>
      <c r="H112" s="1475" t="s">
        <v>525</v>
      </c>
      <c r="I112" s="1476"/>
      <c r="J112" s="1475" t="s">
        <v>525</v>
      </c>
      <c r="K112" s="267"/>
      <c r="L112" s="267"/>
      <c r="M112" s="1446" t="s">
        <v>525</v>
      </c>
      <c r="N112" s="1446" t="s">
        <v>525</v>
      </c>
      <c r="O112" s="1446" t="s">
        <v>525</v>
      </c>
      <c r="P112" s="1451" t="s">
        <v>525</v>
      </c>
      <c r="Q112" s="1451" t="s">
        <v>525</v>
      </c>
      <c r="R112" s="1451" t="s">
        <v>525</v>
      </c>
      <c r="S112" s="1451" t="s">
        <v>525</v>
      </c>
      <c r="T112" s="1455" t="s">
        <v>525</v>
      </c>
      <c r="U112" s="1455" t="s">
        <v>525</v>
      </c>
      <c r="V112" s="1456" t="s">
        <v>525</v>
      </c>
      <c r="W112" s="1457" t="s">
        <v>525</v>
      </c>
      <c r="X112" s="1458" t="s">
        <v>525</v>
      </c>
      <c r="Y112" s="2987" t="s">
        <v>525</v>
      </c>
      <c r="Z112" s="267"/>
      <c r="AA112" s="1460" t="s">
        <v>79</v>
      </c>
      <c r="AB112" s="267"/>
      <c r="AC112" s="566"/>
      <c r="AD112" s="566"/>
      <c r="AE112" s="566"/>
      <c r="AF112" s="566"/>
      <c r="AG112" s="566"/>
      <c r="AH112" s="566"/>
      <c r="AI112" s="566"/>
      <c r="AJ112" s="566"/>
      <c r="AK112" s="267"/>
      <c r="AL112" s="267"/>
    </row>
    <row r="113" spans="1:38" ht="18" customHeight="1">
      <c r="A113" s="2996">
        <v>0</v>
      </c>
      <c r="B113" s="1459" t="s">
        <v>525</v>
      </c>
      <c r="C113" s="1449" t="s">
        <v>525</v>
      </c>
      <c r="D113" s="1450" t="s">
        <v>525</v>
      </c>
      <c r="E113" s="1451" t="s">
        <v>525</v>
      </c>
      <c r="F113" s="1452" t="s">
        <v>525</v>
      </c>
      <c r="G113" s="1474" t="s">
        <v>525</v>
      </c>
      <c r="H113" s="1475" t="s">
        <v>525</v>
      </c>
      <c r="I113" s="1476"/>
      <c r="J113" s="1475" t="s">
        <v>525</v>
      </c>
      <c r="K113" s="267"/>
      <c r="L113" s="267"/>
      <c r="M113" s="1446" t="s">
        <v>525</v>
      </c>
      <c r="N113" s="1446" t="s">
        <v>525</v>
      </c>
      <c r="O113" s="1446" t="s">
        <v>525</v>
      </c>
      <c r="P113" s="1451" t="s">
        <v>525</v>
      </c>
      <c r="Q113" s="1451" t="s">
        <v>525</v>
      </c>
      <c r="R113" s="1451" t="s">
        <v>525</v>
      </c>
      <c r="S113" s="1451" t="s">
        <v>525</v>
      </c>
      <c r="T113" s="1455" t="s">
        <v>525</v>
      </c>
      <c r="U113" s="1455" t="s">
        <v>525</v>
      </c>
      <c r="V113" s="1456" t="s">
        <v>525</v>
      </c>
      <c r="W113" s="1457" t="s">
        <v>525</v>
      </c>
      <c r="X113" s="1458" t="s">
        <v>525</v>
      </c>
      <c r="Y113" s="2987" t="s">
        <v>525</v>
      </c>
      <c r="Z113" s="267"/>
      <c r="AA113" s="267"/>
      <c r="AB113" s="267"/>
      <c r="AC113" s="566"/>
      <c r="AD113" s="566"/>
      <c r="AE113" s="566"/>
      <c r="AF113" s="566"/>
      <c r="AG113" s="566"/>
      <c r="AH113" s="566"/>
      <c r="AI113" s="566"/>
      <c r="AJ113" s="566"/>
      <c r="AK113" s="267"/>
      <c r="AL113" s="267"/>
    </row>
    <row r="114" spans="1:38" ht="18" customHeight="1">
      <c r="A114" s="2996">
        <v>0</v>
      </c>
      <c r="B114" s="1459" t="s">
        <v>525</v>
      </c>
      <c r="C114" s="1449" t="s">
        <v>525</v>
      </c>
      <c r="D114" s="1450" t="s">
        <v>525</v>
      </c>
      <c r="E114" s="1451" t="s">
        <v>525</v>
      </c>
      <c r="F114" s="1452" t="s">
        <v>525</v>
      </c>
      <c r="G114" s="1474" t="s">
        <v>525</v>
      </c>
      <c r="H114" s="1475" t="s">
        <v>525</v>
      </c>
      <c r="I114" s="1476"/>
      <c r="J114" s="1475" t="s">
        <v>525</v>
      </c>
      <c r="K114" s="267"/>
      <c r="L114" s="267"/>
      <c r="M114" s="1446" t="s">
        <v>525</v>
      </c>
      <c r="N114" s="1446" t="s">
        <v>525</v>
      </c>
      <c r="O114" s="1446" t="s">
        <v>525</v>
      </c>
      <c r="P114" s="1451" t="s">
        <v>525</v>
      </c>
      <c r="Q114" s="1451" t="s">
        <v>525</v>
      </c>
      <c r="R114" s="1451" t="s">
        <v>525</v>
      </c>
      <c r="S114" s="1451" t="s">
        <v>525</v>
      </c>
      <c r="T114" s="1455" t="s">
        <v>525</v>
      </c>
      <c r="U114" s="1455" t="s">
        <v>525</v>
      </c>
      <c r="V114" s="1456" t="s">
        <v>525</v>
      </c>
      <c r="W114" s="1457" t="s">
        <v>525</v>
      </c>
      <c r="X114" s="1458" t="s">
        <v>525</v>
      </c>
      <c r="Y114" s="2987" t="s">
        <v>525</v>
      </c>
      <c r="Z114" s="267"/>
      <c r="AA114" s="267"/>
      <c r="AB114" s="267"/>
      <c r="AC114" s="566"/>
      <c r="AD114" s="566"/>
      <c r="AE114" s="566"/>
      <c r="AF114" s="566"/>
      <c r="AG114" s="566"/>
      <c r="AH114" s="566"/>
      <c r="AI114" s="566"/>
      <c r="AJ114" s="566"/>
      <c r="AK114" s="267"/>
      <c r="AL114" s="267"/>
    </row>
    <row r="115" spans="1:38" ht="18" customHeight="1">
      <c r="A115" s="2996">
        <v>0</v>
      </c>
      <c r="B115" s="1459" t="s">
        <v>525</v>
      </c>
      <c r="C115" s="1449" t="s">
        <v>525</v>
      </c>
      <c r="D115" s="1450" t="s">
        <v>525</v>
      </c>
      <c r="E115" s="1451" t="s">
        <v>525</v>
      </c>
      <c r="F115" s="1452" t="s">
        <v>525</v>
      </c>
      <c r="G115" s="1474" t="s">
        <v>525</v>
      </c>
      <c r="H115" s="1475" t="s">
        <v>525</v>
      </c>
      <c r="I115" s="1476"/>
      <c r="J115" s="1475" t="s">
        <v>525</v>
      </c>
      <c r="K115" s="267"/>
      <c r="L115" s="267"/>
      <c r="M115" s="1446" t="s">
        <v>525</v>
      </c>
      <c r="N115" s="1446" t="s">
        <v>525</v>
      </c>
      <c r="O115" s="1446" t="s">
        <v>525</v>
      </c>
      <c r="P115" s="1451" t="s">
        <v>525</v>
      </c>
      <c r="Q115" s="1451" t="s">
        <v>525</v>
      </c>
      <c r="R115" s="1451" t="s">
        <v>525</v>
      </c>
      <c r="S115" s="1451" t="s">
        <v>525</v>
      </c>
      <c r="T115" s="1455" t="s">
        <v>525</v>
      </c>
      <c r="U115" s="1455" t="s">
        <v>525</v>
      </c>
      <c r="V115" s="1456" t="s">
        <v>525</v>
      </c>
      <c r="W115" s="1457" t="s">
        <v>525</v>
      </c>
      <c r="X115" s="1458" t="s">
        <v>525</v>
      </c>
      <c r="Y115" s="2987" t="s">
        <v>525</v>
      </c>
      <c r="Z115" s="267"/>
      <c r="AA115" s="267"/>
      <c r="AB115" s="267"/>
      <c r="AC115" s="566"/>
      <c r="AD115" s="566"/>
      <c r="AE115" s="566"/>
      <c r="AF115" s="566"/>
      <c r="AG115" s="566"/>
      <c r="AH115" s="566"/>
      <c r="AI115" s="566"/>
      <c r="AJ115" s="566"/>
      <c r="AK115" s="267"/>
      <c r="AL115" s="267"/>
    </row>
    <row r="116" spans="1:38" ht="18" customHeight="1">
      <c r="A116" s="2996">
        <v>0</v>
      </c>
      <c r="B116" s="1459" t="s">
        <v>525</v>
      </c>
      <c r="C116" s="1449" t="s">
        <v>525</v>
      </c>
      <c r="D116" s="1450" t="s">
        <v>525</v>
      </c>
      <c r="E116" s="1451" t="s">
        <v>525</v>
      </c>
      <c r="F116" s="1452" t="s">
        <v>525</v>
      </c>
      <c r="G116" s="1474" t="s">
        <v>525</v>
      </c>
      <c r="H116" s="1475" t="s">
        <v>525</v>
      </c>
      <c r="I116" s="1476"/>
      <c r="J116" s="1475" t="s">
        <v>525</v>
      </c>
      <c r="K116" s="267"/>
      <c r="L116" s="267"/>
      <c r="M116" s="1446" t="s">
        <v>525</v>
      </c>
      <c r="N116" s="1446" t="s">
        <v>525</v>
      </c>
      <c r="O116" s="1446" t="s">
        <v>525</v>
      </c>
      <c r="P116" s="1451" t="s">
        <v>525</v>
      </c>
      <c r="Q116" s="1451" t="s">
        <v>525</v>
      </c>
      <c r="R116" s="1451" t="s">
        <v>525</v>
      </c>
      <c r="S116" s="1451" t="s">
        <v>525</v>
      </c>
      <c r="T116" s="1455" t="s">
        <v>525</v>
      </c>
      <c r="U116" s="1455" t="s">
        <v>525</v>
      </c>
      <c r="V116" s="1456" t="s">
        <v>525</v>
      </c>
      <c r="W116" s="1457" t="s">
        <v>525</v>
      </c>
      <c r="X116" s="1458" t="s">
        <v>525</v>
      </c>
      <c r="Y116" s="2987" t="s">
        <v>525</v>
      </c>
      <c r="Z116" s="267"/>
      <c r="AA116" s="267"/>
      <c r="AB116" s="267"/>
      <c r="AC116" s="566"/>
      <c r="AD116" s="566"/>
      <c r="AE116" s="566"/>
      <c r="AF116" s="566"/>
      <c r="AG116" s="566"/>
      <c r="AH116" s="566"/>
      <c r="AI116" s="566"/>
      <c r="AJ116" s="566"/>
      <c r="AK116" s="267"/>
      <c r="AL116" s="267"/>
    </row>
    <row r="117" spans="1:38" ht="18" customHeight="1">
      <c r="A117" s="2996">
        <v>0</v>
      </c>
      <c r="B117" s="2994" t="s">
        <v>1454</v>
      </c>
      <c r="C117" s="2995" t="s">
        <v>924</v>
      </c>
      <c r="D117" s="1450">
        <v>10</v>
      </c>
      <c r="E117" s="1451">
        <v>9500</v>
      </c>
      <c r="F117" s="1452">
        <v>438.8</v>
      </c>
      <c r="G117" s="1474">
        <v>439</v>
      </c>
      <c r="H117" s="1475">
        <v>24.154462689891677</v>
      </c>
      <c r="I117" s="1476"/>
      <c r="J117" s="1475">
        <v>414.84553731010834</v>
      </c>
      <c r="K117" s="267"/>
      <c r="L117" s="267"/>
      <c r="M117" s="1446">
        <v>40</v>
      </c>
      <c r="N117" s="1446">
        <v>5</v>
      </c>
      <c r="O117" s="1446">
        <v>21.65</v>
      </c>
      <c r="P117" s="1451">
        <v>9500</v>
      </c>
      <c r="Q117" s="1451">
        <v>8977.2952265285403</v>
      </c>
      <c r="R117" s="1451">
        <v>522.70477347145993</v>
      </c>
      <c r="S117" s="1451">
        <v>2195</v>
      </c>
      <c r="T117" s="1455">
        <v>54.849884526558888</v>
      </c>
      <c r="U117" s="1455"/>
      <c r="V117" s="1456">
        <v>68.562355658198612</v>
      </c>
      <c r="W117" s="1457" t="s">
        <v>1454</v>
      </c>
      <c r="X117" s="1458">
        <v>95043.5</v>
      </c>
      <c r="Y117" s="2987">
        <v>10</v>
      </c>
      <c r="Z117" s="267"/>
      <c r="AA117" s="1457" t="s">
        <v>94</v>
      </c>
      <c r="AB117" s="1458">
        <v>95043.5</v>
      </c>
      <c r="AC117" s="566"/>
      <c r="AD117" s="566"/>
      <c r="AE117" s="566"/>
      <c r="AF117" s="566"/>
      <c r="AG117" s="566"/>
      <c r="AH117" s="566"/>
      <c r="AI117" s="566"/>
      <c r="AJ117" s="566"/>
      <c r="AK117" s="267"/>
      <c r="AL117" s="267"/>
    </row>
    <row r="118" spans="1:38" ht="15.75" customHeight="1">
      <c r="A118" s="2996">
        <v>0</v>
      </c>
      <c r="B118" s="2994" t="s">
        <v>525</v>
      </c>
      <c r="C118" s="2995" t="s">
        <v>525</v>
      </c>
      <c r="D118" s="1450" t="s">
        <v>525</v>
      </c>
      <c r="E118" s="1451" t="s">
        <v>525</v>
      </c>
      <c r="F118" s="1452" t="s">
        <v>525</v>
      </c>
      <c r="G118" s="1474" t="s">
        <v>525</v>
      </c>
      <c r="H118" s="1475" t="s">
        <v>525</v>
      </c>
      <c r="I118" s="1476"/>
      <c r="J118" s="1475" t="s">
        <v>525</v>
      </c>
      <c r="K118" s="267"/>
      <c r="L118" s="267"/>
      <c r="M118" s="1446" t="s">
        <v>525</v>
      </c>
      <c r="N118" s="1446" t="s">
        <v>525</v>
      </c>
      <c r="O118" s="1446" t="s">
        <v>525</v>
      </c>
      <c r="P118" s="1451" t="s">
        <v>525</v>
      </c>
      <c r="Q118" s="1451" t="s">
        <v>525</v>
      </c>
      <c r="R118" s="1451" t="s">
        <v>525</v>
      </c>
      <c r="S118" s="1451" t="s">
        <v>525</v>
      </c>
      <c r="T118" s="1455" t="s">
        <v>525</v>
      </c>
      <c r="U118" s="1455"/>
      <c r="V118" s="1456" t="s">
        <v>525</v>
      </c>
      <c r="W118" s="1457" t="s">
        <v>525</v>
      </c>
      <c r="X118" s="1458" t="s">
        <v>525</v>
      </c>
      <c r="Y118" s="2987" t="s">
        <v>525</v>
      </c>
      <c r="Z118" s="267"/>
      <c r="AA118" s="1457" t="s">
        <v>109</v>
      </c>
      <c r="AB118" s="1458">
        <v>95000</v>
      </c>
      <c r="AC118" s="566"/>
      <c r="AD118" s="566"/>
      <c r="AE118" s="566"/>
      <c r="AF118" s="566"/>
      <c r="AG118" s="566"/>
      <c r="AH118" s="566"/>
      <c r="AI118" s="566"/>
      <c r="AJ118" s="566"/>
      <c r="AK118" s="267"/>
      <c r="AL118" s="267"/>
    </row>
    <row r="119" spans="1:38" ht="15.75" customHeight="1">
      <c r="A119" s="2996">
        <v>0</v>
      </c>
      <c r="B119" s="2994" t="s">
        <v>525</v>
      </c>
      <c r="C119" s="2995" t="s">
        <v>525</v>
      </c>
      <c r="D119" s="1450" t="s">
        <v>525</v>
      </c>
      <c r="E119" s="1451" t="s">
        <v>525</v>
      </c>
      <c r="F119" s="1452" t="s">
        <v>525</v>
      </c>
      <c r="G119" s="1474" t="s">
        <v>525</v>
      </c>
      <c r="H119" s="1475" t="s">
        <v>525</v>
      </c>
      <c r="I119" s="1476"/>
      <c r="J119" s="1475" t="s">
        <v>525</v>
      </c>
      <c r="K119" s="267"/>
      <c r="L119" s="267"/>
      <c r="M119" s="1446" t="s">
        <v>525</v>
      </c>
      <c r="N119" s="1446" t="s">
        <v>525</v>
      </c>
      <c r="O119" s="1446" t="s">
        <v>525</v>
      </c>
      <c r="P119" s="1451" t="s">
        <v>525</v>
      </c>
      <c r="Q119" s="1451" t="s">
        <v>525</v>
      </c>
      <c r="R119" s="1451" t="s">
        <v>525</v>
      </c>
      <c r="S119" s="1451" t="s">
        <v>525</v>
      </c>
      <c r="T119" s="1455" t="s">
        <v>525</v>
      </c>
      <c r="U119" s="1455"/>
      <c r="V119" s="1456" t="s">
        <v>525</v>
      </c>
      <c r="W119" s="1457" t="s">
        <v>525</v>
      </c>
      <c r="X119" s="1458" t="s">
        <v>525</v>
      </c>
      <c r="Y119" s="2987" t="s">
        <v>525</v>
      </c>
      <c r="Z119" s="267"/>
      <c r="AA119" s="1457" t="s">
        <v>3</v>
      </c>
      <c r="AB119" s="1458">
        <v>0</v>
      </c>
      <c r="AC119" s="566"/>
      <c r="AD119" s="566"/>
      <c r="AE119" s="566"/>
      <c r="AF119" s="566"/>
      <c r="AG119" s="566"/>
      <c r="AH119" s="566"/>
      <c r="AI119" s="566"/>
      <c r="AJ119" s="566"/>
      <c r="AK119" s="267"/>
      <c r="AL119" s="267"/>
    </row>
    <row r="120" spans="1:38" s="15" customFormat="1" ht="15.75" customHeight="1" thickBot="1">
      <c r="A120" s="2996">
        <v>0</v>
      </c>
      <c r="B120" s="1348"/>
      <c r="C120" s="1348"/>
      <c r="D120" s="1348"/>
      <c r="E120" s="1348"/>
      <c r="F120" s="1348"/>
      <c r="G120" s="1348"/>
      <c r="H120" s="1462"/>
      <c r="I120" s="1348"/>
      <c r="J120" s="1348"/>
      <c r="K120" s="1348"/>
      <c r="L120" s="1348"/>
      <c r="M120" s="1348"/>
      <c r="N120" s="1348"/>
      <c r="O120" s="1348"/>
      <c r="P120" s="1348"/>
      <c r="Q120" s="1348"/>
      <c r="R120" s="1348"/>
      <c r="S120" s="1348"/>
      <c r="T120" s="267"/>
      <c r="U120" s="1348"/>
      <c r="V120" s="1348"/>
      <c r="W120" s="1348"/>
      <c r="X120" s="1348"/>
      <c r="Y120" s="1348"/>
      <c r="Z120" s="1348"/>
      <c r="AA120" s="1457" t="s">
        <v>94</v>
      </c>
      <c r="AB120" s="1458">
        <v>190043.5</v>
      </c>
      <c r="AC120" s="720"/>
      <c r="AD120" s="720"/>
      <c r="AE120" s="720"/>
      <c r="AF120" s="720"/>
      <c r="AG120" s="720"/>
      <c r="AH120" s="720"/>
      <c r="AI120" s="720"/>
      <c r="AJ120" s="720"/>
      <c r="AK120" s="1348"/>
      <c r="AL120" s="1348"/>
    </row>
    <row r="121" spans="1:38" s="15" customFormat="1" ht="20.25" customHeight="1">
      <c r="A121" s="2996">
        <v>0</v>
      </c>
      <c r="B121" s="1459" t="s">
        <v>525</v>
      </c>
      <c r="C121" s="1449" t="s">
        <v>525</v>
      </c>
      <c r="D121" s="1450" t="s">
        <v>525</v>
      </c>
      <c r="E121" s="1451" t="s">
        <v>525</v>
      </c>
      <c r="F121" s="1452" t="s">
        <v>525</v>
      </c>
      <c r="G121" s="1474" t="s">
        <v>525</v>
      </c>
      <c r="H121" s="1472" t="s">
        <v>525</v>
      </c>
      <c r="I121" s="1473"/>
      <c r="J121" s="1472" t="s">
        <v>525</v>
      </c>
      <c r="K121" s="267"/>
      <c r="L121" s="267"/>
      <c r="M121" s="1446" t="s">
        <v>525</v>
      </c>
      <c r="N121" s="1446" t="s">
        <v>525</v>
      </c>
      <c r="O121" s="1446" t="s">
        <v>525</v>
      </c>
      <c r="P121" s="1451" t="s">
        <v>525</v>
      </c>
      <c r="Q121" s="1451" t="s">
        <v>525</v>
      </c>
      <c r="R121" s="1451" t="s">
        <v>525</v>
      </c>
      <c r="S121" s="1451" t="s">
        <v>525</v>
      </c>
      <c r="T121" s="1455" t="s">
        <v>525</v>
      </c>
      <c r="U121" s="1455" t="s">
        <v>525</v>
      </c>
      <c r="V121" s="1456" t="s">
        <v>525</v>
      </c>
      <c r="W121" s="1457" t="s">
        <v>525</v>
      </c>
      <c r="X121" s="1458" t="s">
        <v>525</v>
      </c>
      <c r="Y121" s="2987" t="s">
        <v>525</v>
      </c>
      <c r="Z121" s="1348"/>
      <c r="AA121" s="1457" t="s">
        <v>125</v>
      </c>
      <c r="AB121" s="1458">
        <v>600993.68263966474</v>
      </c>
      <c r="AC121" s="720"/>
      <c r="AD121" s="720"/>
      <c r="AE121" s="720"/>
      <c r="AF121" s="720"/>
      <c r="AG121" s="720"/>
      <c r="AH121" s="720"/>
      <c r="AI121" s="720"/>
      <c r="AJ121" s="720"/>
      <c r="AK121" s="1348"/>
      <c r="AL121" s="1348"/>
    </row>
    <row r="122" spans="1:38" s="15" customFormat="1" ht="20.25" customHeight="1">
      <c r="A122" s="2996">
        <v>0</v>
      </c>
      <c r="B122" s="1459" t="s">
        <v>525</v>
      </c>
      <c r="C122" s="1449" t="s">
        <v>525</v>
      </c>
      <c r="D122" s="1450" t="s">
        <v>525</v>
      </c>
      <c r="E122" s="1451" t="s">
        <v>525</v>
      </c>
      <c r="F122" s="1452" t="s">
        <v>525</v>
      </c>
      <c r="G122" s="1474" t="s">
        <v>525</v>
      </c>
      <c r="H122" s="1475" t="s">
        <v>525</v>
      </c>
      <c r="I122" s="1476"/>
      <c r="J122" s="1475" t="s">
        <v>525</v>
      </c>
      <c r="K122" s="267"/>
      <c r="L122" s="267"/>
      <c r="M122" s="1446" t="s">
        <v>525</v>
      </c>
      <c r="N122" s="1446" t="s">
        <v>525</v>
      </c>
      <c r="O122" s="1446" t="s">
        <v>525</v>
      </c>
      <c r="P122" s="1451" t="s">
        <v>525</v>
      </c>
      <c r="Q122" s="1451" t="s">
        <v>525</v>
      </c>
      <c r="R122" s="1451" t="s">
        <v>525</v>
      </c>
      <c r="S122" s="1451" t="s">
        <v>525</v>
      </c>
      <c r="T122" s="1455" t="s">
        <v>525</v>
      </c>
      <c r="U122" s="1455" t="s">
        <v>525</v>
      </c>
      <c r="V122" s="1456" t="s">
        <v>525</v>
      </c>
      <c r="W122" s="1457" t="s">
        <v>525</v>
      </c>
      <c r="X122" s="1458" t="s">
        <v>525</v>
      </c>
      <c r="Y122" s="2987" t="s">
        <v>525</v>
      </c>
      <c r="Z122" s="1348"/>
      <c r="AA122" s="1457" t="s">
        <v>126</v>
      </c>
      <c r="AB122" s="1458">
        <v>-410950.18263966474</v>
      </c>
      <c r="AC122" s="720"/>
      <c r="AD122" s="720"/>
      <c r="AE122" s="720"/>
      <c r="AF122" s="720"/>
      <c r="AG122" s="720"/>
      <c r="AH122" s="720"/>
      <c r="AI122" s="720"/>
      <c r="AJ122" s="720"/>
      <c r="AK122" s="1348"/>
      <c r="AL122" s="1348"/>
    </row>
    <row r="123" spans="1:38" s="15" customFormat="1" ht="20.25" customHeight="1">
      <c r="A123" s="2996">
        <v>0</v>
      </c>
      <c r="B123" s="1459" t="s">
        <v>525</v>
      </c>
      <c r="C123" s="1449" t="s">
        <v>525</v>
      </c>
      <c r="D123" s="1450" t="s">
        <v>525</v>
      </c>
      <c r="E123" s="1451" t="s">
        <v>525</v>
      </c>
      <c r="F123" s="1452" t="s">
        <v>525</v>
      </c>
      <c r="G123" s="1474" t="s">
        <v>525</v>
      </c>
      <c r="H123" s="1475" t="s">
        <v>525</v>
      </c>
      <c r="I123" s="1476"/>
      <c r="J123" s="1475" t="s">
        <v>525</v>
      </c>
      <c r="K123" s="267"/>
      <c r="L123" s="267"/>
      <c r="M123" s="1446" t="s">
        <v>525</v>
      </c>
      <c r="N123" s="1446" t="s">
        <v>525</v>
      </c>
      <c r="O123" s="1446" t="s">
        <v>525</v>
      </c>
      <c r="P123" s="1451" t="s">
        <v>525</v>
      </c>
      <c r="Q123" s="1451" t="s">
        <v>525</v>
      </c>
      <c r="R123" s="1451" t="s">
        <v>525</v>
      </c>
      <c r="S123" s="1451" t="s">
        <v>525</v>
      </c>
      <c r="T123" s="1455" t="s">
        <v>525</v>
      </c>
      <c r="U123" s="1455" t="s">
        <v>525</v>
      </c>
      <c r="V123" s="1456" t="s">
        <v>525</v>
      </c>
      <c r="W123" s="1457" t="s">
        <v>525</v>
      </c>
      <c r="X123" s="1458" t="s">
        <v>525</v>
      </c>
      <c r="Y123" s="2987" t="s">
        <v>525</v>
      </c>
      <c r="Z123" s="1348"/>
      <c r="AA123" s="1348"/>
      <c r="AB123" s="1348"/>
      <c r="AC123" s="720"/>
      <c r="AD123" s="720"/>
      <c r="AE123" s="720"/>
      <c r="AF123" s="720"/>
      <c r="AG123" s="720"/>
      <c r="AH123" s="720"/>
      <c r="AI123" s="720"/>
      <c r="AJ123" s="720"/>
      <c r="AK123" s="1348"/>
      <c r="AL123" s="1348"/>
    </row>
    <row r="124" spans="1:38" s="15" customFormat="1" ht="20.25" customHeight="1">
      <c r="A124" s="2996">
        <v>0</v>
      </c>
      <c r="B124" s="1459" t="s">
        <v>525</v>
      </c>
      <c r="C124" s="1449" t="s">
        <v>525</v>
      </c>
      <c r="D124" s="1450" t="s">
        <v>525</v>
      </c>
      <c r="E124" s="1451" t="s">
        <v>525</v>
      </c>
      <c r="F124" s="1452" t="s">
        <v>525</v>
      </c>
      <c r="G124" s="1474" t="s">
        <v>525</v>
      </c>
      <c r="H124" s="1475" t="s">
        <v>525</v>
      </c>
      <c r="I124" s="1476"/>
      <c r="J124" s="1475" t="s">
        <v>525</v>
      </c>
      <c r="K124" s="267"/>
      <c r="L124" s="267"/>
      <c r="M124" s="1446" t="s">
        <v>525</v>
      </c>
      <c r="N124" s="1446" t="s">
        <v>525</v>
      </c>
      <c r="O124" s="1446" t="s">
        <v>525</v>
      </c>
      <c r="P124" s="1451" t="s">
        <v>525</v>
      </c>
      <c r="Q124" s="1451" t="s">
        <v>525</v>
      </c>
      <c r="R124" s="1451" t="s">
        <v>525</v>
      </c>
      <c r="S124" s="1451" t="s">
        <v>525</v>
      </c>
      <c r="T124" s="1455" t="s">
        <v>525</v>
      </c>
      <c r="U124" s="1455" t="s">
        <v>525</v>
      </c>
      <c r="V124" s="1456" t="s">
        <v>525</v>
      </c>
      <c r="W124" s="1457" t="s">
        <v>525</v>
      </c>
      <c r="X124" s="1458" t="s">
        <v>525</v>
      </c>
      <c r="Y124" s="2987" t="s">
        <v>525</v>
      </c>
      <c r="Z124" s="1348"/>
      <c r="AA124" s="1348"/>
      <c r="AB124" s="1348"/>
      <c r="AC124" s="720"/>
      <c r="AD124" s="720"/>
      <c r="AE124" s="720"/>
      <c r="AF124" s="720"/>
      <c r="AG124" s="720"/>
      <c r="AH124" s="720"/>
      <c r="AI124" s="720"/>
      <c r="AJ124" s="720"/>
      <c r="AK124" s="1348"/>
      <c r="AL124" s="1348"/>
    </row>
    <row r="125" spans="1:38" s="15" customFormat="1" ht="20.25" customHeight="1">
      <c r="A125" s="2996">
        <v>0</v>
      </c>
      <c r="B125" s="1459" t="s">
        <v>525</v>
      </c>
      <c r="C125" s="1449" t="s">
        <v>525</v>
      </c>
      <c r="D125" s="1450" t="s">
        <v>525</v>
      </c>
      <c r="E125" s="1451" t="s">
        <v>525</v>
      </c>
      <c r="F125" s="1452" t="s">
        <v>525</v>
      </c>
      <c r="G125" s="1474" t="s">
        <v>525</v>
      </c>
      <c r="H125" s="1475" t="s">
        <v>525</v>
      </c>
      <c r="I125" s="1476"/>
      <c r="J125" s="1475" t="s">
        <v>525</v>
      </c>
      <c r="K125" s="267"/>
      <c r="L125" s="267"/>
      <c r="M125" s="1446" t="s">
        <v>525</v>
      </c>
      <c r="N125" s="1446" t="s">
        <v>525</v>
      </c>
      <c r="O125" s="1446" t="s">
        <v>525</v>
      </c>
      <c r="P125" s="1451" t="s">
        <v>525</v>
      </c>
      <c r="Q125" s="1451" t="s">
        <v>525</v>
      </c>
      <c r="R125" s="1451" t="s">
        <v>525</v>
      </c>
      <c r="S125" s="1451" t="s">
        <v>525</v>
      </c>
      <c r="T125" s="1455" t="s">
        <v>525</v>
      </c>
      <c r="U125" s="1455" t="s">
        <v>525</v>
      </c>
      <c r="V125" s="1456" t="s">
        <v>525</v>
      </c>
      <c r="W125" s="1457" t="s">
        <v>525</v>
      </c>
      <c r="X125" s="1458" t="s">
        <v>525</v>
      </c>
      <c r="Y125" s="2987" t="s">
        <v>525</v>
      </c>
      <c r="Z125" s="1348"/>
      <c r="AA125" s="1348"/>
      <c r="AB125" s="1348"/>
      <c r="AC125" s="720"/>
      <c r="AD125" s="720"/>
      <c r="AE125" s="720"/>
      <c r="AF125" s="720"/>
      <c r="AG125" s="720"/>
      <c r="AH125" s="720"/>
      <c r="AI125" s="720"/>
      <c r="AJ125" s="720"/>
      <c r="AK125" s="1348"/>
      <c r="AL125" s="1348"/>
    </row>
    <row r="126" spans="1:38" s="15" customFormat="1" ht="20.25" customHeight="1">
      <c r="A126" s="2996">
        <v>0</v>
      </c>
      <c r="B126" s="1459" t="s">
        <v>525</v>
      </c>
      <c r="C126" s="1449" t="s">
        <v>525</v>
      </c>
      <c r="D126" s="1450" t="s">
        <v>525</v>
      </c>
      <c r="E126" s="1451" t="s">
        <v>525</v>
      </c>
      <c r="F126" s="1452" t="s">
        <v>525</v>
      </c>
      <c r="G126" s="1474" t="s">
        <v>525</v>
      </c>
      <c r="H126" s="1475" t="s">
        <v>525</v>
      </c>
      <c r="I126" s="1476"/>
      <c r="J126" s="1475" t="s">
        <v>525</v>
      </c>
      <c r="K126" s="267"/>
      <c r="L126" s="267"/>
      <c r="M126" s="1446" t="s">
        <v>525</v>
      </c>
      <c r="N126" s="1446" t="s">
        <v>525</v>
      </c>
      <c r="O126" s="1446" t="s">
        <v>525</v>
      </c>
      <c r="P126" s="1451" t="s">
        <v>525</v>
      </c>
      <c r="Q126" s="1451" t="s">
        <v>525</v>
      </c>
      <c r="R126" s="1451" t="s">
        <v>525</v>
      </c>
      <c r="S126" s="1451" t="s">
        <v>525</v>
      </c>
      <c r="T126" s="1455" t="s">
        <v>525</v>
      </c>
      <c r="U126" s="1455" t="s">
        <v>525</v>
      </c>
      <c r="V126" s="1456" t="s">
        <v>525</v>
      </c>
      <c r="W126" s="1457" t="s">
        <v>525</v>
      </c>
      <c r="X126" s="1458" t="s">
        <v>525</v>
      </c>
      <c r="Y126" s="2987" t="s">
        <v>525</v>
      </c>
      <c r="Z126" s="1348"/>
      <c r="AA126" s="1348"/>
      <c r="AB126" s="1348"/>
      <c r="AC126" s="720"/>
      <c r="AD126" s="720"/>
      <c r="AE126" s="720"/>
      <c r="AF126" s="720"/>
      <c r="AG126" s="720"/>
      <c r="AH126" s="720"/>
      <c r="AI126" s="720"/>
      <c r="AJ126" s="720"/>
      <c r="AK126" s="1348"/>
      <c r="AL126" s="1348"/>
    </row>
    <row r="127" spans="1:38" s="15" customFormat="1" ht="20.25" customHeight="1">
      <c r="A127" s="2996">
        <v>0</v>
      </c>
      <c r="B127" s="1459" t="s">
        <v>525</v>
      </c>
      <c r="C127" s="1449" t="s">
        <v>525</v>
      </c>
      <c r="D127" s="1450" t="s">
        <v>525</v>
      </c>
      <c r="E127" s="1451" t="s">
        <v>525</v>
      </c>
      <c r="F127" s="1452" t="s">
        <v>525</v>
      </c>
      <c r="G127" s="1474" t="s">
        <v>525</v>
      </c>
      <c r="H127" s="1475" t="s">
        <v>525</v>
      </c>
      <c r="I127" s="1476"/>
      <c r="J127" s="1475" t="s">
        <v>525</v>
      </c>
      <c r="K127" s="267"/>
      <c r="L127" s="267"/>
      <c r="M127" s="1446" t="s">
        <v>525</v>
      </c>
      <c r="N127" s="1446" t="s">
        <v>525</v>
      </c>
      <c r="O127" s="1446" t="s">
        <v>525</v>
      </c>
      <c r="P127" s="1451" t="s">
        <v>525</v>
      </c>
      <c r="Q127" s="1451" t="s">
        <v>525</v>
      </c>
      <c r="R127" s="1451" t="s">
        <v>525</v>
      </c>
      <c r="S127" s="1451" t="s">
        <v>525</v>
      </c>
      <c r="T127" s="1455" t="s">
        <v>525</v>
      </c>
      <c r="U127" s="1455" t="s">
        <v>525</v>
      </c>
      <c r="V127" s="1456" t="s">
        <v>525</v>
      </c>
      <c r="W127" s="1457" t="s">
        <v>525</v>
      </c>
      <c r="X127" s="1458" t="s">
        <v>525</v>
      </c>
      <c r="Y127" s="2987" t="s">
        <v>525</v>
      </c>
      <c r="Z127" s="1348"/>
      <c r="AA127" s="1348"/>
      <c r="AB127" s="1348"/>
      <c r="AC127" s="720"/>
      <c r="AD127" s="720"/>
      <c r="AE127" s="720"/>
      <c r="AF127" s="720"/>
      <c r="AG127" s="720"/>
      <c r="AH127" s="720"/>
      <c r="AI127" s="720"/>
      <c r="AJ127" s="720"/>
      <c r="AK127" s="1348"/>
      <c r="AL127" s="1348"/>
    </row>
    <row r="128" spans="1:38" s="15" customFormat="1" ht="20.25" customHeight="1">
      <c r="A128" s="2996">
        <v>0</v>
      </c>
      <c r="B128" s="1459" t="s">
        <v>525</v>
      </c>
      <c r="C128" s="1449" t="s">
        <v>525</v>
      </c>
      <c r="D128" s="1450" t="s">
        <v>525</v>
      </c>
      <c r="E128" s="1451" t="s">
        <v>525</v>
      </c>
      <c r="F128" s="1452" t="s">
        <v>525</v>
      </c>
      <c r="G128" s="1474" t="s">
        <v>525</v>
      </c>
      <c r="H128" s="1475" t="s">
        <v>525</v>
      </c>
      <c r="I128" s="1476"/>
      <c r="J128" s="1475" t="s">
        <v>525</v>
      </c>
      <c r="K128" s="267"/>
      <c r="L128" s="267"/>
      <c r="M128" s="1446" t="s">
        <v>525</v>
      </c>
      <c r="N128" s="1446" t="s">
        <v>525</v>
      </c>
      <c r="O128" s="1446" t="s">
        <v>525</v>
      </c>
      <c r="P128" s="1451" t="s">
        <v>525</v>
      </c>
      <c r="Q128" s="1451" t="s">
        <v>525</v>
      </c>
      <c r="R128" s="1451" t="s">
        <v>525</v>
      </c>
      <c r="S128" s="1451" t="s">
        <v>525</v>
      </c>
      <c r="T128" s="1455" t="s">
        <v>525</v>
      </c>
      <c r="U128" s="1455" t="s">
        <v>525</v>
      </c>
      <c r="V128" s="1456" t="s">
        <v>525</v>
      </c>
      <c r="W128" s="1457" t="s">
        <v>525</v>
      </c>
      <c r="X128" s="1458" t="s">
        <v>525</v>
      </c>
      <c r="Y128" s="2987" t="s">
        <v>525</v>
      </c>
      <c r="Z128" s="1348"/>
      <c r="AA128" s="1348"/>
      <c r="AB128" s="1348"/>
      <c r="AC128" s="720"/>
      <c r="AD128" s="720"/>
      <c r="AE128" s="720"/>
      <c r="AF128" s="720"/>
      <c r="AG128" s="720"/>
      <c r="AH128" s="720"/>
      <c r="AI128" s="720"/>
      <c r="AJ128" s="720"/>
      <c r="AK128" s="1348"/>
      <c r="AL128" s="1348"/>
    </row>
    <row r="129" spans="1:38" s="15" customFormat="1" ht="20.25" customHeight="1">
      <c r="A129" s="2996">
        <v>0</v>
      </c>
      <c r="B129" s="1459" t="s">
        <v>525</v>
      </c>
      <c r="C129" s="1449" t="s">
        <v>525</v>
      </c>
      <c r="D129" s="1450" t="s">
        <v>525</v>
      </c>
      <c r="E129" s="1451" t="s">
        <v>525</v>
      </c>
      <c r="F129" s="1452" t="s">
        <v>525</v>
      </c>
      <c r="G129" s="1474" t="s">
        <v>525</v>
      </c>
      <c r="H129" s="1475" t="s">
        <v>525</v>
      </c>
      <c r="I129" s="1476"/>
      <c r="J129" s="1475" t="s">
        <v>525</v>
      </c>
      <c r="K129" s="267"/>
      <c r="L129" s="267"/>
      <c r="M129" s="1446" t="s">
        <v>525</v>
      </c>
      <c r="N129" s="1446" t="s">
        <v>525</v>
      </c>
      <c r="O129" s="1446" t="s">
        <v>525</v>
      </c>
      <c r="P129" s="1451" t="s">
        <v>525</v>
      </c>
      <c r="Q129" s="1451" t="s">
        <v>525</v>
      </c>
      <c r="R129" s="1451" t="s">
        <v>525</v>
      </c>
      <c r="S129" s="1451" t="s">
        <v>525</v>
      </c>
      <c r="T129" s="1455" t="s">
        <v>525</v>
      </c>
      <c r="U129" s="1455" t="s">
        <v>525</v>
      </c>
      <c r="V129" s="1456" t="s">
        <v>525</v>
      </c>
      <c r="W129" s="1457" t="s">
        <v>525</v>
      </c>
      <c r="X129" s="1458" t="s">
        <v>525</v>
      </c>
      <c r="Y129" s="2987" t="s">
        <v>525</v>
      </c>
      <c r="Z129" s="1348"/>
      <c r="AA129" s="1348"/>
      <c r="AB129" s="1348"/>
      <c r="AC129" s="720"/>
      <c r="AD129" s="720"/>
      <c r="AE129" s="720"/>
      <c r="AF129" s="720"/>
      <c r="AG129" s="720"/>
      <c r="AH129" s="720"/>
      <c r="AI129" s="720"/>
      <c r="AJ129" s="720"/>
      <c r="AK129" s="1348"/>
      <c r="AL129" s="1348"/>
    </row>
    <row r="130" spans="1:38" s="15" customFormat="1" ht="20.25" customHeight="1">
      <c r="A130" s="2996">
        <v>0</v>
      </c>
      <c r="B130" s="1459" t="s">
        <v>525</v>
      </c>
      <c r="C130" s="1449" t="s">
        <v>525</v>
      </c>
      <c r="D130" s="1450" t="s">
        <v>525</v>
      </c>
      <c r="E130" s="1451" t="s">
        <v>525</v>
      </c>
      <c r="F130" s="1452" t="s">
        <v>525</v>
      </c>
      <c r="G130" s="1474" t="s">
        <v>525</v>
      </c>
      <c r="H130" s="1475" t="s">
        <v>525</v>
      </c>
      <c r="I130" s="1476"/>
      <c r="J130" s="1475" t="s">
        <v>525</v>
      </c>
      <c r="K130" s="267"/>
      <c r="L130" s="267"/>
      <c r="M130" s="1446" t="s">
        <v>525</v>
      </c>
      <c r="N130" s="1446" t="s">
        <v>525</v>
      </c>
      <c r="O130" s="1446" t="s">
        <v>525</v>
      </c>
      <c r="P130" s="1451" t="s">
        <v>525</v>
      </c>
      <c r="Q130" s="1451" t="s">
        <v>525</v>
      </c>
      <c r="R130" s="1451" t="s">
        <v>525</v>
      </c>
      <c r="S130" s="1451" t="s">
        <v>525</v>
      </c>
      <c r="T130" s="1455" t="s">
        <v>525</v>
      </c>
      <c r="U130" s="1455" t="s">
        <v>525</v>
      </c>
      <c r="V130" s="1456" t="s">
        <v>525</v>
      </c>
      <c r="W130" s="1457" t="s">
        <v>525</v>
      </c>
      <c r="X130" s="1458" t="s">
        <v>525</v>
      </c>
      <c r="Y130" s="2987" t="s">
        <v>525</v>
      </c>
      <c r="Z130" s="1447"/>
      <c r="AA130" s="1348"/>
      <c r="AB130" s="1348"/>
      <c r="AC130" s="720"/>
      <c r="AD130" s="720"/>
      <c r="AE130" s="720"/>
      <c r="AF130" s="720"/>
      <c r="AG130" s="720"/>
      <c r="AH130" s="720"/>
      <c r="AI130" s="720"/>
      <c r="AJ130" s="720"/>
      <c r="AK130" s="1348"/>
      <c r="AL130" s="1348"/>
    </row>
    <row r="131" spans="1:38" s="15" customFormat="1" ht="20.25" customHeight="1">
      <c r="A131" s="2996">
        <v>0</v>
      </c>
      <c r="B131" s="1459" t="s">
        <v>525</v>
      </c>
      <c r="C131" s="1449" t="s">
        <v>525</v>
      </c>
      <c r="D131" s="1450" t="s">
        <v>525</v>
      </c>
      <c r="E131" s="1451" t="s">
        <v>525</v>
      </c>
      <c r="F131" s="1452" t="s">
        <v>525</v>
      </c>
      <c r="G131" s="1474" t="s">
        <v>525</v>
      </c>
      <c r="H131" s="1475" t="s">
        <v>525</v>
      </c>
      <c r="I131" s="1476"/>
      <c r="J131" s="1475" t="s">
        <v>525</v>
      </c>
      <c r="K131" s="267"/>
      <c r="L131" s="267"/>
      <c r="M131" s="1446" t="s">
        <v>525</v>
      </c>
      <c r="N131" s="1446" t="s">
        <v>525</v>
      </c>
      <c r="O131" s="1446" t="s">
        <v>525</v>
      </c>
      <c r="P131" s="1451" t="s">
        <v>525</v>
      </c>
      <c r="Q131" s="1451" t="s">
        <v>525</v>
      </c>
      <c r="R131" s="1451" t="s">
        <v>525</v>
      </c>
      <c r="S131" s="1451" t="s">
        <v>525</v>
      </c>
      <c r="T131" s="1455" t="s">
        <v>525</v>
      </c>
      <c r="U131" s="1455" t="s">
        <v>525</v>
      </c>
      <c r="V131" s="1456" t="s">
        <v>525</v>
      </c>
      <c r="W131" s="1457" t="s">
        <v>525</v>
      </c>
      <c r="X131" s="1458" t="s">
        <v>525</v>
      </c>
      <c r="Y131" s="2987" t="s">
        <v>525</v>
      </c>
      <c r="Z131" s="1477"/>
      <c r="AA131" s="1348"/>
      <c r="AB131" s="1348"/>
      <c r="AC131" s="720"/>
      <c r="AD131" s="720"/>
      <c r="AE131" s="720"/>
      <c r="AF131" s="720"/>
      <c r="AG131" s="720"/>
      <c r="AH131" s="720"/>
      <c r="AI131" s="720"/>
      <c r="AJ131" s="720"/>
      <c r="AK131" s="1348"/>
      <c r="AL131" s="1348"/>
    </row>
    <row r="132" spans="1:38" ht="20.25" customHeight="1">
      <c r="A132" s="2996">
        <v>0</v>
      </c>
      <c r="B132" s="1459" t="s">
        <v>525</v>
      </c>
      <c r="C132" s="1449" t="s">
        <v>525</v>
      </c>
      <c r="D132" s="1450" t="s">
        <v>525</v>
      </c>
      <c r="E132" s="1451" t="s">
        <v>525</v>
      </c>
      <c r="F132" s="1452" t="s">
        <v>525</v>
      </c>
      <c r="G132" s="1474" t="s">
        <v>525</v>
      </c>
      <c r="H132" s="1475" t="s">
        <v>525</v>
      </c>
      <c r="I132" s="1476"/>
      <c r="J132" s="1475" t="s">
        <v>525</v>
      </c>
      <c r="K132" s="267"/>
      <c r="L132" s="267"/>
      <c r="M132" s="1446" t="s">
        <v>525</v>
      </c>
      <c r="N132" s="1446" t="s">
        <v>525</v>
      </c>
      <c r="O132" s="1446" t="s">
        <v>525</v>
      </c>
      <c r="P132" s="1451" t="s">
        <v>525</v>
      </c>
      <c r="Q132" s="1451" t="s">
        <v>525</v>
      </c>
      <c r="R132" s="1451" t="s">
        <v>525</v>
      </c>
      <c r="S132" s="1451" t="s">
        <v>525</v>
      </c>
      <c r="T132" s="1455" t="s">
        <v>525</v>
      </c>
      <c r="U132" s="1455" t="s">
        <v>525</v>
      </c>
      <c r="V132" s="1456" t="s">
        <v>525</v>
      </c>
      <c r="W132" s="1457" t="s">
        <v>525</v>
      </c>
      <c r="X132" s="1458" t="s">
        <v>525</v>
      </c>
      <c r="Y132" s="2987" t="s">
        <v>525</v>
      </c>
      <c r="Z132" s="1477"/>
      <c r="AA132" s="267"/>
      <c r="AB132" s="267"/>
      <c r="AC132" s="566"/>
      <c r="AD132" s="566"/>
      <c r="AE132" s="566"/>
      <c r="AF132" s="566"/>
      <c r="AG132" s="566"/>
      <c r="AH132" s="566"/>
      <c r="AI132" s="566"/>
      <c r="AJ132" s="566"/>
      <c r="AK132" s="267"/>
      <c r="AL132" s="267"/>
    </row>
    <row r="133" spans="1:38" ht="20.25" customHeight="1">
      <c r="A133" s="2996">
        <v>0</v>
      </c>
      <c r="B133" s="1459" t="s">
        <v>525</v>
      </c>
      <c r="C133" s="1449" t="s">
        <v>525</v>
      </c>
      <c r="D133" s="1450" t="s">
        <v>525</v>
      </c>
      <c r="E133" s="1451" t="s">
        <v>525</v>
      </c>
      <c r="F133" s="1452" t="s">
        <v>525</v>
      </c>
      <c r="G133" s="1474" t="s">
        <v>525</v>
      </c>
      <c r="H133" s="1475" t="s">
        <v>525</v>
      </c>
      <c r="I133" s="1476"/>
      <c r="J133" s="1475" t="s">
        <v>525</v>
      </c>
      <c r="K133" s="267"/>
      <c r="L133" s="267"/>
      <c r="M133" s="1446" t="s">
        <v>525</v>
      </c>
      <c r="N133" s="1446" t="s">
        <v>525</v>
      </c>
      <c r="O133" s="1446" t="s">
        <v>525</v>
      </c>
      <c r="P133" s="1451" t="s">
        <v>525</v>
      </c>
      <c r="Q133" s="1451" t="s">
        <v>525</v>
      </c>
      <c r="R133" s="1451" t="s">
        <v>525</v>
      </c>
      <c r="S133" s="1451" t="s">
        <v>525</v>
      </c>
      <c r="T133" s="1455" t="s">
        <v>525</v>
      </c>
      <c r="U133" s="1455" t="s">
        <v>525</v>
      </c>
      <c r="V133" s="1456" t="s">
        <v>525</v>
      </c>
      <c r="W133" s="1457" t="s">
        <v>525</v>
      </c>
      <c r="X133" s="1458" t="s">
        <v>525</v>
      </c>
      <c r="Y133" s="2987" t="s">
        <v>525</v>
      </c>
      <c r="Z133" s="1477"/>
      <c r="AA133" s="267"/>
      <c r="AB133" s="267"/>
      <c r="AC133" s="566"/>
      <c r="AD133" s="566"/>
      <c r="AE133" s="566"/>
      <c r="AF133" s="566"/>
      <c r="AG133" s="566"/>
      <c r="AH133" s="566"/>
      <c r="AI133" s="566"/>
      <c r="AJ133" s="566"/>
      <c r="AK133" s="267"/>
      <c r="AL133" s="267"/>
    </row>
    <row r="134" spans="1:38" ht="20.25" customHeight="1">
      <c r="A134" s="2996">
        <v>0</v>
      </c>
      <c r="B134" s="1459" t="s">
        <v>525</v>
      </c>
      <c r="C134" s="1449" t="s">
        <v>525</v>
      </c>
      <c r="D134" s="1450" t="s">
        <v>525</v>
      </c>
      <c r="E134" s="1451" t="s">
        <v>525</v>
      </c>
      <c r="F134" s="1452" t="s">
        <v>525</v>
      </c>
      <c r="G134" s="1474" t="s">
        <v>525</v>
      </c>
      <c r="H134" s="1475" t="s">
        <v>525</v>
      </c>
      <c r="I134" s="1476"/>
      <c r="J134" s="1475" t="s">
        <v>525</v>
      </c>
      <c r="K134" s="267"/>
      <c r="L134" s="267"/>
      <c r="M134" s="1446" t="s">
        <v>525</v>
      </c>
      <c r="N134" s="1446" t="s">
        <v>525</v>
      </c>
      <c r="O134" s="1446" t="s">
        <v>525</v>
      </c>
      <c r="P134" s="1451" t="s">
        <v>525</v>
      </c>
      <c r="Q134" s="1451" t="s">
        <v>525</v>
      </c>
      <c r="R134" s="1451" t="s">
        <v>525</v>
      </c>
      <c r="S134" s="1451" t="s">
        <v>525</v>
      </c>
      <c r="T134" s="1455" t="s">
        <v>525</v>
      </c>
      <c r="U134" s="1455" t="s">
        <v>525</v>
      </c>
      <c r="V134" s="1456" t="s">
        <v>525</v>
      </c>
      <c r="W134" s="1457" t="s">
        <v>525</v>
      </c>
      <c r="X134" s="1458" t="s">
        <v>525</v>
      </c>
      <c r="Y134" s="2987" t="s">
        <v>525</v>
      </c>
      <c r="Z134" s="1477"/>
      <c r="AA134" s="267"/>
      <c r="AB134" s="267"/>
      <c r="AC134" s="566"/>
      <c r="AD134" s="566"/>
      <c r="AE134" s="566"/>
      <c r="AF134" s="566"/>
      <c r="AG134" s="566"/>
      <c r="AH134" s="566"/>
      <c r="AI134" s="566"/>
      <c r="AJ134" s="566"/>
      <c r="AK134" s="267"/>
      <c r="AL134" s="267"/>
    </row>
    <row r="135" spans="1:38" ht="20.25" customHeight="1">
      <c r="A135" s="2996">
        <v>0</v>
      </c>
      <c r="B135" s="1459" t="s">
        <v>525</v>
      </c>
      <c r="C135" s="1449" t="s">
        <v>525</v>
      </c>
      <c r="D135" s="1450" t="s">
        <v>525</v>
      </c>
      <c r="E135" s="1451" t="s">
        <v>525</v>
      </c>
      <c r="F135" s="1452" t="s">
        <v>525</v>
      </c>
      <c r="G135" s="1474" t="s">
        <v>525</v>
      </c>
      <c r="H135" s="1475" t="s">
        <v>525</v>
      </c>
      <c r="I135" s="1476"/>
      <c r="J135" s="1475" t="s">
        <v>525</v>
      </c>
      <c r="K135" s="267"/>
      <c r="L135" s="267"/>
      <c r="M135" s="1446" t="s">
        <v>525</v>
      </c>
      <c r="N135" s="1446" t="s">
        <v>525</v>
      </c>
      <c r="O135" s="1446" t="s">
        <v>525</v>
      </c>
      <c r="P135" s="1451" t="s">
        <v>525</v>
      </c>
      <c r="Q135" s="1451" t="s">
        <v>525</v>
      </c>
      <c r="R135" s="1451" t="s">
        <v>525</v>
      </c>
      <c r="S135" s="1451" t="s">
        <v>525</v>
      </c>
      <c r="T135" s="1455" t="s">
        <v>525</v>
      </c>
      <c r="U135" s="1455" t="s">
        <v>525</v>
      </c>
      <c r="V135" s="1456" t="s">
        <v>525</v>
      </c>
      <c r="W135" s="1457" t="s">
        <v>525</v>
      </c>
      <c r="X135" s="1458" t="s">
        <v>525</v>
      </c>
      <c r="Y135" s="2987" t="s">
        <v>525</v>
      </c>
      <c r="Z135" s="1477"/>
      <c r="AA135" s="267"/>
      <c r="AB135" s="267"/>
      <c r="AC135" s="566"/>
      <c r="AD135" s="566"/>
      <c r="AE135" s="566"/>
      <c r="AF135" s="566"/>
      <c r="AG135" s="566"/>
      <c r="AH135" s="566"/>
      <c r="AI135" s="566"/>
      <c r="AJ135" s="566"/>
      <c r="AK135" s="267"/>
      <c r="AL135" s="267"/>
    </row>
    <row r="136" spans="1:38" ht="20.25" customHeight="1">
      <c r="A136" s="2996">
        <v>0</v>
      </c>
      <c r="B136" s="1459" t="s">
        <v>525</v>
      </c>
      <c r="C136" s="1449" t="s">
        <v>525</v>
      </c>
      <c r="D136" s="1450" t="s">
        <v>525</v>
      </c>
      <c r="E136" s="1451" t="s">
        <v>525</v>
      </c>
      <c r="F136" s="1452" t="s">
        <v>525</v>
      </c>
      <c r="G136" s="1474" t="s">
        <v>525</v>
      </c>
      <c r="H136" s="1475" t="s">
        <v>525</v>
      </c>
      <c r="I136" s="1476"/>
      <c r="J136" s="1475" t="s">
        <v>525</v>
      </c>
      <c r="K136" s="267"/>
      <c r="L136" s="267"/>
      <c r="M136" s="1446" t="s">
        <v>525</v>
      </c>
      <c r="N136" s="1446" t="s">
        <v>525</v>
      </c>
      <c r="O136" s="1446" t="s">
        <v>525</v>
      </c>
      <c r="P136" s="1451" t="s">
        <v>525</v>
      </c>
      <c r="Q136" s="1451" t="s">
        <v>525</v>
      </c>
      <c r="R136" s="1451" t="s">
        <v>525</v>
      </c>
      <c r="S136" s="1451" t="s">
        <v>525</v>
      </c>
      <c r="T136" s="1455" t="s">
        <v>525</v>
      </c>
      <c r="U136" s="1455" t="s">
        <v>525</v>
      </c>
      <c r="V136" s="1456" t="s">
        <v>525</v>
      </c>
      <c r="W136" s="1457" t="s">
        <v>525</v>
      </c>
      <c r="X136" s="1458" t="s">
        <v>525</v>
      </c>
      <c r="Y136" s="2987" t="s">
        <v>525</v>
      </c>
      <c r="Z136" s="1477"/>
      <c r="AA136" s="267"/>
      <c r="AB136" s="267"/>
      <c r="AC136" s="566"/>
      <c r="AD136" s="566"/>
      <c r="AE136" s="566"/>
      <c r="AF136" s="566"/>
      <c r="AG136" s="566"/>
      <c r="AH136" s="566"/>
      <c r="AI136" s="566"/>
      <c r="AJ136" s="566"/>
      <c r="AK136" s="267"/>
      <c r="AL136" s="267"/>
    </row>
    <row r="137" spans="1:38" ht="20.25" customHeight="1">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1456" t="s">
        <v>525</v>
      </c>
      <c r="W137" s="1457" t="s">
        <v>94</v>
      </c>
      <c r="X137" s="1458">
        <v>0</v>
      </c>
      <c r="Y137" s="267"/>
      <c r="Z137" s="1477"/>
      <c r="AA137" s="267"/>
      <c r="AB137" s="267"/>
      <c r="AC137" s="566"/>
      <c r="AD137" s="566"/>
      <c r="AE137" s="566"/>
      <c r="AF137" s="566"/>
      <c r="AG137" s="566"/>
      <c r="AH137" s="566"/>
      <c r="AI137" s="566"/>
      <c r="AJ137" s="566"/>
      <c r="AK137" s="267"/>
      <c r="AL137" s="267"/>
    </row>
    <row r="138" spans="1:38" ht="17.25" customHeight="1">
      <c r="A138" s="267"/>
      <c r="B138" s="267"/>
      <c r="C138" s="267"/>
      <c r="D138" s="267"/>
      <c r="E138" s="267"/>
      <c r="F138" s="267"/>
      <c r="G138" s="267"/>
      <c r="H138" s="1424"/>
      <c r="I138" s="267"/>
      <c r="J138" s="267"/>
      <c r="K138" s="267"/>
      <c r="L138" s="267"/>
      <c r="M138" s="267"/>
      <c r="N138" s="267"/>
      <c r="O138" s="267"/>
      <c r="P138" s="267"/>
      <c r="Q138" s="267"/>
      <c r="R138" s="267"/>
      <c r="S138" s="267"/>
      <c r="T138" s="267"/>
      <c r="U138" s="267"/>
      <c r="V138" s="267"/>
      <c r="W138" s="267"/>
      <c r="X138" s="267"/>
      <c r="Y138" s="267"/>
      <c r="Z138" s="1477"/>
      <c r="AA138" s="267"/>
      <c r="AB138" s="267"/>
      <c r="AC138" s="566"/>
      <c r="AD138" s="566"/>
      <c r="AE138" s="566"/>
      <c r="AF138" s="566"/>
      <c r="AG138" s="566"/>
      <c r="AH138" s="566"/>
      <c r="AI138" s="566"/>
      <c r="AJ138" s="566"/>
      <c r="AK138" s="267"/>
      <c r="AL138" s="267"/>
    </row>
    <row r="139" spans="1:38" ht="17.25" customHeight="1">
      <c r="A139" s="267"/>
      <c r="B139" s="267"/>
      <c r="C139" s="267"/>
      <c r="D139" s="267"/>
      <c r="E139" s="267"/>
      <c r="F139" s="267"/>
      <c r="G139" s="267"/>
      <c r="H139" s="1424"/>
      <c r="I139" s="267"/>
      <c r="J139" s="267"/>
      <c r="K139" s="267"/>
      <c r="L139" s="267"/>
      <c r="M139" s="267"/>
      <c r="N139" s="267"/>
      <c r="O139" s="267"/>
      <c r="P139" s="267"/>
      <c r="Q139" s="267"/>
      <c r="R139" s="267"/>
      <c r="S139" s="267"/>
      <c r="T139" s="267"/>
      <c r="U139" s="267"/>
      <c r="V139" s="267"/>
      <c r="W139" s="267"/>
      <c r="X139" s="267"/>
      <c r="Y139" s="267"/>
      <c r="Z139" s="1477"/>
      <c r="AA139" s="267"/>
      <c r="AB139" s="267"/>
      <c r="AC139" s="566"/>
      <c r="AD139" s="566"/>
      <c r="AE139" s="566"/>
      <c r="AF139" s="566"/>
      <c r="AG139" s="566"/>
      <c r="AH139" s="566"/>
      <c r="AI139" s="566"/>
      <c r="AJ139" s="566"/>
      <c r="AK139" s="267"/>
      <c r="AL139" s="267"/>
    </row>
    <row r="140" spans="1:38">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566"/>
      <c r="AD140" s="566"/>
      <c r="AE140" s="566"/>
      <c r="AF140" s="566"/>
      <c r="AG140" s="566"/>
      <c r="AH140" s="566"/>
      <c r="AI140" s="566"/>
      <c r="AJ140" s="566"/>
      <c r="AK140" s="267"/>
      <c r="AL140" s="267"/>
    </row>
    <row r="141" spans="1:38">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566"/>
      <c r="AD141" s="566"/>
      <c r="AE141" s="566"/>
      <c r="AF141" s="566"/>
      <c r="AG141" s="566"/>
      <c r="AH141" s="566"/>
      <c r="AI141" s="566"/>
      <c r="AJ141" s="566"/>
      <c r="AK141" s="267"/>
      <c r="AL141" s="267"/>
    </row>
    <row r="142" spans="1:38">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566"/>
      <c r="AD142" s="566"/>
      <c r="AE142" s="566"/>
      <c r="AF142" s="566"/>
      <c r="AG142" s="566"/>
      <c r="AH142" s="566"/>
      <c r="AI142" s="566"/>
      <c r="AJ142" s="566"/>
      <c r="AK142" s="267"/>
      <c r="AL142" s="267"/>
    </row>
    <row r="143" spans="1:38">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566"/>
      <c r="AD143" s="566"/>
      <c r="AE143" s="566"/>
      <c r="AF143" s="566"/>
      <c r="AG143" s="566"/>
      <c r="AH143" s="566"/>
      <c r="AI143" s="566"/>
      <c r="AJ143" s="566"/>
      <c r="AK143" s="267"/>
      <c r="AL143" s="267"/>
    </row>
    <row r="144" spans="1:38">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566"/>
      <c r="AD144" s="566"/>
      <c r="AE144" s="566"/>
      <c r="AF144" s="566"/>
      <c r="AG144" s="566"/>
      <c r="AH144" s="566"/>
      <c r="AI144" s="566"/>
      <c r="AJ144" s="566"/>
      <c r="AK144" s="267"/>
      <c r="AL144" s="267"/>
    </row>
    <row r="145" spans="1:38">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566"/>
      <c r="AD145" s="566"/>
      <c r="AE145" s="566"/>
      <c r="AF145" s="566"/>
      <c r="AG145" s="566"/>
      <c r="AH145" s="566"/>
      <c r="AI145" s="566"/>
      <c r="AJ145" s="566"/>
      <c r="AK145" s="267"/>
      <c r="AL145" s="267"/>
    </row>
    <row r="146" spans="1:38">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566"/>
      <c r="AD146" s="566"/>
      <c r="AE146" s="566"/>
      <c r="AF146" s="566"/>
      <c r="AG146" s="566"/>
      <c r="AH146" s="566"/>
      <c r="AI146" s="566"/>
      <c r="AJ146" s="566"/>
      <c r="AK146" s="267"/>
      <c r="AL146" s="267"/>
    </row>
    <row r="147" spans="1:38">
      <c r="A147" s="267"/>
      <c r="B147" s="566"/>
      <c r="C147" s="566"/>
      <c r="D147" s="566"/>
      <c r="E147" s="566"/>
      <c r="F147" s="566"/>
      <c r="G147" s="566"/>
      <c r="H147" s="566"/>
      <c r="I147" s="566"/>
      <c r="J147" s="566"/>
      <c r="K147" s="566"/>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267"/>
      <c r="AL147" s="267"/>
    </row>
    <row r="148" spans="1:38">
      <c r="A148" s="267"/>
      <c r="B148" s="566"/>
      <c r="C148" s="566"/>
      <c r="D148" s="566"/>
      <c r="E148" s="566"/>
      <c r="F148" s="566"/>
      <c r="G148" s="566"/>
      <c r="H148" s="566"/>
      <c r="I148" s="566"/>
      <c r="J148" s="566"/>
      <c r="K148" s="566"/>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566"/>
      <c r="AK148" s="267"/>
      <c r="AL148" s="267"/>
    </row>
    <row r="149" spans="1:38">
      <c r="A149" s="267"/>
      <c r="B149" s="566"/>
      <c r="C149" s="566"/>
      <c r="D149" s="566"/>
      <c r="E149" s="566"/>
      <c r="F149" s="566"/>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267"/>
      <c r="AL149" s="267"/>
    </row>
    <row r="150" spans="1:38">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row>
    <row r="151" spans="1:38">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row>
    <row r="152" spans="1:38">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row>
    <row r="153" spans="1:38">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row>
    <row r="154" spans="1:38">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row>
  </sheetData>
  <sheetProtection algorithmName="SHA-512" hashValue="Y1rr4Lu//VH0BUxKZDZNqs75qTch2Iwvb1PjcQJF0H4ErMlwQGegLoexZZsmczo77egclBQyPv+FAJREoYcEBQ==" saltValue="Fpxq7Gbyai644cZW4g9Tqw==" spinCount="100000" sheet="1" objects="1" scenarios="1"/>
  <customSheetViews>
    <customSheetView guid="{91EE9386-9500-473B-B86C-27DB8DF0BA46}" scale="90" showGridLines="0">
      <selection activeCell="E1" sqref="E1"/>
      <pageMargins left="0.25" right="0.25" top="0.75" bottom="0.75" header="0.3" footer="0.3"/>
      <pageSetup paperSize="9" scale="50" orientation="portrait" r:id="rId1"/>
    </customSheetView>
    <customSheetView guid="{B8019777-F14C-4393-8CE3-CE0081D0CD28}" scale="90" showGridLines="0">
      <selection activeCell="E1" sqref="E1"/>
      <pageMargins left="0.25" right="0.25" top="0.75" bottom="0.75" header="0.3" footer="0.3"/>
      <pageSetup paperSize="9" scale="50" orientation="portrait" r:id="rId2"/>
    </customSheetView>
  </customSheetViews>
  <mergeCells count="116">
    <mergeCell ref="D1:W1"/>
    <mergeCell ref="E2:I2"/>
    <mergeCell ref="J2:M2"/>
    <mergeCell ref="P2:T2"/>
    <mergeCell ref="U2:W2"/>
    <mergeCell ref="D3:G3"/>
    <mergeCell ref="O3:R3"/>
    <mergeCell ref="T3:V3"/>
    <mergeCell ref="G23:I23"/>
    <mergeCell ref="G16:I16"/>
    <mergeCell ref="G17:I17"/>
    <mergeCell ref="G18:I18"/>
    <mergeCell ref="G19:I19"/>
    <mergeCell ref="G20:I20"/>
    <mergeCell ref="W7:X7"/>
    <mergeCell ref="G14:I14"/>
    <mergeCell ref="G15:I15"/>
    <mergeCell ref="G21:I21"/>
    <mergeCell ref="G22:I22"/>
    <mergeCell ref="J4:O4"/>
    <mergeCell ref="A4:D4"/>
    <mergeCell ref="J5:J7"/>
    <mergeCell ref="A2:B2"/>
    <mergeCell ref="A5:B7"/>
    <mergeCell ref="J52:O52"/>
    <mergeCell ref="N5:N6"/>
    <mergeCell ref="O5:O6"/>
    <mergeCell ref="G6:I7"/>
    <mergeCell ref="C5:C7"/>
    <mergeCell ref="D5:D7"/>
    <mergeCell ref="E5:E7"/>
    <mergeCell ref="C30:D30"/>
    <mergeCell ref="G31:I31"/>
    <mergeCell ref="G42:I42"/>
    <mergeCell ref="G43:I43"/>
    <mergeCell ref="G44:I44"/>
    <mergeCell ref="G33:I33"/>
    <mergeCell ref="G34:I34"/>
    <mergeCell ref="F5:F7"/>
    <mergeCell ref="G11:I11"/>
    <mergeCell ref="G12:I12"/>
    <mergeCell ref="G26:I26"/>
    <mergeCell ref="G27:I27"/>
    <mergeCell ref="G24:I24"/>
    <mergeCell ref="G25:I25"/>
    <mergeCell ref="G71:I71"/>
    <mergeCell ref="G72:I72"/>
    <mergeCell ref="G73:I73"/>
    <mergeCell ref="G63:I63"/>
    <mergeCell ref="G64:I64"/>
    <mergeCell ref="G65:I65"/>
    <mergeCell ref="G66:I66"/>
    <mergeCell ref="G67:I67"/>
    <mergeCell ref="G68:I68"/>
    <mergeCell ref="G69:I69"/>
    <mergeCell ref="G70:I70"/>
    <mergeCell ref="G60:I60"/>
    <mergeCell ref="G46:I46"/>
    <mergeCell ref="G13:I13"/>
    <mergeCell ref="G10:I10"/>
    <mergeCell ref="G9:I9"/>
    <mergeCell ref="G8:I8"/>
    <mergeCell ref="G55:I55"/>
    <mergeCell ref="G54:I54"/>
    <mergeCell ref="B52:F52"/>
    <mergeCell ref="G53:I53"/>
    <mergeCell ref="G36:I36"/>
    <mergeCell ref="G32:I32"/>
    <mergeCell ref="G40:I40"/>
    <mergeCell ref="G56:I56"/>
    <mergeCell ref="G57:I57"/>
    <mergeCell ref="G28:I28"/>
    <mergeCell ref="G35:I35"/>
    <mergeCell ref="G45:I45"/>
    <mergeCell ref="G37:I37"/>
    <mergeCell ref="G38:I38"/>
    <mergeCell ref="G39:I39"/>
    <mergeCell ref="G58:I58"/>
    <mergeCell ref="G59:I59"/>
    <mergeCell ref="G41:I41"/>
    <mergeCell ref="G90:I90"/>
    <mergeCell ref="G91:I91"/>
    <mergeCell ref="G82:I82"/>
    <mergeCell ref="G83:I83"/>
    <mergeCell ref="G84:I84"/>
    <mergeCell ref="G85:I85"/>
    <mergeCell ref="G86:I86"/>
    <mergeCell ref="G77:I77"/>
    <mergeCell ref="G78:I78"/>
    <mergeCell ref="G79:I79"/>
    <mergeCell ref="G80:I80"/>
    <mergeCell ref="G81:I81"/>
    <mergeCell ref="Z1:AC3"/>
    <mergeCell ref="G74:I74"/>
    <mergeCell ref="G75:I75"/>
    <mergeCell ref="C95:U95"/>
    <mergeCell ref="B97:F97"/>
    <mergeCell ref="J97:O97"/>
    <mergeCell ref="B98:B100"/>
    <mergeCell ref="C98:C100"/>
    <mergeCell ref="D98:D100"/>
    <mergeCell ref="E98:E100"/>
    <mergeCell ref="F98:F100"/>
    <mergeCell ref="G98:G100"/>
    <mergeCell ref="N98:N99"/>
    <mergeCell ref="O98:O99"/>
    <mergeCell ref="H99:H100"/>
    <mergeCell ref="J99:J100"/>
    <mergeCell ref="W100:X100"/>
    <mergeCell ref="G61:I61"/>
    <mergeCell ref="G62:I62"/>
    <mergeCell ref="C75:D75"/>
    <mergeCell ref="G76:I76"/>
    <mergeCell ref="G87:I87"/>
    <mergeCell ref="G88:I88"/>
    <mergeCell ref="G89:I89"/>
  </mergeCells>
  <pageMargins left="0.25" right="0.25" top="0.75" bottom="0.75" header="0.3" footer="0.3"/>
  <pageSetup paperSize="9" scale="50"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V84"/>
  <sheetViews>
    <sheetView showGridLines="0" zoomScale="120" zoomScaleNormal="120" workbookViewId="0">
      <selection activeCell="B6" sqref="B6"/>
    </sheetView>
  </sheetViews>
  <sheetFormatPr baseColWidth="10" defaultColWidth="11" defaultRowHeight="15"/>
  <cols>
    <col min="1" max="1" width="12" style="3" customWidth="1"/>
    <col min="2" max="6" width="9" style="3" customWidth="1"/>
    <col min="7" max="7" width="9" style="190" customWidth="1"/>
    <col min="8" max="13" width="9" style="3" customWidth="1"/>
    <col min="14" max="14" width="8.44140625" style="3" customWidth="1"/>
    <col min="15" max="15" width="7.77734375" style="3" customWidth="1"/>
    <col min="16" max="16" width="8.21875" style="267" customWidth="1"/>
    <col min="17" max="17" width="3.109375" style="267" customWidth="1"/>
    <col min="18" max="18" width="9" style="36" customWidth="1"/>
    <col min="19" max="19" width="6.77734375" style="36" customWidth="1"/>
    <col min="20" max="42" width="6.77734375" style="3" customWidth="1"/>
    <col min="43" max="16384" width="11" style="3"/>
  </cols>
  <sheetData>
    <row r="1" spans="1:48" ht="17.55" customHeight="1">
      <c r="A1" s="1" t="s">
        <v>218</v>
      </c>
      <c r="B1" s="1"/>
      <c r="C1" s="1"/>
      <c r="D1" s="2"/>
      <c r="E1" s="2"/>
      <c r="F1" s="132" t="str">
        <f>'22 Sollumsatz pro MA '!P1</f>
        <v>Demo Version</v>
      </c>
      <c r="G1" s="3"/>
      <c r="H1" s="154"/>
      <c r="I1" s="330"/>
      <c r="J1" s="4273" t="s">
        <v>1307</v>
      </c>
      <c r="K1" s="4273"/>
      <c r="L1" s="4273"/>
      <c r="M1" s="4273"/>
      <c r="N1" s="4273"/>
    </row>
    <row r="2" spans="1:48" ht="34.049999999999997" customHeight="1">
      <c r="A2" s="4272" t="s">
        <v>1308</v>
      </c>
      <c r="B2" s="4272"/>
      <c r="C2" s="4272"/>
      <c r="D2" s="4272"/>
      <c r="E2" s="4272"/>
      <c r="F2" s="4272"/>
      <c r="G2" s="4272"/>
      <c r="H2" s="4272"/>
      <c r="I2" s="727"/>
      <c r="J2" s="4273"/>
      <c r="K2" s="4273"/>
      <c r="L2" s="4273"/>
      <c r="M2" s="4273"/>
      <c r="N2" s="4273"/>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row>
    <row r="3" spans="1:48" ht="12.75" customHeight="1">
      <c r="A3" s="328"/>
      <c r="B3" s="99"/>
      <c r="G3" s="3"/>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48" ht="17.25" customHeight="1">
      <c r="A4" s="328"/>
      <c r="B4" s="275" t="s">
        <v>61</v>
      </c>
      <c r="D4" s="4271" t="str">
        <f>'4 Eingabe Friseure'!AB6</f>
        <v>Montag</v>
      </c>
      <c r="E4" s="4271"/>
      <c r="F4" s="4270" t="str">
        <f>'4 Eingabe Friseure'!AC6</f>
        <v>Dienstag</v>
      </c>
      <c r="G4" s="4271"/>
      <c r="H4" s="4270" t="str">
        <f>'4 Eingabe Friseure'!AD6</f>
        <v>Mittwoch</v>
      </c>
      <c r="I4" s="4271"/>
      <c r="J4" s="4270" t="str">
        <f>'4 Eingabe Friseure'!AE6</f>
        <v>Donnerstag</v>
      </c>
      <c r="K4" s="4271"/>
      <c r="L4" s="4270" t="str">
        <f>'4 Eingabe Friseure'!AF6</f>
        <v>Freitag</v>
      </c>
      <c r="M4" s="4271"/>
      <c r="N4" s="4270" t="str">
        <f>'4 Eingabe Friseure'!AG6</f>
        <v>Samstag</v>
      </c>
      <c r="O4" s="4271"/>
      <c r="R4" s="1148"/>
      <c r="S4" s="1148"/>
      <c r="T4" s="1148"/>
      <c r="U4" s="1148"/>
      <c r="V4" s="1148"/>
      <c r="W4" s="1148"/>
      <c r="X4" s="1148"/>
      <c r="Y4" s="1148"/>
      <c r="Z4" s="1148"/>
      <c r="AA4" s="1148"/>
      <c r="AB4" s="1148"/>
      <c r="AC4" s="36"/>
      <c r="AD4" s="36"/>
      <c r="AE4" s="36"/>
      <c r="AF4" s="36"/>
      <c r="AG4" s="36"/>
      <c r="AH4" s="36"/>
      <c r="AI4" s="36"/>
      <c r="AJ4" s="36"/>
      <c r="AK4" s="36"/>
      <c r="AL4" s="36"/>
      <c r="AM4" s="36"/>
      <c r="AN4" s="36"/>
      <c r="AO4" s="36"/>
      <c r="AP4" s="36"/>
      <c r="AQ4" s="36"/>
      <c r="AR4" s="36"/>
      <c r="AS4" s="36"/>
      <c r="AT4" s="36"/>
      <c r="AU4" s="36"/>
      <c r="AV4" s="36"/>
    </row>
    <row r="5" spans="1:48" ht="17.25" customHeight="1" thickBot="1">
      <c r="A5" s="329"/>
      <c r="B5" s="319" t="s">
        <v>63</v>
      </c>
      <c r="C5" s="728" t="s">
        <v>521</v>
      </c>
      <c r="D5" s="324" t="s">
        <v>217</v>
      </c>
      <c r="E5" s="324" t="s">
        <v>61</v>
      </c>
      <c r="F5" s="242" t="s">
        <v>217</v>
      </c>
      <c r="G5" s="324" t="s">
        <v>61</v>
      </c>
      <c r="H5" s="242" t="s">
        <v>217</v>
      </c>
      <c r="I5" s="324" t="s">
        <v>61</v>
      </c>
      <c r="J5" s="242" t="s">
        <v>217</v>
      </c>
      <c r="K5" s="324" t="s">
        <v>61</v>
      </c>
      <c r="L5" s="242" t="s">
        <v>217</v>
      </c>
      <c r="M5" s="324" t="s">
        <v>61</v>
      </c>
      <c r="N5" s="242" t="s">
        <v>217</v>
      </c>
      <c r="O5" s="324" t="s">
        <v>61</v>
      </c>
      <c r="R5" s="1148"/>
      <c r="S5" s="1148"/>
      <c r="T5" s="1148"/>
      <c r="U5" s="1148"/>
      <c r="V5" s="1148"/>
      <c r="W5" s="1148"/>
      <c r="X5" s="1148"/>
      <c r="Y5" s="1148"/>
      <c r="Z5" s="1148"/>
      <c r="AA5" s="1148"/>
      <c r="AB5" s="1148"/>
      <c r="AC5" s="36"/>
      <c r="AD5" s="36"/>
      <c r="AE5" s="36"/>
      <c r="AF5" s="36"/>
      <c r="AG5" s="36"/>
      <c r="AH5" s="36"/>
      <c r="AI5" s="36"/>
      <c r="AJ5" s="36"/>
      <c r="AK5" s="36"/>
      <c r="AL5" s="36"/>
      <c r="AM5" s="36"/>
      <c r="AN5" s="36"/>
      <c r="AO5" s="36"/>
      <c r="AP5" s="36"/>
      <c r="AQ5" s="36"/>
      <c r="AR5" s="36"/>
      <c r="AS5" s="36"/>
      <c r="AT5" s="36"/>
      <c r="AU5" s="36"/>
      <c r="AV5" s="36"/>
    </row>
    <row r="6" spans="1:48" ht="17.25" customHeight="1">
      <c r="A6" s="2735" t="str">
        <f>IF('22 Sollumsatz pro MA '!A118="","",'22 Sollumsatz pro MA '!A118)</f>
        <v xml:space="preserve">Linda </v>
      </c>
      <c r="B6" s="332">
        <f>IF('2 Unternehmensdaten'!P$14="ja",'22 Sollumsatz pro MA '!S8,'23 LF individuell'!T8)</f>
        <v>54.849884526558888</v>
      </c>
      <c r="C6" s="2736"/>
      <c r="D6" s="2737">
        <f>IF($B6="","",IF(R6=0,"",R6))</f>
        <v>8</v>
      </c>
      <c r="E6" s="2738">
        <f>IF(D6="","",R6*$B6)</f>
        <v>438.79907621247111</v>
      </c>
      <c r="F6" s="2739" t="str">
        <f>IF($B6="","",IF(S6=0,"",S6))</f>
        <v/>
      </c>
      <c r="G6" s="2738" t="str">
        <f>IF(F6="","",F6*$B6)</f>
        <v/>
      </c>
      <c r="H6" s="2739">
        <f>IF($B6="","",IF(T6=0,"",T6))</f>
        <v>8</v>
      </c>
      <c r="I6" s="2738">
        <f>IF(H6="","",H6*$B6)</f>
        <v>438.79907621247111</v>
      </c>
      <c r="J6" s="2739">
        <f>IF($B6="","",IF(U6=0,"",U6))</f>
        <v>9</v>
      </c>
      <c r="K6" s="2738">
        <f>IF(J6="","",J6*$B6)</f>
        <v>493.64896073902997</v>
      </c>
      <c r="L6" s="2739">
        <f>IF($B6="","",IF(V6=0,"",V6))</f>
        <v>9</v>
      </c>
      <c r="M6" s="2738">
        <f>IF(L6="","",L6*$B6)</f>
        <v>493.64896073902997</v>
      </c>
      <c r="N6" s="2739">
        <f>IF($B6="","",IF(W6=0,"",W6))</f>
        <v>6</v>
      </c>
      <c r="O6" s="2738">
        <f>IF(N6="","",N6*$B6)</f>
        <v>329.09930715935332</v>
      </c>
      <c r="P6" s="1943">
        <f ca="1">IF('22 Sollumsatz pro MA '!S8="","",'22 Sollumsatz pro MA '!S8)</f>
        <v>54.849884526558888</v>
      </c>
      <c r="R6" s="1148">
        <f>IF(SUM('4 Eingabe Friseure'!AB7,'4 Eingabe Friseure'!AH7,'4 Eingabe Friseure'!AN7,'4 Eingabe Friseure'!AT7)&gt;0,AVERAGE('4 Eingabe Friseure'!AB7,'4 Eingabe Friseure'!AH7,'4 Eingabe Friseure'!AN7,'4 Eingabe Friseure'!AT7),"")</f>
        <v>8</v>
      </c>
      <c r="S6" s="1148" t="str">
        <f>IF(SUM('4 Eingabe Friseure'!AC7,'4 Eingabe Friseure'!AI7,'4 Eingabe Friseure'!AO7,'4 Eingabe Friseure'!AU7)&gt;0,AVERAGE('4 Eingabe Friseure'!AC7,'4 Eingabe Friseure'!AI7,'4 Eingabe Friseure'!AO7,'4 Eingabe Friseure'!AU7),"")</f>
        <v/>
      </c>
      <c r="T6" s="1148">
        <f>IF(SUM('4 Eingabe Friseure'!AD7,'4 Eingabe Friseure'!AJ7,'4 Eingabe Friseure'!AP7,'4 Eingabe Friseure'!AV7)&gt;0,AVERAGE('4 Eingabe Friseure'!AD7,'4 Eingabe Friseure'!AJ7,'4 Eingabe Friseure'!AP7,'4 Eingabe Friseure'!AV7),"")</f>
        <v>8</v>
      </c>
      <c r="U6" s="1148">
        <f>IF(SUM('4 Eingabe Friseure'!AE7,'4 Eingabe Friseure'!AK7,'4 Eingabe Friseure'!AQ7,'4 Eingabe Friseure'!AW7)&gt;0,AVERAGE('4 Eingabe Friseure'!AE7,'4 Eingabe Friseure'!AK7,'4 Eingabe Friseure'!AQ7,'4 Eingabe Friseure'!AW7),"")</f>
        <v>9</v>
      </c>
      <c r="V6" s="1148">
        <f>IF(SUM('4 Eingabe Friseure'!AF7,'4 Eingabe Friseure'!AL7,'4 Eingabe Friseure'!AR7,'4 Eingabe Friseure'!AX7)&gt;0,AVERAGE('4 Eingabe Friseure'!AF7,'4 Eingabe Friseure'!AL7,'4 Eingabe Friseure'!AR7,'4 Eingabe Friseure'!AX7),"")</f>
        <v>9</v>
      </c>
      <c r="W6" s="1148">
        <f>IF(SUM('4 Eingabe Friseure'!AG7,'4 Eingabe Friseure'!AM7,'4 Eingabe Friseure'!AS7,'4 Eingabe Friseure'!AY7)&gt;0,AVERAGE('4 Eingabe Friseure'!AG7,'4 Eingabe Friseure'!AM7,'4 Eingabe Friseure'!AS7,'4 Eingabe Friseure'!AY7),"")</f>
        <v>6</v>
      </c>
      <c r="X6" s="1148"/>
      <c r="Y6" s="1148"/>
      <c r="Z6" s="1148"/>
      <c r="AA6" s="1148"/>
      <c r="AB6" s="1148"/>
      <c r="AC6" s="1148"/>
      <c r="AD6" s="1148"/>
      <c r="AE6" s="1148"/>
      <c r="AF6" s="1148"/>
      <c r="AG6" s="1148"/>
      <c r="AH6" s="36"/>
      <c r="AI6" s="36"/>
      <c r="AJ6" s="36"/>
      <c r="AK6" s="36"/>
      <c r="AL6" s="36"/>
      <c r="AM6" s="36"/>
      <c r="AN6" s="36"/>
      <c r="AO6" s="36"/>
      <c r="AP6" s="36"/>
      <c r="AQ6" s="36"/>
      <c r="AR6" s="36"/>
      <c r="AS6" s="36"/>
      <c r="AT6" s="36"/>
      <c r="AU6" s="36"/>
      <c r="AV6" s="36"/>
    </row>
    <row r="7" spans="1:48" ht="17.25" customHeight="1">
      <c r="A7" s="2735" t="str">
        <f>IF('22 Sollumsatz pro MA '!A119="","",'22 Sollumsatz pro MA '!A119)</f>
        <v/>
      </c>
      <c r="B7" s="332" t="str">
        <f>IF('2 Unternehmensdaten'!P$14="ja",'22 Sollumsatz pro MA '!S9,'23 LF individuell'!T9)</f>
        <v/>
      </c>
      <c r="C7" s="2736"/>
      <c r="D7" s="2737" t="str">
        <f>IF($B7="","",IF(R7=0,"",R7))</f>
        <v/>
      </c>
      <c r="E7" s="2738" t="str">
        <f>IF(D7="","",R7*$B7)</f>
        <v/>
      </c>
      <c r="F7" s="2739" t="str">
        <f>IF($B7="","",IF(S7=0,"",S7))</f>
        <v/>
      </c>
      <c r="G7" s="2738" t="str">
        <f>IF(F7="","",F7*$B7)</f>
        <v/>
      </c>
      <c r="H7" s="2739" t="str">
        <f>IF($B7="","",IF(T7=0,"",T7))</f>
        <v/>
      </c>
      <c r="I7" s="2738" t="str">
        <f>IF(H7="","",H7*$B7)</f>
        <v/>
      </c>
      <c r="J7" s="2739" t="str">
        <f>IF($B7="","",IF(U7=0,"",U7))</f>
        <v/>
      </c>
      <c r="K7" s="2738" t="str">
        <f>IF(J7="","",J7*$B7)</f>
        <v/>
      </c>
      <c r="L7" s="2739" t="str">
        <f>IF($B7="","",IF(V7=0,"",V7))</f>
        <v/>
      </c>
      <c r="M7" s="2738" t="str">
        <f>IF(L7="","",L7*$B7)</f>
        <v/>
      </c>
      <c r="N7" s="2739" t="str">
        <f>IF($B7="","",IF(W7=0,"",W7))</f>
        <v/>
      </c>
      <c r="O7" s="2738" t="str">
        <f>IF(N7="","",N7*$B7)</f>
        <v/>
      </c>
      <c r="P7" s="1943" t="str">
        <f>IF('22 Sollumsatz pro MA '!S9="","",'22 Sollumsatz pro MA '!S9)</f>
        <v/>
      </c>
      <c r="R7" s="1148" t="str">
        <f>IF(SUM('4 Eingabe Friseure'!AB8,'4 Eingabe Friseure'!AH8,'4 Eingabe Friseure'!AN8,'4 Eingabe Friseure'!AT8)&gt;0,AVERAGE('4 Eingabe Friseure'!AB8,'4 Eingabe Friseure'!AH8,'4 Eingabe Friseure'!AN8,'4 Eingabe Friseure'!AT8),"")</f>
        <v/>
      </c>
      <c r="S7" s="1148" t="str">
        <f>IF(SUM('4 Eingabe Friseure'!AC8,'4 Eingabe Friseure'!AI8,'4 Eingabe Friseure'!AO8,'4 Eingabe Friseure'!AU8)&gt;0,AVERAGE('4 Eingabe Friseure'!AC8,'4 Eingabe Friseure'!AI8,'4 Eingabe Friseure'!AO8,'4 Eingabe Friseure'!AU8),"")</f>
        <v/>
      </c>
      <c r="T7" s="1148" t="str">
        <f>IF(SUM('4 Eingabe Friseure'!AD8,'4 Eingabe Friseure'!AJ8,'4 Eingabe Friseure'!AP8,'4 Eingabe Friseure'!AV8)&gt;0,AVERAGE('4 Eingabe Friseure'!AD8,'4 Eingabe Friseure'!AJ8,'4 Eingabe Friseure'!AP8,'4 Eingabe Friseure'!AV8),"")</f>
        <v/>
      </c>
      <c r="U7" s="1148" t="str">
        <f>IF(SUM('4 Eingabe Friseure'!AE8,'4 Eingabe Friseure'!AK8,'4 Eingabe Friseure'!AQ8,'4 Eingabe Friseure'!AW8)&gt;0,AVERAGE('4 Eingabe Friseure'!AE8,'4 Eingabe Friseure'!AK8,'4 Eingabe Friseure'!AQ8,'4 Eingabe Friseure'!AW8),"")</f>
        <v/>
      </c>
      <c r="V7" s="1148" t="str">
        <f>IF(SUM('4 Eingabe Friseure'!AF8,'4 Eingabe Friseure'!AL8,'4 Eingabe Friseure'!AR8,'4 Eingabe Friseure'!AX8)&gt;0,AVERAGE('4 Eingabe Friseure'!AF8,'4 Eingabe Friseure'!AL8,'4 Eingabe Friseure'!AR8,'4 Eingabe Friseure'!AX8),"")</f>
        <v/>
      </c>
      <c r="W7" s="1148" t="str">
        <f>IF(SUM('4 Eingabe Friseure'!AG8,'4 Eingabe Friseure'!AM8,'4 Eingabe Friseure'!AS8,'4 Eingabe Friseure'!AY8)&gt;0,AVERAGE('4 Eingabe Friseure'!AG8,'4 Eingabe Friseure'!AM8,'4 Eingabe Friseure'!AS8,'4 Eingabe Friseure'!AY8),"")</f>
        <v/>
      </c>
      <c r="X7" s="1148"/>
      <c r="Y7" s="1148"/>
      <c r="Z7" s="1148"/>
      <c r="AA7" s="1148"/>
      <c r="AB7" s="1148"/>
      <c r="AC7" s="1148"/>
      <c r="AD7" s="1148"/>
      <c r="AE7" s="1148"/>
      <c r="AF7" s="1148"/>
      <c r="AG7" s="1148"/>
      <c r="AH7" s="36"/>
      <c r="AI7" s="36"/>
      <c r="AJ7" s="36"/>
      <c r="AK7" s="36"/>
      <c r="AL7" s="36"/>
      <c r="AM7" s="36"/>
      <c r="AN7" s="36"/>
      <c r="AO7" s="36"/>
      <c r="AP7" s="36"/>
      <c r="AQ7" s="36"/>
      <c r="AR7" s="36"/>
      <c r="AS7" s="36"/>
      <c r="AT7" s="36"/>
      <c r="AU7" s="36"/>
      <c r="AV7" s="36"/>
    </row>
    <row r="8" spans="1:48" ht="17.25" customHeight="1">
      <c r="A8" s="2735" t="str">
        <f>IF('22 Sollumsatz pro MA '!A120="","",'22 Sollumsatz pro MA '!A120)</f>
        <v/>
      </c>
      <c r="B8" s="332" t="str">
        <f>IF('2 Unternehmensdaten'!P$14="ja",'22 Sollumsatz pro MA '!S10,'23 LF individuell'!T10)</f>
        <v/>
      </c>
      <c r="C8" s="2736"/>
      <c r="D8" s="2737" t="str">
        <f>IF($B8="","",IF(R8=0,"",R8))</f>
        <v/>
      </c>
      <c r="E8" s="2738" t="str">
        <f>IF(D8="","",R8*$B8)</f>
        <v/>
      </c>
      <c r="F8" s="2739" t="str">
        <f>IF($B8="","",IF(S8=0,"",S8))</f>
        <v/>
      </c>
      <c r="G8" s="2738" t="str">
        <f>IF(F8="","",F8*$B8)</f>
        <v/>
      </c>
      <c r="H8" s="2739" t="str">
        <f>IF($B8="","",IF(T8=0,"",T8))</f>
        <v/>
      </c>
      <c r="I8" s="2738" t="str">
        <f>IF(H8="","",H8*$B8)</f>
        <v/>
      </c>
      <c r="J8" s="2739" t="str">
        <f>IF($B8="","",IF(U8=0,"",U8))</f>
        <v/>
      </c>
      <c r="K8" s="2738" t="str">
        <f>IF(J8="","",J8*$B8)</f>
        <v/>
      </c>
      <c r="L8" s="2739" t="str">
        <f>IF($B8="","",IF(V8=0,"",V8))</f>
        <v/>
      </c>
      <c r="M8" s="2738" t="str">
        <f>IF(L8="","",L8*$B8)</f>
        <v/>
      </c>
      <c r="N8" s="2739" t="str">
        <f>IF($B8="","",IF(W8=0,"",W8))</f>
        <v/>
      </c>
      <c r="O8" s="2738" t="str">
        <f>IF(N8="","",N8*$B8)</f>
        <v/>
      </c>
      <c r="P8" s="1943" t="str">
        <f>IF('22 Sollumsatz pro MA '!S10="","",'22 Sollumsatz pro MA '!S10)</f>
        <v/>
      </c>
      <c r="R8" s="1148" t="str">
        <f>IF(SUM('4 Eingabe Friseure'!AB9,'4 Eingabe Friseure'!AH9,'4 Eingabe Friseure'!AN9,'4 Eingabe Friseure'!AT9)&gt;0,AVERAGE('4 Eingabe Friseure'!AB9,'4 Eingabe Friseure'!AH9,'4 Eingabe Friseure'!AN9,'4 Eingabe Friseure'!AT9),"")</f>
        <v/>
      </c>
      <c r="S8" s="1148" t="str">
        <f>IF(SUM('4 Eingabe Friseure'!AC9,'4 Eingabe Friseure'!AI9,'4 Eingabe Friseure'!AO9,'4 Eingabe Friseure'!AU9)&gt;0,AVERAGE('4 Eingabe Friseure'!AC9,'4 Eingabe Friseure'!AI9,'4 Eingabe Friseure'!AO9,'4 Eingabe Friseure'!AU9),"")</f>
        <v/>
      </c>
      <c r="T8" s="1148" t="str">
        <f>IF(SUM('4 Eingabe Friseure'!AD9,'4 Eingabe Friseure'!AJ9,'4 Eingabe Friseure'!AP9,'4 Eingabe Friseure'!AV9)&gt;0,AVERAGE('4 Eingabe Friseure'!AD9,'4 Eingabe Friseure'!AJ9,'4 Eingabe Friseure'!AP9,'4 Eingabe Friseure'!AV9),"")</f>
        <v/>
      </c>
      <c r="U8" s="1148" t="str">
        <f>IF(SUM('4 Eingabe Friseure'!AE9,'4 Eingabe Friseure'!AK9,'4 Eingabe Friseure'!AQ9,'4 Eingabe Friseure'!AW9)&gt;0,AVERAGE('4 Eingabe Friseure'!AE9,'4 Eingabe Friseure'!AK9,'4 Eingabe Friseure'!AQ9,'4 Eingabe Friseure'!AW9),"")</f>
        <v/>
      </c>
      <c r="V8" s="1148" t="str">
        <f>IF(SUM('4 Eingabe Friseure'!AF9,'4 Eingabe Friseure'!AL9,'4 Eingabe Friseure'!AR9,'4 Eingabe Friseure'!AX9)&gt;0,AVERAGE('4 Eingabe Friseure'!AF9,'4 Eingabe Friseure'!AL9,'4 Eingabe Friseure'!AR9,'4 Eingabe Friseure'!AX9),"")</f>
        <v/>
      </c>
      <c r="W8" s="1148" t="str">
        <f>IF(SUM('4 Eingabe Friseure'!AG9,'4 Eingabe Friseure'!AM9,'4 Eingabe Friseure'!AS9,'4 Eingabe Friseure'!AY9)&gt;0,AVERAGE('4 Eingabe Friseure'!AG9,'4 Eingabe Friseure'!AM9,'4 Eingabe Friseure'!AS9,'4 Eingabe Friseure'!AY9),"")</f>
        <v/>
      </c>
      <c r="X8" s="1148"/>
      <c r="Y8" s="1148"/>
      <c r="Z8" s="1148"/>
      <c r="AA8" s="1148"/>
      <c r="AB8" s="1148"/>
      <c r="AC8" s="1148"/>
      <c r="AD8" s="1148"/>
      <c r="AE8" s="1148"/>
      <c r="AF8" s="1148"/>
      <c r="AG8" s="1148"/>
      <c r="AH8" s="36"/>
      <c r="AI8" s="36"/>
      <c r="AJ8" s="36"/>
      <c r="AK8" s="36"/>
      <c r="AL8" s="36"/>
      <c r="AM8" s="36"/>
      <c r="AN8" s="36"/>
      <c r="AO8" s="36"/>
      <c r="AP8" s="36"/>
      <c r="AQ8" s="36"/>
      <c r="AR8" s="36"/>
      <c r="AS8" s="36"/>
      <c r="AT8" s="36"/>
      <c r="AU8" s="36"/>
      <c r="AV8" s="36"/>
    </row>
    <row r="9" spans="1:48" ht="18" customHeight="1">
      <c r="A9" s="331" t="str">
        <f ca="1">IF('22 Sollumsatz pro MA '!A102="","",'22 Sollumsatz pro MA '!A102)</f>
        <v>Maria</v>
      </c>
      <c r="B9" s="332">
        <f>'23 LF individuell'!T11</f>
        <v>68.09717309322653</v>
      </c>
      <c r="C9" s="366">
        <f>'23 LF individuell'!D11</f>
        <v>4.63</v>
      </c>
      <c r="D9" s="325">
        <f>IF($B9="","",IF(R9=0,"",R9))</f>
        <v>8</v>
      </c>
      <c r="E9" s="326">
        <f>IF(D9="","",R9*$B9)</f>
        <v>544.77738474581224</v>
      </c>
      <c r="F9" s="327">
        <f>IF($B9="","",IF(S9=0,"",S9))</f>
        <v>8</v>
      </c>
      <c r="G9" s="326">
        <f>IF(F9="","",F9*$B9)</f>
        <v>544.77738474581224</v>
      </c>
      <c r="H9" s="327" t="str">
        <f>IF($B9="","",IF(T9=0,"",T9))</f>
        <v/>
      </c>
      <c r="I9" s="326" t="str">
        <f>IF(H9="","",H9*$B9)</f>
        <v/>
      </c>
      <c r="J9" s="327">
        <f>IF($B9="","",IF(U9=0,"",U9))</f>
        <v>8</v>
      </c>
      <c r="K9" s="326">
        <f>IF(J9="","",J9*$B9)</f>
        <v>544.77738474581224</v>
      </c>
      <c r="L9" s="327">
        <f>IF($B9="","",IF(V9=0,"",V9))</f>
        <v>8</v>
      </c>
      <c r="M9" s="326">
        <f>IF(L9="","",L9*$B9)</f>
        <v>544.77738474581224</v>
      </c>
      <c r="N9" s="327">
        <f>IF($B9="","",IF(W9=0,"",W9))</f>
        <v>7.5</v>
      </c>
      <c r="O9" s="326">
        <f>IF(N9="","",N9*$B9)</f>
        <v>510.72879819919899</v>
      </c>
      <c r="P9" s="1943">
        <f>IF('23 LF individuell'!T11="","",'23 LF individuell'!T11)</f>
        <v>68.09717309322653</v>
      </c>
      <c r="Q9" s="1943">
        <f>IF('23 LF individuell'!T58="","",'23 LF individuell'!T58)</f>
        <v>13.240000000000002</v>
      </c>
      <c r="R9" s="1148">
        <f>IF(SUM('4 Eingabe Friseure'!AB10,'4 Eingabe Friseure'!AH10,'4 Eingabe Friseure'!AN10,'4 Eingabe Friseure'!AT10)&gt;0,AVERAGE('4 Eingabe Friseure'!AB10,'4 Eingabe Friseure'!AH10,'4 Eingabe Friseure'!AN10,'4 Eingabe Friseure'!AT10),"")</f>
        <v>8</v>
      </c>
      <c r="S9" s="1148">
        <f>IF(SUM('4 Eingabe Friseure'!AC10,'4 Eingabe Friseure'!AI10,'4 Eingabe Friseure'!AO10,'4 Eingabe Friseure'!AU10)&gt;0,AVERAGE('4 Eingabe Friseure'!AC10,'4 Eingabe Friseure'!AI10,'4 Eingabe Friseure'!AO10,'4 Eingabe Friseure'!AU10),"")</f>
        <v>8</v>
      </c>
      <c r="T9" s="1148" t="str">
        <f>IF(SUM('4 Eingabe Friseure'!AD10,'4 Eingabe Friseure'!AJ10,'4 Eingabe Friseure'!AP10,'4 Eingabe Friseure'!AV10)&gt;0,AVERAGE('4 Eingabe Friseure'!AD10,'4 Eingabe Friseure'!AJ10,'4 Eingabe Friseure'!AP10,'4 Eingabe Friseure'!AV10),"")</f>
        <v/>
      </c>
      <c r="U9" s="1148">
        <f>IF(SUM('4 Eingabe Friseure'!AE10,'4 Eingabe Friseure'!AK10,'4 Eingabe Friseure'!AQ10,'4 Eingabe Friseure'!AW10)&gt;0,AVERAGE('4 Eingabe Friseure'!AE10,'4 Eingabe Friseure'!AK10,'4 Eingabe Friseure'!AQ10,'4 Eingabe Friseure'!AW10),"")</f>
        <v>8</v>
      </c>
      <c r="V9" s="1148">
        <f>IF(SUM('4 Eingabe Friseure'!AF10,'4 Eingabe Friseure'!AL10,'4 Eingabe Friseure'!AR10,'4 Eingabe Friseure'!AX10)&gt;0,AVERAGE('4 Eingabe Friseure'!AF10,'4 Eingabe Friseure'!AL10,'4 Eingabe Friseure'!AR10,'4 Eingabe Friseure'!AX10),"")</f>
        <v>8</v>
      </c>
      <c r="W9" s="1148">
        <f>IF(SUM('4 Eingabe Friseure'!AG10,'4 Eingabe Friseure'!AM10,'4 Eingabe Friseure'!AS10,'4 Eingabe Friseure'!AY10)&gt;0,AVERAGE('4 Eingabe Friseure'!AG10,'4 Eingabe Friseure'!AM10,'4 Eingabe Friseure'!AS10,'4 Eingabe Friseure'!AY10),"")</f>
        <v>7.5</v>
      </c>
      <c r="X9" s="1148"/>
      <c r="Y9" s="1148"/>
      <c r="Z9" s="1148"/>
      <c r="AA9" s="1148"/>
      <c r="AB9" s="1148"/>
      <c r="AC9" s="1148"/>
      <c r="AD9" s="1148"/>
      <c r="AE9" s="1148"/>
      <c r="AF9" s="1148"/>
      <c r="AG9" s="1148"/>
      <c r="AH9" s="36"/>
      <c r="AI9" s="36"/>
      <c r="AJ9" s="36"/>
      <c r="AK9" s="36"/>
      <c r="AL9" s="36"/>
      <c r="AM9" s="36"/>
      <c r="AN9" s="36"/>
      <c r="AO9" s="36"/>
      <c r="AP9" s="36"/>
      <c r="AQ9" s="36"/>
      <c r="AR9" s="36"/>
      <c r="AS9" s="36"/>
      <c r="AT9" s="36"/>
      <c r="AU9" s="36"/>
      <c r="AV9" s="36"/>
    </row>
    <row r="10" spans="1:48" ht="18" customHeight="1">
      <c r="A10" s="331" t="str">
        <f ca="1">IF('22 Sollumsatz pro MA '!A103="","",'22 Sollumsatz pro MA '!A103)</f>
        <v>Jutta</v>
      </c>
      <c r="B10" s="332">
        <f>'23 LF individuell'!T12</f>
        <v>63.533487297921482</v>
      </c>
      <c r="C10" s="366">
        <f>'23 LF individuell'!D12</f>
        <v>4.63</v>
      </c>
      <c r="D10" s="325">
        <f t="shared" ref="D10:D24" si="0">IF($B10="","",IF(R10=0,"",R10))</f>
        <v>8</v>
      </c>
      <c r="E10" s="326">
        <f t="shared" ref="E10:E24" si="1">IF(D10="","",R10*$B10)</f>
        <v>508.26789838337186</v>
      </c>
      <c r="F10" s="327">
        <f t="shared" ref="F10:F24" si="2">IF($B10="","",IF(S10=0,"",S10))</f>
        <v>8</v>
      </c>
      <c r="G10" s="326">
        <f t="shared" ref="G10:G24" si="3">IF(F10="","",F10*$B10)</f>
        <v>508.26789838337186</v>
      </c>
      <c r="H10" s="327">
        <f t="shared" ref="H10:H24" si="4">IF($B10="","",IF(T10=0,"",T10))</f>
        <v>8</v>
      </c>
      <c r="I10" s="326">
        <f t="shared" ref="I10:I24" si="5">IF(H10="","",H10*$B10)</f>
        <v>508.26789838337186</v>
      </c>
      <c r="J10" s="327">
        <f t="shared" ref="J10:J24" si="6">IF($B10="","",IF(U10=0,"",U10))</f>
        <v>8</v>
      </c>
      <c r="K10" s="326">
        <f t="shared" ref="K10:K24" si="7">IF(J10="","",J10*$B10)</f>
        <v>508.26789838337186</v>
      </c>
      <c r="L10" s="327" t="str">
        <f t="shared" ref="L10:L24" si="8">IF($B10="","",IF(V10=0,"",V10))</f>
        <v/>
      </c>
      <c r="M10" s="326" t="str">
        <f t="shared" ref="M10:M24" si="9">IF(L10="","",L10*$B10)</f>
        <v/>
      </c>
      <c r="N10" s="327">
        <f t="shared" ref="N10:N24" si="10">IF($B10="","",IF(W10=0,"",W10))</f>
        <v>6</v>
      </c>
      <c r="O10" s="326">
        <f t="shared" ref="O10:O24" si="11">IF(N10="","",N10*$B10)</f>
        <v>381.20092378752889</v>
      </c>
      <c r="P10" s="1943">
        <f>IF('23 LF individuell'!T12="","",'23 LF individuell'!T12)</f>
        <v>63.533487297921482</v>
      </c>
      <c r="Q10" s="1943">
        <f>IF('23 LF individuell'!T59="","",'23 LF individuell'!T59)</f>
        <v>13.75183707747218</v>
      </c>
      <c r="R10" s="1148">
        <f>IF(SUM('4 Eingabe Friseure'!AB11,'4 Eingabe Friseure'!AH11,'4 Eingabe Friseure'!AN11,'4 Eingabe Friseure'!AT11)&gt;0,AVERAGE('4 Eingabe Friseure'!AB11,'4 Eingabe Friseure'!AH11,'4 Eingabe Friseure'!AN11,'4 Eingabe Friseure'!AT11),"")</f>
        <v>8</v>
      </c>
      <c r="S10" s="1148">
        <f>IF(SUM('4 Eingabe Friseure'!AC11,'4 Eingabe Friseure'!AI11,'4 Eingabe Friseure'!AO11,'4 Eingabe Friseure'!AU11)&gt;0,AVERAGE('4 Eingabe Friseure'!AC11,'4 Eingabe Friseure'!AI11,'4 Eingabe Friseure'!AO11,'4 Eingabe Friseure'!AU11),"")</f>
        <v>8</v>
      </c>
      <c r="T10" s="1148">
        <f>IF(SUM('4 Eingabe Friseure'!AD11,'4 Eingabe Friseure'!AJ11,'4 Eingabe Friseure'!AP11,'4 Eingabe Friseure'!AV11)&gt;0,AVERAGE('4 Eingabe Friseure'!AD11,'4 Eingabe Friseure'!AJ11,'4 Eingabe Friseure'!AP11,'4 Eingabe Friseure'!AV11),"")</f>
        <v>8</v>
      </c>
      <c r="U10" s="1148">
        <f>IF(SUM('4 Eingabe Friseure'!AE11,'4 Eingabe Friseure'!AK11,'4 Eingabe Friseure'!AQ11,'4 Eingabe Friseure'!AW11)&gt;0,AVERAGE('4 Eingabe Friseure'!AE11,'4 Eingabe Friseure'!AK11,'4 Eingabe Friseure'!AQ11,'4 Eingabe Friseure'!AW11),"")</f>
        <v>8</v>
      </c>
      <c r="V10" s="1148" t="str">
        <f>IF(SUM('4 Eingabe Friseure'!AF11,'4 Eingabe Friseure'!AL11,'4 Eingabe Friseure'!AR11,'4 Eingabe Friseure'!AX11)&gt;0,AVERAGE('4 Eingabe Friseure'!AF11,'4 Eingabe Friseure'!AL11,'4 Eingabe Friseure'!AR11,'4 Eingabe Friseure'!AX11),"")</f>
        <v/>
      </c>
      <c r="W10" s="1148">
        <f>IF(SUM('4 Eingabe Friseure'!AG11,'4 Eingabe Friseure'!AM11,'4 Eingabe Friseure'!AS11,'4 Eingabe Friseure'!AY11)&gt;0,AVERAGE('4 Eingabe Friseure'!AG11,'4 Eingabe Friseure'!AM11,'4 Eingabe Friseure'!AS11,'4 Eingabe Friseure'!AY11),"")</f>
        <v>6</v>
      </c>
      <c r="X10" s="1148"/>
      <c r="Y10" s="1148"/>
      <c r="Z10" s="1148"/>
      <c r="AA10" s="1148"/>
      <c r="AB10" s="1148"/>
      <c r="AC10" s="1148"/>
      <c r="AD10" s="1148"/>
      <c r="AE10" s="1148"/>
      <c r="AF10" s="1148"/>
      <c r="AG10" s="1148"/>
      <c r="AH10" s="36"/>
      <c r="AI10" s="36"/>
      <c r="AJ10" s="36"/>
      <c r="AK10" s="36"/>
      <c r="AL10" s="36"/>
      <c r="AM10" s="36"/>
      <c r="AN10" s="36"/>
      <c r="AO10" s="36"/>
      <c r="AP10" s="36"/>
      <c r="AQ10" s="36"/>
      <c r="AR10" s="36"/>
      <c r="AS10" s="36"/>
      <c r="AT10" s="36"/>
      <c r="AU10" s="36"/>
      <c r="AV10" s="36"/>
    </row>
    <row r="11" spans="1:48" ht="18" customHeight="1">
      <c r="A11" s="331" t="str">
        <f ca="1">IF('22 Sollumsatz pro MA '!A104="","",'22 Sollumsatz pro MA '!A104)</f>
        <v>Karina</v>
      </c>
      <c r="B11" s="332">
        <f>'23 LF individuell'!T13</f>
        <v>61.29863208385148</v>
      </c>
      <c r="C11" s="366">
        <f>'23 LF individuell'!D13</f>
        <v>4.63</v>
      </c>
      <c r="D11" s="325">
        <f t="shared" si="0"/>
        <v>4</v>
      </c>
      <c r="E11" s="326">
        <f t="shared" si="1"/>
        <v>245.19452833540592</v>
      </c>
      <c r="F11" s="327" t="str">
        <f t="shared" si="2"/>
        <v/>
      </c>
      <c r="G11" s="326" t="str">
        <f t="shared" si="3"/>
        <v/>
      </c>
      <c r="H11" s="327">
        <f t="shared" si="4"/>
        <v>8</v>
      </c>
      <c r="I11" s="326">
        <f t="shared" si="5"/>
        <v>490.38905667081184</v>
      </c>
      <c r="J11" s="327" t="str">
        <f t="shared" si="6"/>
        <v/>
      </c>
      <c r="K11" s="326" t="str">
        <f t="shared" si="7"/>
        <v/>
      </c>
      <c r="L11" s="327">
        <f t="shared" si="8"/>
        <v>8</v>
      </c>
      <c r="M11" s="326">
        <f t="shared" si="9"/>
        <v>490.38905667081184</v>
      </c>
      <c r="N11" s="327">
        <f t="shared" si="10"/>
        <v>8</v>
      </c>
      <c r="O11" s="326">
        <f t="shared" si="11"/>
        <v>490.38905667081184</v>
      </c>
      <c r="P11" s="1943">
        <f>IF('23 LF individuell'!T13="","",'23 LF individuell'!T13)</f>
        <v>61.29863208385148</v>
      </c>
      <c r="Q11" s="1943">
        <f>IF('23 LF individuell'!T60="","",'23 LF individuell'!T60)</f>
        <v>15.011547344110854</v>
      </c>
      <c r="R11" s="1148">
        <f>IF(SUM('4 Eingabe Friseure'!AB12,'4 Eingabe Friseure'!AH12,'4 Eingabe Friseure'!AN12,'4 Eingabe Friseure'!AT12)&gt;0,AVERAGE('4 Eingabe Friseure'!AB12,'4 Eingabe Friseure'!AH12,'4 Eingabe Friseure'!AN12,'4 Eingabe Friseure'!AT12),"")</f>
        <v>4</v>
      </c>
      <c r="S11" s="1148" t="str">
        <f>IF(SUM('4 Eingabe Friseure'!AC12,'4 Eingabe Friseure'!AI12,'4 Eingabe Friseure'!AO12,'4 Eingabe Friseure'!AU12)&gt;0,AVERAGE('4 Eingabe Friseure'!AC12,'4 Eingabe Friseure'!AI12,'4 Eingabe Friseure'!AO12,'4 Eingabe Friseure'!AU12),"")</f>
        <v/>
      </c>
      <c r="T11" s="1148">
        <f>IF(SUM('4 Eingabe Friseure'!AD12,'4 Eingabe Friseure'!AJ12,'4 Eingabe Friseure'!AP12,'4 Eingabe Friseure'!AV12)&gt;0,AVERAGE('4 Eingabe Friseure'!AD12,'4 Eingabe Friseure'!AJ12,'4 Eingabe Friseure'!AP12,'4 Eingabe Friseure'!AV12),"")</f>
        <v>8</v>
      </c>
      <c r="U11" s="1148" t="str">
        <f>IF(SUM('4 Eingabe Friseure'!AE12,'4 Eingabe Friseure'!AK12,'4 Eingabe Friseure'!AQ12,'4 Eingabe Friseure'!AW12)&gt;0,AVERAGE('4 Eingabe Friseure'!AE12,'4 Eingabe Friseure'!AK12,'4 Eingabe Friseure'!AQ12,'4 Eingabe Friseure'!AW12),"")</f>
        <v/>
      </c>
      <c r="V11" s="1148">
        <f>IF(SUM('4 Eingabe Friseure'!AF12,'4 Eingabe Friseure'!AL12,'4 Eingabe Friseure'!AR12,'4 Eingabe Friseure'!AX12)&gt;0,AVERAGE('4 Eingabe Friseure'!AF12,'4 Eingabe Friseure'!AL12,'4 Eingabe Friseure'!AR12,'4 Eingabe Friseure'!AX12),"")</f>
        <v>8</v>
      </c>
      <c r="W11" s="1148">
        <f>IF(SUM('4 Eingabe Friseure'!AG12,'4 Eingabe Friseure'!AM12,'4 Eingabe Friseure'!AS12,'4 Eingabe Friseure'!AY12)&gt;0,AVERAGE('4 Eingabe Friseure'!AG12,'4 Eingabe Friseure'!AM12,'4 Eingabe Friseure'!AS12,'4 Eingabe Friseure'!AY12),"")</f>
        <v>8</v>
      </c>
      <c r="X11" s="1148"/>
      <c r="Y11" s="1148"/>
      <c r="Z11" s="1148"/>
      <c r="AA11" s="1148"/>
      <c r="AB11" s="1148"/>
      <c r="AC11" s="1148"/>
      <c r="AD11" s="1148"/>
      <c r="AE11" s="1148"/>
      <c r="AF11" s="1148"/>
      <c r="AG11" s="1148"/>
      <c r="AH11" s="36"/>
      <c r="AI11" s="36"/>
      <c r="AJ11" s="36"/>
      <c r="AK11" s="36"/>
      <c r="AL11" s="36"/>
      <c r="AM11" s="36"/>
      <c r="AN11" s="36"/>
      <c r="AO11" s="36"/>
      <c r="AP11" s="36"/>
      <c r="AQ11" s="36"/>
      <c r="AR11" s="36"/>
      <c r="AS11" s="36"/>
      <c r="AT11" s="36"/>
      <c r="AU11" s="36"/>
      <c r="AV11" s="36"/>
    </row>
    <row r="12" spans="1:48" ht="18" customHeight="1">
      <c r="A12" s="331" t="str">
        <f ca="1">IF('22 Sollumsatz pro MA '!A105="","",'22 Sollumsatz pro MA '!A105)</f>
        <v>Cordula</v>
      </c>
      <c r="B12" s="332">
        <f>'23 LF individuell'!T14</f>
        <v>63.667856393029609</v>
      </c>
      <c r="C12" s="366">
        <f>'23 LF individuell'!D14</f>
        <v>4.63</v>
      </c>
      <c r="D12" s="325">
        <f t="shared" si="0"/>
        <v>8</v>
      </c>
      <c r="E12" s="326">
        <f t="shared" si="1"/>
        <v>509.34285114423687</v>
      </c>
      <c r="F12" s="327">
        <f t="shared" si="2"/>
        <v>8</v>
      </c>
      <c r="G12" s="326">
        <f t="shared" si="3"/>
        <v>509.34285114423687</v>
      </c>
      <c r="H12" s="327" t="str">
        <f t="shared" si="4"/>
        <v/>
      </c>
      <c r="I12" s="326" t="str">
        <f t="shared" si="5"/>
        <v/>
      </c>
      <c r="J12" s="327">
        <f t="shared" si="6"/>
        <v>6</v>
      </c>
      <c r="K12" s="326">
        <f t="shared" si="7"/>
        <v>382.00713835817766</v>
      </c>
      <c r="L12" s="327">
        <f t="shared" si="8"/>
        <v>8</v>
      </c>
      <c r="M12" s="326">
        <f t="shared" si="9"/>
        <v>509.34285114423687</v>
      </c>
      <c r="N12" s="327" t="str">
        <f t="shared" si="10"/>
        <v/>
      </c>
      <c r="O12" s="326" t="str">
        <f t="shared" si="11"/>
        <v/>
      </c>
      <c r="P12" s="1943">
        <f>IF('23 LF individuell'!T14="","",'23 LF individuell'!T14)</f>
        <v>63.667856393029609</v>
      </c>
      <c r="Q12" s="1943">
        <f>IF('23 LF individuell'!T61="","",'23 LF individuell'!T61)</f>
        <v>14.846585285384361</v>
      </c>
      <c r="R12" s="1148">
        <f>IF(SUM('4 Eingabe Friseure'!AB13,'4 Eingabe Friseure'!AH13,'4 Eingabe Friseure'!AN13,'4 Eingabe Friseure'!AT13)&gt;0,AVERAGE('4 Eingabe Friseure'!AB13,'4 Eingabe Friseure'!AH13,'4 Eingabe Friseure'!AN13,'4 Eingabe Friseure'!AT13),"")</f>
        <v>8</v>
      </c>
      <c r="S12" s="1148">
        <f>IF(SUM('4 Eingabe Friseure'!AC13,'4 Eingabe Friseure'!AI13,'4 Eingabe Friseure'!AO13,'4 Eingabe Friseure'!AU13)&gt;0,AVERAGE('4 Eingabe Friseure'!AC13,'4 Eingabe Friseure'!AI13,'4 Eingabe Friseure'!AO13,'4 Eingabe Friseure'!AU13),"")</f>
        <v>8</v>
      </c>
      <c r="T12" s="1148" t="str">
        <f>IF(SUM('4 Eingabe Friseure'!AD13,'4 Eingabe Friseure'!AJ13,'4 Eingabe Friseure'!AP13,'4 Eingabe Friseure'!AV13)&gt;0,AVERAGE('4 Eingabe Friseure'!AD13,'4 Eingabe Friseure'!AJ13,'4 Eingabe Friseure'!AP13,'4 Eingabe Friseure'!AV13),"")</f>
        <v/>
      </c>
      <c r="U12" s="1148">
        <f>IF(SUM('4 Eingabe Friseure'!AE13,'4 Eingabe Friseure'!AK13,'4 Eingabe Friseure'!AQ13,'4 Eingabe Friseure'!AW13)&gt;0,AVERAGE('4 Eingabe Friseure'!AE13,'4 Eingabe Friseure'!AK13,'4 Eingabe Friseure'!AQ13,'4 Eingabe Friseure'!AW13),"")</f>
        <v>6</v>
      </c>
      <c r="V12" s="1148">
        <f>IF(SUM('4 Eingabe Friseure'!AF13,'4 Eingabe Friseure'!AL13,'4 Eingabe Friseure'!AR13,'4 Eingabe Friseure'!AX13)&gt;0,AVERAGE('4 Eingabe Friseure'!AF13,'4 Eingabe Friseure'!AL13,'4 Eingabe Friseure'!AR13,'4 Eingabe Friseure'!AX13),"")</f>
        <v>8</v>
      </c>
      <c r="W12" s="1148" t="str">
        <f>IF(SUM('4 Eingabe Friseure'!AG13,'4 Eingabe Friseure'!AM13,'4 Eingabe Friseure'!AS13,'4 Eingabe Friseure'!AY13)&gt;0,AVERAGE('4 Eingabe Friseure'!AG13,'4 Eingabe Friseure'!AM13,'4 Eingabe Friseure'!AS13,'4 Eingabe Friseure'!AY13),"")</f>
        <v/>
      </c>
      <c r="X12" s="1148"/>
      <c r="Y12" s="1148"/>
      <c r="Z12" s="1148"/>
      <c r="AA12" s="1148"/>
      <c r="AB12" s="1148"/>
      <c r="AC12" s="1148"/>
      <c r="AD12" s="1148"/>
      <c r="AE12" s="1148"/>
      <c r="AF12" s="1148"/>
      <c r="AG12" s="1148"/>
      <c r="AH12" s="36"/>
      <c r="AI12" s="36"/>
      <c r="AJ12" s="36"/>
      <c r="AK12" s="36"/>
      <c r="AL12" s="36"/>
      <c r="AM12" s="36"/>
      <c r="AN12" s="36"/>
      <c r="AO12" s="36"/>
      <c r="AP12" s="36"/>
      <c r="AQ12" s="36"/>
      <c r="AR12" s="36"/>
      <c r="AS12" s="36"/>
      <c r="AT12" s="36"/>
      <c r="AU12" s="36"/>
      <c r="AV12" s="36"/>
    </row>
    <row r="13" spans="1:48" ht="18" customHeight="1">
      <c r="A13" s="331" t="str">
        <f ca="1">IF('22 Sollumsatz pro MA '!A106="","",'22 Sollumsatz pro MA '!A106)</f>
        <v>Christa</v>
      </c>
      <c r="B13" s="332">
        <f>'23 LF individuell'!T15</f>
        <v>69.500577367205537</v>
      </c>
      <c r="C13" s="366">
        <f>'23 LF individuell'!D15</f>
        <v>4.63</v>
      </c>
      <c r="D13" s="325" t="str">
        <f t="shared" si="0"/>
        <v/>
      </c>
      <c r="E13" s="326" t="str">
        <f t="shared" si="1"/>
        <v/>
      </c>
      <c r="F13" s="327" t="str">
        <f t="shared" si="2"/>
        <v/>
      </c>
      <c r="G13" s="326" t="str">
        <f t="shared" si="3"/>
        <v/>
      </c>
      <c r="H13" s="327" t="str">
        <f t="shared" si="4"/>
        <v/>
      </c>
      <c r="I13" s="326" t="str">
        <f t="shared" si="5"/>
        <v/>
      </c>
      <c r="J13" s="327" t="str">
        <f t="shared" si="6"/>
        <v/>
      </c>
      <c r="K13" s="326" t="str">
        <f t="shared" si="7"/>
        <v/>
      </c>
      <c r="L13" s="327">
        <f t="shared" si="8"/>
        <v>8</v>
      </c>
      <c r="M13" s="326">
        <f t="shared" si="9"/>
        <v>556.0046189376443</v>
      </c>
      <c r="N13" s="327">
        <f t="shared" si="10"/>
        <v>8</v>
      </c>
      <c r="O13" s="326">
        <f t="shared" si="11"/>
        <v>556.0046189376443</v>
      </c>
      <c r="P13" s="1943">
        <f>IF('23 LF individuell'!T15="","",'23 LF individuell'!T15)</f>
        <v>69.500577367205537</v>
      </c>
      <c r="Q13" s="1943" t="str">
        <f>IF('23 LF individuell'!T62="","",'23 LF individuell'!T62)</f>
        <v/>
      </c>
      <c r="R13" s="1148" t="str">
        <f>IF(SUM('4 Eingabe Friseure'!AB14,'4 Eingabe Friseure'!AH14,'4 Eingabe Friseure'!AN14,'4 Eingabe Friseure'!AT14)&gt;0,AVERAGE('4 Eingabe Friseure'!AB14,'4 Eingabe Friseure'!AH14,'4 Eingabe Friseure'!AN14,'4 Eingabe Friseure'!AT14),"")</f>
        <v/>
      </c>
      <c r="S13" s="1148" t="str">
        <f>IF(SUM('4 Eingabe Friseure'!AC14,'4 Eingabe Friseure'!AI14,'4 Eingabe Friseure'!AO14,'4 Eingabe Friseure'!AU14)&gt;0,AVERAGE('4 Eingabe Friseure'!AC14,'4 Eingabe Friseure'!AI14,'4 Eingabe Friseure'!AO14,'4 Eingabe Friseure'!AU14),"")</f>
        <v/>
      </c>
      <c r="T13" s="1148" t="str">
        <f>IF(SUM('4 Eingabe Friseure'!AD14,'4 Eingabe Friseure'!AJ14,'4 Eingabe Friseure'!AP14,'4 Eingabe Friseure'!AV14)&gt;0,AVERAGE('4 Eingabe Friseure'!AD14,'4 Eingabe Friseure'!AJ14,'4 Eingabe Friseure'!AP14,'4 Eingabe Friseure'!AV14),"")</f>
        <v/>
      </c>
      <c r="U13" s="1148" t="str">
        <f>IF(SUM('4 Eingabe Friseure'!AE14,'4 Eingabe Friseure'!AK14,'4 Eingabe Friseure'!AQ14,'4 Eingabe Friseure'!AW14)&gt;0,AVERAGE('4 Eingabe Friseure'!AE14,'4 Eingabe Friseure'!AK14,'4 Eingabe Friseure'!AQ14,'4 Eingabe Friseure'!AW14),"")</f>
        <v/>
      </c>
      <c r="V13" s="1148">
        <f>IF(SUM('4 Eingabe Friseure'!AF14,'4 Eingabe Friseure'!AL14,'4 Eingabe Friseure'!AR14,'4 Eingabe Friseure'!AX14)&gt;0,AVERAGE('4 Eingabe Friseure'!AF14,'4 Eingabe Friseure'!AL14,'4 Eingabe Friseure'!AR14,'4 Eingabe Friseure'!AX14),"")</f>
        <v>8</v>
      </c>
      <c r="W13" s="1148">
        <f>IF(SUM('4 Eingabe Friseure'!AG14,'4 Eingabe Friseure'!AM14,'4 Eingabe Friseure'!AS14,'4 Eingabe Friseure'!AY14)&gt;0,AVERAGE('4 Eingabe Friseure'!AG14,'4 Eingabe Friseure'!AM14,'4 Eingabe Friseure'!AS14,'4 Eingabe Friseure'!AY14),"")</f>
        <v>8</v>
      </c>
      <c r="X13" s="1148"/>
      <c r="Y13" s="1148"/>
      <c r="Z13" s="1148"/>
      <c r="AA13" s="1148"/>
      <c r="AB13" s="1148"/>
      <c r="AC13" s="1148"/>
      <c r="AD13" s="1148"/>
      <c r="AE13" s="1148"/>
      <c r="AF13" s="1148"/>
      <c r="AG13" s="1148"/>
      <c r="AH13" s="36"/>
      <c r="AI13" s="36"/>
      <c r="AJ13" s="36"/>
      <c r="AK13" s="36"/>
      <c r="AL13" s="36"/>
      <c r="AM13" s="36"/>
      <c r="AN13" s="36"/>
      <c r="AO13" s="36"/>
      <c r="AP13" s="36"/>
      <c r="AQ13" s="36"/>
      <c r="AR13" s="36"/>
      <c r="AS13" s="36"/>
      <c r="AT13" s="36"/>
      <c r="AU13" s="36"/>
      <c r="AV13" s="36"/>
    </row>
    <row r="14" spans="1:48" ht="18" customHeight="1">
      <c r="A14" s="331" t="str">
        <f ca="1">IF('22 Sollumsatz pro MA '!A107="","",'22 Sollumsatz pro MA '!A107)</f>
        <v>Horst</v>
      </c>
      <c r="B14" s="332">
        <f>'23 LF individuell'!T16</f>
        <v>68.745188606620474</v>
      </c>
      <c r="C14" s="366">
        <f>'23 LF individuell'!D16</f>
        <v>4.63</v>
      </c>
      <c r="D14" s="325" t="str">
        <f t="shared" si="0"/>
        <v/>
      </c>
      <c r="E14" s="326" t="str">
        <f t="shared" si="1"/>
        <v/>
      </c>
      <c r="F14" s="327">
        <f t="shared" si="2"/>
        <v>7</v>
      </c>
      <c r="G14" s="326">
        <f t="shared" si="3"/>
        <v>481.21632024634334</v>
      </c>
      <c r="H14" s="327">
        <f t="shared" si="4"/>
        <v>7</v>
      </c>
      <c r="I14" s="326">
        <f t="shared" si="5"/>
        <v>481.21632024634334</v>
      </c>
      <c r="J14" s="327">
        <f t="shared" si="6"/>
        <v>7</v>
      </c>
      <c r="K14" s="326">
        <f t="shared" si="7"/>
        <v>481.21632024634334</v>
      </c>
      <c r="L14" s="327" t="str">
        <f t="shared" si="8"/>
        <v/>
      </c>
      <c r="M14" s="326" t="str">
        <f t="shared" si="9"/>
        <v/>
      </c>
      <c r="N14" s="327">
        <f t="shared" si="10"/>
        <v>7</v>
      </c>
      <c r="O14" s="326">
        <f t="shared" si="11"/>
        <v>481.21632024634334</v>
      </c>
      <c r="P14" s="1943">
        <f>IF('23 LF individuell'!T16="","",'23 LF individuell'!T16)</f>
        <v>68.745188606620474</v>
      </c>
      <c r="Q14" s="1943">
        <f>IF('23 LF individuell'!T63="","",'23 LF individuell'!T63)</f>
        <v>13.04</v>
      </c>
      <c r="R14" s="1148" t="str">
        <f>IF(SUM('4 Eingabe Friseure'!AB15,'4 Eingabe Friseure'!AH15,'4 Eingabe Friseure'!AN15,'4 Eingabe Friseure'!AT15)&gt;0,AVERAGE('4 Eingabe Friseure'!AB15,'4 Eingabe Friseure'!AH15,'4 Eingabe Friseure'!AN15,'4 Eingabe Friseure'!AT15),"")</f>
        <v/>
      </c>
      <c r="S14" s="1148">
        <f>IF(SUM('4 Eingabe Friseure'!AC15,'4 Eingabe Friseure'!AI15,'4 Eingabe Friseure'!AO15,'4 Eingabe Friseure'!AU15)&gt;0,AVERAGE('4 Eingabe Friseure'!AC15,'4 Eingabe Friseure'!AI15,'4 Eingabe Friseure'!AO15,'4 Eingabe Friseure'!AU15),"")</f>
        <v>7</v>
      </c>
      <c r="T14" s="1148">
        <f>IF(SUM('4 Eingabe Friseure'!AD15,'4 Eingabe Friseure'!AJ15,'4 Eingabe Friseure'!AP15,'4 Eingabe Friseure'!AV15)&gt;0,AVERAGE('4 Eingabe Friseure'!AD15,'4 Eingabe Friseure'!AJ15,'4 Eingabe Friseure'!AP15,'4 Eingabe Friseure'!AV15),"")</f>
        <v>7</v>
      </c>
      <c r="U14" s="1148">
        <f>IF(SUM('4 Eingabe Friseure'!AE15,'4 Eingabe Friseure'!AK15,'4 Eingabe Friseure'!AQ15,'4 Eingabe Friseure'!AW15)&gt;0,AVERAGE('4 Eingabe Friseure'!AE15,'4 Eingabe Friseure'!AK15,'4 Eingabe Friseure'!AQ15,'4 Eingabe Friseure'!AW15),"")</f>
        <v>7</v>
      </c>
      <c r="V14" s="1148" t="str">
        <f>IF(SUM('4 Eingabe Friseure'!AF15,'4 Eingabe Friseure'!AL15,'4 Eingabe Friseure'!AR15,'4 Eingabe Friseure'!AX15)&gt;0,AVERAGE('4 Eingabe Friseure'!AF15,'4 Eingabe Friseure'!AL15,'4 Eingabe Friseure'!AR15,'4 Eingabe Friseure'!AX15),"")</f>
        <v/>
      </c>
      <c r="W14" s="1148">
        <f>IF(SUM('4 Eingabe Friseure'!AG15,'4 Eingabe Friseure'!AM15,'4 Eingabe Friseure'!AS15,'4 Eingabe Friseure'!AY15)&gt;0,AVERAGE('4 Eingabe Friseure'!AG15,'4 Eingabe Friseure'!AM15,'4 Eingabe Friseure'!AS15,'4 Eingabe Friseure'!AY15),"")</f>
        <v>7</v>
      </c>
      <c r="X14" s="1148"/>
      <c r="Y14" s="1148"/>
      <c r="Z14" s="1148"/>
      <c r="AA14" s="1148"/>
      <c r="AB14" s="1148"/>
      <c r="AC14" s="1148"/>
      <c r="AD14" s="1148"/>
      <c r="AE14" s="1148"/>
      <c r="AF14" s="1148"/>
      <c r="AG14" s="1148"/>
      <c r="AH14" s="36"/>
      <c r="AI14" s="36"/>
      <c r="AJ14" s="36"/>
      <c r="AK14" s="36"/>
      <c r="AL14" s="36"/>
      <c r="AM14" s="36"/>
      <c r="AN14" s="36"/>
      <c r="AO14" s="36"/>
      <c r="AP14" s="36"/>
      <c r="AQ14" s="36"/>
      <c r="AR14" s="36"/>
      <c r="AS14" s="36"/>
      <c r="AT14" s="36"/>
      <c r="AU14" s="36"/>
      <c r="AV14" s="36"/>
    </row>
    <row r="15" spans="1:48" ht="18" customHeight="1">
      <c r="A15" s="331" t="str">
        <f ca="1">IF('22 Sollumsatz pro MA '!A108="","",'22 Sollumsatz pro MA '!A108)</f>
        <v/>
      </c>
      <c r="B15" s="332" t="str">
        <f>'23 LF individuell'!T17</f>
        <v/>
      </c>
      <c r="C15" s="366" t="str">
        <f>'23 LF individuell'!D17</f>
        <v/>
      </c>
      <c r="D15" s="325" t="str">
        <f t="shared" si="0"/>
        <v/>
      </c>
      <c r="E15" s="326" t="str">
        <f t="shared" si="1"/>
        <v/>
      </c>
      <c r="F15" s="327" t="str">
        <f t="shared" si="2"/>
        <v/>
      </c>
      <c r="G15" s="326" t="str">
        <f t="shared" si="3"/>
        <v/>
      </c>
      <c r="H15" s="327" t="str">
        <f t="shared" si="4"/>
        <v/>
      </c>
      <c r="I15" s="326" t="str">
        <f t="shared" si="5"/>
        <v/>
      </c>
      <c r="J15" s="327" t="str">
        <f t="shared" si="6"/>
        <v/>
      </c>
      <c r="K15" s="326" t="str">
        <f t="shared" si="7"/>
        <v/>
      </c>
      <c r="L15" s="327" t="str">
        <f t="shared" si="8"/>
        <v/>
      </c>
      <c r="M15" s="326" t="str">
        <f t="shared" si="9"/>
        <v/>
      </c>
      <c r="N15" s="327" t="str">
        <f t="shared" si="10"/>
        <v/>
      </c>
      <c r="O15" s="326" t="str">
        <f t="shared" si="11"/>
        <v/>
      </c>
      <c r="P15" s="1943" t="str">
        <f>IF('23 LF individuell'!T17="","",'23 LF individuell'!T17)</f>
        <v/>
      </c>
      <c r="Q15" s="1943">
        <f>IF('23 LF individuell'!T64="","",'23 LF individuell'!T64)</f>
        <v>14.490784766562513</v>
      </c>
      <c r="R15" s="1148" t="str">
        <f>IF(SUM('4 Eingabe Friseure'!AB16,'4 Eingabe Friseure'!AH16,'4 Eingabe Friseure'!AN16,'4 Eingabe Friseure'!AT16)&gt;0,AVERAGE('4 Eingabe Friseure'!AB16,'4 Eingabe Friseure'!AH16,'4 Eingabe Friseure'!AN16,'4 Eingabe Friseure'!AT16),"")</f>
        <v/>
      </c>
      <c r="S15" s="1148" t="str">
        <f>IF(SUM('4 Eingabe Friseure'!AC16,'4 Eingabe Friseure'!AI16,'4 Eingabe Friseure'!AO16,'4 Eingabe Friseure'!AU16)&gt;0,AVERAGE('4 Eingabe Friseure'!AC16,'4 Eingabe Friseure'!AI16,'4 Eingabe Friseure'!AO16,'4 Eingabe Friseure'!AU16),"")</f>
        <v/>
      </c>
      <c r="T15" s="1148" t="str">
        <f>IF(SUM('4 Eingabe Friseure'!AD16,'4 Eingabe Friseure'!AJ16,'4 Eingabe Friseure'!AP16,'4 Eingabe Friseure'!AV16)&gt;0,AVERAGE('4 Eingabe Friseure'!AD16,'4 Eingabe Friseure'!AJ16,'4 Eingabe Friseure'!AP16,'4 Eingabe Friseure'!AV16),"")</f>
        <v/>
      </c>
      <c r="U15" s="1148" t="str">
        <f>IF(SUM('4 Eingabe Friseure'!AE16,'4 Eingabe Friseure'!AK16,'4 Eingabe Friseure'!AQ16,'4 Eingabe Friseure'!AW16)&gt;0,AVERAGE('4 Eingabe Friseure'!AE16,'4 Eingabe Friseure'!AK16,'4 Eingabe Friseure'!AQ16,'4 Eingabe Friseure'!AW16),"")</f>
        <v/>
      </c>
      <c r="V15" s="1148" t="str">
        <f>IF(SUM('4 Eingabe Friseure'!AF16,'4 Eingabe Friseure'!AL16,'4 Eingabe Friseure'!AR16,'4 Eingabe Friseure'!AX16)&gt;0,AVERAGE('4 Eingabe Friseure'!AF16,'4 Eingabe Friseure'!AL16,'4 Eingabe Friseure'!AR16,'4 Eingabe Friseure'!AX16),"")</f>
        <v/>
      </c>
      <c r="W15" s="1148" t="str">
        <f>IF(SUM('4 Eingabe Friseure'!AG16,'4 Eingabe Friseure'!AM16,'4 Eingabe Friseure'!AS16,'4 Eingabe Friseure'!AY16)&gt;0,AVERAGE('4 Eingabe Friseure'!AG16,'4 Eingabe Friseure'!AM16,'4 Eingabe Friseure'!AS16,'4 Eingabe Friseure'!AY16),"")</f>
        <v/>
      </c>
      <c r="X15" s="1148"/>
      <c r="Y15" s="1148"/>
      <c r="Z15" s="1148"/>
      <c r="AA15" s="1148"/>
      <c r="AB15" s="1148"/>
      <c r="AC15" s="1148"/>
      <c r="AD15" s="1148"/>
      <c r="AE15" s="1148"/>
      <c r="AF15" s="1148"/>
      <c r="AG15" s="1148"/>
      <c r="AH15" s="36"/>
      <c r="AI15" s="36"/>
      <c r="AJ15" s="36"/>
      <c r="AK15" s="36"/>
      <c r="AL15" s="36"/>
      <c r="AM15" s="36"/>
      <c r="AN15" s="36"/>
      <c r="AO15" s="36"/>
      <c r="AP15" s="36"/>
      <c r="AQ15" s="36"/>
      <c r="AR15" s="36"/>
      <c r="AS15" s="36"/>
      <c r="AT15" s="36"/>
      <c r="AU15" s="36"/>
      <c r="AV15" s="36"/>
    </row>
    <row r="16" spans="1:48" ht="18" customHeight="1">
      <c r="A16" s="331" t="str">
        <f ca="1">IF('22 Sollumsatz pro MA '!A109="","",'22 Sollumsatz pro MA '!A109)</f>
        <v>Salli</v>
      </c>
      <c r="B16" s="332">
        <f>'23 LF individuell'!T18</f>
        <v>60.370497764237633</v>
      </c>
      <c r="C16" s="366">
        <f>'23 LF individuell'!D18</f>
        <v>4.63</v>
      </c>
      <c r="D16" s="325" t="str">
        <f t="shared" si="0"/>
        <v/>
      </c>
      <c r="E16" s="326" t="str">
        <f t="shared" si="1"/>
        <v/>
      </c>
      <c r="F16" s="327" t="str">
        <f t="shared" si="2"/>
        <v/>
      </c>
      <c r="G16" s="326" t="str">
        <f t="shared" si="3"/>
        <v/>
      </c>
      <c r="H16" s="327" t="str">
        <f t="shared" si="4"/>
        <v/>
      </c>
      <c r="I16" s="326" t="str">
        <f t="shared" si="5"/>
        <v/>
      </c>
      <c r="J16" s="327">
        <f t="shared" si="6"/>
        <v>8</v>
      </c>
      <c r="K16" s="326">
        <f t="shared" si="7"/>
        <v>482.96398211390107</v>
      </c>
      <c r="L16" s="327">
        <f t="shared" si="8"/>
        <v>8</v>
      </c>
      <c r="M16" s="326">
        <f t="shared" si="9"/>
        <v>482.96398211390107</v>
      </c>
      <c r="N16" s="327">
        <f t="shared" si="10"/>
        <v>7.5</v>
      </c>
      <c r="O16" s="326">
        <f t="shared" si="11"/>
        <v>452.77873323178227</v>
      </c>
      <c r="P16" s="1943">
        <f>IF('23 LF individuell'!T18="","",'23 LF individuell'!T18)</f>
        <v>60.370497764237633</v>
      </c>
      <c r="Q16" s="1943" t="str">
        <f>IF('23 LF individuell'!T65="","",'23 LF individuell'!T65)</f>
        <v/>
      </c>
      <c r="R16" s="1148" t="str">
        <f>IF(SUM('4 Eingabe Friseure'!AB17,'4 Eingabe Friseure'!AH17,'4 Eingabe Friseure'!AN17,'4 Eingabe Friseure'!AT17)&gt;0,AVERAGE('4 Eingabe Friseure'!AB17,'4 Eingabe Friseure'!AH17,'4 Eingabe Friseure'!AN17,'4 Eingabe Friseure'!AT17),"")</f>
        <v/>
      </c>
      <c r="S16" s="1148" t="str">
        <f>IF(SUM('4 Eingabe Friseure'!AC17,'4 Eingabe Friseure'!AI17,'4 Eingabe Friseure'!AO17,'4 Eingabe Friseure'!AU17)&gt;0,AVERAGE('4 Eingabe Friseure'!AC17,'4 Eingabe Friseure'!AI17,'4 Eingabe Friseure'!AO17,'4 Eingabe Friseure'!AU17),"")</f>
        <v/>
      </c>
      <c r="T16" s="1148" t="str">
        <f>IF(SUM('4 Eingabe Friseure'!AD17,'4 Eingabe Friseure'!AJ17,'4 Eingabe Friseure'!AP17,'4 Eingabe Friseure'!AV17)&gt;0,AVERAGE('4 Eingabe Friseure'!AD17,'4 Eingabe Friseure'!AJ17,'4 Eingabe Friseure'!AP17,'4 Eingabe Friseure'!AV17),"")</f>
        <v/>
      </c>
      <c r="U16" s="1148">
        <f>IF(SUM('4 Eingabe Friseure'!AE17,'4 Eingabe Friseure'!AK17,'4 Eingabe Friseure'!AQ17,'4 Eingabe Friseure'!AW17)&gt;0,AVERAGE('4 Eingabe Friseure'!AE17,'4 Eingabe Friseure'!AK17,'4 Eingabe Friseure'!AQ17,'4 Eingabe Friseure'!AW17),"")</f>
        <v>8</v>
      </c>
      <c r="V16" s="1148">
        <f>IF(SUM('4 Eingabe Friseure'!AF17,'4 Eingabe Friseure'!AL17,'4 Eingabe Friseure'!AR17,'4 Eingabe Friseure'!AX17)&gt;0,AVERAGE('4 Eingabe Friseure'!AF17,'4 Eingabe Friseure'!AL17,'4 Eingabe Friseure'!AR17,'4 Eingabe Friseure'!AX17),"")</f>
        <v>8</v>
      </c>
      <c r="W16" s="1148">
        <f>IF(SUM('4 Eingabe Friseure'!AG17,'4 Eingabe Friseure'!AM17,'4 Eingabe Friseure'!AS17,'4 Eingabe Friseure'!AY17)&gt;0,AVERAGE('4 Eingabe Friseure'!AG17,'4 Eingabe Friseure'!AM17,'4 Eingabe Friseure'!AS17,'4 Eingabe Friseure'!AY17),"")</f>
        <v>7.5</v>
      </c>
      <c r="X16" s="1148"/>
      <c r="Y16" s="1148"/>
      <c r="Z16" s="1148"/>
      <c r="AA16" s="1148"/>
      <c r="AB16" s="1148"/>
      <c r="AC16" s="1148"/>
      <c r="AD16" s="1148"/>
      <c r="AE16" s="1148"/>
      <c r="AF16" s="1148"/>
      <c r="AG16" s="1148"/>
      <c r="AH16" s="36"/>
      <c r="AI16" s="36"/>
      <c r="AJ16" s="36"/>
      <c r="AK16" s="36"/>
      <c r="AL16" s="36"/>
      <c r="AM16" s="36"/>
      <c r="AN16" s="36"/>
      <c r="AO16" s="36"/>
      <c r="AP16" s="36"/>
      <c r="AQ16" s="36"/>
      <c r="AR16" s="36"/>
      <c r="AS16" s="36"/>
      <c r="AT16" s="36"/>
      <c r="AU16" s="36"/>
      <c r="AV16" s="36"/>
    </row>
    <row r="17" spans="1:48" ht="18" customHeight="1">
      <c r="A17" s="331" t="str">
        <f ca="1">IF('22 Sollumsatz pro MA '!A110="","",'22 Sollumsatz pro MA '!A110)</f>
        <v>Salli</v>
      </c>
      <c r="B17" s="332">
        <f>'23 LF individuell'!T19</f>
        <v>67.092333469184439</v>
      </c>
      <c r="C17" s="366">
        <f>'23 LF individuell'!D19</f>
        <v>4.63</v>
      </c>
      <c r="D17" s="325" t="str">
        <f t="shared" si="0"/>
        <v/>
      </c>
      <c r="E17" s="326" t="str">
        <f t="shared" si="1"/>
        <v/>
      </c>
      <c r="F17" s="327" t="str">
        <f t="shared" si="2"/>
        <v/>
      </c>
      <c r="G17" s="326" t="str">
        <f t="shared" si="3"/>
        <v/>
      </c>
      <c r="H17" s="327">
        <f t="shared" si="4"/>
        <v>4</v>
      </c>
      <c r="I17" s="326">
        <f t="shared" si="5"/>
        <v>268.36933387673776</v>
      </c>
      <c r="J17" s="327">
        <f t="shared" si="6"/>
        <v>8</v>
      </c>
      <c r="K17" s="326">
        <f t="shared" si="7"/>
        <v>536.73866775347551</v>
      </c>
      <c r="L17" s="327">
        <f t="shared" si="8"/>
        <v>8</v>
      </c>
      <c r="M17" s="326">
        <f t="shared" si="9"/>
        <v>536.73866775347551</v>
      </c>
      <c r="N17" s="327">
        <f t="shared" si="10"/>
        <v>7.5</v>
      </c>
      <c r="O17" s="326">
        <f t="shared" si="11"/>
        <v>503.19250101888326</v>
      </c>
      <c r="P17" s="1943">
        <f>IF('23 LF individuell'!T19="","",'23 LF individuell'!T19)</f>
        <v>67.092333469184439</v>
      </c>
      <c r="Q17" s="1943" t="str">
        <f>IF('23 LF individuell'!T66="","",'23 LF individuell'!T66)</f>
        <v/>
      </c>
      <c r="R17" s="1148" t="str">
        <f>IF(SUM('4 Eingabe Friseure'!AB18,'4 Eingabe Friseure'!AH18,'4 Eingabe Friseure'!AN18,'4 Eingabe Friseure'!AT18)&gt;0,AVERAGE('4 Eingabe Friseure'!AB18,'4 Eingabe Friseure'!AH18,'4 Eingabe Friseure'!AN18,'4 Eingabe Friseure'!AT18),"")</f>
        <v/>
      </c>
      <c r="S17" s="1148" t="str">
        <f>IF(SUM('4 Eingabe Friseure'!AC18,'4 Eingabe Friseure'!AI18,'4 Eingabe Friseure'!AO18,'4 Eingabe Friseure'!AU18)&gt;0,AVERAGE('4 Eingabe Friseure'!AC18,'4 Eingabe Friseure'!AI18,'4 Eingabe Friseure'!AO18,'4 Eingabe Friseure'!AU18),"")</f>
        <v/>
      </c>
      <c r="T17" s="1148">
        <f>IF(SUM('4 Eingabe Friseure'!AD18,'4 Eingabe Friseure'!AJ18,'4 Eingabe Friseure'!AP18,'4 Eingabe Friseure'!AV18)&gt;0,AVERAGE('4 Eingabe Friseure'!AD18,'4 Eingabe Friseure'!AJ18,'4 Eingabe Friseure'!AP18,'4 Eingabe Friseure'!AV18),"")</f>
        <v>4</v>
      </c>
      <c r="U17" s="1148">
        <f>IF(SUM('4 Eingabe Friseure'!AE18,'4 Eingabe Friseure'!AK18,'4 Eingabe Friseure'!AQ18,'4 Eingabe Friseure'!AW18)&gt;0,AVERAGE('4 Eingabe Friseure'!AE18,'4 Eingabe Friseure'!AK18,'4 Eingabe Friseure'!AQ18,'4 Eingabe Friseure'!AW18),"")</f>
        <v>8</v>
      </c>
      <c r="V17" s="1148">
        <f>IF(SUM('4 Eingabe Friseure'!AF18,'4 Eingabe Friseure'!AL18,'4 Eingabe Friseure'!AR18,'4 Eingabe Friseure'!AX18)&gt;0,AVERAGE('4 Eingabe Friseure'!AF18,'4 Eingabe Friseure'!AL18,'4 Eingabe Friseure'!AR18,'4 Eingabe Friseure'!AX18),"")</f>
        <v>8</v>
      </c>
      <c r="W17" s="1148">
        <f>IF(SUM('4 Eingabe Friseure'!AG18,'4 Eingabe Friseure'!AM18,'4 Eingabe Friseure'!AS18,'4 Eingabe Friseure'!AY18)&gt;0,AVERAGE('4 Eingabe Friseure'!AG18,'4 Eingabe Friseure'!AM18,'4 Eingabe Friseure'!AS18,'4 Eingabe Friseure'!AY18),"")</f>
        <v>7.5</v>
      </c>
      <c r="X17" s="1148"/>
      <c r="Y17" s="1148"/>
      <c r="Z17" s="1148"/>
      <c r="AA17" s="1148"/>
      <c r="AB17" s="1148"/>
      <c r="AC17" s="1148"/>
      <c r="AD17" s="1148"/>
      <c r="AE17" s="1148"/>
      <c r="AF17" s="1148"/>
      <c r="AG17" s="1148"/>
      <c r="AH17" s="36"/>
      <c r="AI17" s="36"/>
      <c r="AJ17" s="36"/>
      <c r="AK17" s="36"/>
      <c r="AL17" s="36"/>
      <c r="AM17" s="36"/>
      <c r="AN17" s="36"/>
      <c r="AO17" s="36"/>
      <c r="AP17" s="36"/>
      <c r="AQ17" s="36"/>
      <c r="AR17" s="36"/>
      <c r="AS17" s="36"/>
      <c r="AT17" s="36"/>
      <c r="AU17" s="36"/>
      <c r="AV17" s="36"/>
    </row>
    <row r="18" spans="1:48" ht="18" customHeight="1">
      <c r="A18" s="331" t="str">
        <f ca="1">IF('22 Sollumsatz pro MA '!A111="","",'22 Sollumsatz pro MA '!A111)</f>
        <v/>
      </c>
      <c r="B18" s="332" t="str">
        <f>'23 LF individuell'!T20</f>
        <v/>
      </c>
      <c r="C18" s="366" t="str">
        <f>'23 LF individuell'!D20</f>
        <v/>
      </c>
      <c r="D18" s="325" t="str">
        <f t="shared" si="0"/>
        <v/>
      </c>
      <c r="E18" s="326" t="str">
        <f t="shared" si="1"/>
        <v/>
      </c>
      <c r="F18" s="327" t="str">
        <f t="shared" si="2"/>
        <v/>
      </c>
      <c r="G18" s="326" t="str">
        <f t="shared" si="3"/>
        <v/>
      </c>
      <c r="H18" s="327" t="str">
        <f t="shared" si="4"/>
        <v/>
      </c>
      <c r="I18" s="326" t="str">
        <f t="shared" si="5"/>
        <v/>
      </c>
      <c r="J18" s="327" t="str">
        <f t="shared" si="6"/>
        <v/>
      </c>
      <c r="K18" s="326" t="str">
        <f t="shared" si="7"/>
        <v/>
      </c>
      <c r="L18" s="327" t="str">
        <f t="shared" si="8"/>
        <v/>
      </c>
      <c r="M18" s="326" t="str">
        <f t="shared" si="9"/>
        <v/>
      </c>
      <c r="N18" s="327" t="str">
        <f t="shared" si="10"/>
        <v/>
      </c>
      <c r="O18" s="326" t="str">
        <f t="shared" si="11"/>
        <v/>
      </c>
      <c r="P18" s="1943" t="str">
        <f>IF('23 LF individuell'!T20="","",'23 LF individuell'!T20)</f>
        <v/>
      </c>
      <c r="Q18" s="1943" t="str">
        <f>IF('23 LF individuell'!T67="","",'23 LF individuell'!T67)</f>
        <v/>
      </c>
      <c r="R18" s="1148" t="str">
        <f>IF(SUM('4 Eingabe Friseure'!AB19,'4 Eingabe Friseure'!AH19,'4 Eingabe Friseure'!AN19,'4 Eingabe Friseure'!AT19)&gt;0,AVERAGE('4 Eingabe Friseure'!AB19,'4 Eingabe Friseure'!AH19,'4 Eingabe Friseure'!AN19,'4 Eingabe Friseure'!AT19),"")</f>
        <v/>
      </c>
      <c r="S18" s="1148" t="str">
        <f>IF(SUM('4 Eingabe Friseure'!AC19,'4 Eingabe Friseure'!AI19,'4 Eingabe Friseure'!AO19,'4 Eingabe Friseure'!AU19)&gt;0,AVERAGE('4 Eingabe Friseure'!AC19,'4 Eingabe Friseure'!AI19,'4 Eingabe Friseure'!AO19,'4 Eingabe Friseure'!AU19),"")</f>
        <v/>
      </c>
      <c r="T18" s="1148" t="str">
        <f>IF(SUM('4 Eingabe Friseure'!AD19,'4 Eingabe Friseure'!AJ19,'4 Eingabe Friseure'!AP19,'4 Eingabe Friseure'!AV19)&gt;0,AVERAGE('4 Eingabe Friseure'!AD19,'4 Eingabe Friseure'!AJ19,'4 Eingabe Friseure'!AP19,'4 Eingabe Friseure'!AV19),"")</f>
        <v/>
      </c>
      <c r="U18" s="1148" t="str">
        <f>IF(SUM('4 Eingabe Friseure'!AE19,'4 Eingabe Friseure'!AK19,'4 Eingabe Friseure'!AQ19,'4 Eingabe Friseure'!AW19)&gt;0,AVERAGE('4 Eingabe Friseure'!AE19,'4 Eingabe Friseure'!AK19,'4 Eingabe Friseure'!AQ19,'4 Eingabe Friseure'!AW19),"")</f>
        <v/>
      </c>
      <c r="V18" s="1148" t="str">
        <f>IF(SUM('4 Eingabe Friseure'!AF19,'4 Eingabe Friseure'!AL19,'4 Eingabe Friseure'!AR19,'4 Eingabe Friseure'!AX19)&gt;0,AVERAGE('4 Eingabe Friseure'!AF19,'4 Eingabe Friseure'!AL19,'4 Eingabe Friseure'!AR19,'4 Eingabe Friseure'!AX19),"")</f>
        <v/>
      </c>
      <c r="W18" s="1148" t="str">
        <f>IF(SUM('4 Eingabe Friseure'!AG19,'4 Eingabe Friseure'!AM19,'4 Eingabe Friseure'!AS19,'4 Eingabe Friseure'!AY19)&gt;0,AVERAGE('4 Eingabe Friseure'!AG19,'4 Eingabe Friseure'!AM19,'4 Eingabe Friseure'!AS19,'4 Eingabe Friseure'!AY19),"")</f>
        <v/>
      </c>
      <c r="X18" s="1148"/>
      <c r="Y18" s="1148"/>
      <c r="Z18" s="1148"/>
      <c r="AA18" s="1148"/>
      <c r="AB18" s="1148"/>
      <c r="AC18" s="1148"/>
      <c r="AD18" s="1148"/>
      <c r="AE18" s="1148"/>
      <c r="AF18" s="1148"/>
      <c r="AG18" s="1148"/>
      <c r="AH18" s="36"/>
      <c r="AI18" s="36"/>
      <c r="AJ18" s="36"/>
      <c r="AK18" s="36"/>
      <c r="AL18" s="36"/>
      <c r="AM18" s="36"/>
      <c r="AN18" s="36"/>
      <c r="AO18" s="36"/>
      <c r="AP18" s="36"/>
      <c r="AQ18" s="36"/>
      <c r="AR18" s="36"/>
      <c r="AS18" s="36"/>
      <c r="AT18" s="36"/>
      <c r="AU18" s="36"/>
      <c r="AV18" s="36"/>
    </row>
    <row r="19" spans="1:48" ht="18" customHeight="1">
      <c r="A19" s="331" t="str">
        <f ca="1">IF('22 Sollumsatz pro MA '!A112="","",'22 Sollumsatz pro MA '!A112)</f>
        <v/>
      </c>
      <c r="B19" s="332" t="str">
        <f>'23 LF individuell'!T21</f>
        <v/>
      </c>
      <c r="C19" s="366" t="str">
        <f>'23 LF individuell'!D21</f>
        <v/>
      </c>
      <c r="D19" s="325" t="str">
        <f t="shared" si="0"/>
        <v/>
      </c>
      <c r="E19" s="326" t="str">
        <f t="shared" si="1"/>
        <v/>
      </c>
      <c r="F19" s="327" t="str">
        <f t="shared" si="2"/>
        <v/>
      </c>
      <c r="G19" s="326" t="str">
        <f t="shared" si="3"/>
        <v/>
      </c>
      <c r="H19" s="327" t="str">
        <f t="shared" si="4"/>
        <v/>
      </c>
      <c r="I19" s="326" t="str">
        <f t="shared" si="5"/>
        <v/>
      </c>
      <c r="J19" s="327" t="str">
        <f t="shared" si="6"/>
        <v/>
      </c>
      <c r="K19" s="326" t="str">
        <f t="shared" si="7"/>
        <v/>
      </c>
      <c r="L19" s="327" t="str">
        <f t="shared" si="8"/>
        <v/>
      </c>
      <c r="M19" s="326" t="str">
        <f t="shared" si="9"/>
        <v/>
      </c>
      <c r="N19" s="327" t="str">
        <f t="shared" si="10"/>
        <v/>
      </c>
      <c r="O19" s="326" t="str">
        <f t="shared" si="11"/>
        <v/>
      </c>
      <c r="P19" s="1943" t="str">
        <f>IF('23 LF individuell'!T21="","",'23 LF individuell'!T21)</f>
        <v/>
      </c>
      <c r="Q19" s="1943" t="str">
        <f>IF('23 LF individuell'!T68="","",'23 LF individuell'!T68)</f>
        <v/>
      </c>
      <c r="R19" s="1148" t="str">
        <f>IF(SUM('4 Eingabe Friseure'!AB20,'4 Eingabe Friseure'!AH20,'4 Eingabe Friseure'!AN20,'4 Eingabe Friseure'!AT20)&gt;0,AVERAGE('4 Eingabe Friseure'!AB20,'4 Eingabe Friseure'!AH20,'4 Eingabe Friseure'!AN20,'4 Eingabe Friseure'!AT20),"")</f>
        <v/>
      </c>
      <c r="S19" s="1148" t="str">
        <f>IF(SUM('4 Eingabe Friseure'!AC20,'4 Eingabe Friseure'!AI20,'4 Eingabe Friseure'!AO20,'4 Eingabe Friseure'!AU20)&gt;0,AVERAGE('4 Eingabe Friseure'!AC20,'4 Eingabe Friseure'!AI20,'4 Eingabe Friseure'!AO20,'4 Eingabe Friseure'!AU20),"")</f>
        <v/>
      </c>
      <c r="T19" s="1148" t="str">
        <f>IF(SUM('4 Eingabe Friseure'!AD20,'4 Eingabe Friseure'!AJ20,'4 Eingabe Friseure'!AP20,'4 Eingabe Friseure'!AV20)&gt;0,AVERAGE('4 Eingabe Friseure'!AD20,'4 Eingabe Friseure'!AJ20,'4 Eingabe Friseure'!AP20,'4 Eingabe Friseure'!AV20),"")</f>
        <v/>
      </c>
      <c r="U19" s="1148" t="str">
        <f>IF(SUM('4 Eingabe Friseure'!AE20,'4 Eingabe Friseure'!AK20,'4 Eingabe Friseure'!AQ20,'4 Eingabe Friseure'!AW20)&gt;0,AVERAGE('4 Eingabe Friseure'!AE20,'4 Eingabe Friseure'!AK20,'4 Eingabe Friseure'!AQ20,'4 Eingabe Friseure'!AW20),"")</f>
        <v/>
      </c>
      <c r="V19" s="1148" t="str">
        <f>IF(SUM('4 Eingabe Friseure'!AF20,'4 Eingabe Friseure'!AL20,'4 Eingabe Friseure'!AR20,'4 Eingabe Friseure'!AX20)&gt;0,AVERAGE('4 Eingabe Friseure'!AF20,'4 Eingabe Friseure'!AL20,'4 Eingabe Friseure'!AR20,'4 Eingabe Friseure'!AX20),"")</f>
        <v/>
      </c>
      <c r="W19" s="1148" t="str">
        <f>IF(SUM('4 Eingabe Friseure'!AG20,'4 Eingabe Friseure'!AM20,'4 Eingabe Friseure'!AS20,'4 Eingabe Friseure'!AY20)&gt;0,AVERAGE('4 Eingabe Friseure'!AG20,'4 Eingabe Friseure'!AM20,'4 Eingabe Friseure'!AS20,'4 Eingabe Friseure'!AY20),"")</f>
        <v/>
      </c>
      <c r="X19" s="1148"/>
      <c r="Y19" s="1148"/>
      <c r="Z19" s="1148"/>
      <c r="AA19" s="1148"/>
      <c r="AB19" s="1148"/>
      <c r="AC19" s="1148"/>
      <c r="AD19" s="1148"/>
      <c r="AE19" s="1148"/>
      <c r="AF19" s="1148"/>
      <c r="AG19" s="1148"/>
      <c r="AH19" s="36"/>
      <c r="AI19" s="36"/>
      <c r="AJ19" s="36"/>
      <c r="AK19" s="36"/>
      <c r="AL19" s="36"/>
      <c r="AM19" s="36"/>
      <c r="AN19" s="36"/>
      <c r="AO19" s="36"/>
      <c r="AP19" s="36"/>
      <c r="AQ19" s="36"/>
      <c r="AR19" s="36"/>
      <c r="AS19" s="36"/>
      <c r="AT19" s="36"/>
      <c r="AU19" s="36"/>
      <c r="AV19" s="36"/>
    </row>
    <row r="20" spans="1:48" ht="18" customHeight="1">
      <c r="A20" s="331" t="str">
        <f ca="1">IF('22 Sollumsatz pro MA '!A113="","",'22 Sollumsatz pro MA '!A113)</f>
        <v/>
      </c>
      <c r="B20" s="332" t="str">
        <f>'23 LF individuell'!T22</f>
        <v/>
      </c>
      <c r="C20" s="366" t="str">
        <f>'23 LF individuell'!D22</f>
        <v/>
      </c>
      <c r="D20" s="325" t="str">
        <f t="shared" si="0"/>
        <v/>
      </c>
      <c r="E20" s="326" t="str">
        <f t="shared" si="1"/>
        <v/>
      </c>
      <c r="F20" s="327" t="str">
        <f t="shared" si="2"/>
        <v/>
      </c>
      <c r="G20" s="326" t="str">
        <f t="shared" si="3"/>
        <v/>
      </c>
      <c r="H20" s="327" t="str">
        <f t="shared" si="4"/>
        <v/>
      </c>
      <c r="I20" s="326" t="str">
        <f t="shared" si="5"/>
        <v/>
      </c>
      <c r="J20" s="327" t="str">
        <f t="shared" si="6"/>
        <v/>
      </c>
      <c r="K20" s="326" t="str">
        <f t="shared" si="7"/>
        <v/>
      </c>
      <c r="L20" s="327" t="str">
        <f t="shared" si="8"/>
        <v/>
      </c>
      <c r="M20" s="326" t="str">
        <f t="shared" si="9"/>
        <v/>
      </c>
      <c r="N20" s="327" t="str">
        <f t="shared" si="10"/>
        <v/>
      </c>
      <c r="O20" s="326" t="str">
        <f t="shared" si="11"/>
        <v/>
      </c>
      <c r="P20" s="1943" t="str">
        <f>IF('23 LF individuell'!T22="","",'23 LF individuell'!T22)</f>
        <v/>
      </c>
      <c r="Q20" s="1943" t="str">
        <f>IF('23 LF individuell'!T69="","",'23 LF individuell'!T69)</f>
        <v/>
      </c>
      <c r="R20" s="1148" t="str">
        <f>IF(SUM('4 Eingabe Friseure'!AB21,'4 Eingabe Friseure'!AH21,'4 Eingabe Friseure'!AN21,'4 Eingabe Friseure'!AT21)&gt;0,AVERAGE('4 Eingabe Friseure'!AB21,'4 Eingabe Friseure'!AH21,'4 Eingabe Friseure'!AN21,'4 Eingabe Friseure'!AT21),"")</f>
        <v/>
      </c>
      <c r="S20" s="1148" t="str">
        <f>IF(SUM('4 Eingabe Friseure'!AC21,'4 Eingabe Friseure'!AI21,'4 Eingabe Friseure'!AO21,'4 Eingabe Friseure'!AU21)&gt;0,AVERAGE('4 Eingabe Friseure'!AC21,'4 Eingabe Friseure'!AI21,'4 Eingabe Friseure'!AO21,'4 Eingabe Friseure'!AU21),"")</f>
        <v/>
      </c>
      <c r="T20" s="1148" t="str">
        <f>IF(SUM('4 Eingabe Friseure'!AD21,'4 Eingabe Friseure'!AJ21,'4 Eingabe Friseure'!AP21,'4 Eingabe Friseure'!AV21)&gt;0,AVERAGE('4 Eingabe Friseure'!AD21,'4 Eingabe Friseure'!AJ21,'4 Eingabe Friseure'!AP21,'4 Eingabe Friseure'!AV21),"")</f>
        <v/>
      </c>
      <c r="U20" s="1148" t="str">
        <f>IF(SUM('4 Eingabe Friseure'!AE21,'4 Eingabe Friseure'!AK21,'4 Eingabe Friseure'!AQ21,'4 Eingabe Friseure'!AW21)&gt;0,AVERAGE('4 Eingabe Friseure'!AE21,'4 Eingabe Friseure'!AK21,'4 Eingabe Friseure'!AQ21,'4 Eingabe Friseure'!AW21),"")</f>
        <v/>
      </c>
      <c r="V20" s="1148" t="str">
        <f>IF(SUM('4 Eingabe Friseure'!AF21,'4 Eingabe Friseure'!AL21,'4 Eingabe Friseure'!AR21,'4 Eingabe Friseure'!AX21)&gt;0,AVERAGE('4 Eingabe Friseure'!AF21,'4 Eingabe Friseure'!AL21,'4 Eingabe Friseure'!AR21,'4 Eingabe Friseure'!AX21),"")</f>
        <v/>
      </c>
      <c r="W20" s="1148" t="str">
        <f>IF(SUM('4 Eingabe Friseure'!AG21,'4 Eingabe Friseure'!AM21,'4 Eingabe Friseure'!AS21,'4 Eingabe Friseure'!AY21)&gt;0,AVERAGE('4 Eingabe Friseure'!AG21,'4 Eingabe Friseure'!AM21,'4 Eingabe Friseure'!AS21,'4 Eingabe Friseure'!AY21),"")</f>
        <v/>
      </c>
      <c r="X20" s="1148"/>
      <c r="Y20" s="1148"/>
      <c r="Z20" s="1148"/>
      <c r="AA20" s="1148"/>
      <c r="AB20" s="1148"/>
      <c r="AC20" s="1148"/>
      <c r="AD20" s="1148"/>
      <c r="AE20" s="1148"/>
      <c r="AF20" s="1148"/>
      <c r="AG20" s="1148"/>
      <c r="AH20" s="36"/>
      <c r="AI20" s="36"/>
      <c r="AJ20" s="36"/>
      <c r="AK20" s="36"/>
      <c r="AL20" s="36"/>
      <c r="AM20" s="36"/>
      <c r="AN20" s="36"/>
      <c r="AO20" s="36"/>
      <c r="AP20" s="36"/>
      <c r="AQ20" s="36"/>
      <c r="AR20" s="36"/>
      <c r="AS20" s="36"/>
      <c r="AT20" s="36"/>
      <c r="AU20" s="36"/>
      <c r="AV20" s="36"/>
    </row>
    <row r="21" spans="1:48" ht="18" customHeight="1">
      <c r="A21" s="331" t="str">
        <f ca="1">IF('22 Sollumsatz pro MA '!A114="","",'22 Sollumsatz pro MA '!A114)</f>
        <v/>
      </c>
      <c r="B21" s="332" t="str">
        <f>'23 LF individuell'!T23</f>
        <v/>
      </c>
      <c r="C21" s="366" t="str">
        <f>'23 LF individuell'!D23</f>
        <v/>
      </c>
      <c r="D21" s="325" t="str">
        <f t="shared" si="0"/>
        <v/>
      </c>
      <c r="E21" s="326" t="str">
        <f t="shared" si="1"/>
        <v/>
      </c>
      <c r="F21" s="327" t="str">
        <f t="shared" si="2"/>
        <v/>
      </c>
      <c r="G21" s="326" t="str">
        <f t="shared" si="3"/>
        <v/>
      </c>
      <c r="H21" s="327" t="str">
        <f t="shared" si="4"/>
        <v/>
      </c>
      <c r="I21" s="326" t="str">
        <f t="shared" si="5"/>
        <v/>
      </c>
      <c r="J21" s="327" t="str">
        <f t="shared" si="6"/>
        <v/>
      </c>
      <c r="K21" s="326" t="str">
        <f t="shared" si="7"/>
        <v/>
      </c>
      <c r="L21" s="327" t="str">
        <f t="shared" si="8"/>
        <v/>
      </c>
      <c r="M21" s="326" t="str">
        <f t="shared" si="9"/>
        <v/>
      </c>
      <c r="N21" s="327" t="str">
        <f t="shared" si="10"/>
        <v/>
      </c>
      <c r="O21" s="326" t="str">
        <f t="shared" si="11"/>
        <v/>
      </c>
      <c r="P21" s="1943" t="str">
        <f>IF('23 LF individuell'!T23="","",'23 LF individuell'!T23)</f>
        <v/>
      </c>
      <c r="Q21" s="1943" t="str">
        <f>IF('23 LF individuell'!T70="","",'23 LF individuell'!T70)</f>
        <v/>
      </c>
      <c r="R21" s="1148" t="str">
        <f>IF(SUM('4 Eingabe Friseure'!AB22,'4 Eingabe Friseure'!AH22,'4 Eingabe Friseure'!AN22,'4 Eingabe Friseure'!AT22)&gt;0,AVERAGE('4 Eingabe Friseure'!AB22,'4 Eingabe Friseure'!AH22,'4 Eingabe Friseure'!AN22,'4 Eingabe Friseure'!AT22),"")</f>
        <v/>
      </c>
      <c r="S21" s="1148" t="str">
        <f>IF(SUM('4 Eingabe Friseure'!AC22,'4 Eingabe Friseure'!AI22,'4 Eingabe Friseure'!AO22,'4 Eingabe Friseure'!AU22)&gt;0,AVERAGE('4 Eingabe Friseure'!AC22,'4 Eingabe Friseure'!AI22,'4 Eingabe Friseure'!AO22,'4 Eingabe Friseure'!AU22),"")</f>
        <v/>
      </c>
      <c r="T21" s="1148" t="str">
        <f>IF(SUM('4 Eingabe Friseure'!AD22,'4 Eingabe Friseure'!AJ22,'4 Eingabe Friseure'!AP22,'4 Eingabe Friseure'!AV22)&gt;0,AVERAGE('4 Eingabe Friseure'!AD22,'4 Eingabe Friseure'!AJ22,'4 Eingabe Friseure'!AP22,'4 Eingabe Friseure'!AV22),"")</f>
        <v/>
      </c>
      <c r="U21" s="1148" t="str">
        <f>IF(SUM('4 Eingabe Friseure'!AE22,'4 Eingabe Friseure'!AK22,'4 Eingabe Friseure'!AQ22,'4 Eingabe Friseure'!AW22)&gt;0,AVERAGE('4 Eingabe Friseure'!AE22,'4 Eingabe Friseure'!AK22,'4 Eingabe Friseure'!AQ22,'4 Eingabe Friseure'!AW22),"")</f>
        <v/>
      </c>
      <c r="V21" s="1148" t="str">
        <f>IF(SUM('4 Eingabe Friseure'!AF22,'4 Eingabe Friseure'!AL22,'4 Eingabe Friseure'!AR22,'4 Eingabe Friseure'!AX22)&gt;0,AVERAGE('4 Eingabe Friseure'!AF22,'4 Eingabe Friseure'!AL22,'4 Eingabe Friseure'!AR22,'4 Eingabe Friseure'!AX22),"")</f>
        <v/>
      </c>
      <c r="W21" s="1148" t="str">
        <f>IF(SUM('4 Eingabe Friseure'!AG22,'4 Eingabe Friseure'!AM22,'4 Eingabe Friseure'!AS22,'4 Eingabe Friseure'!AY22)&gt;0,AVERAGE('4 Eingabe Friseure'!AG22,'4 Eingabe Friseure'!AM22,'4 Eingabe Friseure'!AS22,'4 Eingabe Friseure'!AY22),"")</f>
        <v/>
      </c>
      <c r="X21" s="1148"/>
      <c r="Y21" s="1148"/>
      <c r="Z21" s="1148"/>
      <c r="AA21" s="1148"/>
      <c r="AB21" s="1148"/>
      <c r="AC21" s="1148"/>
      <c r="AD21" s="1148"/>
      <c r="AE21" s="1148"/>
      <c r="AF21" s="1148"/>
      <c r="AG21" s="1148"/>
      <c r="AH21" s="36"/>
      <c r="AI21" s="36"/>
      <c r="AJ21" s="36"/>
      <c r="AK21" s="36"/>
      <c r="AL21" s="36"/>
      <c r="AM21" s="36"/>
      <c r="AN21" s="36"/>
      <c r="AO21" s="36"/>
      <c r="AP21" s="36"/>
      <c r="AQ21" s="36"/>
      <c r="AR21" s="36"/>
      <c r="AS21" s="36"/>
      <c r="AT21" s="36"/>
      <c r="AU21" s="36"/>
      <c r="AV21" s="36"/>
    </row>
    <row r="22" spans="1:48" ht="18" customHeight="1">
      <c r="A22" s="331" t="str">
        <f ca="1">IF('22 Sollumsatz pro MA '!A115="","",'22 Sollumsatz pro MA '!A115)</f>
        <v/>
      </c>
      <c r="B22" s="332" t="str">
        <f>'23 LF individuell'!T24</f>
        <v/>
      </c>
      <c r="C22" s="366" t="str">
        <f>'23 LF individuell'!D24</f>
        <v/>
      </c>
      <c r="D22" s="325" t="str">
        <f t="shared" si="0"/>
        <v/>
      </c>
      <c r="E22" s="326" t="str">
        <f t="shared" si="1"/>
        <v/>
      </c>
      <c r="F22" s="327" t="str">
        <f t="shared" si="2"/>
        <v/>
      </c>
      <c r="G22" s="326" t="str">
        <f t="shared" si="3"/>
        <v/>
      </c>
      <c r="H22" s="327" t="str">
        <f t="shared" si="4"/>
        <v/>
      </c>
      <c r="I22" s="326" t="str">
        <f t="shared" si="5"/>
        <v/>
      </c>
      <c r="J22" s="327" t="str">
        <f t="shared" si="6"/>
        <v/>
      </c>
      <c r="K22" s="326" t="str">
        <f t="shared" si="7"/>
        <v/>
      </c>
      <c r="L22" s="327" t="str">
        <f t="shared" si="8"/>
        <v/>
      </c>
      <c r="M22" s="326" t="str">
        <f t="shared" si="9"/>
        <v/>
      </c>
      <c r="N22" s="327" t="str">
        <f t="shared" si="10"/>
        <v/>
      </c>
      <c r="O22" s="326" t="str">
        <f t="shared" si="11"/>
        <v/>
      </c>
      <c r="P22" s="1943" t="str">
        <f>IF('23 LF individuell'!T24="","",'23 LF individuell'!T24)</f>
        <v/>
      </c>
      <c r="Q22" s="1943" t="str">
        <f>IF('23 LF individuell'!T71="","",'23 LF individuell'!T71)</f>
        <v/>
      </c>
      <c r="R22" s="1148" t="str">
        <f>IF(SUM('4 Eingabe Friseure'!AB23,'4 Eingabe Friseure'!AH23,'4 Eingabe Friseure'!AN23,'4 Eingabe Friseure'!AT23)&gt;0,AVERAGE('4 Eingabe Friseure'!AB23,'4 Eingabe Friseure'!AH23,'4 Eingabe Friseure'!AN23,'4 Eingabe Friseure'!AT23),"")</f>
        <v/>
      </c>
      <c r="S22" s="1148" t="str">
        <f>IF(SUM('4 Eingabe Friseure'!AC23,'4 Eingabe Friseure'!AI23,'4 Eingabe Friseure'!AO23,'4 Eingabe Friseure'!AU23)&gt;0,AVERAGE('4 Eingabe Friseure'!AC23,'4 Eingabe Friseure'!AI23,'4 Eingabe Friseure'!AO23,'4 Eingabe Friseure'!AU23),"")</f>
        <v/>
      </c>
      <c r="T22" s="1148" t="str">
        <f>IF(SUM('4 Eingabe Friseure'!AD23,'4 Eingabe Friseure'!AJ23,'4 Eingabe Friseure'!AP23,'4 Eingabe Friseure'!AV23)&gt;0,AVERAGE('4 Eingabe Friseure'!AD23,'4 Eingabe Friseure'!AJ23,'4 Eingabe Friseure'!AP23,'4 Eingabe Friseure'!AV23),"")</f>
        <v/>
      </c>
      <c r="U22" s="1148" t="str">
        <f>IF(SUM('4 Eingabe Friseure'!AE23,'4 Eingabe Friseure'!AK23,'4 Eingabe Friseure'!AQ23,'4 Eingabe Friseure'!AW23)&gt;0,AVERAGE('4 Eingabe Friseure'!AE23,'4 Eingabe Friseure'!AK23,'4 Eingabe Friseure'!AQ23,'4 Eingabe Friseure'!AW23),"")</f>
        <v/>
      </c>
      <c r="V22" s="1148" t="str">
        <f>IF(SUM('4 Eingabe Friseure'!AF23,'4 Eingabe Friseure'!AL23,'4 Eingabe Friseure'!AR23,'4 Eingabe Friseure'!AX23)&gt;0,AVERAGE('4 Eingabe Friseure'!AF23,'4 Eingabe Friseure'!AL23,'4 Eingabe Friseure'!AR23,'4 Eingabe Friseure'!AX23),"")</f>
        <v/>
      </c>
      <c r="W22" s="1148" t="str">
        <f>IF(SUM('4 Eingabe Friseure'!AG23,'4 Eingabe Friseure'!AM23,'4 Eingabe Friseure'!AS23,'4 Eingabe Friseure'!AY23)&gt;0,AVERAGE('4 Eingabe Friseure'!AG23,'4 Eingabe Friseure'!AM23,'4 Eingabe Friseure'!AS23,'4 Eingabe Friseure'!AY23),"")</f>
        <v/>
      </c>
      <c r="X22" s="1148"/>
      <c r="Y22" s="1148"/>
      <c r="Z22" s="1148"/>
      <c r="AA22" s="1148"/>
      <c r="AB22" s="1148"/>
      <c r="AC22" s="1148"/>
      <c r="AD22" s="1148"/>
      <c r="AE22" s="1148"/>
      <c r="AF22" s="1148"/>
      <c r="AG22" s="1148"/>
      <c r="AH22" s="36"/>
      <c r="AI22" s="36"/>
      <c r="AJ22" s="36"/>
      <c r="AK22" s="36"/>
      <c r="AL22" s="36"/>
      <c r="AM22" s="36"/>
      <c r="AN22" s="36"/>
      <c r="AO22" s="36"/>
      <c r="AP22" s="36"/>
      <c r="AQ22" s="36"/>
      <c r="AR22" s="36"/>
      <c r="AS22" s="36"/>
      <c r="AT22" s="36"/>
      <c r="AU22" s="36"/>
      <c r="AV22" s="36"/>
    </row>
    <row r="23" spans="1:48" ht="18" customHeight="1">
      <c r="A23" s="331" t="str">
        <f ca="1">IF('22 Sollumsatz pro MA '!A116="","",'22 Sollumsatz pro MA '!A116)</f>
        <v/>
      </c>
      <c r="B23" s="332" t="str">
        <f>'23 LF individuell'!T25</f>
        <v/>
      </c>
      <c r="C23" s="366" t="str">
        <f>'23 LF individuell'!D25</f>
        <v/>
      </c>
      <c r="D23" s="325" t="str">
        <f t="shared" si="0"/>
        <v/>
      </c>
      <c r="E23" s="326" t="str">
        <f t="shared" si="1"/>
        <v/>
      </c>
      <c r="F23" s="327" t="str">
        <f t="shared" si="2"/>
        <v/>
      </c>
      <c r="G23" s="326" t="str">
        <f t="shared" si="3"/>
        <v/>
      </c>
      <c r="H23" s="327" t="str">
        <f t="shared" si="4"/>
        <v/>
      </c>
      <c r="I23" s="326" t="str">
        <f t="shared" si="5"/>
        <v/>
      </c>
      <c r="J23" s="327" t="str">
        <f t="shared" si="6"/>
        <v/>
      </c>
      <c r="K23" s="326" t="str">
        <f t="shared" si="7"/>
        <v/>
      </c>
      <c r="L23" s="327" t="str">
        <f t="shared" si="8"/>
        <v/>
      </c>
      <c r="M23" s="326" t="str">
        <f t="shared" si="9"/>
        <v/>
      </c>
      <c r="N23" s="327" t="str">
        <f t="shared" si="10"/>
        <v/>
      </c>
      <c r="O23" s="326" t="str">
        <f t="shared" si="11"/>
        <v/>
      </c>
      <c r="P23" s="1943" t="str">
        <f>IF('23 LF individuell'!T25="","",'23 LF individuell'!T25)</f>
        <v/>
      </c>
      <c r="Q23" s="1943" t="str">
        <f>IF('23 LF individuell'!T72="","",'23 LF individuell'!T72)</f>
        <v/>
      </c>
      <c r="R23" s="1148" t="str">
        <f>IF(SUM('4 Eingabe Friseure'!AB24,'4 Eingabe Friseure'!AH24,'4 Eingabe Friseure'!AN24,'4 Eingabe Friseure'!AT24)&gt;0,AVERAGE('4 Eingabe Friseure'!AB24,'4 Eingabe Friseure'!AH24,'4 Eingabe Friseure'!AN24,'4 Eingabe Friseure'!AT24),"")</f>
        <v/>
      </c>
      <c r="S23" s="1148" t="str">
        <f>IF(SUM('4 Eingabe Friseure'!AC24,'4 Eingabe Friseure'!AI24,'4 Eingabe Friseure'!AO24,'4 Eingabe Friseure'!AU24)&gt;0,AVERAGE('4 Eingabe Friseure'!AC24,'4 Eingabe Friseure'!AI24,'4 Eingabe Friseure'!AO24,'4 Eingabe Friseure'!AU24),"")</f>
        <v/>
      </c>
      <c r="T23" s="1148" t="str">
        <f>IF(SUM('4 Eingabe Friseure'!AD24,'4 Eingabe Friseure'!AJ24,'4 Eingabe Friseure'!AP24,'4 Eingabe Friseure'!AV24)&gt;0,AVERAGE('4 Eingabe Friseure'!AD24,'4 Eingabe Friseure'!AJ24,'4 Eingabe Friseure'!AP24,'4 Eingabe Friseure'!AV24),"")</f>
        <v/>
      </c>
      <c r="U23" s="1148" t="str">
        <f>IF(SUM('4 Eingabe Friseure'!AE24,'4 Eingabe Friseure'!AK24,'4 Eingabe Friseure'!AQ24,'4 Eingabe Friseure'!AW24)&gt;0,AVERAGE('4 Eingabe Friseure'!AE24,'4 Eingabe Friseure'!AK24,'4 Eingabe Friseure'!AQ24,'4 Eingabe Friseure'!AW24),"")</f>
        <v/>
      </c>
      <c r="V23" s="1148" t="str">
        <f>IF(SUM('4 Eingabe Friseure'!AF24,'4 Eingabe Friseure'!AL24,'4 Eingabe Friseure'!AR24,'4 Eingabe Friseure'!AX24)&gt;0,AVERAGE('4 Eingabe Friseure'!AF24,'4 Eingabe Friseure'!AL24,'4 Eingabe Friseure'!AR24,'4 Eingabe Friseure'!AX24),"")</f>
        <v/>
      </c>
      <c r="W23" s="1148" t="str">
        <f>IF(SUM('4 Eingabe Friseure'!AG24,'4 Eingabe Friseure'!AM24,'4 Eingabe Friseure'!AS24,'4 Eingabe Friseure'!AY24)&gt;0,AVERAGE('4 Eingabe Friseure'!AG24,'4 Eingabe Friseure'!AM24,'4 Eingabe Friseure'!AS24,'4 Eingabe Friseure'!AY24),"")</f>
        <v/>
      </c>
      <c r="X23" s="1148"/>
      <c r="Y23" s="1148"/>
      <c r="Z23" s="1148"/>
      <c r="AA23" s="1148"/>
      <c r="AB23" s="1148"/>
      <c r="AC23" s="1148"/>
      <c r="AD23" s="1148"/>
      <c r="AE23" s="1148"/>
      <c r="AF23" s="1148"/>
      <c r="AG23" s="1148"/>
      <c r="AH23" s="36"/>
      <c r="AI23" s="36"/>
      <c r="AJ23" s="36"/>
      <c r="AK23" s="36"/>
      <c r="AL23" s="36"/>
      <c r="AM23" s="36"/>
      <c r="AN23" s="36"/>
      <c r="AO23" s="36"/>
      <c r="AP23" s="36"/>
      <c r="AQ23" s="36"/>
      <c r="AR23" s="36"/>
      <c r="AS23" s="36"/>
      <c r="AT23" s="36"/>
      <c r="AU23" s="36"/>
      <c r="AV23" s="36"/>
    </row>
    <row r="24" spans="1:48" ht="18" customHeight="1">
      <c r="A24" s="331" t="str">
        <f ca="1">IF('22 Sollumsatz pro MA '!A117="","",'22 Sollumsatz pro MA '!A117)</f>
        <v/>
      </c>
      <c r="B24" s="332" t="str">
        <f>'23 LF individuell'!T26</f>
        <v/>
      </c>
      <c r="C24" s="366" t="str">
        <f>'23 LF individuell'!D26</f>
        <v/>
      </c>
      <c r="D24" s="325" t="str">
        <f t="shared" si="0"/>
        <v/>
      </c>
      <c r="E24" s="326" t="str">
        <f t="shared" si="1"/>
        <v/>
      </c>
      <c r="F24" s="327" t="str">
        <f t="shared" si="2"/>
        <v/>
      </c>
      <c r="G24" s="326" t="str">
        <f t="shared" si="3"/>
        <v/>
      </c>
      <c r="H24" s="327" t="str">
        <f t="shared" si="4"/>
        <v/>
      </c>
      <c r="I24" s="326" t="str">
        <f t="shared" si="5"/>
        <v/>
      </c>
      <c r="J24" s="327" t="str">
        <f t="shared" si="6"/>
        <v/>
      </c>
      <c r="K24" s="326" t="str">
        <f t="shared" si="7"/>
        <v/>
      </c>
      <c r="L24" s="327" t="str">
        <f t="shared" si="8"/>
        <v/>
      </c>
      <c r="M24" s="326" t="str">
        <f t="shared" si="9"/>
        <v/>
      </c>
      <c r="N24" s="327" t="str">
        <f t="shared" si="10"/>
        <v/>
      </c>
      <c r="O24" s="326" t="str">
        <f t="shared" si="11"/>
        <v/>
      </c>
      <c r="P24" s="1943" t="str">
        <f>IF('23 LF individuell'!T26="","",'23 LF individuell'!T26)</f>
        <v/>
      </c>
      <c r="Q24" s="1943" t="str">
        <f>IF('23 LF individuell'!T73="","",'23 LF individuell'!T73)</f>
        <v/>
      </c>
      <c r="R24" s="1148" t="str">
        <f>IF(SUM('4 Eingabe Friseure'!AB25,'4 Eingabe Friseure'!AH25,'4 Eingabe Friseure'!AN25,'4 Eingabe Friseure'!AT25)&gt;0,AVERAGE('4 Eingabe Friseure'!AB25,'4 Eingabe Friseure'!AH25,'4 Eingabe Friseure'!AN25,'4 Eingabe Friseure'!AT25),"")</f>
        <v/>
      </c>
      <c r="S24" s="1148" t="str">
        <f>IF(SUM('4 Eingabe Friseure'!AC25,'4 Eingabe Friseure'!AI25,'4 Eingabe Friseure'!AO25,'4 Eingabe Friseure'!AU25)&gt;0,AVERAGE('4 Eingabe Friseure'!AC25,'4 Eingabe Friseure'!AI25,'4 Eingabe Friseure'!AO25,'4 Eingabe Friseure'!AU25),"")</f>
        <v/>
      </c>
      <c r="T24" s="1148" t="str">
        <f>IF(SUM('4 Eingabe Friseure'!AD25,'4 Eingabe Friseure'!AJ25,'4 Eingabe Friseure'!AP25,'4 Eingabe Friseure'!AV25)&gt;0,AVERAGE('4 Eingabe Friseure'!AD25,'4 Eingabe Friseure'!AJ25,'4 Eingabe Friseure'!AP25,'4 Eingabe Friseure'!AV25),"")</f>
        <v/>
      </c>
      <c r="U24" s="1148" t="str">
        <f>IF(SUM('4 Eingabe Friseure'!AE25,'4 Eingabe Friseure'!AK25,'4 Eingabe Friseure'!AQ25,'4 Eingabe Friseure'!AW25)&gt;0,AVERAGE('4 Eingabe Friseure'!AE25,'4 Eingabe Friseure'!AK25,'4 Eingabe Friseure'!AQ25,'4 Eingabe Friseure'!AW25),"")</f>
        <v/>
      </c>
      <c r="V24" s="1148" t="str">
        <f>IF(SUM('4 Eingabe Friseure'!AF25,'4 Eingabe Friseure'!AL25,'4 Eingabe Friseure'!AR25,'4 Eingabe Friseure'!AX25)&gt;0,AVERAGE('4 Eingabe Friseure'!AF25,'4 Eingabe Friseure'!AL25,'4 Eingabe Friseure'!AR25,'4 Eingabe Friseure'!AX25),"")</f>
        <v/>
      </c>
      <c r="W24" s="1148" t="str">
        <f>IF(SUM('4 Eingabe Friseure'!AG25,'4 Eingabe Friseure'!AM25,'4 Eingabe Friseure'!AS25,'4 Eingabe Friseure'!AY25)&gt;0,AVERAGE('4 Eingabe Friseure'!AG25,'4 Eingabe Friseure'!AM25,'4 Eingabe Friseure'!AS25,'4 Eingabe Friseure'!AY25),"")</f>
        <v/>
      </c>
      <c r="X24" s="1148"/>
      <c r="Y24" s="1148"/>
      <c r="Z24" s="1148"/>
      <c r="AA24" s="1148"/>
      <c r="AB24" s="1148"/>
      <c r="AC24" s="1148"/>
      <c r="AD24" s="1148"/>
      <c r="AE24" s="1148"/>
      <c r="AF24" s="1148"/>
      <c r="AG24" s="1148"/>
      <c r="AH24" s="36"/>
      <c r="AI24" s="36"/>
      <c r="AJ24" s="36"/>
      <c r="AK24" s="36"/>
      <c r="AL24" s="36"/>
      <c r="AM24" s="36"/>
      <c r="AN24" s="36"/>
      <c r="AO24" s="36"/>
      <c r="AP24" s="36"/>
      <c r="AQ24" s="36"/>
      <c r="AR24" s="36"/>
      <c r="AS24" s="36"/>
      <c r="AT24" s="36"/>
      <c r="AU24" s="36"/>
      <c r="AV24" s="36"/>
    </row>
    <row r="25" spans="1:48" s="15" customFormat="1" ht="15.75" customHeight="1">
      <c r="A25" s="3"/>
      <c r="B25" s="3"/>
      <c r="C25" s="3"/>
      <c r="D25" s="3"/>
      <c r="E25" s="3"/>
      <c r="F25" s="3"/>
      <c r="G25" s="3"/>
      <c r="H25" s="3"/>
      <c r="I25" s="3"/>
      <c r="J25" s="3"/>
      <c r="K25" s="3"/>
      <c r="L25" s="3"/>
      <c r="M25" s="3"/>
      <c r="N25" s="3"/>
      <c r="O25" s="3"/>
      <c r="P25" s="267"/>
      <c r="Q25" s="267"/>
      <c r="R25" s="1148" t="str">
        <f>IF(SUM('4 Eingabe Friseure'!AB29,'4 Eingabe Friseure'!AH29,'4 Eingabe Friseure'!AN29,'4 Eingabe Friseure'!AT29)&gt;0,AVERAGE('4 Eingabe Friseure'!AB29,'4 Eingabe Friseure'!AH29,'4 Eingabe Friseure'!AN29,'4 Eingabe Friseure'!AT29),"")</f>
        <v/>
      </c>
      <c r="S25" s="1148" t="str">
        <f>IF(SUM('4 Eingabe Friseure'!AC29,'4 Eingabe Friseure'!AI29,'4 Eingabe Friseure'!AO29,'4 Eingabe Friseure'!AU29)&gt;0,AVERAGE('4 Eingabe Friseure'!AC29,'4 Eingabe Friseure'!AI29,'4 Eingabe Friseure'!AO29,'4 Eingabe Friseure'!AU29),"")</f>
        <v/>
      </c>
      <c r="T25" s="1148" t="str">
        <f>IF(SUM('4 Eingabe Friseure'!AD29,'4 Eingabe Friseure'!AJ29,'4 Eingabe Friseure'!AP29,'4 Eingabe Friseure'!AV29)&gt;0,AVERAGE('4 Eingabe Friseure'!AD29,'4 Eingabe Friseure'!AJ29,'4 Eingabe Friseure'!AP29,'4 Eingabe Friseure'!AV29),"")</f>
        <v/>
      </c>
      <c r="U25" s="1148" t="str">
        <f>IF(SUM('4 Eingabe Friseure'!AE29,'4 Eingabe Friseure'!AK29,'4 Eingabe Friseure'!AQ29,'4 Eingabe Friseure'!AW29)&gt;0,AVERAGE('4 Eingabe Friseure'!AE29,'4 Eingabe Friseure'!AK29,'4 Eingabe Friseure'!AQ29,'4 Eingabe Friseure'!AW29),"")</f>
        <v/>
      </c>
      <c r="V25" s="1148" t="str">
        <f>IF(SUM('4 Eingabe Friseure'!AF29,'4 Eingabe Friseure'!AL29,'4 Eingabe Friseure'!AR29,'4 Eingabe Friseure'!AX29)&gt;0,AVERAGE('4 Eingabe Friseure'!AF29,'4 Eingabe Friseure'!AL29,'4 Eingabe Friseure'!AR29,'4 Eingabe Friseure'!AX29),"")</f>
        <v/>
      </c>
      <c r="W25" s="1148" t="str">
        <f>IF(SUM('4 Eingabe Friseure'!AG29,'4 Eingabe Friseure'!AM29,'4 Eingabe Friseure'!AS29,'4 Eingabe Friseure'!AY29)&gt;0,AVERAGE('4 Eingabe Friseure'!AG29,'4 Eingabe Friseure'!AM29,'4 Eingabe Friseure'!AS29,'4 Eingabe Friseure'!AY29),"")</f>
        <v/>
      </c>
      <c r="X25" s="1148"/>
      <c r="Y25" s="1148"/>
      <c r="Z25" s="1148"/>
      <c r="AA25" s="1148"/>
      <c r="AB25" s="1148"/>
      <c r="AC25" s="1148"/>
      <c r="AD25" s="1148"/>
      <c r="AE25" s="1148"/>
      <c r="AF25" s="1148"/>
      <c r="AG25" s="1148"/>
      <c r="AH25" s="36"/>
      <c r="AI25" s="36"/>
      <c r="AJ25" s="36"/>
      <c r="AK25" s="36"/>
      <c r="AL25" s="36"/>
      <c r="AM25" s="36"/>
      <c r="AN25" s="36"/>
      <c r="AO25" s="36"/>
      <c r="AP25" s="36"/>
      <c r="AQ25" s="36"/>
      <c r="AR25" s="36"/>
      <c r="AS25" s="36"/>
      <c r="AT25" s="36"/>
      <c r="AU25" s="36"/>
      <c r="AV25" s="36"/>
    </row>
    <row r="26" spans="1:48" s="15" customFormat="1" ht="17.25" customHeight="1">
      <c r="A26" s="396" t="str">
        <f ca="1">IF('22 Sollumsatz pro MA '!A124="","",'22 Sollumsatz pro MA '!A124)</f>
        <v/>
      </c>
      <c r="B26" s="332" t="str">
        <f>'23 LF individuell'!T31</f>
        <v/>
      </c>
      <c r="C26" s="366" t="str">
        <f>'23 LF individuell'!D31</f>
        <v/>
      </c>
      <c r="D26" s="325" t="str">
        <f t="shared" ref="D26:D41" si="12">IF($B26="","",IF(R26=0,"",R26))</f>
        <v/>
      </c>
      <c r="E26" s="326" t="str">
        <f t="shared" ref="E26:E41" si="13">IF(D26="","",R26*$B26)</f>
        <v/>
      </c>
      <c r="F26" s="327" t="str">
        <f t="shared" ref="F26:F41" si="14">IF($B26="","",IF(S26=0,"",S26))</f>
        <v/>
      </c>
      <c r="G26" s="326" t="str">
        <f t="shared" ref="G26:G41" si="15">IF(F26="","",F26*$B26)</f>
        <v/>
      </c>
      <c r="H26" s="327" t="str">
        <f t="shared" ref="H26:H41" si="16">IF($B26="","",IF(T26=0,"",T26))</f>
        <v/>
      </c>
      <c r="I26" s="326" t="str">
        <f t="shared" ref="I26:I41" si="17">IF(H26="","",H26*$B26)</f>
        <v/>
      </c>
      <c r="J26" s="327" t="str">
        <f t="shared" ref="J26:J41" si="18">IF($B26="","",IF(U26=0,"",U26))</f>
        <v/>
      </c>
      <c r="K26" s="326" t="str">
        <f t="shared" ref="K26:K41" si="19">IF(J26="","",J26*$B26)</f>
        <v/>
      </c>
      <c r="L26" s="327" t="str">
        <f t="shared" ref="L26:L41" si="20">IF($B26="","",IF(V26=0,"",V26))</f>
        <v/>
      </c>
      <c r="M26" s="326" t="str">
        <f t="shared" ref="M26:M41" si="21">IF(L26="","",L26*$B26)</f>
        <v/>
      </c>
      <c r="N26" s="327" t="str">
        <f t="shared" ref="N26:N41" si="22">IF($B26="","",IF(W26=0,"",W26))</f>
        <v/>
      </c>
      <c r="O26" s="326" t="str">
        <f t="shared" ref="O26:O41" si="23">IF(N26="","",N26*$B26)</f>
        <v/>
      </c>
      <c r="P26" s="1943" t="str">
        <f>IF('23 LF individuell'!T31="","",'23 LF individuell'!T31)</f>
        <v/>
      </c>
      <c r="Q26" s="1943" t="str">
        <f>IF('23 LF individuell'!T78="","",'23 LF individuell'!T78)</f>
        <v/>
      </c>
      <c r="R26" s="1148" t="str">
        <f>IF(SUM('4 Eingabe Friseure'!AB30,'4 Eingabe Friseure'!AH30,'4 Eingabe Friseure'!AN30,'4 Eingabe Friseure'!AT30)&gt;0,AVERAGE('4 Eingabe Friseure'!AB30,'4 Eingabe Friseure'!AH30,'4 Eingabe Friseure'!AN30,'4 Eingabe Friseure'!AT30),"")</f>
        <v/>
      </c>
      <c r="S26" s="1148" t="str">
        <f>IF(SUM('4 Eingabe Friseure'!AC30,'4 Eingabe Friseure'!AI30,'4 Eingabe Friseure'!AO30,'4 Eingabe Friseure'!AU30)&gt;0,AVERAGE('4 Eingabe Friseure'!AC30,'4 Eingabe Friseure'!AI30,'4 Eingabe Friseure'!AO30,'4 Eingabe Friseure'!AU30),"")</f>
        <v/>
      </c>
      <c r="T26" s="1148" t="str">
        <f>IF(SUM('4 Eingabe Friseure'!AD30,'4 Eingabe Friseure'!AJ30,'4 Eingabe Friseure'!AP30,'4 Eingabe Friseure'!AV30)&gt;0,AVERAGE('4 Eingabe Friseure'!AD30,'4 Eingabe Friseure'!AJ30,'4 Eingabe Friseure'!AP30,'4 Eingabe Friseure'!AV30),"")</f>
        <v/>
      </c>
      <c r="U26" s="1148" t="str">
        <f>IF(SUM('4 Eingabe Friseure'!AE30,'4 Eingabe Friseure'!AK30,'4 Eingabe Friseure'!AQ30,'4 Eingabe Friseure'!AW30)&gt;0,AVERAGE('4 Eingabe Friseure'!AE30,'4 Eingabe Friseure'!AK30,'4 Eingabe Friseure'!AQ30,'4 Eingabe Friseure'!AW30),"")</f>
        <v/>
      </c>
      <c r="V26" s="1148" t="str">
        <f>IF(SUM('4 Eingabe Friseure'!AF30,'4 Eingabe Friseure'!AL30,'4 Eingabe Friseure'!AR30,'4 Eingabe Friseure'!AX30)&gt;0,AVERAGE('4 Eingabe Friseure'!AF30,'4 Eingabe Friseure'!AL30,'4 Eingabe Friseure'!AR30,'4 Eingabe Friseure'!AX30),"")</f>
        <v/>
      </c>
      <c r="W26" s="1148" t="str">
        <f>IF(SUM('4 Eingabe Friseure'!AG30,'4 Eingabe Friseure'!AM30,'4 Eingabe Friseure'!AS30,'4 Eingabe Friseure'!AY30)&gt;0,AVERAGE('4 Eingabe Friseure'!AG30,'4 Eingabe Friseure'!AM30,'4 Eingabe Friseure'!AS30,'4 Eingabe Friseure'!AY30),"")</f>
        <v/>
      </c>
      <c r="X26" s="1148"/>
      <c r="Y26" s="1148"/>
      <c r="Z26" s="1148"/>
      <c r="AA26" s="1148"/>
      <c r="AB26" s="1148"/>
      <c r="AC26" s="1148"/>
      <c r="AD26" s="1148"/>
      <c r="AE26" s="1148"/>
      <c r="AF26" s="1148"/>
      <c r="AG26" s="1148"/>
      <c r="AH26" s="36"/>
      <c r="AI26" s="36"/>
      <c r="AJ26" s="36"/>
      <c r="AK26" s="36"/>
      <c r="AL26" s="36"/>
      <c r="AM26" s="36"/>
      <c r="AN26" s="36"/>
      <c r="AO26" s="36"/>
      <c r="AP26" s="36"/>
      <c r="AQ26" s="36"/>
      <c r="AR26" s="36"/>
      <c r="AS26" s="36"/>
      <c r="AT26" s="36"/>
      <c r="AU26" s="36"/>
      <c r="AV26" s="36"/>
    </row>
    <row r="27" spans="1:48" s="15" customFormat="1" ht="17.25" customHeight="1">
      <c r="A27" s="331" t="str">
        <f ca="1">IF('22 Sollumsatz pro MA '!A125="","",'22 Sollumsatz pro MA '!A125)</f>
        <v/>
      </c>
      <c r="B27" s="332" t="str">
        <f>'23 LF individuell'!T32</f>
        <v/>
      </c>
      <c r="C27" s="366" t="str">
        <f>'23 LF individuell'!D32</f>
        <v/>
      </c>
      <c r="D27" s="325" t="str">
        <f t="shared" si="12"/>
        <v/>
      </c>
      <c r="E27" s="326" t="str">
        <f t="shared" si="13"/>
        <v/>
      </c>
      <c r="F27" s="327" t="str">
        <f t="shared" si="14"/>
        <v/>
      </c>
      <c r="G27" s="326" t="str">
        <f t="shared" si="15"/>
        <v/>
      </c>
      <c r="H27" s="327" t="str">
        <f t="shared" si="16"/>
        <v/>
      </c>
      <c r="I27" s="326" t="str">
        <f t="shared" si="17"/>
        <v/>
      </c>
      <c r="J27" s="327" t="str">
        <f t="shared" si="18"/>
        <v/>
      </c>
      <c r="K27" s="326" t="str">
        <f t="shared" si="19"/>
        <v/>
      </c>
      <c r="L27" s="327" t="str">
        <f t="shared" si="20"/>
        <v/>
      </c>
      <c r="M27" s="326" t="str">
        <f t="shared" si="21"/>
        <v/>
      </c>
      <c r="N27" s="327" t="str">
        <f t="shared" si="22"/>
        <v/>
      </c>
      <c r="O27" s="326" t="str">
        <f t="shared" si="23"/>
        <v/>
      </c>
      <c r="P27" s="1943" t="str">
        <f>IF('23 LF individuell'!T32="","",'23 LF individuell'!T32)</f>
        <v/>
      </c>
      <c r="Q27" s="1943" t="str">
        <f>IF('23 LF individuell'!T79="","",'23 LF individuell'!T79)</f>
        <v/>
      </c>
      <c r="R27" s="1148" t="str">
        <f>IF(SUM('4 Eingabe Friseure'!AB31,'4 Eingabe Friseure'!AH31,'4 Eingabe Friseure'!AN31,'4 Eingabe Friseure'!AT31)&gt;0,AVERAGE('4 Eingabe Friseure'!AB31,'4 Eingabe Friseure'!AH31,'4 Eingabe Friseure'!AN31,'4 Eingabe Friseure'!AT31),"")</f>
        <v/>
      </c>
      <c r="S27" s="1148" t="str">
        <f>IF(SUM('4 Eingabe Friseure'!AC31,'4 Eingabe Friseure'!AI31,'4 Eingabe Friseure'!AO31,'4 Eingabe Friseure'!AU31)&gt;0,AVERAGE('4 Eingabe Friseure'!AC31,'4 Eingabe Friseure'!AI31,'4 Eingabe Friseure'!AO31,'4 Eingabe Friseure'!AU31),"")</f>
        <v/>
      </c>
      <c r="T27" s="1148" t="str">
        <f>IF(SUM('4 Eingabe Friseure'!AD31,'4 Eingabe Friseure'!AJ31,'4 Eingabe Friseure'!AP31,'4 Eingabe Friseure'!AV31)&gt;0,AVERAGE('4 Eingabe Friseure'!AD31,'4 Eingabe Friseure'!AJ31,'4 Eingabe Friseure'!AP31,'4 Eingabe Friseure'!AV31),"")</f>
        <v/>
      </c>
      <c r="U27" s="1148" t="str">
        <f>IF(SUM('4 Eingabe Friseure'!AE31,'4 Eingabe Friseure'!AK31,'4 Eingabe Friseure'!AQ31,'4 Eingabe Friseure'!AW31)&gt;0,AVERAGE('4 Eingabe Friseure'!AE31,'4 Eingabe Friseure'!AK31,'4 Eingabe Friseure'!AQ31,'4 Eingabe Friseure'!AW31),"")</f>
        <v/>
      </c>
      <c r="V27" s="1148" t="str">
        <f>IF(SUM('4 Eingabe Friseure'!AF31,'4 Eingabe Friseure'!AL31,'4 Eingabe Friseure'!AR31,'4 Eingabe Friseure'!AX31)&gt;0,AVERAGE('4 Eingabe Friseure'!AF31,'4 Eingabe Friseure'!AL31,'4 Eingabe Friseure'!AR31,'4 Eingabe Friseure'!AX31),"")</f>
        <v/>
      </c>
      <c r="W27" s="1148" t="str">
        <f>IF(SUM('4 Eingabe Friseure'!AG31,'4 Eingabe Friseure'!AM31,'4 Eingabe Friseure'!AS31,'4 Eingabe Friseure'!AY31)&gt;0,AVERAGE('4 Eingabe Friseure'!AG31,'4 Eingabe Friseure'!AM31,'4 Eingabe Friseure'!AS31,'4 Eingabe Friseure'!AY31),"")</f>
        <v/>
      </c>
      <c r="X27" s="1148"/>
      <c r="Y27" s="1148"/>
      <c r="Z27" s="1148"/>
      <c r="AA27" s="1148"/>
      <c r="AB27" s="1148"/>
      <c r="AC27" s="1148"/>
      <c r="AD27" s="1148"/>
      <c r="AE27" s="1148"/>
      <c r="AF27" s="1148"/>
      <c r="AG27" s="1148"/>
      <c r="AH27" s="36"/>
      <c r="AI27" s="36"/>
      <c r="AJ27" s="36"/>
      <c r="AK27" s="36"/>
      <c r="AL27" s="36"/>
      <c r="AM27" s="36"/>
      <c r="AN27" s="36"/>
      <c r="AO27" s="36"/>
      <c r="AP27" s="36"/>
      <c r="AQ27" s="36"/>
      <c r="AR27" s="36"/>
      <c r="AS27" s="36"/>
      <c r="AT27" s="36"/>
      <c r="AU27" s="36"/>
      <c r="AV27" s="36"/>
    </row>
    <row r="28" spans="1:48" s="15" customFormat="1" ht="17.25" customHeight="1">
      <c r="A28" s="331" t="str">
        <f ca="1">IF('22 Sollumsatz pro MA '!A126="","",'22 Sollumsatz pro MA '!A126)</f>
        <v/>
      </c>
      <c r="B28" s="332" t="str">
        <f>'23 LF individuell'!T33</f>
        <v/>
      </c>
      <c r="C28" s="366" t="str">
        <f>'23 LF individuell'!D33</f>
        <v/>
      </c>
      <c r="D28" s="325" t="str">
        <f t="shared" si="12"/>
        <v/>
      </c>
      <c r="E28" s="326" t="str">
        <f t="shared" si="13"/>
        <v/>
      </c>
      <c r="F28" s="327" t="str">
        <f t="shared" si="14"/>
        <v/>
      </c>
      <c r="G28" s="326" t="str">
        <f t="shared" si="15"/>
        <v/>
      </c>
      <c r="H28" s="327" t="str">
        <f t="shared" si="16"/>
        <v/>
      </c>
      <c r="I28" s="326" t="str">
        <f t="shared" si="17"/>
        <v/>
      </c>
      <c r="J28" s="327" t="str">
        <f t="shared" si="18"/>
        <v/>
      </c>
      <c r="K28" s="326" t="str">
        <f t="shared" si="19"/>
        <v/>
      </c>
      <c r="L28" s="327" t="str">
        <f t="shared" si="20"/>
        <v/>
      </c>
      <c r="M28" s="326" t="str">
        <f t="shared" si="21"/>
        <v/>
      </c>
      <c r="N28" s="327" t="str">
        <f t="shared" si="22"/>
        <v/>
      </c>
      <c r="O28" s="326" t="str">
        <f t="shared" si="23"/>
        <v/>
      </c>
      <c r="P28" s="1943" t="str">
        <f>IF('23 LF individuell'!T33="","",'23 LF individuell'!T33)</f>
        <v/>
      </c>
      <c r="Q28" s="1943" t="str">
        <f>IF('23 LF individuell'!T80="","",'23 LF individuell'!T80)</f>
        <v/>
      </c>
      <c r="R28" s="1148" t="str">
        <f>IF(SUM('4 Eingabe Friseure'!AB32,'4 Eingabe Friseure'!AH32,'4 Eingabe Friseure'!AN32,'4 Eingabe Friseure'!AT32)&gt;0,AVERAGE('4 Eingabe Friseure'!AB32,'4 Eingabe Friseure'!AH32,'4 Eingabe Friseure'!AN32,'4 Eingabe Friseure'!AT32),"")</f>
        <v/>
      </c>
      <c r="S28" s="1148" t="str">
        <f>IF(SUM('4 Eingabe Friseure'!AC32,'4 Eingabe Friseure'!AI32,'4 Eingabe Friseure'!AO32,'4 Eingabe Friseure'!AU32)&gt;0,AVERAGE('4 Eingabe Friseure'!AC32,'4 Eingabe Friseure'!AI32,'4 Eingabe Friseure'!AO32,'4 Eingabe Friseure'!AU32),"")</f>
        <v/>
      </c>
      <c r="T28" s="1148" t="str">
        <f>IF(SUM('4 Eingabe Friseure'!AD32,'4 Eingabe Friseure'!AJ32,'4 Eingabe Friseure'!AP32,'4 Eingabe Friseure'!AV32)&gt;0,AVERAGE('4 Eingabe Friseure'!AD32,'4 Eingabe Friseure'!AJ32,'4 Eingabe Friseure'!AP32,'4 Eingabe Friseure'!AV32),"")</f>
        <v/>
      </c>
      <c r="U28" s="1148" t="str">
        <f>IF(SUM('4 Eingabe Friseure'!AE32,'4 Eingabe Friseure'!AK32,'4 Eingabe Friseure'!AQ32,'4 Eingabe Friseure'!AW32)&gt;0,AVERAGE('4 Eingabe Friseure'!AE32,'4 Eingabe Friseure'!AK32,'4 Eingabe Friseure'!AQ32,'4 Eingabe Friseure'!AW32),"")</f>
        <v/>
      </c>
      <c r="V28" s="1148" t="str">
        <f>IF(SUM('4 Eingabe Friseure'!AF32,'4 Eingabe Friseure'!AL32,'4 Eingabe Friseure'!AR32,'4 Eingabe Friseure'!AX32)&gt;0,AVERAGE('4 Eingabe Friseure'!AF32,'4 Eingabe Friseure'!AL32,'4 Eingabe Friseure'!AR32,'4 Eingabe Friseure'!AX32),"")</f>
        <v/>
      </c>
      <c r="W28" s="1148" t="str">
        <f>IF(SUM('4 Eingabe Friseure'!AG32,'4 Eingabe Friseure'!AM32,'4 Eingabe Friseure'!AS32,'4 Eingabe Friseure'!AY32)&gt;0,AVERAGE('4 Eingabe Friseure'!AG32,'4 Eingabe Friseure'!AM32,'4 Eingabe Friseure'!AS32,'4 Eingabe Friseure'!AY32),"")</f>
        <v/>
      </c>
      <c r="X28" s="1148"/>
      <c r="Y28" s="1148"/>
      <c r="Z28" s="1148"/>
      <c r="AA28" s="1148"/>
      <c r="AB28" s="1148"/>
      <c r="AC28" s="1148"/>
      <c r="AD28" s="1148"/>
      <c r="AE28" s="1148"/>
      <c r="AF28" s="1148"/>
      <c r="AG28" s="1148"/>
      <c r="AH28" s="36"/>
      <c r="AI28" s="36"/>
      <c r="AJ28" s="36"/>
      <c r="AK28" s="36"/>
      <c r="AL28" s="36"/>
      <c r="AM28" s="36"/>
      <c r="AN28" s="36"/>
      <c r="AO28" s="36"/>
      <c r="AP28" s="36"/>
      <c r="AQ28" s="36"/>
      <c r="AR28" s="36"/>
      <c r="AS28" s="36"/>
      <c r="AT28" s="36"/>
      <c r="AU28" s="36"/>
      <c r="AV28" s="36"/>
    </row>
    <row r="29" spans="1:48" s="15" customFormat="1" ht="17.25" customHeight="1">
      <c r="A29" s="331" t="str">
        <f ca="1">IF('22 Sollumsatz pro MA '!A127="","",'22 Sollumsatz pro MA '!A127)</f>
        <v/>
      </c>
      <c r="B29" s="332" t="str">
        <f>'23 LF individuell'!T34</f>
        <v/>
      </c>
      <c r="C29" s="366" t="str">
        <f>'23 LF individuell'!D34</f>
        <v/>
      </c>
      <c r="D29" s="325" t="str">
        <f t="shared" si="12"/>
        <v/>
      </c>
      <c r="E29" s="326" t="str">
        <f t="shared" si="13"/>
        <v/>
      </c>
      <c r="F29" s="327" t="str">
        <f t="shared" si="14"/>
        <v/>
      </c>
      <c r="G29" s="326" t="str">
        <f t="shared" si="15"/>
        <v/>
      </c>
      <c r="H29" s="327" t="str">
        <f t="shared" si="16"/>
        <v/>
      </c>
      <c r="I29" s="326" t="str">
        <f t="shared" si="17"/>
        <v/>
      </c>
      <c r="J29" s="327" t="str">
        <f t="shared" si="18"/>
        <v/>
      </c>
      <c r="K29" s="326" t="str">
        <f t="shared" si="19"/>
        <v/>
      </c>
      <c r="L29" s="327" t="str">
        <f t="shared" si="20"/>
        <v/>
      </c>
      <c r="M29" s="326" t="str">
        <f t="shared" si="21"/>
        <v/>
      </c>
      <c r="N29" s="327" t="str">
        <f t="shared" si="22"/>
        <v/>
      </c>
      <c r="O29" s="326" t="str">
        <f t="shared" si="23"/>
        <v/>
      </c>
      <c r="P29" s="1943" t="str">
        <f>IF('23 LF individuell'!T34="","",'23 LF individuell'!T34)</f>
        <v/>
      </c>
      <c r="Q29" s="1943" t="str">
        <f>IF('23 LF individuell'!T81="","",'23 LF individuell'!T81)</f>
        <v/>
      </c>
      <c r="R29" s="1148" t="str">
        <f>IF(SUM('4 Eingabe Friseure'!AB33,'4 Eingabe Friseure'!AH33,'4 Eingabe Friseure'!AN33,'4 Eingabe Friseure'!AT33)&gt;0,AVERAGE('4 Eingabe Friseure'!AB33,'4 Eingabe Friseure'!AH33,'4 Eingabe Friseure'!AN33,'4 Eingabe Friseure'!AT33),"")</f>
        <v/>
      </c>
      <c r="S29" s="1148" t="str">
        <f>IF(SUM('4 Eingabe Friseure'!AC33,'4 Eingabe Friseure'!AI33,'4 Eingabe Friseure'!AO33,'4 Eingabe Friseure'!AU33)&gt;0,AVERAGE('4 Eingabe Friseure'!AC33,'4 Eingabe Friseure'!AI33,'4 Eingabe Friseure'!AO33,'4 Eingabe Friseure'!AU33),"")</f>
        <v/>
      </c>
      <c r="T29" s="1148" t="str">
        <f>IF(SUM('4 Eingabe Friseure'!AD33,'4 Eingabe Friseure'!AJ33,'4 Eingabe Friseure'!AP33,'4 Eingabe Friseure'!AV33)&gt;0,AVERAGE('4 Eingabe Friseure'!AD33,'4 Eingabe Friseure'!AJ33,'4 Eingabe Friseure'!AP33,'4 Eingabe Friseure'!AV33),"")</f>
        <v/>
      </c>
      <c r="U29" s="1148" t="str">
        <f>IF(SUM('4 Eingabe Friseure'!AE33,'4 Eingabe Friseure'!AK33,'4 Eingabe Friseure'!AQ33,'4 Eingabe Friseure'!AW33)&gt;0,AVERAGE('4 Eingabe Friseure'!AE33,'4 Eingabe Friseure'!AK33,'4 Eingabe Friseure'!AQ33,'4 Eingabe Friseure'!AW33),"")</f>
        <v/>
      </c>
      <c r="V29" s="1148" t="str">
        <f>IF(SUM('4 Eingabe Friseure'!AF33,'4 Eingabe Friseure'!AL33,'4 Eingabe Friseure'!AR33,'4 Eingabe Friseure'!AX33)&gt;0,AVERAGE('4 Eingabe Friseure'!AF33,'4 Eingabe Friseure'!AL33,'4 Eingabe Friseure'!AR33,'4 Eingabe Friseure'!AX33),"")</f>
        <v/>
      </c>
      <c r="W29" s="1148" t="str">
        <f>IF(SUM('4 Eingabe Friseure'!AG33,'4 Eingabe Friseure'!AM33,'4 Eingabe Friseure'!AS33,'4 Eingabe Friseure'!AY33)&gt;0,AVERAGE('4 Eingabe Friseure'!AG33,'4 Eingabe Friseure'!AM33,'4 Eingabe Friseure'!AS33,'4 Eingabe Friseure'!AY33),"")</f>
        <v/>
      </c>
      <c r="X29" s="1148"/>
      <c r="Y29" s="1148"/>
      <c r="Z29" s="1148"/>
      <c r="AA29" s="1148"/>
      <c r="AB29" s="1148"/>
      <c r="AC29" s="1148"/>
      <c r="AD29" s="1148"/>
      <c r="AE29" s="1148"/>
      <c r="AF29" s="1148"/>
      <c r="AG29" s="1148"/>
      <c r="AH29" s="36"/>
      <c r="AI29" s="36"/>
      <c r="AJ29" s="36"/>
      <c r="AK29" s="36"/>
      <c r="AL29" s="36"/>
      <c r="AM29" s="36"/>
      <c r="AN29" s="36"/>
      <c r="AO29" s="36"/>
      <c r="AP29" s="36"/>
      <c r="AQ29" s="36"/>
      <c r="AR29" s="36"/>
      <c r="AS29" s="36"/>
      <c r="AT29" s="36"/>
      <c r="AU29" s="36"/>
      <c r="AV29" s="36"/>
    </row>
    <row r="30" spans="1:48" s="15" customFormat="1" ht="17.25" customHeight="1">
      <c r="A30" s="331" t="str">
        <f ca="1">IF('22 Sollumsatz pro MA '!A128="","",'22 Sollumsatz pro MA '!A128)</f>
        <v/>
      </c>
      <c r="B30" s="332" t="str">
        <f>'23 LF individuell'!T35</f>
        <v/>
      </c>
      <c r="C30" s="366" t="str">
        <f>'23 LF individuell'!D35</f>
        <v/>
      </c>
      <c r="D30" s="325" t="str">
        <f t="shared" si="12"/>
        <v/>
      </c>
      <c r="E30" s="326" t="str">
        <f t="shared" si="13"/>
        <v/>
      </c>
      <c r="F30" s="327" t="str">
        <f t="shared" si="14"/>
        <v/>
      </c>
      <c r="G30" s="326" t="str">
        <f t="shared" si="15"/>
        <v/>
      </c>
      <c r="H30" s="327" t="str">
        <f t="shared" si="16"/>
        <v/>
      </c>
      <c r="I30" s="326" t="str">
        <f t="shared" si="17"/>
        <v/>
      </c>
      <c r="J30" s="327" t="str">
        <f t="shared" si="18"/>
        <v/>
      </c>
      <c r="K30" s="326" t="str">
        <f t="shared" si="19"/>
        <v/>
      </c>
      <c r="L30" s="327" t="str">
        <f t="shared" si="20"/>
        <v/>
      </c>
      <c r="M30" s="326" t="str">
        <f t="shared" si="21"/>
        <v/>
      </c>
      <c r="N30" s="327" t="str">
        <f t="shared" si="22"/>
        <v/>
      </c>
      <c r="O30" s="326" t="str">
        <f t="shared" si="23"/>
        <v/>
      </c>
      <c r="P30" s="1943" t="str">
        <f>IF('23 LF individuell'!T35="","",'23 LF individuell'!T35)</f>
        <v/>
      </c>
      <c r="Q30" s="1943" t="str">
        <f>IF('23 LF individuell'!T82="","",'23 LF individuell'!T82)</f>
        <v/>
      </c>
      <c r="R30" s="1148" t="str">
        <f>IF(SUM('4 Eingabe Friseure'!AB34,'4 Eingabe Friseure'!AH34,'4 Eingabe Friseure'!AN34,'4 Eingabe Friseure'!AT34)&gt;0,AVERAGE('4 Eingabe Friseure'!AB34,'4 Eingabe Friseure'!AH34,'4 Eingabe Friseure'!AN34,'4 Eingabe Friseure'!AT34),"")</f>
        <v/>
      </c>
      <c r="S30" s="1148" t="str">
        <f>IF(SUM('4 Eingabe Friseure'!AC34,'4 Eingabe Friseure'!AI34,'4 Eingabe Friseure'!AO34,'4 Eingabe Friseure'!AU34)&gt;0,AVERAGE('4 Eingabe Friseure'!AC34,'4 Eingabe Friseure'!AI34,'4 Eingabe Friseure'!AO34,'4 Eingabe Friseure'!AU34),"")</f>
        <v/>
      </c>
      <c r="T30" s="1148" t="str">
        <f>IF(SUM('4 Eingabe Friseure'!AD34,'4 Eingabe Friseure'!AJ34,'4 Eingabe Friseure'!AP34,'4 Eingabe Friseure'!AV34)&gt;0,AVERAGE('4 Eingabe Friseure'!AD34,'4 Eingabe Friseure'!AJ34,'4 Eingabe Friseure'!AP34,'4 Eingabe Friseure'!AV34),"")</f>
        <v/>
      </c>
      <c r="U30" s="1148" t="str">
        <f>IF(SUM('4 Eingabe Friseure'!AE34,'4 Eingabe Friseure'!AK34,'4 Eingabe Friseure'!AQ34,'4 Eingabe Friseure'!AW34)&gt;0,AVERAGE('4 Eingabe Friseure'!AE34,'4 Eingabe Friseure'!AK34,'4 Eingabe Friseure'!AQ34,'4 Eingabe Friseure'!AW34),"")</f>
        <v/>
      </c>
      <c r="V30" s="1148" t="str">
        <f>IF(SUM('4 Eingabe Friseure'!AF34,'4 Eingabe Friseure'!AL34,'4 Eingabe Friseure'!AR34,'4 Eingabe Friseure'!AX34)&gt;0,AVERAGE('4 Eingabe Friseure'!AF34,'4 Eingabe Friseure'!AL34,'4 Eingabe Friseure'!AR34,'4 Eingabe Friseure'!AX34),"")</f>
        <v/>
      </c>
      <c r="W30" s="1148" t="str">
        <f>IF(SUM('4 Eingabe Friseure'!AG34,'4 Eingabe Friseure'!AM34,'4 Eingabe Friseure'!AS34,'4 Eingabe Friseure'!AY34)&gt;0,AVERAGE('4 Eingabe Friseure'!AG34,'4 Eingabe Friseure'!AM34,'4 Eingabe Friseure'!AS34,'4 Eingabe Friseure'!AY34),"")</f>
        <v/>
      </c>
      <c r="X30" s="1148"/>
      <c r="Y30" s="1148"/>
      <c r="Z30" s="1148"/>
      <c r="AA30" s="1148"/>
      <c r="AB30" s="1148"/>
      <c r="AC30" s="1148"/>
      <c r="AD30" s="1148"/>
      <c r="AE30" s="1148"/>
      <c r="AF30" s="1148"/>
      <c r="AG30" s="1148"/>
      <c r="AH30" s="36"/>
      <c r="AI30" s="36"/>
      <c r="AJ30" s="36"/>
      <c r="AK30" s="36"/>
      <c r="AL30" s="36"/>
      <c r="AM30" s="36"/>
      <c r="AN30" s="36"/>
      <c r="AO30" s="36"/>
      <c r="AP30" s="36"/>
      <c r="AQ30" s="36"/>
      <c r="AR30" s="36"/>
      <c r="AS30" s="36"/>
      <c r="AT30" s="36"/>
      <c r="AU30" s="36"/>
      <c r="AV30" s="36"/>
    </row>
    <row r="31" spans="1:48" s="15" customFormat="1" ht="17.25" customHeight="1">
      <c r="A31" s="331" t="str">
        <f ca="1">IF('22 Sollumsatz pro MA '!A129="","",'22 Sollumsatz pro MA '!A129)</f>
        <v/>
      </c>
      <c r="B31" s="332" t="str">
        <f>'23 LF individuell'!T36</f>
        <v/>
      </c>
      <c r="C31" s="366" t="str">
        <f>'23 LF individuell'!D36</f>
        <v/>
      </c>
      <c r="D31" s="325" t="str">
        <f t="shared" si="12"/>
        <v/>
      </c>
      <c r="E31" s="326" t="str">
        <f t="shared" si="13"/>
        <v/>
      </c>
      <c r="F31" s="327" t="str">
        <f t="shared" si="14"/>
        <v/>
      </c>
      <c r="G31" s="326" t="str">
        <f t="shared" si="15"/>
        <v/>
      </c>
      <c r="H31" s="327" t="str">
        <f t="shared" si="16"/>
        <v/>
      </c>
      <c r="I31" s="326" t="str">
        <f t="shared" si="17"/>
        <v/>
      </c>
      <c r="J31" s="327" t="str">
        <f t="shared" si="18"/>
        <v/>
      </c>
      <c r="K31" s="326" t="str">
        <f t="shared" si="19"/>
        <v/>
      </c>
      <c r="L31" s="327" t="str">
        <f t="shared" si="20"/>
        <v/>
      </c>
      <c r="M31" s="326" t="str">
        <f t="shared" si="21"/>
        <v/>
      </c>
      <c r="N31" s="327" t="str">
        <f t="shared" si="22"/>
        <v/>
      </c>
      <c r="O31" s="326" t="str">
        <f t="shared" si="23"/>
        <v/>
      </c>
      <c r="P31" s="1943" t="str">
        <f>IF('23 LF individuell'!T36="","",'23 LF individuell'!T36)</f>
        <v/>
      </c>
      <c r="Q31" s="1943" t="str">
        <f>IF('23 LF individuell'!T83="","",'23 LF individuell'!T83)</f>
        <v/>
      </c>
      <c r="R31" s="1148" t="str">
        <f>IF(SUM('4 Eingabe Friseure'!AB35,'4 Eingabe Friseure'!AH35,'4 Eingabe Friseure'!AN35,'4 Eingabe Friseure'!AT35)&gt;0,AVERAGE('4 Eingabe Friseure'!AB35,'4 Eingabe Friseure'!AH35,'4 Eingabe Friseure'!AN35,'4 Eingabe Friseure'!AT35),"")</f>
        <v/>
      </c>
      <c r="S31" s="1148" t="str">
        <f>IF(SUM('4 Eingabe Friseure'!AC35,'4 Eingabe Friseure'!AI35,'4 Eingabe Friseure'!AO35,'4 Eingabe Friseure'!AU35)&gt;0,AVERAGE('4 Eingabe Friseure'!AC35,'4 Eingabe Friseure'!AI35,'4 Eingabe Friseure'!AO35,'4 Eingabe Friseure'!AU35),"")</f>
        <v/>
      </c>
      <c r="T31" s="1148" t="str">
        <f>IF(SUM('4 Eingabe Friseure'!AD35,'4 Eingabe Friseure'!AJ35,'4 Eingabe Friseure'!AP35,'4 Eingabe Friseure'!AV35)&gt;0,AVERAGE('4 Eingabe Friseure'!AD35,'4 Eingabe Friseure'!AJ35,'4 Eingabe Friseure'!AP35,'4 Eingabe Friseure'!AV35),"")</f>
        <v/>
      </c>
      <c r="U31" s="1148" t="str">
        <f>IF(SUM('4 Eingabe Friseure'!AE35,'4 Eingabe Friseure'!AK35,'4 Eingabe Friseure'!AQ35,'4 Eingabe Friseure'!AW35)&gt;0,AVERAGE('4 Eingabe Friseure'!AE35,'4 Eingabe Friseure'!AK35,'4 Eingabe Friseure'!AQ35,'4 Eingabe Friseure'!AW35),"")</f>
        <v/>
      </c>
      <c r="V31" s="1148" t="str">
        <f>IF(SUM('4 Eingabe Friseure'!AF35,'4 Eingabe Friseure'!AL35,'4 Eingabe Friseure'!AR35,'4 Eingabe Friseure'!AX35)&gt;0,AVERAGE('4 Eingabe Friseure'!AF35,'4 Eingabe Friseure'!AL35,'4 Eingabe Friseure'!AR35,'4 Eingabe Friseure'!AX35),"")</f>
        <v/>
      </c>
      <c r="W31" s="1148" t="str">
        <f>IF(SUM('4 Eingabe Friseure'!AG35,'4 Eingabe Friseure'!AM35,'4 Eingabe Friseure'!AS35,'4 Eingabe Friseure'!AY35)&gt;0,AVERAGE('4 Eingabe Friseure'!AG35,'4 Eingabe Friseure'!AM35,'4 Eingabe Friseure'!AS35,'4 Eingabe Friseure'!AY35),"")</f>
        <v/>
      </c>
      <c r="X31" s="1148"/>
      <c r="Y31" s="1148"/>
      <c r="Z31" s="1148"/>
      <c r="AA31" s="1148"/>
      <c r="AB31" s="1148"/>
      <c r="AC31" s="1148"/>
      <c r="AD31" s="1148"/>
      <c r="AE31" s="1148"/>
      <c r="AF31" s="1148"/>
      <c r="AG31" s="1148"/>
      <c r="AH31" s="36"/>
      <c r="AI31" s="36"/>
      <c r="AJ31" s="36"/>
      <c r="AK31" s="36"/>
      <c r="AL31" s="36"/>
      <c r="AM31" s="36"/>
      <c r="AN31" s="36"/>
      <c r="AO31" s="36"/>
      <c r="AP31" s="36"/>
      <c r="AQ31" s="36"/>
      <c r="AR31" s="36"/>
      <c r="AS31" s="36"/>
      <c r="AT31" s="36"/>
      <c r="AU31" s="36"/>
      <c r="AV31" s="36"/>
    </row>
    <row r="32" spans="1:48" s="15" customFormat="1" ht="17.25" customHeight="1">
      <c r="A32" s="331" t="str">
        <f ca="1">IF('22 Sollumsatz pro MA '!A130="","",'22 Sollumsatz pro MA '!A130)</f>
        <v/>
      </c>
      <c r="B32" s="332" t="str">
        <f>'23 LF individuell'!T37</f>
        <v/>
      </c>
      <c r="C32" s="366" t="str">
        <f>'23 LF individuell'!D37</f>
        <v/>
      </c>
      <c r="D32" s="325" t="str">
        <f t="shared" si="12"/>
        <v/>
      </c>
      <c r="E32" s="326" t="str">
        <f t="shared" si="13"/>
        <v/>
      </c>
      <c r="F32" s="327" t="str">
        <f t="shared" si="14"/>
        <v/>
      </c>
      <c r="G32" s="326" t="str">
        <f t="shared" si="15"/>
        <v/>
      </c>
      <c r="H32" s="327" t="str">
        <f t="shared" si="16"/>
        <v/>
      </c>
      <c r="I32" s="326" t="str">
        <f t="shared" si="17"/>
        <v/>
      </c>
      <c r="J32" s="327" t="str">
        <f t="shared" si="18"/>
        <v/>
      </c>
      <c r="K32" s="326" t="str">
        <f t="shared" si="19"/>
        <v/>
      </c>
      <c r="L32" s="327" t="str">
        <f t="shared" si="20"/>
        <v/>
      </c>
      <c r="M32" s="326" t="str">
        <f t="shared" si="21"/>
        <v/>
      </c>
      <c r="N32" s="327" t="str">
        <f t="shared" si="22"/>
        <v/>
      </c>
      <c r="O32" s="326" t="str">
        <f t="shared" si="23"/>
        <v/>
      </c>
      <c r="P32" s="1943" t="str">
        <f>IF('23 LF individuell'!T37="","",'23 LF individuell'!T37)</f>
        <v/>
      </c>
      <c r="Q32" s="1943" t="str">
        <f>IF('23 LF individuell'!T84="","",'23 LF individuell'!T84)</f>
        <v/>
      </c>
      <c r="R32" s="1148" t="str">
        <f>IF(SUM('4 Eingabe Friseure'!AB36,'4 Eingabe Friseure'!AH36,'4 Eingabe Friseure'!AN36,'4 Eingabe Friseure'!AT36)&gt;0,AVERAGE('4 Eingabe Friseure'!AB36,'4 Eingabe Friseure'!AH36,'4 Eingabe Friseure'!AN36,'4 Eingabe Friseure'!AT36),"")</f>
        <v/>
      </c>
      <c r="S32" s="1148" t="str">
        <f>IF(SUM('4 Eingabe Friseure'!AC36,'4 Eingabe Friseure'!AI36,'4 Eingabe Friseure'!AO36,'4 Eingabe Friseure'!AU36)&gt;0,AVERAGE('4 Eingabe Friseure'!AC36,'4 Eingabe Friseure'!AI36,'4 Eingabe Friseure'!AO36,'4 Eingabe Friseure'!AU36),"")</f>
        <v/>
      </c>
      <c r="T32" s="1148" t="str">
        <f>IF(SUM('4 Eingabe Friseure'!AD36,'4 Eingabe Friseure'!AJ36,'4 Eingabe Friseure'!AP36,'4 Eingabe Friseure'!AV36)&gt;0,AVERAGE('4 Eingabe Friseure'!AD36,'4 Eingabe Friseure'!AJ36,'4 Eingabe Friseure'!AP36,'4 Eingabe Friseure'!AV36),"")</f>
        <v/>
      </c>
      <c r="U32" s="1148" t="str">
        <f>IF(SUM('4 Eingabe Friseure'!AE36,'4 Eingabe Friseure'!AK36,'4 Eingabe Friseure'!AQ36,'4 Eingabe Friseure'!AW36)&gt;0,AVERAGE('4 Eingabe Friseure'!AE36,'4 Eingabe Friseure'!AK36,'4 Eingabe Friseure'!AQ36,'4 Eingabe Friseure'!AW36),"")</f>
        <v/>
      </c>
      <c r="V32" s="1148" t="str">
        <f>IF(SUM('4 Eingabe Friseure'!AF36,'4 Eingabe Friseure'!AL36,'4 Eingabe Friseure'!AR36,'4 Eingabe Friseure'!AX36)&gt;0,AVERAGE('4 Eingabe Friseure'!AF36,'4 Eingabe Friseure'!AL36,'4 Eingabe Friseure'!AR36,'4 Eingabe Friseure'!AX36),"")</f>
        <v/>
      </c>
      <c r="W32" s="1148" t="str">
        <f>IF(SUM('4 Eingabe Friseure'!AG36,'4 Eingabe Friseure'!AM36,'4 Eingabe Friseure'!AS36,'4 Eingabe Friseure'!AY36)&gt;0,AVERAGE('4 Eingabe Friseure'!AG36,'4 Eingabe Friseure'!AM36,'4 Eingabe Friseure'!AS36,'4 Eingabe Friseure'!AY36),"")</f>
        <v/>
      </c>
      <c r="X32" s="1148"/>
      <c r="Y32" s="1148"/>
      <c r="Z32" s="1148"/>
      <c r="AA32" s="1148"/>
      <c r="AB32" s="1148"/>
      <c r="AC32" s="1148"/>
      <c r="AD32" s="1148"/>
      <c r="AE32" s="1148"/>
      <c r="AF32" s="1148"/>
      <c r="AG32" s="1148"/>
      <c r="AH32" s="36"/>
      <c r="AI32" s="36"/>
      <c r="AJ32" s="36"/>
      <c r="AK32" s="36"/>
      <c r="AL32" s="36"/>
      <c r="AM32" s="36"/>
      <c r="AN32" s="36"/>
      <c r="AO32" s="36"/>
      <c r="AP32" s="36"/>
      <c r="AQ32" s="36"/>
      <c r="AR32" s="36"/>
      <c r="AS32" s="36"/>
      <c r="AT32" s="36"/>
      <c r="AU32" s="36"/>
      <c r="AV32" s="36"/>
    </row>
    <row r="33" spans="1:48" s="15" customFormat="1" ht="17.25" customHeight="1">
      <c r="A33" s="331" t="str">
        <f ca="1">IF('22 Sollumsatz pro MA '!A131="","",'22 Sollumsatz pro MA '!A131)</f>
        <v/>
      </c>
      <c r="B33" s="332" t="str">
        <f>'23 LF individuell'!T38</f>
        <v/>
      </c>
      <c r="C33" s="366" t="str">
        <f>'23 LF individuell'!D38</f>
        <v/>
      </c>
      <c r="D33" s="325" t="str">
        <f t="shared" si="12"/>
        <v/>
      </c>
      <c r="E33" s="326" t="str">
        <f t="shared" si="13"/>
        <v/>
      </c>
      <c r="F33" s="327" t="str">
        <f t="shared" si="14"/>
        <v/>
      </c>
      <c r="G33" s="326" t="str">
        <f t="shared" si="15"/>
        <v/>
      </c>
      <c r="H33" s="327" t="str">
        <f t="shared" si="16"/>
        <v/>
      </c>
      <c r="I33" s="326" t="str">
        <f t="shared" si="17"/>
        <v/>
      </c>
      <c r="J33" s="327" t="str">
        <f t="shared" si="18"/>
        <v/>
      </c>
      <c r="K33" s="326" t="str">
        <f t="shared" si="19"/>
        <v/>
      </c>
      <c r="L33" s="327" t="str">
        <f t="shared" si="20"/>
        <v/>
      </c>
      <c r="M33" s="326" t="str">
        <f t="shared" si="21"/>
        <v/>
      </c>
      <c r="N33" s="327" t="str">
        <f t="shared" si="22"/>
        <v/>
      </c>
      <c r="O33" s="326" t="str">
        <f t="shared" si="23"/>
        <v/>
      </c>
      <c r="P33" s="1943" t="str">
        <f>IF('23 LF individuell'!T38="","",'23 LF individuell'!T38)</f>
        <v/>
      </c>
      <c r="Q33" s="1943" t="str">
        <f>IF('23 LF individuell'!T85="","",'23 LF individuell'!T85)</f>
        <v/>
      </c>
      <c r="R33" s="1148" t="str">
        <f>IF(SUM('4 Eingabe Friseure'!AB37,'4 Eingabe Friseure'!AH37,'4 Eingabe Friseure'!AN37,'4 Eingabe Friseure'!AT37)&gt;0,AVERAGE('4 Eingabe Friseure'!AB37,'4 Eingabe Friseure'!AH37,'4 Eingabe Friseure'!AN37,'4 Eingabe Friseure'!AT37),"")</f>
        <v/>
      </c>
      <c r="S33" s="1148" t="str">
        <f>IF(SUM('4 Eingabe Friseure'!AC37,'4 Eingabe Friseure'!AI37,'4 Eingabe Friseure'!AO37,'4 Eingabe Friseure'!AU37)&gt;0,AVERAGE('4 Eingabe Friseure'!AC37,'4 Eingabe Friseure'!AI37,'4 Eingabe Friseure'!AO37,'4 Eingabe Friseure'!AU37),"")</f>
        <v/>
      </c>
      <c r="T33" s="1148" t="str">
        <f>IF(SUM('4 Eingabe Friseure'!AD37,'4 Eingabe Friseure'!AJ37,'4 Eingabe Friseure'!AP37,'4 Eingabe Friseure'!AV37)&gt;0,AVERAGE('4 Eingabe Friseure'!AD37,'4 Eingabe Friseure'!AJ37,'4 Eingabe Friseure'!AP37,'4 Eingabe Friseure'!AV37),"")</f>
        <v/>
      </c>
      <c r="U33" s="1148" t="str">
        <f>IF(SUM('4 Eingabe Friseure'!AE37,'4 Eingabe Friseure'!AK37,'4 Eingabe Friseure'!AQ37,'4 Eingabe Friseure'!AW37)&gt;0,AVERAGE('4 Eingabe Friseure'!AE37,'4 Eingabe Friseure'!AK37,'4 Eingabe Friseure'!AQ37,'4 Eingabe Friseure'!AW37),"")</f>
        <v/>
      </c>
      <c r="V33" s="1148" t="str">
        <f>IF(SUM('4 Eingabe Friseure'!AF37,'4 Eingabe Friseure'!AL37,'4 Eingabe Friseure'!AR37,'4 Eingabe Friseure'!AX37)&gt;0,AVERAGE('4 Eingabe Friseure'!AF37,'4 Eingabe Friseure'!AL37,'4 Eingabe Friseure'!AR37,'4 Eingabe Friseure'!AX37),"")</f>
        <v/>
      </c>
      <c r="W33" s="1148" t="str">
        <f>IF(SUM('4 Eingabe Friseure'!AG37,'4 Eingabe Friseure'!AM37,'4 Eingabe Friseure'!AS37,'4 Eingabe Friseure'!AY37)&gt;0,AVERAGE('4 Eingabe Friseure'!AG37,'4 Eingabe Friseure'!AM37,'4 Eingabe Friseure'!AS37,'4 Eingabe Friseure'!AY37),"")</f>
        <v/>
      </c>
      <c r="X33" s="1148"/>
      <c r="Y33" s="1148"/>
      <c r="Z33" s="1148"/>
      <c r="AA33" s="1148"/>
      <c r="AB33" s="1148"/>
      <c r="AC33" s="36"/>
      <c r="AD33" s="36"/>
      <c r="AE33" s="36"/>
      <c r="AF33" s="36"/>
      <c r="AG33" s="36"/>
      <c r="AH33" s="36"/>
      <c r="AI33" s="36"/>
      <c r="AJ33" s="36"/>
      <c r="AK33" s="36"/>
      <c r="AL33" s="36"/>
      <c r="AM33" s="36"/>
      <c r="AN33" s="36"/>
      <c r="AO33" s="36"/>
      <c r="AP33" s="36"/>
      <c r="AQ33" s="36"/>
      <c r="AR33" s="36"/>
      <c r="AS33" s="36"/>
      <c r="AT33" s="36"/>
      <c r="AU33" s="36"/>
      <c r="AV33" s="36"/>
    </row>
    <row r="34" spans="1:48" s="15" customFormat="1" ht="17.25" customHeight="1">
      <c r="A34" s="331" t="str">
        <f ca="1">IF('22 Sollumsatz pro MA '!A132="","",'22 Sollumsatz pro MA '!A132)</f>
        <v/>
      </c>
      <c r="B34" s="332" t="str">
        <f>'23 LF individuell'!T39</f>
        <v/>
      </c>
      <c r="C34" s="366" t="str">
        <f>'23 LF individuell'!D39</f>
        <v/>
      </c>
      <c r="D34" s="325" t="str">
        <f t="shared" si="12"/>
        <v/>
      </c>
      <c r="E34" s="326" t="str">
        <f t="shared" si="13"/>
        <v/>
      </c>
      <c r="F34" s="327" t="str">
        <f t="shared" si="14"/>
        <v/>
      </c>
      <c r="G34" s="326" t="str">
        <f t="shared" si="15"/>
        <v/>
      </c>
      <c r="H34" s="327" t="str">
        <f t="shared" si="16"/>
        <v/>
      </c>
      <c r="I34" s="326" t="str">
        <f t="shared" si="17"/>
        <v/>
      </c>
      <c r="J34" s="327" t="str">
        <f t="shared" si="18"/>
        <v/>
      </c>
      <c r="K34" s="326" t="str">
        <f t="shared" si="19"/>
        <v/>
      </c>
      <c r="L34" s="327" t="str">
        <f t="shared" si="20"/>
        <v/>
      </c>
      <c r="M34" s="326" t="str">
        <f t="shared" si="21"/>
        <v/>
      </c>
      <c r="N34" s="327" t="str">
        <f t="shared" si="22"/>
        <v/>
      </c>
      <c r="O34" s="326" t="str">
        <f t="shared" si="23"/>
        <v/>
      </c>
      <c r="P34" s="1943" t="str">
        <f>IF('23 LF individuell'!T39="","",'23 LF individuell'!T39)</f>
        <v/>
      </c>
      <c r="Q34" s="1943" t="str">
        <f>IF('23 LF individuell'!T86="","",'23 LF individuell'!T86)</f>
        <v/>
      </c>
      <c r="R34" s="1148" t="str">
        <f>IF(SUM('4 Eingabe Friseure'!AB38,'4 Eingabe Friseure'!AH38,'4 Eingabe Friseure'!AN38,'4 Eingabe Friseure'!AT38)&gt;0,AVERAGE('4 Eingabe Friseure'!AB38,'4 Eingabe Friseure'!AH38,'4 Eingabe Friseure'!AN38,'4 Eingabe Friseure'!AT38),"")</f>
        <v/>
      </c>
      <c r="S34" s="1148" t="str">
        <f>IF(SUM('4 Eingabe Friseure'!AC38,'4 Eingabe Friseure'!AI38,'4 Eingabe Friseure'!AO38,'4 Eingabe Friseure'!AU38)&gt;0,AVERAGE('4 Eingabe Friseure'!AC38,'4 Eingabe Friseure'!AI38,'4 Eingabe Friseure'!AO38,'4 Eingabe Friseure'!AU38),"")</f>
        <v/>
      </c>
      <c r="T34" s="1148" t="str">
        <f>IF(SUM('4 Eingabe Friseure'!AD38,'4 Eingabe Friseure'!AJ38,'4 Eingabe Friseure'!AP38,'4 Eingabe Friseure'!AV38)&gt;0,AVERAGE('4 Eingabe Friseure'!AD38,'4 Eingabe Friseure'!AJ38,'4 Eingabe Friseure'!AP38,'4 Eingabe Friseure'!AV38),"")</f>
        <v/>
      </c>
      <c r="U34" s="1148" t="str">
        <f>IF(SUM('4 Eingabe Friseure'!AE38,'4 Eingabe Friseure'!AK38,'4 Eingabe Friseure'!AQ38,'4 Eingabe Friseure'!AW38)&gt;0,AVERAGE('4 Eingabe Friseure'!AE38,'4 Eingabe Friseure'!AK38,'4 Eingabe Friseure'!AQ38,'4 Eingabe Friseure'!AW38),"")</f>
        <v/>
      </c>
      <c r="V34" s="1148" t="str">
        <f>IF(SUM('4 Eingabe Friseure'!AF38,'4 Eingabe Friseure'!AL38,'4 Eingabe Friseure'!AR38,'4 Eingabe Friseure'!AX38)&gt;0,AVERAGE('4 Eingabe Friseure'!AF38,'4 Eingabe Friseure'!AL38,'4 Eingabe Friseure'!AR38,'4 Eingabe Friseure'!AX38),"")</f>
        <v/>
      </c>
      <c r="W34" s="1148" t="str">
        <f>IF(SUM('4 Eingabe Friseure'!AG38,'4 Eingabe Friseure'!AM38,'4 Eingabe Friseure'!AS38,'4 Eingabe Friseure'!AY38)&gt;0,AVERAGE('4 Eingabe Friseure'!AG38,'4 Eingabe Friseure'!AM38,'4 Eingabe Friseure'!AS38,'4 Eingabe Friseure'!AY38),"")</f>
        <v/>
      </c>
      <c r="X34" s="1148"/>
      <c r="Y34" s="1148"/>
      <c r="Z34" s="1148"/>
      <c r="AA34" s="1148"/>
      <c r="AB34" s="1148"/>
      <c r="AC34" s="36"/>
      <c r="AD34" s="36"/>
      <c r="AE34" s="36"/>
      <c r="AF34" s="36"/>
      <c r="AG34" s="36"/>
      <c r="AH34" s="36"/>
      <c r="AI34" s="36"/>
      <c r="AJ34" s="36"/>
      <c r="AK34" s="36"/>
      <c r="AL34" s="36"/>
      <c r="AM34" s="36"/>
      <c r="AN34" s="36"/>
      <c r="AO34" s="36"/>
      <c r="AP34" s="36"/>
      <c r="AQ34" s="36"/>
      <c r="AR34" s="36"/>
      <c r="AS34" s="36"/>
      <c r="AT34" s="36"/>
      <c r="AU34" s="36"/>
      <c r="AV34" s="36"/>
    </row>
    <row r="35" spans="1:48" s="15" customFormat="1" ht="17.25" customHeight="1">
      <c r="A35" s="331" t="str">
        <f ca="1">IF('22 Sollumsatz pro MA '!A133="","",'22 Sollumsatz pro MA '!A133)</f>
        <v/>
      </c>
      <c r="B35" s="332" t="str">
        <f>'23 LF individuell'!T40</f>
        <v/>
      </c>
      <c r="C35" s="366" t="str">
        <f>'23 LF individuell'!D40</f>
        <v/>
      </c>
      <c r="D35" s="325" t="str">
        <f t="shared" si="12"/>
        <v/>
      </c>
      <c r="E35" s="326" t="str">
        <f t="shared" si="13"/>
        <v/>
      </c>
      <c r="F35" s="327" t="str">
        <f t="shared" si="14"/>
        <v/>
      </c>
      <c r="G35" s="326" t="str">
        <f t="shared" si="15"/>
        <v/>
      </c>
      <c r="H35" s="327" t="str">
        <f t="shared" si="16"/>
        <v/>
      </c>
      <c r="I35" s="326" t="str">
        <f t="shared" si="17"/>
        <v/>
      </c>
      <c r="J35" s="327" t="str">
        <f t="shared" si="18"/>
        <v/>
      </c>
      <c r="K35" s="326" t="str">
        <f t="shared" si="19"/>
        <v/>
      </c>
      <c r="L35" s="327" t="str">
        <f t="shared" si="20"/>
        <v/>
      </c>
      <c r="M35" s="326" t="str">
        <f t="shared" si="21"/>
        <v/>
      </c>
      <c r="N35" s="327" t="str">
        <f t="shared" si="22"/>
        <v/>
      </c>
      <c r="O35" s="326" t="str">
        <f t="shared" si="23"/>
        <v/>
      </c>
      <c r="P35" s="1943" t="str">
        <f>IF('23 LF individuell'!T40="","",'23 LF individuell'!T40)</f>
        <v/>
      </c>
      <c r="Q35" s="1943" t="str">
        <f>IF('23 LF individuell'!T87="","",'23 LF individuell'!T87)</f>
        <v/>
      </c>
      <c r="R35" s="1148" t="str">
        <f>IF(SUM('4 Eingabe Friseure'!AB39,'4 Eingabe Friseure'!AH39,'4 Eingabe Friseure'!AN39,'4 Eingabe Friseure'!AT39)&gt;0,AVERAGE('4 Eingabe Friseure'!AB39,'4 Eingabe Friseure'!AH39,'4 Eingabe Friseure'!AN39,'4 Eingabe Friseure'!AT39),"")</f>
        <v/>
      </c>
      <c r="S35" s="1148" t="str">
        <f>IF(SUM('4 Eingabe Friseure'!AC39,'4 Eingabe Friseure'!AI39,'4 Eingabe Friseure'!AO39,'4 Eingabe Friseure'!AU39)&gt;0,AVERAGE('4 Eingabe Friseure'!AC39,'4 Eingabe Friseure'!AI39,'4 Eingabe Friseure'!AO39,'4 Eingabe Friseure'!AU39),"")</f>
        <v/>
      </c>
      <c r="T35" s="1148" t="str">
        <f>IF(SUM('4 Eingabe Friseure'!AD39,'4 Eingabe Friseure'!AJ39,'4 Eingabe Friseure'!AP39,'4 Eingabe Friseure'!AV39)&gt;0,AVERAGE('4 Eingabe Friseure'!AD39,'4 Eingabe Friseure'!AJ39,'4 Eingabe Friseure'!AP39,'4 Eingabe Friseure'!AV39),"")</f>
        <v/>
      </c>
      <c r="U35" s="1148" t="str">
        <f>IF(SUM('4 Eingabe Friseure'!AE39,'4 Eingabe Friseure'!AK39,'4 Eingabe Friseure'!AQ39,'4 Eingabe Friseure'!AW39)&gt;0,AVERAGE('4 Eingabe Friseure'!AE39,'4 Eingabe Friseure'!AK39,'4 Eingabe Friseure'!AQ39,'4 Eingabe Friseure'!AW39),"")</f>
        <v/>
      </c>
      <c r="V35" s="1148" t="str">
        <f>IF(SUM('4 Eingabe Friseure'!AF39,'4 Eingabe Friseure'!AL39,'4 Eingabe Friseure'!AR39,'4 Eingabe Friseure'!AX39)&gt;0,AVERAGE('4 Eingabe Friseure'!AF39,'4 Eingabe Friseure'!AL39,'4 Eingabe Friseure'!AR39,'4 Eingabe Friseure'!AX39),"")</f>
        <v/>
      </c>
      <c r="W35" s="1148" t="str">
        <f>IF(SUM('4 Eingabe Friseure'!AG39,'4 Eingabe Friseure'!AM39,'4 Eingabe Friseure'!AS39,'4 Eingabe Friseure'!AY39)&gt;0,AVERAGE('4 Eingabe Friseure'!AG39,'4 Eingabe Friseure'!AM39,'4 Eingabe Friseure'!AS39,'4 Eingabe Friseure'!AY39),"")</f>
        <v/>
      </c>
      <c r="X35" s="1148"/>
      <c r="Y35" s="1148"/>
      <c r="Z35" s="1148"/>
      <c r="AA35" s="1148"/>
      <c r="AB35" s="1148"/>
      <c r="AC35" s="36"/>
      <c r="AD35" s="36"/>
      <c r="AE35" s="36"/>
      <c r="AF35" s="36"/>
      <c r="AG35" s="36"/>
      <c r="AH35" s="36"/>
      <c r="AI35" s="36"/>
      <c r="AJ35" s="36"/>
      <c r="AK35" s="36"/>
      <c r="AL35" s="36"/>
      <c r="AM35" s="36"/>
      <c r="AN35" s="36"/>
      <c r="AO35" s="36"/>
      <c r="AP35" s="36"/>
      <c r="AQ35" s="36"/>
      <c r="AR35" s="36"/>
      <c r="AS35" s="36"/>
      <c r="AT35" s="36"/>
      <c r="AU35" s="36"/>
      <c r="AV35" s="36"/>
    </row>
    <row r="36" spans="1:48" s="15" customFormat="1" ht="17.25" customHeight="1">
      <c r="A36" s="331" t="str">
        <f ca="1">IF('22 Sollumsatz pro MA '!A134="","",'22 Sollumsatz pro MA '!A134)</f>
        <v/>
      </c>
      <c r="B36" s="332" t="str">
        <f>'23 LF individuell'!T41</f>
        <v/>
      </c>
      <c r="C36" s="366" t="str">
        <f>'23 LF individuell'!D41</f>
        <v/>
      </c>
      <c r="D36" s="325" t="str">
        <f t="shared" si="12"/>
        <v/>
      </c>
      <c r="E36" s="326" t="str">
        <f t="shared" si="13"/>
        <v/>
      </c>
      <c r="F36" s="327" t="str">
        <f t="shared" si="14"/>
        <v/>
      </c>
      <c r="G36" s="326" t="str">
        <f t="shared" si="15"/>
        <v/>
      </c>
      <c r="H36" s="327" t="str">
        <f t="shared" si="16"/>
        <v/>
      </c>
      <c r="I36" s="326" t="str">
        <f t="shared" si="17"/>
        <v/>
      </c>
      <c r="J36" s="327" t="str">
        <f t="shared" si="18"/>
        <v/>
      </c>
      <c r="K36" s="326" t="str">
        <f t="shared" si="19"/>
        <v/>
      </c>
      <c r="L36" s="327" t="str">
        <f t="shared" si="20"/>
        <v/>
      </c>
      <c r="M36" s="326" t="str">
        <f t="shared" si="21"/>
        <v/>
      </c>
      <c r="N36" s="327" t="str">
        <f t="shared" si="22"/>
        <v/>
      </c>
      <c r="O36" s="326" t="str">
        <f t="shared" si="23"/>
        <v/>
      </c>
      <c r="P36" s="1943" t="str">
        <f>IF('23 LF individuell'!T41="","",'23 LF individuell'!T41)</f>
        <v/>
      </c>
      <c r="Q36" s="1943" t="str">
        <f>IF('23 LF individuell'!T88="","",'23 LF individuell'!T88)</f>
        <v/>
      </c>
      <c r="R36" s="1148" t="str">
        <f>IF(SUM('4 Eingabe Friseure'!AB40,'4 Eingabe Friseure'!AH40,'4 Eingabe Friseure'!AN40,'4 Eingabe Friseure'!AT40)&gt;0,AVERAGE('4 Eingabe Friseure'!AB40,'4 Eingabe Friseure'!AH40,'4 Eingabe Friseure'!AN40,'4 Eingabe Friseure'!AT40),"")</f>
        <v/>
      </c>
      <c r="S36" s="1148" t="str">
        <f>IF(SUM('4 Eingabe Friseure'!AC40,'4 Eingabe Friseure'!AI40,'4 Eingabe Friseure'!AO40,'4 Eingabe Friseure'!AU40)&gt;0,AVERAGE('4 Eingabe Friseure'!AC40,'4 Eingabe Friseure'!AI40,'4 Eingabe Friseure'!AO40,'4 Eingabe Friseure'!AU40),"")</f>
        <v/>
      </c>
      <c r="T36" s="1148" t="str">
        <f>IF(SUM('4 Eingabe Friseure'!AD40,'4 Eingabe Friseure'!AJ40,'4 Eingabe Friseure'!AP40,'4 Eingabe Friseure'!AV40)&gt;0,AVERAGE('4 Eingabe Friseure'!AD40,'4 Eingabe Friseure'!AJ40,'4 Eingabe Friseure'!AP40,'4 Eingabe Friseure'!AV40),"")</f>
        <v/>
      </c>
      <c r="U36" s="1148" t="str">
        <f>IF(SUM('4 Eingabe Friseure'!AE40,'4 Eingabe Friseure'!AK40,'4 Eingabe Friseure'!AQ40,'4 Eingabe Friseure'!AW40)&gt;0,AVERAGE('4 Eingabe Friseure'!AE40,'4 Eingabe Friseure'!AK40,'4 Eingabe Friseure'!AQ40,'4 Eingabe Friseure'!AW40),"")</f>
        <v/>
      </c>
      <c r="V36" s="1148" t="str">
        <f>IF(SUM('4 Eingabe Friseure'!AF40,'4 Eingabe Friseure'!AL40,'4 Eingabe Friseure'!AR40,'4 Eingabe Friseure'!AX40)&gt;0,AVERAGE('4 Eingabe Friseure'!AF40,'4 Eingabe Friseure'!AL40,'4 Eingabe Friseure'!AR40,'4 Eingabe Friseure'!AX40),"")</f>
        <v/>
      </c>
      <c r="W36" s="1148" t="str">
        <f>IF(SUM('4 Eingabe Friseure'!AG40,'4 Eingabe Friseure'!AM40,'4 Eingabe Friseure'!AS40,'4 Eingabe Friseure'!AY40)&gt;0,AVERAGE('4 Eingabe Friseure'!AG40,'4 Eingabe Friseure'!AM40,'4 Eingabe Friseure'!AS40,'4 Eingabe Friseure'!AY40),"")</f>
        <v/>
      </c>
      <c r="X36" s="1148"/>
      <c r="Y36" s="1148"/>
      <c r="Z36" s="1148"/>
      <c r="AA36" s="1148"/>
      <c r="AB36" s="1148"/>
      <c r="AC36" s="36"/>
      <c r="AD36" s="36"/>
      <c r="AE36" s="36"/>
      <c r="AF36" s="36"/>
      <c r="AG36" s="36"/>
      <c r="AH36" s="36"/>
      <c r="AI36" s="36"/>
      <c r="AJ36" s="36"/>
      <c r="AK36" s="36"/>
      <c r="AL36" s="36"/>
      <c r="AM36" s="36"/>
      <c r="AN36" s="36"/>
      <c r="AO36" s="36"/>
      <c r="AP36" s="36"/>
      <c r="AQ36" s="36"/>
      <c r="AR36" s="36"/>
      <c r="AS36" s="36"/>
      <c r="AT36" s="36"/>
      <c r="AU36" s="36"/>
      <c r="AV36" s="36"/>
    </row>
    <row r="37" spans="1:48" ht="17.25" customHeight="1">
      <c r="A37" s="331" t="str">
        <f ca="1">IF('22 Sollumsatz pro MA '!A135="","",'22 Sollumsatz pro MA '!A135)</f>
        <v/>
      </c>
      <c r="B37" s="332" t="str">
        <f>'23 LF individuell'!T42</f>
        <v/>
      </c>
      <c r="C37" s="366" t="str">
        <f>'23 LF individuell'!D42</f>
        <v/>
      </c>
      <c r="D37" s="325" t="str">
        <f t="shared" si="12"/>
        <v/>
      </c>
      <c r="E37" s="326" t="str">
        <f t="shared" si="13"/>
        <v/>
      </c>
      <c r="F37" s="327" t="str">
        <f t="shared" si="14"/>
        <v/>
      </c>
      <c r="G37" s="326" t="str">
        <f t="shared" si="15"/>
        <v/>
      </c>
      <c r="H37" s="327" t="str">
        <f t="shared" si="16"/>
        <v/>
      </c>
      <c r="I37" s="326" t="str">
        <f t="shared" si="17"/>
        <v/>
      </c>
      <c r="J37" s="327" t="str">
        <f t="shared" si="18"/>
        <v/>
      </c>
      <c r="K37" s="326" t="str">
        <f t="shared" si="19"/>
        <v/>
      </c>
      <c r="L37" s="327" t="str">
        <f t="shared" si="20"/>
        <v/>
      </c>
      <c r="M37" s="326" t="str">
        <f t="shared" si="21"/>
        <v/>
      </c>
      <c r="N37" s="327" t="str">
        <f t="shared" si="22"/>
        <v/>
      </c>
      <c r="O37" s="326" t="str">
        <f t="shared" si="23"/>
        <v/>
      </c>
      <c r="P37" s="1943" t="str">
        <f>IF('23 LF individuell'!T42="","",'23 LF individuell'!T42)</f>
        <v/>
      </c>
      <c r="Q37" s="1943" t="str">
        <f>IF('23 LF individuell'!T89="","",'23 LF individuell'!T89)</f>
        <v/>
      </c>
      <c r="R37" s="1148" t="str">
        <f>IF(SUM('4 Eingabe Friseure'!AB41,'4 Eingabe Friseure'!AH41,'4 Eingabe Friseure'!AN41,'4 Eingabe Friseure'!AT41)&gt;0,AVERAGE('4 Eingabe Friseure'!AB41,'4 Eingabe Friseure'!AH41,'4 Eingabe Friseure'!AN41,'4 Eingabe Friseure'!AT41),"")</f>
        <v/>
      </c>
      <c r="S37" s="1148" t="str">
        <f>IF(SUM('4 Eingabe Friseure'!AC41,'4 Eingabe Friseure'!AI41,'4 Eingabe Friseure'!AO41,'4 Eingabe Friseure'!AU41)&gt;0,AVERAGE('4 Eingabe Friseure'!AC41,'4 Eingabe Friseure'!AI41,'4 Eingabe Friseure'!AO41,'4 Eingabe Friseure'!AU41),"")</f>
        <v/>
      </c>
      <c r="T37" s="1148" t="str">
        <f>IF(SUM('4 Eingabe Friseure'!AD41,'4 Eingabe Friseure'!AJ41,'4 Eingabe Friseure'!AP41,'4 Eingabe Friseure'!AV41)&gt;0,AVERAGE('4 Eingabe Friseure'!AD41,'4 Eingabe Friseure'!AJ41,'4 Eingabe Friseure'!AP41,'4 Eingabe Friseure'!AV41),"")</f>
        <v/>
      </c>
      <c r="U37" s="1148" t="str">
        <f>IF(SUM('4 Eingabe Friseure'!AE41,'4 Eingabe Friseure'!AK41,'4 Eingabe Friseure'!AQ41,'4 Eingabe Friseure'!AW41)&gt;0,AVERAGE('4 Eingabe Friseure'!AE41,'4 Eingabe Friseure'!AK41,'4 Eingabe Friseure'!AQ41,'4 Eingabe Friseure'!AW41),"")</f>
        <v/>
      </c>
      <c r="V37" s="1148" t="str">
        <f>IF(SUM('4 Eingabe Friseure'!AF41,'4 Eingabe Friseure'!AL41,'4 Eingabe Friseure'!AR41,'4 Eingabe Friseure'!AX41)&gt;0,AVERAGE('4 Eingabe Friseure'!AF41,'4 Eingabe Friseure'!AL41,'4 Eingabe Friseure'!AR41,'4 Eingabe Friseure'!AX41),"")</f>
        <v/>
      </c>
      <c r="W37" s="1148" t="str">
        <f>IF(SUM('4 Eingabe Friseure'!AG41,'4 Eingabe Friseure'!AM41,'4 Eingabe Friseure'!AS41,'4 Eingabe Friseure'!AY41)&gt;0,AVERAGE('4 Eingabe Friseure'!AG41,'4 Eingabe Friseure'!AM41,'4 Eingabe Friseure'!AS41,'4 Eingabe Friseure'!AY41),"")</f>
        <v/>
      </c>
      <c r="X37" s="1148"/>
      <c r="Y37" s="1148"/>
      <c r="Z37" s="1148"/>
      <c r="AA37" s="1148"/>
      <c r="AB37" s="1148"/>
      <c r="AC37" s="36"/>
      <c r="AD37" s="36"/>
      <c r="AE37" s="36"/>
      <c r="AF37" s="36"/>
      <c r="AG37" s="36"/>
      <c r="AH37" s="36"/>
      <c r="AI37" s="36"/>
      <c r="AJ37" s="36"/>
      <c r="AK37" s="36"/>
      <c r="AL37" s="36"/>
      <c r="AM37" s="36"/>
      <c r="AN37" s="36"/>
      <c r="AO37" s="36"/>
      <c r="AP37" s="36"/>
      <c r="AQ37" s="36"/>
      <c r="AR37" s="36"/>
      <c r="AS37" s="36"/>
      <c r="AT37" s="36"/>
      <c r="AU37" s="36"/>
      <c r="AV37" s="36"/>
    </row>
    <row r="38" spans="1:48" ht="17.25" customHeight="1">
      <c r="A38" s="331" t="str">
        <f ca="1">IF('22 Sollumsatz pro MA '!A136="","",'22 Sollumsatz pro MA '!A136)</f>
        <v/>
      </c>
      <c r="B38" s="332" t="str">
        <f>'23 LF individuell'!T43</f>
        <v/>
      </c>
      <c r="C38" s="366" t="str">
        <f>'23 LF individuell'!D43</f>
        <v/>
      </c>
      <c r="D38" s="325" t="str">
        <f t="shared" si="12"/>
        <v/>
      </c>
      <c r="E38" s="326" t="str">
        <f t="shared" si="13"/>
        <v/>
      </c>
      <c r="F38" s="327" t="str">
        <f t="shared" si="14"/>
        <v/>
      </c>
      <c r="G38" s="326" t="str">
        <f t="shared" si="15"/>
        <v/>
      </c>
      <c r="H38" s="327" t="str">
        <f t="shared" si="16"/>
        <v/>
      </c>
      <c r="I38" s="326" t="str">
        <f t="shared" si="17"/>
        <v/>
      </c>
      <c r="J38" s="327" t="str">
        <f t="shared" si="18"/>
        <v/>
      </c>
      <c r="K38" s="326" t="str">
        <f t="shared" si="19"/>
        <v/>
      </c>
      <c r="L38" s="327" t="str">
        <f t="shared" si="20"/>
        <v/>
      </c>
      <c r="M38" s="326" t="str">
        <f t="shared" si="21"/>
        <v/>
      </c>
      <c r="N38" s="327" t="str">
        <f t="shared" si="22"/>
        <v/>
      </c>
      <c r="O38" s="326" t="str">
        <f t="shared" si="23"/>
        <v/>
      </c>
      <c r="P38" s="1943" t="str">
        <f>IF('23 LF individuell'!T43="","",'23 LF individuell'!T43)</f>
        <v/>
      </c>
      <c r="Q38" s="1943" t="str">
        <f>IF('23 LF individuell'!T90="","",'23 LF individuell'!T90)</f>
        <v/>
      </c>
      <c r="R38" s="1148" t="str">
        <f>IF(SUM('4 Eingabe Friseure'!AB42,'4 Eingabe Friseure'!AH42,'4 Eingabe Friseure'!AN42,'4 Eingabe Friseure'!AT42)&gt;0,AVERAGE('4 Eingabe Friseure'!AB42,'4 Eingabe Friseure'!AH42,'4 Eingabe Friseure'!AN42,'4 Eingabe Friseure'!AT42),"")</f>
        <v/>
      </c>
      <c r="S38" s="1148" t="str">
        <f>IF(SUM('4 Eingabe Friseure'!AC42,'4 Eingabe Friseure'!AI42,'4 Eingabe Friseure'!AO42,'4 Eingabe Friseure'!AU42)&gt;0,AVERAGE('4 Eingabe Friseure'!AC42,'4 Eingabe Friseure'!AI42,'4 Eingabe Friseure'!AO42,'4 Eingabe Friseure'!AU42),"")</f>
        <v/>
      </c>
      <c r="T38" s="1148" t="str">
        <f>IF(SUM('4 Eingabe Friseure'!AD42,'4 Eingabe Friseure'!AJ42,'4 Eingabe Friseure'!AP42,'4 Eingabe Friseure'!AV42)&gt;0,AVERAGE('4 Eingabe Friseure'!AD42,'4 Eingabe Friseure'!AJ42,'4 Eingabe Friseure'!AP42,'4 Eingabe Friseure'!AV42),"")</f>
        <v/>
      </c>
      <c r="U38" s="1148" t="str">
        <f>IF(SUM('4 Eingabe Friseure'!AE42,'4 Eingabe Friseure'!AK42,'4 Eingabe Friseure'!AQ42,'4 Eingabe Friseure'!AW42)&gt;0,AVERAGE('4 Eingabe Friseure'!AE42,'4 Eingabe Friseure'!AK42,'4 Eingabe Friseure'!AQ42,'4 Eingabe Friseure'!AW42),"")</f>
        <v/>
      </c>
      <c r="V38" s="1148" t="str">
        <f>IF(SUM('4 Eingabe Friseure'!AF42,'4 Eingabe Friseure'!AL42,'4 Eingabe Friseure'!AR42,'4 Eingabe Friseure'!AX42)&gt;0,AVERAGE('4 Eingabe Friseure'!AF42,'4 Eingabe Friseure'!AL42,'4 Eingabe Friseure'!AR42,'4 Eingabe Friseure'!AX42),"")</f>
        <v/>
      </c>
      <c r="W38" s="1148" t="str">
        <f>IF(SUM('4 Eingabe Friseure'!AG42,'4 Eingabe Friseure'!AM42,'4 Eingabe Friseure'!AS42,'4 Eingabe Friseure'!AY42)&gt;0,AVERAGE('4 Eingabe Friseure'!AG42,'4 Eingabe Friseure'!AM42,'4 Eingabe Friseure'!AS42,'4 Eingabe Friseure'!AY42),"")</f>
        <v/>
      </c>
      <c r="X38" s="1148"/>
      <c r="Y38" s="1148"/>
      <c r="Z38" s="1148"/>
      <c r="AA38" s="1148"/>
      <c r="AB38" s="1148"/>
      <c r="AC38" s="36"/>
      <c r="AD38" s="36"/>
      <c r="AE38" s="36"/>
      <c r="AF38" s="36"/>
      <c r="AG38" s="36"/>
      <c r="AH38" s="36"/>
      <c r="AI38" s="36"/>
      <c r="AJ38" s="36"/>
      <c r="AK38" s="36"/>
      <c r="AL38" s="36"/>
      <c r="AM38" s="36"/>
      <c r="AN38" s="36"/>
      <c r="AO38" s="36"/>
      <c r="AP38" s="36"/>
      <c r="AQ38" s="36"/>
      <c r="AR38" s="36"/>
      <c r="AS38" s="36"/>
      <c r="AT38" s="36"/>
      <c r="AU38" s="36"/>
      <c r="AV38" s="36"/>
    </row>
    <row r="39" spans="1:48" ht="17.25" customHeight="1">
      <c r="A39" s="331" t="str">
        <f ca="1">IF('22 Sollumsatz pro MA '!A137="","",'22 Sollumsatz pro MA '!A137)</f>
        <v/>
      </c>
      <c r="B39" s="332" t="str">
        <f>'23 LF individuell'!T44</f>
        <v/>
      </c>
      <c r="C39" s="366" t="str">
        <f>'23 LF individuell'!D44</f>
        <v/>
      </c>
      <c r="D39" s="325" t="str">
        <f t="shared" si="12"/>
        <v/>
      </c>
      <c r="E39" s="326" t="str">
        <f t="shared" si="13"/>
        <v/>
      </c>
      <c r="F39" s="327" t="str">
        <f t="shared" si="14"/>
        <v/>
      </c>
      <c r="G39" s="326" t="str">
        <f t="shared" si="15"/>
        <v/>
      </c>
      <c r="H39" s="327" t="str">
        <f t="shared" si="16"/>
        <v/>
      </c>
      <c r="I39" s="326" t="str">
        <f t="shared" si="17"/>
        <v/>
      </c>
      <c r="J39" s="327" t="str">
        <f t="shared" si="18"/>
        <v/>
      </c>
      <c r="K39" s="326" t="str">
        <f t="shared" si="19"/>
        <v/>
      </c>
      <c r="L39" s="327" t="str">
        <f t="shared" si="20"/>
        <v/>
      </c>
      <c r="M39" s="326" t="str">
        <f t="shared" si="21"/>
        <v/>
      </c>
      <c r="N39" s="327" t="str">
        <f t="shared" si="22"/>
        <v/>
      </c>
      <c r="O39" s="326" t="str">
        <f t="shared" si="23"/>
        <v/>
      </c>
      <c r="P39" s="1943" t="str">
        <f>IF('23 LF individuell'!T44="","",'23 LF individuell'!T44)</f>
        <v/>
      </c>
      <c r="Q39" s="1943" t="str">
        <f>IF('23 LF individuell'!T91="","",'23 LF individuell'!T91)</f>
        <v/>
      </c>
      <c r="R39" s="1148" t="str">
        <f>IF(SUM('4 Eingabe Friseure'!AB43,'4 Eingabe Friseure'!AH43,'4 Eingabe Friseure'!AN43,'4 Eingabe Friseure'!AT43)&gt;0,AVERAGE('4 Eingabe Friseure'!AB43,'4 Eingabe Friseure'!AH43,'4 Eingabe Friseure'!AN43,'4 Eingabe Friseure'!AT43),"")</f>
        <v/>
      </c>
      <c r="S39" s="1148" t="str">
        <f>IF(SUM('4 Eingabe Friseure'!AC43,'4 Eingabe Friseure'!AI43,'4 Eingabe Friseure'!AO43,'4 Eingabe Friseure'!AU43)&gt;0,AVERAGE('4 Eingabe Friseure'!AC43,'4 Eingabe Friseure'!AI43,'4 Eingabe Friseure'!AO43,'4 Eingabe Friseure'!AU43),"")</f>
        <v/>
      </c>
      <c r="T39" s="1148" t="str">
        <f>IF(SUM('4 Eingabe Friseure'!AD43,'4 Eingabe Friseure'!AJ43,'4 Eingabe Friseure'!AP43,'4 Eingabe Friseure'!AV43)&gt;0,AVERAGE('4 Eingabe Friseure'!AD43,'4 Eingabe Friseure'!AJ43,'4 Eingabe Friseure'!AP43,'4 Eingabe Friseure'!AV43),"")</f>
        <v/>
      </c>
      <c r="U39" s="1148" t="str">
        <f>IF(SUM('4 Eingabe Friseure'!AE43,'4 Eingabe Friseure'!AK43,'4 Eingabe Friseure'!AQ43,'4 Eingabe Friseure'!AW43)&gt;0,AVERAGE('4 Eingabe Friseure'!AE43,'4 Eingabe Friseure'!AK43,'4 Eingabe Friseure'!AQ43,'4 Eingabe Friseure'!AW43),"")</f>
        <v/>
      </c>
      <c r="V39" s="1148" t="str">
        <f>IF(SUM('4 Eingabe Friseure'!AF43,'4 Eingabe Friseure'!AL43,'4 Eingabe Friseure'!AR43,'4 Eingabe Friseure'!AX43)&gt;0,AVERAGE('4 Eingabe Friseure'!AF43,'4 Eingabe Friseure'!AL43,'4 Eingabe Friseure'!AR43,'4 Eingabe Friseure'!AX43),"")</f>
        <v/>
      </c>
      <c r="W39" s="1148" t="str">
        <f>IF(SUM('4 Eingabe Friseure'!AG43,'4 Eingabe Friseure'!AM43,'4 Eingabe Friseure'!AS43,'4 Eingabe Friseure'!AY43)&gt;0,AVERAGE('4 Eingabe Friseure'!AG43,'4 Eingabe Friseure'!AM43,'4 Eingabe Friseure'!AS43,'4 Eingabe Friseure'!AY43),"")</f>
        <v/>
      </c>
      <c r="X39" s="1148"/>
      <c r="Y39" s="1148"/>
      <c r="Z39" s="1148"/>
      <c r="AA39" s="1148"/>
      <c r="AB39" s="1148"/>
      <c r="AC39" s="36"/>
      <c r="AD39" s="36"/>
      <c r="AE39" s="36"/>
      <c r="AF39" s="36"/>
      <c r="AG39" s="36"/>
      <c r="AH39" s="36"/>
      <c r="AI39" s="36"/>
      <c r="AJ39" s="36"/>
      <c r="AK39" s="36"/>
      <c r="AL39" s="36"/>
      <c r="AM39" s="36"/>
      <c r="AN39" s="36"/>
      <c r="AO39" s="36"/>
      <c r="AP39" s="36"/>
      <c r="AQ39" s="36"/>
      <c r="AR39" s="36"/>
      <c r="AS39" s="36"/>
      <c r="AT39" s="36"/>
      <c r="AU39" s="36"/>
      <c r="AV39" s="36"/>
    </row>
    <row r="40" spans="1:48" ht="17.25" customHeight="1">
      <c r="A40" s="331" t="str">
        <f ca="1">IF('22 Sollumsatz pro MA '!A138="","",'22 Sollumsatz pro MA '!A138)</f>
        <v/>
      </c>
      <c r="B40" s="332" t="str">
        <f>'23 LF individuell'!T45</f>
        <v/>
      </c>
      <c r="C40" s="366" t="str">
        <f>'23 LF individuell'!D45</f>
        <v/>
      </c>
      <c r="D40" s="325" t="str">
        <f t="shared" si="12"/>
        <v/>
      </c>
      <c r="E40" s="326" t="str">
        <f t="shared" si="13"/>
        <v/>
      </c>
      <c r="F40" s="327" t="str">
        <f t="shared" si="14"/>
        <v/>
      </c>
      <c r="G40" s="326" t="str">
        <f t="shared" si="15"/>
        <v/>
      </c>
      <c r="H40" s="327" t="str">
        <f t="shared" si="16"/>
        <v/>
      </c>
      <c r="I40" s="326" t="str">
        <f t="shared" si="17"/>
        <v/>
      </c>
      <c r="J40" s="327" t="str">
        <f t="shared" si="18"/>
        <v/>
      </c>
      <c r="K40" s="326" t="str">
        <f t="shared" si="19"/>
        <v/>
      </c>
      <c r="L40" s="327" t="str">
        <f t="shared" si="20"/>
        <v/>
      </c>
      <c r="M40" s="326" t="str">
        <f t="shared" si="21"/>
        <v/>
      </c>
      <c r="N40" s="327" t="str">
        <f t="shared" si="22"/>
        <v/>
      </c>
      <c r="O40" s="326" t="str">
        <f t="shared" si="23"/>
        <v/>
      </c>
      <c r="P40" s="1943" t="str">
        <f>IF('23 LF individuell'!T45="","",'23 LF individuell'!T45)</f>
        <v/>
      </c>
      <c r="Q40" s="1943" t="str">
        <f>IF('23 LF individuell'!T92="","",'23 LF individuell'!T92)</f>
        <v/>
      </c>
      <c r="R40" s="1148" t="str">
        <f>IF(SUM('4 Eingabe Friseure'!AB44,'4 Eingabe Friseure'!AH44,'4 Eingabe Friseure'!AN44,'4 Eingabe Friseure'!AT44)&gt;0,AVERAGE('4 Eingabe Friseure'!AB44,'4 Eingabe Friseure'!AH44,'4 Eingabe Friseure'!AN44,'4 Eingabe Friseure'!AT44),"")</f>
        <v/>
      </c>
      <c r="S40" s="1148" t="str">
        <f>IF(SUM('4 Eingabe Friseure'!AC44,'4 Eingabe Friseure'!AI44,'4 Eingabe Friseure'!AO44,'4 Eingabe Friseure'!AU44)&gt;0,AVERAGE('4 Eingabe Friseure'!AC44,'4 Eingabe Friseure'!AI44,'4 Eingabe Friseure'!AO44,'4 Eingabe Friseure'!AU44),"")</f>
        <v/>
      </c>
      <c r="T40" s="1148" t="str">
        <f>IF(SUM('4 Eingabe Friseure'!AD44,'4 Eingabe Friseure'!AJ44,'4 Eingabe Friseure'!AP44,'4 Eingabe Friseure'!AV44)&gt;0,AVERAGE('4 Eingabe Friseure'!AD44,'4 Eingabe Friseure'!AJ44,'4 Eingabe Friseure'!AP44,'4 Eingabe Friseure'!AV44),"")</f>
        <v/>
      </c>
      <c r="U40" s="1148" t="str">
        <f>IF(SUM('4 Eingabe Friseure'!AE44,'4 Eingabe Friseure'!AK44,'4 Eingabe Friseure'!AQ44,'4 Eingabe Friseure'!AW44)&gt;0,AVERAGE('4 Eingabe Friseure'!AE44,'4 Eingabe Friseure'!AK44,'4 Eingabe Friseure'!AQ44,'4 Eingabe Friseure'!AW44),"")</f>
        <v/>
      </c>
      <c r="V40" s="1148" t="str">
        <f>IF(SUM('4 Eingabe Friseure'!AF44,'4 Eingabe Friseure'!AL44,'4 Eingabe Friseure'!AR44,'4 Eingabe Friseure'!AX44)&gt;0,AVERAGE('4 Eingabe Friseure'!AF44,'4 Eingabe Friseure'!AL44,'4 Eingabe Friseure'!AR44,'4 Eingabe Friseure'!AX44),"")</f>
        <v/>
      </c>
      <c r="W40" s="1148" t="str">
        <f>IF(SUM('4 Eingabe Friseure'!AG44,'4 Eingabe Friseure'!AM44,'4 Eingabe Friseure'!AS44,'4 Eingabe Friseure'!AY44)&gt;0,AVERAGE('4 Eingabe Friseure'!AG44,'4 Eingabe Friseure'!AM44,'4 Eingabe Friseure'!AS44,'4 Eingabe Friseure'!AY44),"")</f>
        <v/>
      </c>
      <c r="X40" s="1148"/>
      <c r="Y40" s="1148"/>
      <c r="Z40" s="1148"/>
      <c r="AA40" s="1148"/>
      <c r="AB40" s="1148"/>
      <c r="AC40" s="36"/>
      <c r="AD40" s="36"/>
      <c r="AE40" s="36"/>
      <c r="AF40" s="36"/>
      <c r="AG40" s="36"/>
      <c r="AH40" s="36"/>
      <c r="AI40" s="36"/>
      <c r="AJ40" s="36"/>
      <c r="AK40" s="36"/>
      <c r="AL40" s="36"/>
      <c r="AM40" s="36"/>
      <c r="AN40" s="36"/>
      <c r="AO40" s="36"/>
      <c r="AP40" s="36"/>
      <c r="AQ40" s="36"/>
      <c r="AR40" s="36"/>
      <c r="AS40" s="36"/>
      <c r="AT40" s="36"/>
      <c r="AU40" s="36"/>
      <c r="AV40" s="36"/>
    </row>
    <row r="41" spans="1:48" ht="17.25" customHeight="1">
      <c r="A41" s="331" t="str">
        <f ca="1">IF('22 Sollumsatz pro MA '!A139="","",'22 Sollumsatz pro MA '!A139)</f>
        <v/>
      </c>
      <c r="B41" s="332" t="str">
        <f>'23 LF individuell'!T46</f>
        <v/>
      </c>
      <c r="C41" s="366" t="str">
        <f>'23 LF individuell'!D46</f>
        <v/>
      </c>
      <c r="D41" s="325" t="str">
        <f t="shared" si="12"/>
        <v/>
      </c>
      <c r="E41" s="326" t="str">
        <f t="shared" si="13"/>
        <v/>
      </c>
      <c r="F41" s="327" t="str">
        <f t="shared" si="14"/>
        <v/>
      </c>
      <c r="G41" s="326" t="str">
        <f t="shared" si="15"/>
        <v/>
      </c>
      <c r="H41" s="327" t="str">
        <f t="shared" si="16"/>
        <v/>
      </c>
      <c r="I41" s="326" t="str">
        <f t="shared" si="17"/>
        <v/>
      </c>
      <c r="J41" s="327" t="str">
        <f t="shared" si="18"/>
        <v/>
      </c>
      <c r="K41" s="326" t="str">
        <f t="shared" si="19"/>
        <v/>
      </c>
      <c r="L41" s="327" t="str">
        <f t="shared" si="20"/>
        <v/>
      </c>
      <c r="M41" s="326" t="str">
        <f t="shared" si="21"/>
        <v/>
      </c>
      <c r="N41" s="327" t="str">
        <f t="shared" si="22"/>
        <v/>
      </c>
      <c r="O41" s="326" t="str">
        <f t="shared" si="23"/>
        <v/>
      </c>
      <c r="P41" s="1943" t="str">
        <f>IF('23 LF individuell'!T46="","",'23 LF individuell'!T46)</f>
        <v/>
      </c>
      <c r="Q41" s="1943" t="str">
        <f>IF('23 LF individuell'!T93="","",'23 LF individuell'!T93)</f>
        <v/>
      </c>
      <c r="R41" s="1148" t="str">
        <f>IF(SUM('4 Eingabe Friseure'!AB45,'4 Eingabe Friseure'!AH45,'4 Eingabe Friseure'!AN45,'4 Eingabe Friseure'!AT45)&gt;0,AVERAGE('4 Eingabe Friseure'!AB45,'4 Eingabe Friseure'!AH45,'4 Eingabe Friseure'!AN45,'4 Eingabe Friseure'!AT45),"")</f>
        <v/>
      </c>
      <c r="S41" s="1148" t="str">
        <f>IF(SUM('4 Eingabe Friseure'!AC45,'4 Eingabe Friseure'!AI45,'4 Eingabe Friseure'!AO45,'4 Eingabe Friseure'!AU45)&gt;0,AVERAGE('4 Eingabe Friseure'!AC45,'4 Eingabe Friseure'!AI45,'4 Eingabe Friseure'!AO45,'4 Eingabe Friseure'!AU45),"")</f>
        <v/>
      </c>
      <c r="T41" s="1148" t="str">
        <f>IF(SUM('4 Eingabe Friseure'!AD45,'4 Eingabe Friseure'!AJ45,'4 Eingabe Friseure'!AP45,'4 Eingabe Friseure'!AV45)&gt;0,AVERAGE('4 Eingabe Friseure'!AD45,'4 Eingabe Friseure'!AJ45,'4 Eingabe Friseure'!AP45,'4 Eingabe Friseure'!AV45),"")</f>
        <v/>
      </c>
      <c r="U41" s="1148" t="str">
        <f>IF(SUM('4 Eingabe Friseure'!AE45,'4 Eingabe Friseure'!AK45,'4 Eingabe Friseure'!AQ45,'4 Eingabe Friseure'!AW45)&gt;0,AVERAGE('4 Eingabe Friseure'!AE45,'4 Eingabe Friseure'!AK45,'4 Eingabe Friseure'!AQ45,'4 Eingabe Friseure'!AW45),"")</f>
        <v/>
      </c>
      <c r="V41" s="1148" t="str">
        <f>IF(SUM('4 Eingabe Friseure'!AF45,'4 Eingabe Friseure'!AL45,'4 Eingabe Friseure'!AR45,'4 Eingabe Friseure'!AX45)&gt;0,AVERAGE('4 Eingabe Friseure'!AF45,'4 Eingabe Friseure'!AL45,'4 Eingabe Friseure'!AR45,'4 Eingabe Friseure'!AX45),"")</f>
        <v/>
      </c>
      <c r="W41" s="1148" t="str">
        <f>IF(SUM('4 Eingabe Friseure'!AG45,'4 Eingabe Friseure'!AM45,'4 Eingabe Friseure'!AS45,'4 Eingabe Friseure'!AY45)&gt;0,AVERAGE('4 Eingabe Friseure'!AG45,'4 Eingabe Friseure'!AM45,'4 Eingabe Friseure'!AS45,'4 Eingabe Friseure'!AY45),"")</f>
        <v/>
      </c>
      <c r="X41" s="1148"/>
      <c r="Y41" s="1148"/>
      <c r="Z41" s="1148"/>
      <c r="AA41" s="1148"/>
      <c r="AB41" s="1148"/>
      <c r="AC41" s="36"/>
      <c r="AD41" s="36"/>
      <c r="AE41" s="36"/>
      <c r="AF41" s="36"/>
      <c r="AG41" s="36"/>
      <c r="AH41" s="36"/>
      <c r="AI41" s="36"/>
      <c r="AJ41" s="36"/>
      <c r="AK41" s="36"/>
      <c r="AL41" s="36"/>
      <c r="AM41" s="36"/>
      <c r="AN41" s="36"/>
      <c r="AO41" s="36"/>
      <c r="AP41" s="36"/>
      <c r="AQ41" s="36"/>
      <c r="AR41" s="36"/>
      <c r="AS41" s="36"/>
      <c r="AT41" s="36"/>
      <c r="AU41" s="36"/>
      <c r="AV41" s="36"/>
    </row>
    <row r="42" spans="1:48" ht="17.25" customHeight="1">
      <c r="G42" s="3"/>
      <c r="R42" s="1148"/>
      <c r="S42" s="1148"/>
      <c r="T42" s="1148"/>
      <c r="U42" s="1148"/>
      <c r="V42" s="1148"/>
      <c r="W42" s="1148"/>
      <c r="X42" s="1148"/>
      <c r="Y42" s="1148"/>
      <c r="Z42" s="1148"/>
      <c r="AA42" s="1148"/>
      <c r="AB42" s="1148"/>
      <c r="AC42" s="36"/>
      <c r="AD42" s="36"/>
      <c r="AE42" s="36"/>
      <c r="AF42" s="36"/>
      <c r="AG42" s="36"/>
      <c r="AH42" s="36"/>
      <c r="AI42" s="36"/>
      <c r="AJ42" s="36"/>
      <c r="AK42" s="36"/>
      <c r="AL42" s="36"/>
      <c r="AM42" s="36"/>
      <c r="AN42" s="36"/>
      <c r="AO42" s="36"/>
      <c r="AP42" s="36"/>
      <c r="AQ42" s="36"/>
      <c r="AR42" s="36"/>
      <c r="AS42" s="36"/>
      <c r="AT42" s="36"/>
      <c r="AU42" s="36"/>
      <c r="AV42" s="36"/>
    </row>
    <row r="43" spans="1:48" ht="17.25" customHeight="1">
      <c r="G43" s="3"/>
      <c r="R43" s="1148"/>
      <c r="S43" s="1148"/>
      <c r="T43" s="1148"/>
      <c r="U43" s="1148"/>
      <c r="V43" s="1148"/>
      <c r="W43" s="1148"/>
      <c r="X43" s="1148"/>
      <c r="Y43" s="1148"/>
      <c r="Z43" s="1148"/>
      <c r="AA43" s="1148"/>
      <c r="AB43" s="1148"/>
      <c r="AC43" s="36"/>
      <c r="AD43" s="36"/>
      <c r="AE43" s="36"/>
      <c r="AF43" s="36"/>
      <c r="AG43" s="36"/>
      <c r="AH43" s="36"/>
      <c r="AI43" s="36"/>
      <c r="AJ43" s="36"/>
      <c r="AK43" s="36"/>
      <c r="AL43" s="36"/>
      <c r="AM43" s="36"/>
      <c r="AN43" s="36"/>
      <c r="AO43" s="36"/>
      <c r="AP43" s="36"/>
      <c r="AQ43" s="36"/>
      <c r="AR43" s="36"/>
      <c r="AS43" s="36"/>
      <c r="AT43" s="36"/>
      <c r="AU43" s="36"/>
      <c r="AV43" s="36"/>
    </row>
    <row r="44" spans="1:48" ht="17.25" customHeight="1">
      <c r="G44" s="3"/>
      <c r="R44" s="1148"/>
      <c r="S44" s="1148"/>
      <c r="T44" s="1148"/>
      <c r="U44" s="1148"/>
      <c r="V44" s="1148"/>
      <c r="W44" s="1148"/>
      <c r="X44" s="1148"/>
      <c r="Y44" s="1148"/>
      <c r="Z44" s="1148"/>
      <c r="AA44" s="1148"/>
      <c r="AB44" s="1148"/>
      <c r="AC44" s="36"/>
      <c r="AD44" s="36"/>
      <c r="AE44" s="36"/>
      <c r="AF44" s="36"/>
      <c r="AG44" s="36"/>
      <c r="AH44" s="36"/>
      <c r="AI44" s="36"/>
      <c r="AJ44" s="36"/>
      <c r="AK44" s="36"/>
      <c r="AL44" s="36"/>
      <c r="AM44" s="36"/>
      <c r="AN44" s="36"/>
      <c r="AO44" s="36"/>
      <c r="AP44" s="36"/>
      <c r="AQ44" s="36"/>
      <c r="AR44" s="36"/>
      <c r="AS44" s="36"/>
      <c r="AT44" s="36"/>
      <c r="AU44" s="36"/>
      <c r="AV44" s="36"/>
    </row>
    <row r="45" spans="1:48" ht="17.25" customHeight="1">
      <c r="G45" s="3"/>
      <c r="R45" s="1148"/>
      <c r="S45" s="1148"/>
      <c r="T45" s="1148"/>
      <c r="U45" s="1148"/>
      <c r="V45" s="1148"/>
      <c r="W45" s="1148"/>
      <c r="X45" s="1148"/>
      <c r="Y45" s="1148"/>
      <c r="Z45" s="1148"/>
      <c r="AA45" s="1148"/>
      <c r="AB45" s="1148"/>
      <c r="AC45" s="36"/>
      <c r="AD45" s="36"/>
      <c r="AE45" s="36"/>
      <c r="AF45" s="36"/>
      <c r="AG45" s="36"/>
      <c r="AH45" s="36"/>
      <c r="AI45" s="36"/>
      <c r="AJ45" s="36"/>
      <c r="AK45" s="36"/>
      <c r="AL45" s="36"/>
      <c r="AM45" s="36"/>
      <c r="AN45" s="36"/>
      <c r="AO45" s="36"/>
      <c r="AP45" s="36"/>
      <c r="AQ45" s="36"/>
      <c r="AR45" s="36"/>
      <c r="AS45" s="36"/>
      <c r="AT45" s="36"/>
      <c r="AU45" s="36"/>
      <c r="AV45" s="36"/>
    </row>
    <row r="46" spans="1:48" ht="17.25" customHeight="1">
      <c r="G46" s="3"/>
      <c r="R46" s="1148"/>
      <c r="S46" s="1148"/>
      <c r="T46" s="267"/>
      <c r="U46" s="267"/>
      <c r="V46" s="267"/>
      <c r="W46" s="267"/>
      <c r="X46" s="267"/>
      <c r="Y46" s="267"/>
      <c r="Z46" s="267"/>
      <c r="AA46" s="267"/>
      <c r="AB46" s="267"/>
    </row>
    <row r="47" spans="1:48" ht="17.25" customHeight="1">
      <c r="G47" s="3"/>
      <c r="R47" s="1148"/>
      <c r="S47" s="1148"/>
      <c r="T47" s="267"/>
      <c r="U47" s="267"/>
      <c r="V47" s="267"/>
      <c r="W47" s="267"/>
      <c r="X47" s="267"/>
      <c r="Y47" s="267"/>
      <c r="Z47" s="267"/>
      <c r="AA47" s="267"/>
      <c r="AB47" s="267"/>
    </row>
    <row r="48" spans="1:48" ht="17.25" customHeight="1">
      <c r="G48" s="3"/>
      <c r="R48" s="1148"/>
      <c r="S48" s="1148"/>
      <c r="T48" s="267"/>
      <c r="U48" s="267"/>
      <c r="V48" s="267"/>
      <c r="W48" s="267"/>
      <c r="X48" s="267"/>
      <c r="Y48" s="267"/>
      <c r="Z48" s="267"/>
      <c r="AA48" s="267"/>
      <c r="AB48" s="267"/>
    </row>
    <row r="49" spans="7:28" ht="17.25" customHeight="1">
      <c r="G49" s="3"/>
      <c r="R49" s="1148"/>
      <c r="S49" s="1148"/>
      <c r="T49" s="267"/>
      <c r="U49" s="267"/>
      <c r="V49" s="267"/>
      <c r="W49" s="267"/>
      <c r="X49" s="267"/>
      <c r="Y49" s="267"/>
      <c r="Z49" s="267"/>
      <c r="AA49" s="267"/>
      <c r="AB49" s="267"/>
    </row>
    <row r="50" spans="7:28" ht="17.25" customHeight="1">
      <c r="G50" s="3"/>
      <c r="R50" s="1148"/>
      <c r="S50" s="1148"/>
      <c r="T50" s="267"/>
      <c r="U50" s="267"/>
      <c r="V50" s="267"/>
      <c r="W50" s="267"/>
      <c r="X50" s="267"/>
      <c r="Y50" s="267"/>
      <c r="Z50" s="267"/>
      <c r="AA50" s="267"/>
      <c r="AB50" s="267"/>
    </row>
    <row r="51" spans="7:28" ht="17.25" customHeight="1">
      <c r="G51" s="3"/>
      <c r="R51" s="1148"/>
      <c r="S51" s="1148"/>
      <c r="T51" s="267"/>
      <c r="U51" s="267"/>
      <c r="V51" s="267"/>
      <c r="W51" s="267"/>
      <c r="X51" s="267"/>
      <c r="Y51" s="267"/>
      <c r="Z51" s="267"/>
      <c r="AA51" s="267"/>
      <c r="AB51" s="267"/>
    </row>
    <row r="52" spans="7:28" ht="17.25" customHeight="1">
      <c r="G52" s="3"/>
      <c r="R52" s="1148"/>
      <c r="S52" s="1148"/>
      <c r="T52" s="267"/>
      <c r="U52" s="267"/>
      <c r="V52" s="267"/>
      <c r="W52" s="267"/>
      <c r="X52" s="267"/>
      <c r="Y52" s="267"/>
      <c r="Z52" s="267"/>
      <c r="AA52" s="267"/>
      <c r="AB52" s="267"/>
    </row>
    <row r="53" spans="7:28">
      <c r="G53" s="3"/>
    </row>
    <row r="54" spans="7:28">
      <c r="G54" s="3"/>
    </row>
    <row r="55" spans="7:28">
      <c r="G55" s="3"/>
    </row>
    <row r="56" spans="7:28">
      <c r="G56" s="3"/>
    </row>
    <row r="57" spans="7:28">
      <c r="G57" s="3"/>
    </row>
    <row r="58" spans="7:28">
      <c r="G58" s="3"/>
    </row>
    <row r="59" spans="7:28">
      <c r="G59" s="3"/>
    </row>
    <row r="60" spans="7:28">
      <c r="G60" s="3"/>
    </row>
    <row r="61" spans="7:28" ht="15" customHeight="1">
      <c r="G61" s="3"/>
    </row>
    <row r="62" spans="7:28">
      <c r="G62" s="3"/>
    </row>
    <row r="63" spans="7:28">
      <c r="G63" s="3"/>
    </row>
    <row r="64" spans="7:28">
      <c r="G64" s="3"/>
    </row>
    <row r="65" spans="7:7">
      <c r="G65" s="3"/>
    </row>
    <row r="66" spans="7:7">
      <c r="G66" s="3"/>
    </row>
    <row r="67" spans="7:7">
      <c r="G67" s="3"/>
    </row>
    <row r="68" spans="7:7">
      <c r="G68" s="3"/>
    </row>
    <row r="69" spans="7:7">
      <c r="G69" s="3"/>
    </row>
    <row r="70" spans="7:7">
      <c r="G70" s="3"/>
    </row>
    <row r="71" spans="7:7">
      <c r="G71" s="3"/>
    </row>
    <row r="72" spans="7:7">
      <c r="G72" s="3"/>
    </row>
    <row r="73" spans="7:7">
      <c r="G73" s="3"/>
    </row>
    <row r="74" spans="7:7">
      <c r="G74" s="3"/>
    </row>
    <row r="75" spans="7:7">
      <c r="G75" s="3"/>
    </row>
    <row r="76" spans="7:7">
      <c r="G76" s="3"/>
    </row>
    <row r="77" spans="7:7">
      <c r="G77" s="3"/>
    </row>
    <row r="78" spans="7:7">
      <c r="G78" s="3"/>
    </row>
    <row r="79" spans="7:7">
      <c r="G79" s="3"/>
    </row>
    <row r="80" spans="7:7">
      <c r="G80" s="3"/>
    </row>
    <row r="81" spans="7:7">
      <c r="G81" s="3"/>
    </row>
    <row r="82" spans="7:7">
      <c r="G82" s="3"/>
    </row>
    <row r="83" spans="7:7">
      <c r="G83" s="3"/>
    </row>
    <row r="84" spans="7:7">
      <c r="G84" s="3"/>
    </row>
  </sheetData>
  <sheetProtection algorithmName="SHA-512" hashValue="VIPA8v2ewBOU56lhIt0SBZjylzY/U9lZKAWqtSFrGPtT3Re4r1KoX0ZFexFHw6QzYvnxwWgu6pHWr/pDjXHpQA==" saltValue="6Bt/h/9xFcpjIB/zOAfCcw==" spinCount="100000" sheet="1" objects="1" scenarios="1"/>
  <customSheetViews>
    <customSheetView guid="{91EE9386-9500-473B-B86C-27DB8DF0BA46}" showGridLines="0">
      <selection activeCell="K2" sqref="K2"/>
      <pageMargins left="0.7" right="0.7" top="0.78740157499999996" bottom="0.78740157499999996" header="0.3" footer="0.3"/>
      <pageSetup paperSize="9" orientation="portrait" r:id="rId1"/>
    </customSheetView>
    <customSheetView guid="{B8019777-F14C-4393-8CE3-CE0081D0CD28}" showGridLines="0">
      <selection activeCell="K2" sqref="K2"/>
      <pageMargins left="0.7" right="0.7" top="0.78740157499999996" bottom="0.78740157499999996" header="0.3" footer="0.3"/>
      <pageSetup paperSize="9" orientation="portrait" r:id="rId2"/>
    </customSheetView>
  </customSheetViews>
  <mergeCells count="8">
    <mergeCell ref="N4:O4"/>
    <mergeCell ref="A2:H2"/>
    <mergeCell ref="D4:E4"/>
    <mergeCell ref="F4:G4"/>
    <mergeCell ref="H4:I4"/>
    <mergeCell ref="J4:K4"/>
    <mergeCell ref="L4:M4"/>
    <mergeCell ref="J1:N2"/>
  </mergeCells>
  <pageMargins left="0.7" right="0.7" top="0.78740157499999996" bottom="0.78740157499999996" header="0.3" footer="0.3"/>
  <pageSetup paperSize="9" scale="95" orientation="landscape"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M68"/>
  <sheetViews>
    <sheetView showGridLines="0" zoomScale="110" zoomScaleNormal="110" workbookViewId="0">
      <pane xSplit="1" ySplit="3" topLeftCell="B9" activePane="bottomRight" state="frozen"/>
      <selection pane="topRight" activeCell="B1" sqref="B1"/>
      <selection pane="bottomLeft" activeCell="A4" sqref="A4"/>
      <selection pane="bottomRight" activeCell="B13" sqref="B13"/>
    </sheetView>
  </sheetViews>
  <sheetFormatPr baseColWidth="10" defaultColWidth="11" defaultRowHeight="15"/>
  <cols>
    <col min="1" max="1" width="12.109375" style="36" customWidth="1"/>
    <col min="2" max="5" width="6.77734375" style="36" customWidth="1"/>
    <col min="6" max="73" width="6.77734375" style="3" customWidth="1"/>
    <col min="74" max="74" width="8.109375" style="3" bestFit="1" customWidth="1"/>
    <col min="75" max="75" width="8.44140625" style="3" bestFit="1" customWidth="1"/>
    <col min="76" max="76" width="8.77734375" style="3" bestFit="1" customWidth="1"/>
    <col min="77" max="79" width="8.44140625" style="3" customWidth="1"/>
    <col min="80" max="80" width="6.77734375" style="3" customWidth="1"/>
    <col min="81" max="81" width="11" style="3"/>
    <col min="82" max="82" width="13.77734375" style="3" bestFit="1" customWidth="1"/>
    <col min="83" max="16384" width="11" style="3"/>
  </cols>
  <sheetData>
    <row r="1" spans="1:143" ht="22.05" customHeight="1">
      <c r="A1" s="1949" t="s">
        <v>1103</v>
      </c>
      <c r="AF1" s="1951">
        <f ca="1">TODAY()</f>
        <v>44939</v>
      </c>
      <c r="AG1" s="1951"/>
      <c r="AH1" s="1951"/>
      <c r="AI1" s="1951"/>
      <c r="AJ1" s="1951"/>
    </row>
    <row r="2" spans="1:143" ht="45.45" customHeight="1">
      <c r="A2" s="4310" t="s">
        <v>1313</v>
      </c>
      <c r="B2" s="4310"/>
      <c r="C2" s="4310"/>
      <c r="D2" s="4310"/>
      <c r="E2" s="4310"/>
      <c r="F2" s="4310"/>
      <c r="G2" s="4310"/>
      <c r="H2" s="4310"/>
      <c r="I2" s="4310"/>
      <c r="J2" s="4310"/>
      <c r="K2" s="4310"/>
      <c r="L2" s="2050"/>
      <c r="M2" s="4310" t="s">
        <v>1133</v>
      </c>
      <c r="N2" s="4310"/>
      <c r="O2" s="4310"/>
      <c r="P2" s="4310"/>
      <c r="Q2" s="4310"/>
      <c r="R2" s="4310"/>
      <c r="S2" s="4310"/>
      <c r="T2" s="1956"/>
      <c r="U2" s="1956"/>
      <c r="V2" s="1956"/>
      <c r="W2" s="1956"/>
      <c r="X2" s="1956"/>
      <c r="Y2" s="1956"/>
      <c r="Z2" s="1956"/>
      <c r="AA2" s="1956"/>
      <c r="AB2" s="1956"/>
      <c r="AC2" s="1956"/>
      <c r="AD2" s="1956"/>
      <c r="AE2" s="1956"/>
      <c r="AK2" s="1956"/>
      <c r="AL2" s="1956"/>
      <c r="AM2" s="1956"/>
      <c r="AN2" s="1956"/>
      <c r="AO2" s="1956"/>
      <c r="AP2" s="1956"/>
      <c r="AQ2" s="1956"/>
      <c r="AR2" s="1956"/>
      <c r="AS2" s="1956"/>
      <c r="AT2" s="1956"/>
      <c r="AU2" s="1956"/>
      <c r="AV2" s="1956"/>
      <c r="AW2" s="1956"/>
      <c r="AX2" s="1956"/>
      <c r="AY2" s="1956"/>
      <c r="AZ2" s="1956"/>
      <c r="BA2" s="1956"/>
      <c r="BB2" s="1956"/>
      <c r="BC2" s="1956"/>
      <c r="BD2" s="1956"/>
      <c r="BE2" s="1956"/>
      <c r="BF2" s="1956"/>
      <c r="BG2" s="1956"/>
      <c r="BH2" s="1956"/>
      <c r="BI2" s="1950"/>
    </row>
    <row r="3" spans="1:143" ht="12.75" customHeight="1">
      <c r="A3" s="431"/>
      <c r="B3" s="4280">
        <f>'10 PK Kosten Diagramm'!B10</f>
        <v>44927</v>
      </c>
      <c r="C3" s="4281"/>
      <c r="D3" s="4281"/>
      <c r="E3" s="2066" t="s">
        <v>414</v>
      </c>
      <c r="F3" s="2066" t="s">
        <v>127</v>
      </c>
      <c r="G3" s="2067" t="s">
        <v>128</v>
      </c>
      <c r="H3" s="4278">
        <f>'10 PK Kosten Diagramm'!C10</f>
        <v>44959</v>
      </c>
      <c r="I3" s="4279"/>
      <c r="J3" s="4279"/>
      <c r="K3" s="1960" t="str">
        <f>E3</f>
        <v>Ges</v>
      </c>
      <c r="L3" s="1960" t="str">
        <f t="shared" ref="L3:M3" si="0">F3</f>
        <v>DL</v>
      </c>
      <c r="M3" s="1961" t="str">
        <f t="shared" si="0"/>
        <v>VK</v>
      </c>
      <c r="N3" s="4280">
        <f>'10 PK Kosten Diagramm'!D10</f>
        <v>44991</v>
      </c>
      <c r="O3" s="4281"/>
      <c r="P3" s="4281"/>
      <c r="Q3" s="2066" t="str">
        <f>K3</f>
        <v>Ges</v>
      </c>
      <c r="R3" s="2066" t="str">
        <f t="shared" ref="R3" si="1">L3</f>
        <v>DL</v>
      </c>
      <c r="S3" s="2067" t="str">
        <f t="shared" ref="S3" si="2">M3</f>
        <v>VK</v>
      </c>
      <c r="T3" s="4278">
        <f>'10 PK Kosten Diagramm'!E10</f>
        <v>45023</v>
      </c>
      <c r="U3" s="4279"/>
      <c r="V3" s="4279"/>
      <c r="W3" s="1960" t="str">
        <f>Q3</f>
        <v>Ges</v>
      </c>
      <c r="X3" s="1960" t="str">
        <f t="shared" ref="X3" si="3">R3</f>
        <v>DL</v>
      </c>
      <c r="Y3" s="1961" t="str">
        <f t="shared" ref="Y3" si="4">S3</f>
        <v>VK</v>
      </c>
      <c r="Z3" s="4280">
        <f>'10 PK Kosten Diagramm'!F10</f>
        <v>45055</v>
      </c>
      <c r="AA3" s="4281"/>
      <c r="AB3" s="4281"/>
      <c r="AC3" s="2066" t="str">
        <f>W3</f>
        <v>Ges</v>
      </c>
      <c r="AD3" s="2066" t="str">
        <f t="shared" ref="AD3" si="5">X3</f>
        <v>DL</v>
      </c>
      <c r="AE3" s="2067" t="str">
        <f t="shared" ref="AE3" si="6">Y3</f>
        <v>VK</v>
      </c>
      <c r="AF3" s="4278">
        <f>'10 PK Kosten Diagramm'!G10</f>
        <v>45087</v>
      </c>
      <c r="AG3" s="4279"/>
      <c r="AH3" s="4279"/>
      <c r="AI3" s="1960" t="str">
        <f>AC3</f>
        <v>Ges</v>
      </c>
      <c r="AJ3" s="1960" t="str">
        <f t="shared" ref="AJ3" si="7">AD3</f>
        <v>DL</v>
      </c>
      <c r="AK3" s="1961" t="str">
        <f t="shared" ref="AK3" si="8">AE3</f>
        <v>VK</v>
      </c>
      <c r="AL3" s="4280">
        <f>'10 PK Kosten Diagramm'!H10</f>
        <v>45119</v>
      </c>
      <c r="AM3" s="4281"/>
      <c r="AN3" s="4281"/>
      <c r="AO3" s="2066" t="str">
        <f>AI3</f>
        <v>Ges</v>
      </c>
      <c r="AP3" s="2066" t="str">
        <f t="shared" ref="AP3" si="9">AJ3</f>
        <v>DL</v>
      </c>
      <c r="AQ3" s="2067" t="str">
        <f t="shared" ref="AQ3" si="10">AK3</f>
        <v>VK</v>
      </c>
      <c r="AR3" s="4278">
        <f>'10 PK Kosten Diagramm'!I10</f>
        <v>45151</v>
      </c>
      <c r="AS3" s="4279"/>
      <c r="AT3" s="4279"/>
      <c r="AU3" s="1960" t="str">
        <f>AO3</f>
        <v>Ges</v>
      </c>
      <c r="AV3" s="1960" t="str">
        <f t="shared" ref="AV3" si="11">AP3</f>
        <v>DL</v>
      </c>
      <c r="AW3" s="1961" t="str">
        <f t="shared" ref="AW3" si="12">AQ3</f>
        <v>VK</v>
      </c>
      <c r="AX3" s="4280">
        <f>'10 PK Kosten Diagramm'!J10</f>
        <v>45183</v>
      </c>
      <c r="AY3" s="4281"/>
      <c r="AZ3" s="4281"/>
      <c r="BA3" s="2066" t="str">
        <f>AU3</f>
        <v>Ges</v>
      </c>
      <c r="BB3" s="2066" t="str">
        <f t="shared" ref="BB3" si="13">AV3</f>
        <v>DL</v>
      </c>
      <c r="BC3" s="2067" t="str">
        <f t="shared" ref="BC3" si="14">AW3</f>
        <v>VK</v>
      </c>
      <c r="BD3" s="4278">
        <f>'10 PK Kosten Diagramm'!K10</f>
        <v>45215</v>
      </c>
      <c r="BE3" s="4279"/>
      <c r="BF3" s="4279"/>
      <c r="BG3" s="1960" t="str">
        <f>BA3</f>
        <v>Ges</v>
      </c>
      <c r="BH3" s="1960" t="str">
        <f t="shared" ref="BH3" si="15">BB3</f>
        <v>DL</v>
      </c>
      <c r="BI3" s="1961" t="str">
        <f t="shared" ref="BI3" si="16">BC3</f>
        <v>VK</v>
      </c>
      <c r="BJ3" s="4280">
        <f>'10 PK Kosten Diagramm'!L10</f>
        <v>45247</v>
      </c>
      <c r="BK3" s="4281"/>
      <c r="BL3" s="4281"/>
      <c r="BM3" s="2066" t="str">
        <f>BG3</f>
        <v>Ges</v>
      </c>
      <c r="BN3" s="2066" t="str">
        <f t="shared" ref="BN3" si="17">BH3</f>
        <v>DL</v>
      </c>
      <c r="BO3" s="2067" t="str">
        <f t="shared" ref="BO3" si="18">BI3</f>
        <v>VK</v>
      </c>
      <c r="BP3" s="4278">
        <f>'10 PK Kosten Diagramm'!M10</f>
        <v>45279</v>
      </c>
      <c r="BQ3" s="4279"/>
      <c r="BR3" s="4279"/>
      <c r="BS3" s="1960" t="str">
        <f>BM3</f>
        <v>Ges</v>
      </c>
      <c r="BT3" s="1960" t="str">
        <f t="shared" ref="BT3" si="19">BN3</f>
        <v>DL</v>
      </c>
      <c r="BU3" s="1961" t="str">
        <f t="shared" ref="BU3" si="20">BO3</f>
        <v>VK</v>
      </c>
      <c r="BV3" s="2034" t="str">
        <f>BP8</f>
        <v>Arbeitstage</v>
      </c>
      <c r="BW3" s="2034" t="str">
        <f>BQ8</f>
        <v>Urlaubstage</v>
      </c>
      <c r="BX3" s="2034" t="str">
        <f>BR8</f>
        <v>Krankentage</v>
      </c>
      <c r="BY3" s="2039" t="str">
        <f>BS3</f>
        <v>Ges</v>
      </c>
      <c r="BZ3" s="2039" t="str">
        <f t="shared" ref="BZ3:CA3" si="21">BT3</f>
        <v>DL</v>
      </c>
      <c r="CA3" s="2039" t="str">
        <f t="shared" si="21"/>
        <v>VK</v>
      </c>
    </row>
    <row r="4" spans="1:143" ht="12.75" customHeight="1">
      <c r="B4" s="278"/>
      <c r="C4" s="2068" t="s">
        <v>1128</v>
      </c>
      <c r="D4" s="278"/>
      <c r="E4" s="2069">
        <f ca="1">SUM(E5:E7)</f>
        <v>54766.32</v>
      </c>
      <c r="F4" s="2070">
        <f ca="1">SUM(F5:F7)</f>
        <v>51757.7481189026</v>
      </c>
      <c r="G4" s="2071">
        <f ca="1">SUM(G5:G7)</f>
        <v>3013.3612037127768</v>
      </c>
      <c r="H4" s="4282" t="str">
        <f>C4</f>
        <v xml:space="preserve">Gesamt Salon pro Monat               </v>
      </c>
      <c r="I4" s="4283"/>
      <c r="J4" s="4283"/>
      <c r="K4" s="1985">
        <f ca="1">SUM(K5:K7)</f>
        <v>52152.720000000008</v>
      </c>
      <c r="L4" s="1985">
        <f ca="1">SUM(L5:L7)</f>
        <v>49287.411078949539</v>
      </c>
      <c r="M4" s="1986">
        <f ca="1">SUM(M5:M7)</f>
        <v>2869.5517438334291</v>
      </c>
      <c r="N4" s="4284" t="str">
        <f>H4</f>
        <v xml:space="preserve">Gesamt Salon pro Monat               </v>
      </c>
      <c r="O4" s="4285"/>
      <c r="P4" s="4285"/>
      <c r="Q4" s="2069">
        <f ca="1">SUM(Q5:Q7)</f>
        <v>51110.580000000009</v>
      </c>
      <c r="R4" s="2070">
        <f ca="1">SUM(R5:R7)</f>
        <v>48307.496819660249</v>
      </c>
      <c r="S4" s="2071">
        <f ca="1">SUM(S5:S7)</f>
        <v>2812.2160795231966</v>
      </c>
      <c r="T4" s="4282" t="str">
        <f>N4</f>
        <v xml:space="preserve">Gesamt Salon pro Monat               </v>
      </c>
      <c r="U4" s="4283"/>
      <c r="V4" s="4283"/>
      <c r="W4" s="1985">
        <f ca="1">SUM(W5:W7)</f>
        <v>50885.78</v>
      </c>
      <c r="X4" s="1985">
        <f ca="1">SUM(X5:X7)</f>
        <v>48092.939399218994</v>
      </c>
      <c r="Y4" s="1986">
        <f ca="1">SUM(Y5:Y7)</f>
        <v>2799.8399155136344</v>
      </c>
      <c r="Z4" s="4284" t="str">
        <f>T4</f>
        <v xml:space="preserve">Gesamt Salon pro Monat               </v>
      </c>
      <c r="AA4" s="4285"/>
      <c r="AB4" s="4285"/>
      <c r="AC4" s="2069">
        <f ca="1">SUM(AC5:AC7)</f>
        <v>43486.76</v>
      </c>
      <c r="AD4" s="2070">
        <f ca="1">SUM(AD5:AD7)</f>
        <v>41100.316753629544</v>
      </c>
      <c r="AE4" s="2071">
        <f ca="1">SUM(AE5:AE7)</f>
        <v>2392.7416236310405</v>
      </c>
      <c r="AF4" s="4282" t="str">
        <f>Z4</f>
        <v xml:space="preserve">Gesamt Salon pro Monat               </v>
      </c>
      <c r="AG4" s="4283"/>
      <c r="AH4" s="4283"/>
      <c r="AI4" s="1985">
        <f ca="1">SUM(AI5:AI7)</f>
        <v>54470.96</v>
      </c>
      <c r="AJ4" s="1985">
        <f ca="1">SUM(AJ5:AJ7)</f>
        <v>51480.049990333464</v>
      </c>
      <c r="AK4" s="1986">
        <f ca="1">SUM(AK5:AK7)</f>
        <v>2997.1083266333017</v>
      </c>
      <c r="AL4" s="4284" t="str">
        <f>AF4</f>
        <v xml:space="preserve">Gesamt Salon pro Monat               </v>
      </c>
      <c r="AM4" s="4285"/>
      <c r="AN4" s="4285"/>
      <c r="AO4" s="2069">
        <f ca="1">SUM(AO5:AO7)</f>
        <v>48023.98</v>
      </c>
      <c r="AP4" s="2070">
        <f ca="1">SUM(AP5:AP7)</f>
        <v>45386.587371861111</v>
      </c>
      <c r="AQ4" s="2071">
        <f ca="1">SUM(AQ5:AQ7)</f>
        <v>2642.389604162513</v>
      </c>
      <c r="AR4" s="4282" t="str">
        <f>AL4</f>
        <v xml:space="preserve">Gesamt Salon pro Monat               </v>
      </c>
      <c r="AS4" s="4283"/>
      <c r="AT4" s="4283"/>
      <c r="AU4" s="1985">
        <f ca="1">SUM(AU5:AU7)</f>
        <v>58149.240000000005</v>
      </c>
      <c r="AV4" s="1985">
        <f ca="1">SUM(AV5:AV7)</f>
        <v>54957.554056653273</v>
      </c>
      <c r="AW4" s="1986">
        <f ca="1">SUM(AW5:AW7)</f>
        <v>3199.4926945162642</v>
      </c>
      <c r="AX4" s="4284" t="str">
        <f>AR4</f>
        <v xml:space="preserve">Gesamt Salon pro Monat               </v>
      </c>
      <c r="AY4" s="4285"/>
      <c r="AZ4" s="4285"/>
      <c r="BA4" s="2069">
        <f ca="1">SUM(BA5:BA7)</f>
        <v>47765.66</v>
      </c>
      <c r="BB4" s="2070">
        <f ca="1">SUM(BB5:BB7)</f>
        <v>45144.909866787239</v>
      </c>
      <c r="BC4" s="2071">
        <f ca="1">SUM(BC5:BC7)</f>
        <v>2628.1519690454979</v>
      </c>
      <c r="BD4" s="4282" t="str">
        <f>AX4</f>
        <v xml:space="preserve">Gesamt Salon pro Monat               </v>
      </c>
      <c r="BE4" s="4283"/>
      <c r="BF4" s="4283"/>
      <c r="BG4" s="1985">
        <f ca="1">SUM(BG5:BG7)</f>
        <v>46128.100000000006</v>
      </c>
      <c r="BH4" s="1985">
        <f ca="1">SUM(BH5:BH7)</f>
        <v>43598.621915285345</v>
      </c>
      <c r="BI4" s="1986">
        <f ca="1">SUM(BI5:BI7)</f>
        <v>2538.0610860091997</v>
      </c>
      <c r="BJ4" s="4284" t="str">
        <f>BD4</f>
        <v xml:space="preserve">Gesamt Salon pro Monat               </v>
      </c>
      <c r="BK4" s="4285"/>
      <c r="BL4" s="4285"/>
      <c r="BM4" s="2069">
        <f ca="1">SUM(BM5:BM7)</f>
        <v>48920.28</v>
      </c>
      <c r="BN4" s="2070">
        <f ca="1">SUM(BN5:BN7)</f>
        <v>46234.384644758975</v>
      </c>
      <c r="BO4" s="2071">
        <f ca="1">SUM(BO5:BO7)</f>
        <v>2691.6957036075823</v>
      </c>
      <c r="BP4" s="4282" t="str">
        <f>BJ4</f>
        <v xml:space="preserve">Gesamt Salon pro Monat               </v>
      </c>
      <c r="BQ4" s="4283"/>
      <c r="BR4" s="4283"/>
      <c r="BS4" s="1985">
        <f ca="1">SUM(BS5:BS7)</f>
        <v>56633.200000000004</v>
      </c>
      <c r="BT4" s="1985">
        <f ca="1">SUM(BT5:BT7)</f>
        <v>53524.98334509218</v>
      </c>
      <c r="BU4" s="1986">
        <f ca="1">SUM(BU5:BU7)</f>
        <v>3116.0723956728862</v>
      </c>
      <c r="BV4" s="2035">
        <f ca="1">SUM(BV10:BV66)</f>
        <v>1260</v>
      </c>
      <c r="BW4" s="2035">
        <f t="shared" ref="BW4:BX4" ca="1" si="22">SUM(BW10:BW66)</f>
        <v>127</v>
      </c>
      <c r="BX4" s="2035">
        <f t="shared" ca="1" si="22"/>
        <v>77</v>
      </c>
      <c r="BY4" s="2040">
        <f ca="1">SUM(BY5:BY7)</f>
        <v>612493.57999999996</v>
      </c>
      <c r="BZ4" s="2040">
        <f ca="1">SUM(BZ5:BZ7)</f>
        <v>578873.00336113258</v>
      </c>
      <c r="CA4" s="2040">
        <f ca="1">SUM(CA5:CA7)</f>
        <v>33700.682345861322</v>
      </c>
      <c r="CB4" s="2112" t="s">
        <v>2</v>
      </c>
    </row>
    <row r="5" spans="1:143" ht="17.25" customHeight="1">
      <c r="B5" s="4299" t="s">
        <v>1119</v>
      </c>
      <c r="C5" s="4300"/>
      <c r="D5" s="4300"/>
      <c r="E5" s="2072">
        <f ca="1">SUM(E13:E46)</f>
        <v>45551.519999999997</v>
      </c>
      <c r="F5" s="2073">
        <f ca="1">SUM(F13:F46)</f>
        <v>43045.793118902599</v>
      </c>
      <c r="G5" s="2074">
        <f ca="1">SUM(G13:G46)</f>
        <v>2506.3162037127768</v>
      </c>
      <c r="H5" s="4286" t="str">
        <f t="shared" ref="H5:H7" si="23">B5</f>
        <v>Umsatz Friseure Zeile 10-45</v>
      </c>
      <c r="I5" s="4287"/>
      <c r="J5" s="4287"/>
      <c r="K5" s="1987">
        <f ca="1">SUM(K13:K46)</f>
        <v>44254.320000000007</v>
      </c>
      <c r="L5" s="1987">
        <f ca="1">SUM(L13:L46)</f>
        <v>41820.02107894954</v>
      </c>
      <c r="M5" s="1988">
        <f ca="1">SUM(M13:M46)</f>
        <v>2434.941743833429</v>
      </c>
      <c r="N5" s="4288" t="str">
        <f t="shared" ref="N5:N8" si="24">H5</f>
        <v>Umsatz Friseure Zeile 10-45</v>
      </c>
      <c r="O5" s="4289"/>
      <c r="P5" s="4289"/>
      <c r="Q5" s="2072">
        <f ca="1">SUM(Q13:Q46)</f>
        <v>41895.780000000006</v>
      </c>
      <c r="R5" s="2073">
        <f ca="1">SUM(R13:R46)</f>
        <v>39595.541819660248</v>
      </c>
      <c r="S5" s="2074">
        <f ca="1">SUM(S13:S46)</f>
        <v>2305.1710795231966</v>
      </c>
      <c r="T5" s="4286" t="str">
        <f t="shared" ref="T5:T7" si="25">N5</f>
        <v>Umsatz Friseure Zeile 10-45</v>
      </c>
      <c r="U5" s="4287"/>
      <c r="V5" s="4287"/>
      <c r="W5" s="1987">
        <f ca="1">SUM(W13:W46)</f>
        <v>43864.979999999996</v>
      </c>
      <c r="X5" s="1987">
        <f ca="1">SUM(X13:X46)</f>
        <v>41455.259399218994</v>
      </c>
      <c r="Y5" s="1988">
        <f ca="1">SUM(Y13:Y46)</f>
        <v>2413.5199155136343</v>
      </c>
      <c r="Z5" s="4288" t="str">
        <f t="shared" ref="Z5:Z8" si="26">T5</f>
        <v>Umsatz Friseure Zeile 10-45</v>
      </c>
      <c r="AA5" s="4289"/>
      <c r="AB5" s="4289"/>
      <c r="AC5" s="2072">
        <f ca="1">SUM(AC13:AC46)</f>
        <v>34710.76</v>
      </c>
      <c r="AD5" s="2073">
        <f ca="1">SUM(AD13:AD46)</f>
        <v>32803.216753629546</v>
      </c>
      <c r="AE5" s="2074">
        <f ca="1">SUM(AE13:AE46)</f>
        <v>1909.8416236310404</v>
      </c>
      <c r="AF5" s="4286" t="str">
        <f t="shared" ref="AF5:AF7" si="27">Z5</f>
        <v>Umsatz Friseure Zeile 10-45</v>
      </c>
      <c r="AG5" s="4287"/>
      <c r="AH5" s="4287"/>
      <c r="AI5" s="1987">
        <f ca="1">SUM(AI13:AI46)</f>
        <v>45694.96</v>
      </c>
      <c r="AJ5" s="1987">
        <f ca="1">SUM(AJ13:AJ46)</f>
        <v>43182.949990333465</v>
      </c>
      <c r="AK5" s="1988">
        <f ca="1">SUM(AK13:AK46)</f>
        <v>2514.2083266333016</v>
      </c>
      <c r="AL5" s="4288" t="str">
        <f t="shared" ref="AL5:AL8" si="28">AF5</f>
        <v>Umsatz Friseure Zeile 10-45</v>
      </c>
      <c r="AM5" s="4289"/>
      <c r="AN5" s="4289"/>
      <c r="AO5" s="2072">
        <f ca="1">SUM(AO13:AO46)</f>
        <v>37931.58</v>
      </c>
      <c r="AP5" s="2073">
        <f ca="1">SUM(AP13:AP46)</f>
        <v>35844.92237186111</v>
      </c>
      <c r="AQ5" s="2074">
        <f ca="1">SUM(AQ13:AQ46)</f>
        <v>2087.054604162513</v>
      </c>
      <c r="AR5" s="4286" t="str">
        <f t="shared" ref="AR5:AR7" si="29">AL5</f>
        <v>Umsatz Friseure Zeile 10-45</v>
      </c>
      <c r="AS5" s="4287"/>
      <c r="AT5" s="4287"/>
      <c r="AU5" s="1987">
        <f ca="1">SUM(AU13:AU46)</f>
        <v>48056.840000000004</v>
      </c>
      <c r="AV5" s="1987">
        <f ca="1">SUM(AV13:AV46)</f>
        <v>45415.889056653272</v>
      </c>
      <c r="AW5" s="1988">
        <f ca="1">SUM(AW13:AW46)</f>
        <v>2644.1576945162642</v>
      </c>
      <c r="AX5" s="4288" t="str">
        <f t="shared" ref="AX5:AX8" si="30">AR5</f>
        <v>Umsatz Friseure Zeile 10-45</v>
      </c>
      <c r="AY5" s="4289"/>
      <c r="AZ5" s="4289"/>
      <c r="BA5" s="2072">
        <f ca="1">SUM(BA13:BA46)</f>
        <v>43377.66</v>
      </c>
      <c r="BB5" s="2073">
        <f ca="1">SUM(BB13:BB46)</f>
        <v>40996.359866787236</v>
      </c>
      <c r="BC5" s="2074">
        <f ca="1">SUM(BC13:BC46)</f>
        <v>2386.7019690454981</v>
      </c>
      <c r="BD5" s="4286" t="str">
        <f t="shared" ref="BD5:BD7" si="31">AX5</f>
        <v>Umsatz Friseure Zeile 10-45</v>
      </c>
      <c r="BE5" s="4287"/>
      <c r="BF5" s="4287"/>
      <c r="BG5" s="1987">
        <f ca="1">SUM(BG13:BG46)</f>
        <v>39107.300000000003</v>
      </c>
      <c r="BH5" s="1987">
        <f ca="1">SUM(BH13:BH46)</f>
        <v>36960.941915285344</v>
      </c>
      <c r="BI5" s="1988">
        <f ca="1">SUM(BI13:BI46)</f>
        <v>2151.7410860091995</v>
      </c>
      <c r="BJ5" s="4288" t="str">
        <f t="shared" ref="BJ5:BJ8" si="32">BD5</f>
        <v>Umsatz Friseure Zeile 10-45</v>
      </c>
      <c r="BK5" s="4289"/>
      <c r="BL5" s="4289"/>
      <c r="BM5" s="2072">
        <f ca="1">SUM(BM13:BM46)</f>
        <v>40144.28</v>
      </c>
      <c r="BN5" s="2073">
        <f ca="1">SUM(BN13:BN46)</f>
        <v>37937.284644758976</v>
      </c>
      <c r="BO5" s="2074">
        <f ca="1">SUM(BO13:BO46)</f>
        <v>2208.7957036075823</v>
      </c>
      <c r="BP5" s="4286" t="str">
        <f t="shared" ref="BP5:BP7" si="33">BJ5</f>
        <v>Umsatz Friseure Zeile 10-45</v>
      </c>
      <c r="BQ5" s="4287"/>
      <c r="BR5" s="4287"/>
      <c r="BS5" s="1987">
        <f t="shared" ref="BS5:BX5" ca="1" si="34">SUM(BS13:BS46)</f>
        <v>47857.200000000004</v>
      </c>
      <c r="BT5" s="1987">
        <f t="shared" ca="1" si="34"/>
        <v>45227.883345092181</v>
      </c>
      <c r="BU5" s="1988">
        <f t="shared" ca="1" si="34"/>
        <v>2633.1723956728861</v>
      </c>
      <c r="BV5" s="2036">
        <f ca="1">SUM(BV13:BV46)</f>
        <v>1032</v>
      </c>
      <c r="BW5" s="2036">
        <f t="shared" ca="1" si="34"/>
        <v>107</v>
      </c>
      <c r="BX5" s="2036">
        <f t="shared" ca="1" si="34"/>
        <v>75</v>
      </c>
      <c r="BY5" s="2041">
        <f ca="1">IF($B5="","",SUM(E5,K5,Q5,W5,AC5,AI5,AO5,AU5,BA5,BG5,BM5,BS5))</f>
        <v>512447.18</v>
      </c>
      <c r="BZ5" s="2041">
        <f ca="1">IF($B5="","",SUM(F5,L5,R5,X5,AD5,AJ5,AP5,AV5,BB5,BH5,BN5,BT5))</f>
        <v>484286.06336113252</v>
      </c>
      <c r="CA5" s="2041">
        <f ca="1">IF($B5="","",SUM(G5,M5,S5,Y5,AE5,AK5,AQ5,AW5,BC5,BI5,BO5,BU5))</f>
        <v>28195.62234586132</v>
      </c>
      <c r="CB5" s="2113" t="s">
        <v>202</v>
      </c>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c r="DM5" s="267"/>
      <c r="DN5" s="267"/>
      <c r="DO5" s="267"/>
      <c r="DP5" s="267"/>
      <c r="DQ5" s="267"/>
      <c r="DR5" s="267"/>
      <c r="DS5" s="267"/>
      <c r="DT5" s="267"/>
      <c r="DU5" s="267"/>
      <c r="DV5" s="267"/>
      <c r="DW5" s="267"/>
      <c r="DX5" s="267"/>
      <c r="DY5" s="267"/>
      <c r="DZ5" s="267"/>
      <c r="EA5" s="267"/>
    </row>
    <row r="6" spans="1:143" ht="12.45" customHeight="1">
      <c r="B6" s="4301" t="s">
        <v>1118</v>
      </c>
      <c r="C6" s="4302"/>
      <c r="D6" s="4302"/>
      <c r="E6" s="2075">
        <f>SUM(E10:E12)</f>
        <v>9214.8000000000011</v>
      </c>
      <c r="F6" s="2075">
        <f>SUM(F10:F12)</f>
        <v>8711.9549999999999</v>
      </c>
      <c r="G6" s="2077">
        <f>SUM(G10:G12)</f>
        <v>507.04500000000002</v>
      </c>
      <c r="H6" s="4290" t="str">
        <f t="shared" si="23"/>
        <v>Umsatz Chef(s) Zeile 26/27</v>
      </c>
      <c r="I6" s="4291"/>
      <c r="J6" s="4291"/>
      <c r="K6" s="1989">
        <f>SUM(K10:K12)</f>
        <v>7898.4000000000005</v>
      </c>
      <c r="L6" s="1989">
        <f>SUM(L10:L12)</f>
        <v>7467.39</v>
      </c>
      <c r="M6" s="1990">
        <f>SUM(M10:M12)</f>
        <v>434.61</v>
      </c>
      <c r="N6" s="4292" t="str">
        <f t="shared" si="24"/>
        <v>Umsatz Chef(s) Zeile 26/27</v>
      </c>
      <c r="O6" s="4293"/>
      <c r="P6" s="4293"/>
      <c r="Q6" s="2075">
        <f>SUM(Q10:Q12)</f>
        <v>9214.8000000000011</v>
      </c>
      <c r="R6" s="2076">
        <f>SUM(R10:R12)</f>
        <v>8711.9549999999999</v>
      </c>
      <c r="S6" s="2077">
        <f>SUM(S10:S12)</f>
        <v>507.04500000000002</v>
      </c>
      <c r="T6" s="4290" t="str">
        <f t="shared" si="25"/>
        <v>Umsatz Chef(s) Zeile 26/27</v>
      </c>
      <c r="U6" s="4291"/>
      <c r="V6" s="4291"/>
      <c r="W6" s="1989">
        <f>SUM(W10:W12)</f>
        <v>7020.8</v>
      </c>
      <c r="X6" s="1989">
        <f>SUM(X10:X12)</f>
        <v>6637.68</v>
      </c>
      <c r="Y6" s="1990">
        <f>SUM(Y10:Y12)</f>
        <v>386.32</v>
      </c>
      <c r="Z6" s="4292" t="str">
        <f t="shared" si="26"/>
        <v>Umsatz Chef(s) Zeile 26/27</v>
      </c>
      <c r="AA6" s="4293"/>
      <c r="AB6" s="4293"/>
      <c r="AC6" s="2075">
        <f>SUM(AC10:AC12)</f>
        <v>8776</v>
      </c>
      <c r="AD6" s="2076">
        <f>SUM(AD10:AD12)</f>
        <v>8297.1</v>
      </c>
      <c r="AE6" s="2077">
        <f>SUM(AE10:AE12)</f>
        <v>482.9</v>
      </c>
      <c r="AF6" s="4290" t="str">
        <f t="shared" si="27"/>
        <v>Umsatz Chef(s) Zeile 26/27</v>
      </c>
      <c r="AG6" s="4291"/>
      <c r="AH6" s="4291"/>
      <c r="AI6" s="1989">
        <f>SUM(AI10:AI12)</f>
        <v>8776</v>
      </c>
      <c r="AJ6" s="1989">
        <f>SUM(AJ10:AJ12)</f>
        <v>8297.1</v>
      </c>
      <c r="AK6" s="1990">
        <f>SUM(AK10:AK12)</f>
        <v>482.9</v>
      </c>
      <c r="AL6" s="4292" t="str">
        <f t="shared" si="28"/>
        <v>Umsatz Chef(s) Zeile 26/27</v>
      </c>
      <c r="AM6" s="4293"/>
      <c r="AN6" s="4293"/>
      <c r="AO6" s="2075">
        <f>SUM(AO10:AO12)</f>
        <v>10092.4</v>
      </c>
      <c r="AP6" s="2076">
        <f>SUM(AP10:AP12)</f>
        <v>9541.6650000000009</v>
      </c>
      <c r="AQ6" s="2077">
        <f>SUM(AQ10:AQ12)</f>
        <v>555.33500000000004</v>
      </c>
      <c r="AR6" s="4290" t="str">
        <f t="shared" si="29"/>
        <v>Umsatz Chef(s) Zeile 26/27</v>
      </c>
      <c r="AS6" s="4291"/>
      <c r="AT6" s="4291"/>
      <c r="AU6" s="1989">
        <f>SUM(AU10:AU12)</f>
        <v>10092.4</v>
      </c>
      <c r="AV6" s="1989">
        <f>SUM(AV10:AV12)</f>
        <v>9541.6650000000009</v>
      </c>
      <c r="AW6" s="1990">
        <f>SUM(AW10:AW12)</f>
        <v>555.33500000000004</v>
      </c>
      <c r="AX6" s="4292" t="str">
        <f t="shared" si="30"/>
        <v>Umsatz Chef(s) Zeile 26/27</v>
      </c>
      <c r="AY6" s="4293"/>
      <c r="AZ6" s="4293"/>
      <c r="BA6" s="2075">
        <f>SUM(BA10:BA12)</f>
        <v>4388</v>
      </c>
      <c r="BB6" s="2076">
        <f>SUM(BB10:BB12)</f>
        <v>4148.55</v>
      </c>
      <c r="BC6" s="2077">
        <f>SUM(BC10:BC12)</f>
        <v>241.45</v>
      </c>
      <c r="BD6" s="4290" t="str">
        <f t="shared" si="31"/>
        <v>Umsatz Chef(s) Zeile 26/27</v>
      </c>
      <c r="BE6" s="4291"/>
      <c r="BF6" s="4291"/>
      <c r="BG6" s="1989">
        <f>SUM(BG10:BG12)</f>
        <v>7020.8</v>
      </c>
      <c r="BH6" s="1989">
        <f>SUM(BH10:BH12)</f>
        <v>6637.68</v>
      </c>
      <c r="BI6" s="1990">
        <f>SUM(BI10:BI12)</f>
        <v>386.32</v>
      </c>
      <c r="BJ6" s="4292" t="str">
        <f t="shared" si="32"/>
        <v>Umsatz Chef(s) Zeile 26/27</v>
      </c>
      <c r="BK6" s="4293"/>
      <c r="BL6" s="4293"/>
      <c r="BM6" s="2075">
        <f>SUM(BM10:BM12)</f>
        <v>8776</v>
      </c>
      <c r="BN6" s="2076">
        <f>SUM(BN10:BN12)</f>
        <v>8297.1</v>
      </c>
      <c r="BO6" s="2077">
        <f>SUM(BO10:BO12)</f>
        <v>482.9</v>
      </c>
      <c r="BP6" s="4290" t="str">
        <f t="shared" si="33"/>
        <v>Umsatz Chef(s) Zeile 26/27</v>
      </c>
      <c r="BQ6" s="4291"/>
      <c r="BR6" s="4291"/>
      <c r="BS6" s="1989">
        <f t="shared" ref="BS6:BX6" si="35">SUM(BS10:BS12)</f>
        <v>8776</v>
      </c>
      <c r="BT6" s="1989">
        <f t="shared" si="35"/>
        <v>8297.1</v>
      </c>
      <c r="BU6" s="1990">
        <f t="shared" si="35"/>
        <v>482.9</v>
      </c>
      <c r="BV6" s="2037">
        <f t="shared" si="35"/>
        <v>228</v>
      </c>
      <c r="BW6" s="2037">
        <f t="shared" si="35"/>
        <v>20</v>
      </c>
      <c r="BX6" s="2037">
        <f t="shared" si="35"/>
        <v>2</v>
      </c>
      <c r="BY6" s="2042">
        <f t="shared" ref="BY6:BY7" si="36">IF($B6="","",SUM(E6,K6,Q6,W6,AC6,AI6,AO6,AU6,BA6,BG6,BM6,BS6))</f>
        <v>100046.40000000001</v>
      </c>
      <c r="BZ6" s="2042">
        <f t="shared" ref="BZ6:BZ7" si="37">IF($B6="","",SUM(F6,L6,R6,X6,AD6,AJ6,AP6,AV6,BB6,BH6,BN6,BT6))</f>
        <v>94586.940000000031</v>
      </c>
      <c r="CA6" s="2042">
        <f t="shared" ref="CA6:CA7" si="38">IF($B6="","",SUM(G6,M6,S6,Y6,AE6,AK6,AQ6,AW6,BC6,BI6,BO6,BU6))</f>
        <v>5505.0599999999995</v>
      </c>
      <c r="CB6" s="2114" t="s">
        <v>1109</v>
      </c>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c r="DM6" s="267"/>
      <c r="DN6" s="267"/>
      <c r="DO6" s="267"/>
      <c r="DP6" s="267"/>
      <c r="DQ6" s="267"/>
      <c r="DR6" s="267"/>
      <c r="DS6" s="267"/>
      <c r="DT6" s="267"/>
      <c r="DU6" s="267"/>
      <c r="DV6" s="267"/>
      <c r="DW6" s="267"/>
      <c r="DX6" s="267"/>
      <c r="DY6" s="267"/>
      <c r="DZ6" s="267"/>
      <c r="EA6" s="267"/>
    </row>
    <row r="7" spans="1:143" ht="12.45" customHeight="1">
      <c r="B7" s="4308" t="s">
        <v>1127</v>
      </c>
      <c r="C7" s="4309"/>
      <c r="D7" s="4309"/>
      <c r="E7" s="2078">
        <f>SUM(E51:E66)</f>
        <v>0</v>
      </c>
      <c r="F7" s="2079">
        <f>SUM(F51:F66)</f>
        <v>0</v>
      </c>
      <c r="G7" s="2080">
        <f>SUM(G51:G66)</f>
        <v>0</v>
      </c>
      <c r="H7" s="4276" t="str">
        <f t="shared" si="23"/>
        <v>Umsatz Azubis ab Zeile 50</v>
      </c>
      <c r="I7" s="4277"/>
      <c r="J7" s="4277"/>
      <c r="K7" s="1991">
        <f>SUM(K51:K66)</f>
        <v>0</v>
      </c>
      <c r="L7" s="1991">
        <f>SUM(L51:L66)</f>
        <v>0</v>
      </c>
      <c r="M7" s="1992">
        <f>SUM(M51:M66)</f>
        <v>0</v>
      </c>
      <c r="N7" s="4274" t="str">
        <f t="shared" si="24"/>
        <v>Umsatz Azubis ab Zeile 50</v>
      </c>
      <c r="O7" s="4275"/>
      <c r="P7" s="4275"/>
      <c r="Q7" s="2078">
        <f>SUM(Q51:Q66)</f>
        <v>0</v>
      </c>
      <c r="R7" s="2079">
        <f>SUM(R51:R66)</f>
        <v>0</v>
      </c>
      <c r="S7" s="2080">
        <f>SUM(S51:S66)</f>
        <v>0</v>
      </c>
      <c r="T7" s="4276" t="str">
        <f t="shared" si="25"/>
        <v>Umsatz Azubis ab Zeile 50</v>
      </c>
      <c r="U7" s="4277"/>
      <c r="V7" s="4277"/>
      <c r="W7" s="1991">
        <f>SUM(W51:W66)</f>
        <v>0</v>
      </c>
      <c r="X7" s="1991">
        <f>SUM(X51:X66)</f>
        <v>0</v>
      </c>
      <c r="Y7" s="1992">
        <f>SUM(Y51:Y66)</f>
        <v>0</v>
      </c>
      <c r="Z7" s="4274" t="str">
        <f t="shared" si="26"/>
        <v>Umsatz Azubis ab Zeile 50</v>
      </c>
      <c r="AA7" s="4275"/>
      <c r="AB7" s="4275"/>
      <c r="AC7" s="2078">
        <f>SUM(AC51:AC66)</f>
        <v>0</v>
      </c>
      <c r="AD7" s="2079">
        <f>SUM(AD51:AD66)</f>
        <v>0</v>
      </c>
      <c r="AE7" s="2080">
        <f>SUM(AE51:AE66)</f>
        <v>0</v>
      </c>
      <c r="AF7" s="4276" t="str">
        <f t="shared" si="27"/>
        <v>Umsatz Azubis ab Zeile 50</v>
      </c>
      <c r="AG7" s="4277"/>
      <c r="AH7" s="4277"/>
      <c r="AI7" s="1991">
        <f>SUM(AI51:AI66)</f>
        <v>0</v>
      </c>
      <c r="AJ7" s="1991">
        <f>SUM(AJ51:AJ66)</f>
        <v>0</v>
      </c>
      <c r="AK7" s="1992">
        <f>SUM(AK51:AK66)</f>
        <v>0</v>
      </c>
      <c r="AL7" s="4274" t="str">
        <f t="shared" si="28"/>
        <v>Umsatz Azubis ab Zeile 50</v>
      </c>
      <c r="AM7" s="4275"/>
      <c r="AN7" s="4275"/>
      <c r="AO7" s="2078">
        <f>SUM(AO51:AO66)</f>
        <v>0</v>
      </c>
      <c r="AP7" s="2079">
        <f>SUM(AP51:AP66)</f>
        <v>0</v>
      </c>
      <c r="AQ7" s="2080">
        <f>SUM(AQ51:AQ66)</f>
        <v>0</v>
      </c>
      <c r="AR7" s="4276" t="str">
        <f t="shared" si="29"/>
        <v>Umsatz Azubis ab Zeile 50</v>
      </c>
      <c r="AS7" s="4277"/>
      <c r="AT7" s="4277"/>
      <c r="AU7" s="1991">
        <f>SUM(AU51:AU66)</f>
        <v>0</v>
      </c>
      <c r="AV7" s="1991">
        <f>SUM(AV51:AV66)</f>
        <v>0</v>
      </c>
      <c r="AW7" s="1992">
        <f>SUM(AW51:AW66)</f>
        <v>0</v>
      </c>
      <c r="AX7" s="4274" t="str">
        <f t="shared" si="30"/>
        <v>Umsatz Azubis ab Zeile 50</v>
      </c>
      <c r="AY7" s="4275"/>
      <c r="AZ7" s="4275"/>
      <c r="BA7" s="2078">
        <f>SUM(BA51:BA66)</f>
        <v>0</v>
      </c>
      <c r="BB7" s="2079">
        <f>SUM(BB51:BB66)</f>
        <v>0</v>
      </c>
      <c r="BC7" s="2080">
        <f>SUM(BC51:BC66)</f>
        <v>0</v>
      </c>
      <c r="BD7" s="4276" t="str">
        <f t="shared" si="31"/>
        <v>Umsatz Azubis ab Zeile 50</v>
      </c>
      <c r="BE7" s="4277"/>
      <c r="BF7" s="4277"/>
      <c r="BG7" s="1991">
        <f>SUM(BG51:BG66)</f>
        <v>0</v>
      </c>
      <c r="BH7" s="1991">
        <f>SUM(BH51:BH66)</f>
        <v>0</v>
      </c>
      <c r="BI7" s="1992">
        <f>SUM(BI51:BI66)</f>
        <v>0</v>
      </c>
      <c r="BJ7" s="4274" t="str">
        <f t="shared" si="32"/>
        <v>Umsatz Azubis ab Zeile 50</v>
      </c>
      <c r="BK7" s="4275"/>
      <c r="BL7" s="4275"/>
      <c r="BM7" s="2078">
        <f>SUM(BM51:BM66)</f>
        <v>0</v>
      </c>
      <c r="BN7" s="2079">
        <f>SUM(BN51:BN66)</f>
        <v>0</v>
      </c>
      <c r="BO7" s="2080">
        <f>SUM(BO51:BO66)</f>
        <v>0</v>
      </c>
      <c r="BP7" s="4276" t="str">
        <f t="shared" si="33"/>
        <v>Umsatz Azubis ab Zeile 50</v>
      </c>
      <c r="BQ7" s="4277"/>
      <c r="BR7" s="4277"/>
      <c r="BS7" s="1991">
        <f t="shared" ref="BS7:BX7" si="39">SUM(BS51:BS66)</f>
        <v>0</v>
      </c>
      <c r="BT7" s="1991">
        <f t="shared" si="39"/>
        <v>0</v>
      </c>
      <c r="BU7" s="1992">
        <f t="shared" si="39"/>
        <v>0</v>
      </c>
      <c r="BV7" s="2038">
        <f t="shared" si="39"/>
        <v>0</v>
      </c>
      <c r="BW7" s="2038">
        <f t="shared" si="39"/>
        <v>0</v>
      </c>
      <c r="BX7" s="2038">
        <f t="shared" si="39"/>
        <v>0</v>
      </c>
      <c r="BY7" s="2043">
        <f t="shared" si="36"/>
        <v>0</v>
      </c>
      <c r="BZ7" s="2043">
        <f t="shared" si="37"/>
        <v>0</v>
      </c>
      <c r="CA7" s="2043">
        <f t="shared" si="38"/>
        <v>0</v>
      </c>
      <c r="CB7" s="2115" t="s">
        <v>3</v>
      </c>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row>
    <row r="8" spans="1:143" ht="12.45" customHeight="1">
      <c r="B8" s="2090" t="s">
        <v>1102</v>
      </c>
      <c r="C8" s="2091" t="s">
        <v>1120</v>
      </c>
      <c r="D8" s="2091" t="s">
        <v>1121</v>
      </c>
      <c r="E8" s="2083"/>
      <c r="F8" s="2084"/>
      <c r="G8" s="2084"/>
      <c r="H8" s="1993" t="str">
        <f>B8</f>
        <v>Arbeitstage</v>
      </c>
      <c r="I8" s="1994" t="str">
        <f>C8</f>
        <v>Urlaubstage</v>
      </c>
      <c r="J8" s="1994" t="str">
        <f>D8</f>
        <v>Krankentage</v>
      </c>
      <c r="K8" s="1995"/>
      <c r="L8" s="1995"/>
      <c r="M8" s="1996"/>
      <c r="N8" s="2081" t="str">
        <f t="shared" si="24"/>
        <v>Arbeitstage</v>
      </c>
      <c r="O8" s="2082" t="str">
        <f t="shared" ref="O8" si="40">I8</f>
        <v>Urlaubstage</v>
      </c>
      <c r="P8" s="2082" t="str">
        <f t="shared" ref="P8" si="41">J8</f>
        <v>Krankentage</v>
      </c>
      <c r="Q8" s="2083"/>
      <c r="R8" s="2084"/>
      <c r="S8" s="2085"/>
      <c r="T8" s="1993" t="str">
        <f>N8</f>
        <v>Arbeitstage</v>
      </c>
      <c r="U8" s="1994" t="str">
        <f>O8</f>
        <v>Urlaubstage</v>
      </c>
      <c r="V8" s="1994" t="str">
        <f>P8</f>
        <v>Krankentage</v>
      </c>
      <c r="W8" s="1995"/>
      <c r="X8" s="1995"/>
      <c r="Y8" s="1996"/>
      <c r="Z8" s="2081" t="str">
        <f t="shared" si="26"/>
        <v>Arbeitstage</v>
      </c>
      <c r="AA8" s="2082" t="str">
        <f t="shared" ref="AA8" si="42">U8</f>
        <v>Urlaubstage</v>
      </c>
      <c r="AB8" s="2082" t="str">
        <f t="shared" ref="AB8" si="43">V8</f>
        <v>Krankentage</v>
      </c>
      <c r="AC8" s="2083"/>
      <c r="AD8" s="2084"/>
      <c r="AE8" s="2085"/>
      <c r="AF8" s="1993" t="str">
        <f>Z8</f>
        <v>Arbeitstage</v>
      </c>
      <c r="AG8" s="1994" t="str">
        <f>AA8</f>
        <v>Urlaubstage</v>
      </c>
      <c r="AH8" s="1994" t="str">
        <f>AB8</f>
        <v>Krankentage</v>
      </c>
      <c r="AI8" s="1995"/>
      <c r="AJ8" s="1995"/>
      <c r="AK8" s="1996"/>
      <c r="AL8" s="2081" t="str">
        <f t="shared" si="28"/>
        <v>Arbeitstage</v>
      </c>
      <c r="AM8" s="2082" t="str">
        <f t="shared" ref="AM8" si="44">AG8</f>
        <v>Urlaubstage</v>
      </c>
      <c r="AN8" s="2082" t="str">
        <f t="shared" ref="AN8" si="45">AH8</f>
        <v>Krankentage</v>
      </c>
      <c r="AO8" s="2083"/>
      <c r="AP8" s="2084"/>
      <c r="AQ8" s="2085"/>
      <c r="AR8" s="1993" t="str">
        <f>AL8</f>
        <v>Arbeitstage</v>
      </c>
      <c r="AS8" s="1994" t="str">
        <f>AM8</f>
        <v>Urlaubstage</v>
      </c>
      <c r="AT8" s="1994" t="str">
        <f>AN8</f>
        <v>Krankentage</v>
      </c>
      <c r="AU8" s="1995"/>
      <c r="AV8" s="1995"/>
      <c r="AW8" s="1996"/>
      <c r="AX8" s="2081" t="str">
        <f t="shared" si="30"/>
        <v>Arbeitstage</v>
      </c>
      <c r="AY8" s="2082" t="str">
        <f t="shared" ref="AY8" si="46">AS8</f>
        <v>Urlaubstage</v>
      </c>
      <c r="AZ8" s="2082" t="str">
        <f t="shared" ref="AZ8" si="47">AT8</f>
        <v>Krankentage</v>
      </c>
      <c r="BA8" s="2083"/>
      <c r="BB8" s="2084"/>
      <c r="BC8" s="2085"/>
      <c r="BD8" s="1993" t="str">
        <f>AX8</f>
        <v>Arbeitstage</v>
      </c>
      <c r="BE8" s="1994" t="str">
        <f>AY8</f>
        <v>Urlaubstage</v>
      </c>
      <c r="BF8" s="1994" t="str">
        <f>AZ8</f>
        <v>Krankentage</v>
      </c>
      <c r="BG8" s="1995"/>
      <c r="BH8" s="1995"/>
      <c r="BI8" s="1996"/>
      <c r="BJ8" s="2081" t="str">
        <f t="shared" si="32"/>
        <v>Arbeitstage</v>
      </c>
      <c r="BK8" s="2082" t="str">
        <f t="shared" ref="BK8" si="48">BE8</f>
        <v>Urlaubstage</v>
      </c>
      <c r="BL8" s="2082" t="str">
        <f t="shared" ref="BL8" si="49">BF8</f>
        <v>Krankentage</v>
      </c>
      <c r="BM8" s="2083"/>
      <c r="BN8" s="2084"/>
      <c r="BO8" s="2085"/>
      <c r="BP8" s="1993" t="str">
        <f>BJ8</f>
        <v>Arbeitstage</v>
      </c>
      <c r="BQ8" s="1994" t="str">
        <f>BK8</f>
        <v>Urlaubstage</v>
      </c>
      <c r="BR8" s="1994" t="str">
        <f>BL8</f>
        <v>Krankentage</v>
      </c>
      <c r="BS8" s="1995"/>
      <c r="BT8" s="1995"/>
      <c r="BU8" s="1996"/>
      <c r="BV8" s="2055"/>
      <c r="BW8" s="2056"/>
      <c r="BX8" s="2056"/>
      <c r="BY8" s="2045"/>
      <c r="BZ8" s="2045"/>
      <c r="CA8" s="2046"/>
      <c r="CB8" s="1863"/>
      <c r="CC8" s="267"/>
      <c r="CD8" s="267" t="str">
        <f>'26 Mitarbeiterdaten'!N7</f>
        <v>Januar</v>
      </c>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row>
    <row r="9" spans="1:143" ht="17.25" customHeight="1">
      <c r="A9" s="1983" t="s">
        <v>1122</v>
      </c>
      <c r="B9" s="2092">
        <f>SUM(B13:B46)</f>
        <v>92</v>
      </c>
      <c r="C9" s="2093">
        <f>SUM(C13:C46)</f>
        <v>6</v>
      </c>
      <c r="D9" s="2094">
        <f>SUM(D13:D46)</f>
        <v>3</v>
      </c>
      <c r="E9" s="2081" t="s">
        <v>1117</v>
      </c>
      <c r="F9" s="2095" t="s">
        <v>1111</v>
      </c>
      <c r="G9" s="2096" t="s">
        <v>1112</v>
      </c>
      <c r="H9" s="1997">
        <f>SUM(H13:H46)</f>
        <v>89</v>
      </c>
      <c r="I9" s="1998">
        <f>SUM(I13:I46)</f>
        <v>0</v>
      </c>
      <c r="J9" s="1999">
        <f>SUM(J13:J46)</f>
        <v>11</v>
      </c>
      <c r="K9" s="2000" t="str">
        <f>E9</f>
        <v>Ums/Ges</v>
      </c>
      <c r="L9" s="2001" t="str">
        <f>F9</f>
        <v>Ums/DL</v>
      </c>
      <c r="M9" s="2002" t="str">
        <f>G9</f>
        <v>Ums/VK</v>
      </c>
      <c r="N9" s="2086">
        <f>SUM(N13:N46)</f>
        <v>84</v>
      </c>
      <c r="O9" s="2087">
        <f>SUM(O13:O46)</f>
        <v>12</v>
      </c>
      <c r="P9" s="2088">
        <f>SUM(P13:P46)</f>
        <v>2</v>
      </c>
      <c r="Q9" s="2081" t="str">
        <f>K9</f>
        <v>Ums/Ges</v>
      </c>
      <c r="R9" s="2081" t="str">
        <f>L9</f>
        <v>Ums/DL</v>
      </c>
      <c r="S9" s="2089" t="str">
        <f>M9</f>
        <v>Ums/VK</v>
      </c>
      <c r="T9" s="1997">
        <f>SUM(T13:T46)</f>
        <v>88</v>
      </c>
      <c r="U9" s="1998">
        <f>SUM(U13:U46)</f>
        <v>7</v>
      </c>
      <c r="V9" s="1999">
        <f>SUM(V13:V46)</f>
        <v>5</v>
      </c>
      <c r="W9" s="2000" t="str">
        <f>Q9</f>
        <v>Ums/Ges</v>
      </c>
      <c r="X9" s="2001" t="str">
        <f>R9</f>
        <v>Ums/DL</v>
      </c>
      <c r="Y9" s="2002" t="str">
        <f>S9</f>
        <v>Ums/VK</v>
      </c>
      <c r="Z9" s="2086">
        <f>SUM(Z13:Z46)</f>
        <v>71</v>
      </c>
      <c r="AA9" s="2087">
        <f>SUM(AA13:AA46)</f>
        <v>14</v>
      </c>
      <c r="AB9" s="2088">
        <f>SUM(AB13:AB46)</f>
        <v>6</v>
      </c>
      <c r="AC9" s="2081" t="str">
        <f>W9</f>
        <v>Ums/Ges</v>
      </c>
      <c r="AD9" s="2081" t="str">
        <f>X9</f>
        <v>Ums/DL</v>
      </c>
      <c r="AE9" s="2089" t="str">
        <f>Y9</f>
        <v>Ums/VK</v>
      </c>
      <c r="AF9" s="1997">
        <f>SUM(AF13:AF46)</f>
        <v>93</v>
      </c>
      <c r="AG9" s="1998">
        <f>SUM(AG13:AG46)</f>
        <v>0</v>
      </c>
      <c r="AH9" s="1999">
        <f>SUM(AH13:AH46)</f>
        <v>6</v>
      </c>
      <c r="AI9" s="2000" t="str">
        <f>AC9</f>
        <v>Ums/Ges</v>
      </c>
      <c r="AJ9" s="2001" t="str">
        <f>AD9</f>
        <v>Ums/DL</v>
      </c>
      <c r="AK9" s="2002" t="str">
        <f>AE9</f>
        <v>Ums/VK</v>
      </c>
      <c r="AL9" s="2086">
        <f>SUM(AL13:AL46)</f>
        <v>75</v>
      </c>
      <c r="AM9" s="2087">
        <f ca="1">SUM(AM13:AM46)</f>
        <v>20</v>
      </c>
      <c r="AN9" s="2088">
        <f>SUM(AN13:AN46)</f>
        <v>7</v>
      </c>
      <c r="AO9" s="2081" t="str">
        <f>AI9</f>
        <v>Ums/Ges</v>
      </c>
      <c r="AP9" s="2081" t="str">
        <f>AJ9</f>
        <v>Ums/DL</v>
      </c>
      <c r="AQ9" s="2089" t="str">
        <f>AK9</f>
        <v>Ums/VK</v>
      </c>
      <c r="AR9" s="1997">
        <f>SUM(AR13:AR46)</f>
        <v>96</v>
      </c>
      <c r="AS9" s="1998">
        <f>SUM(AS13:AS46)</f>
        <v>0</v>
      </c>
      <c r="AT9" s="1999">
        <f>SUM(AT13:AT46)</f>
        <v>12</v>
      </c>
      <c r="AU9" s="2000" t="str">
        <f>AO9</f>
        <v>Ums/Ges</v>
      </c>
      <c r="AV9" s="2001" t="str">
        <f>AP9</f>
        <v>Ums/DL</v>
      </c>
      <c r="AW9" s="2002" t="str">
        <f>AQ9</f>
        <v>Ums/VK</v>
      </c>
      <c r="AX9" s="2086">
        <f>SUM(AX13:AX46)</f>
        <v>87</v>
      </c>
      <c r="AY9" s="2087">
        <f>SUM(AY13:AY46)</f>
        <v>20</v>
      </c>
      <c r="AZ9" s="2088">
        <f>SUM(AZ13:AZ46)</f>
        <v>0</v>
      </c>
      <c r="BA9" s="2081" t="str">
        <f>AU9</f>
        <v>Ums/Ges</v>
      </c>
      <c r="BB9" s="2081" t="str">
        <f>AV9</f>
        <v>Ums/DL</v>
      </c>
      <c r="BC9" s="2089" t="str">
        <f>AW9</f>
        <v>Ums/VK</v>
      </c>
      <c r="BD9" s="1997">
        <f>SUM(BD13:BD46)</f>
        <v>78</v>
      </c>
      <c r="BE9" s="1998">
        <f>SUM(BE13:BE46)</f>
        <v>13</v>
      </c>
      <c r="BF9" s="1999">
        <f>SUM(BF13:BF46)</f>
        <v>10</v>
      </c>
      <c r="BG9" s="2000" t="str">
        <f>BA9</f>
        <v>Ums/Ges</v>
      </c>
      <c r="BH9" s="2001" t="str">
        <f>BB9</f>
        <v>Ums/DL</v>
      </c>
      <c r="BI9" s="2002" t="str">
        <f>BC9</f>
        <v>Ums/VK</v>
      </c>
      <c r="BJ9" s="2086">
        <f>SUM(BJ13:BJ46)</f>
        <v>82</v>
      </c>
      <c r="BK9" s="2087">
        <f>SUM(BK13:BK46)</f>
        <v>15</v>
      </c>
      <c r="BL9" s="2088">
        <f>SUM(BL13:BL46)</f>
        <v>7</v>
      </c>
      <c r="BM9" s="2081" t="str">
        <f>BG9</f>
        <v>Ums/Ges</v>
      </c>
      <c r="BN9" s="2081" t="str">
        <f>BH9</f>
        <v>Ums/DL</v>
      </c>
      <c r="BO9" s="2089" t="str">
        <f>BI9</f>
        <v>Ums/VK</v>
      </c>
      <c r="BP9" s="1997">
        <f>SUM(BP13:BP46)</f>
        <v>97</v>
      </c>
      <c r="BQ9" s="1998">
        <f>SUM(BQ13:BQ46)</f>
        <v>0</v>
      </c>
      <c r="BR9" s="1999">
        <f>SUM(BR13:BR46)</f>
        <v>6</v>
      </c>
      <c r="BS9" s="2000" t="str">
        <f>BM9</f>
        <v>Ums/Ges</v>
      </c>
      <c r="BT9" s="2001" t="str">
        <f>BN9</f>
        <v>Ums/DL</v>
      </c>
      <c r="BU9" s="2002" t="str">
        <f>BO9</f>
        <v>Ums/VK</v>
      </c>
      <c r="BV9" s="2057" t="str">
        <f>BP8</f>
        <v>Arbeitstage</v>
      </c>
      <c r="BW9" s="2058" t="str">
        <f t="shared" ref="BW9:BX9" si="50">BQ8</f>
        <v>Urlaubstage</v>
      </c>
      <c r="BX9" s="2058" t="str">
        <f t="shared" si="50"/>
        <v>Krankentage</v>
      </c>
      <c r="BY9" s="2047" t="str">
        <f>BS9</f>
        <v>Ums/Ges</v>
      </c>
      <c r="BZ9" s="2048" t="str">
        <f>BT9</f>
        <v>Ums/DL</v>
      </c>
      <c r="CA9" s="2059" t="str">
        <f>BU9</f>
        <v>Ums/VK</v>
      </c>
      <c r="CB9" s="416"/>
      <c r="CC9" s="267"/>
      <c r="CD9" s="1163"/>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c r="DM9" s="267"/>
      <c r="DN9" s="267"/>
      <c r="DO9" s="267"/>
      <c r="DP9" s="267"/>
      <c r="DQ9" s="267"/>
      <c r="DR9" s="267"/>
      <c r="DS9" s="267"/>
      <c r="DT9" s="267"/>
      <c r="DU9" s="267"/>
      <c r="DV9" s="267"/>
      <c r="DW9" s="267"/>
      <c r="DX9" s="267"/>
      <c r="DY9" s="267"/>
      <c r="DZ9" s="267"/>
      <c r="EA9" s="267"/>
    </row>
    <row r="10" spans="1:143" ht="18" customHeight="1">
      <c r="A10" s="2009" t="str">
        <f>IF('22 Sollumsatz pro MA '!A8="","",'22 Sollumsatz pro MA '!A8)</f>
        <v xml:space="preserve">Linda </v>
      </c>
      <c r="B10" s="1944">
        <v>21</v>
      </c>
      <c r="C10" s="1982"/>
      <c r="D10" s="1958"/>
      <c r="E10" s="2009">
        <f>IF($A10="","",IF(EB10=0,"",'23 LF individuell'!$AG8*$B10))</f>
        <v>9214.8000000000011</v>
      </c>
      <c r="F10" s="2009">
        <f>IF($A10="","",IF(EB10=0,"",'23 LF individuell'!$AH8*$B10))</f>
        <v>8711.9549999999999</v>
      </c>
      <c r="G10" s="2010">
        <f>IF($A10="","",IF(EB10=0,"",'23 LF individuell'!$AI8*$B10))</f>
        <v>507.04500000000002</v>
      </c>
      <c r="H10" s="1944">
        <v>18</v>
      </c>
      <c r="I10" s="1982"/>
      <c r="J10" s="1958">
        <v>2</v>
      </c>
      <c r="K10" s="2009">
        <f>IF($A10="","",IF(EC10=0,"",'23 LF individuell'!$AG8*H10))</f>
        <v>7898.4000000000005</v>
      </c>
      <c r="L10" s="2009">
        <f>IF($A10="","",IF(EC10=0,"",'23 LF individuell'!$AH8*H10))</f>
        <v>7467.39</v>
      </c>
      <c r="M10" s="2010">
        <f>IF($A10="","",IF(EC10=0,"",'23 LF individuell'!$AI8*H10))</f>
        <v>434.61</v>
      </c>
      <c r="N10" s="1944">
        <v>21</v>
      </c>
      <c r="O10" s="1982"/>
      <c r="P10" s="1958"/>
      <c r="Q10" s="2009">
        <f>IF($A10="","",IF(ED10=0,"",'23 LF individuell'!$AG8*N10))</f>
        <v>9214.8000000000011</v>
      </c>
      <c r="R10" s="2009">
        <f>IF($A10="","",IF(ED10=0,"",'23 LF individuell'!$AH8*N10))</f>
        <v>8711.9549999999999</v>
      </c>
      <c r="S10" s="2010">
        <f>IF($A10="","",IF(ED10=0,"",'23 LF individuell'!$AI8*N10))</f>
        <v>507.04500000000002</v>
      </c>
      <c r="T10" s="1944">
        <v>16</v>
      </c>
      <c r="U10" s="1982">
        <v>5</v>
      </c>
      <c r="V10" s="1958"/>
      <c r="W10" s="2009">
        <f>IF($A10="","",IF(EE10=0,"",'23 LF individuell'!$AG8*T10))</f>
        <v>7020.8</v>
      </c>
      <c r="X10" s="2009">
        <f>IF($A10="","",IF(EE10=0,"",'23 LF individuell'!$AH8*T10))</f>
        <v>6637.68</v>
      </c>
      <c r="Y10" s="2010">
        <f>IF($A10="","",IF(EE10=0,"",'23 LF individuell'!$AI8*T10))</f>
        <v>386.32</v>
      </c>
      <c r="Z10" s="1944">
        <v>20</v>
      </c>
      <c r="AA10" s="1982"/>
      <c r="AB10" s="1958"/>
      <c r="AC10" s="2009">
        <f>IF($A10="","",IF(EF10=0,"",'23 LF individuell'!$AG8*Z10))</f>
        <v>8776</v>
      </c>
      <c r="AD10" s="2009">
        <f>IF($A10="","",IF(EF10=0,"",'23 LF individuell'!$AH8*Z10))</f>
        <v>8297.1</v>
      </c>
      <c r="AE10" s="2010">
        <f>IF($A10="","",IF(EF10=0,"",'23 LF individuell'!$AI8*Z10))</f>
        <v>482.9</v>
      </c>
      <c r="AF10" s="1944">
        <v>20</v>
      </c>
      <c r="AG10" s="1982"/>
      <c r="AH10" s="1958"/>
      <c r="AI10" s="2009">
        <f>IF($A10="","",IF(EG10=0,"",'23 LF individuell'!$AG8*AF10))</f>
        <v>8776</v>
      </c>
      <c r="AJ10" s="2009">
        <f>IF($A10="","",IF(EG10=0,"",'23 LF individuell'!$AH8*AF10))</f>
        <v>8297.1</v>
      </c>
      <c r="AK10" s="2010">
        <f>IF($A10="","",IF(EG10=0,"",'23 LF individuell'!$AI8*AF10))</f>
        <v>482.9</v>
      </c>
      <c r="AL10" s="1944">
        <v>23</v>
      </c>
      <c r="AM10" s="1982"/>
      <c r="AN10" s="1958"/>
      <c r="AO10" s="2009">
        <f>IF($A10="","",IF(EH10=0,"",'23 LF individuell'!$AG8*AL10))</f>
        <v>10092.4</v>
      </c>
      <c r="AP10" s="2009">
        <f>IF($A10="","",IF(EH10=0,"",'23 LF individuell'!$AH8*AL10))</f>
        <v>9541.6650000000009</v>
      </c>
      <c r="AQ10" s="2010">
        <f>IF($A10="","",IF(EH10=0,"",'23 LF individuell'!$AI8*AL10))</f>
        <v>555.33500000000004</v>
      </c>
      <c r="AR10" s="1944">
        <v>23</v>
      </c>
      <c r="AS10" s="1982"/>
      <c r="AT10" s="1958"/>
      <c r="AU10" s="2009">
        <f>IF($A10="","",IF(EI10=0,"",'23 LF individuell'!$AG8*AR10))</f>
        <v>10092.4</v>
      </c>
      <c r="AV10" s="2009">
        <f>IF($A10="","",IF(EI10=0,"",'23 LF individuell'!$AH8*AR10))</f>
        <v>9541.6650000000009</v>
      </c>
      <c r="AW10" s="2010">
        <f>IF($A10="","",IF(EI10=0,"",'23 LF individuell'!$AI8*AR10))</f>
        <v>555.33500000000004</v>
      </c>
      <c r="AX10" s="1944">
        <v>10</v>
      </c>
      <c r="AY10" s="1982">
        <v>10</v>
      </c>
      <c r="AZ10" s="1958"/>
      <c r="BA10" s="2009">
        <f>IF($A10="","",IF(EJ10=0,"",'23 LF individuell'!$AG8*AX10))</f>
        <v>4388</v>
      </c>
      <c r="BB10" s="2009">
        <f>IF($A10="","",IF(EJ10=0,"",'23 LF individuell'!$AH8*AX10))</f>
        <v>4148.55</v>
      </c>
      <c r="BC10" s="2010">
        <f>IF($A10="","",IF(EJ10=0,"",'23 LF individuell'!$AI8*AX10))</f>
        <v>241.45</v>
      </c>
      <c r="BD10" s="1944">
        <v>16</v>
      </c>
      <c r="BE10" s="1982">
        <v>5</v>
      </c>
      <c r="BF10" s="1958"/>
      <c r="BG10" s="2009">
        <f>IF($A10="","",IF(EK10=0,"",'23 LF individuell'!$AG8*BD10))</f>
        <v>7020.8</v>
      </c>
      <c r="BH10" s="2009">
        <f>IF($A10="","",IF(EK10=0,"",'23 LF individuell'!$AH8*BD10))</f>
        <v>6637.68</v>
      </c>
      <c r="BI10" s="2010">
        <f>IF($A10="","",IF(EK10=0,"",'23 LF individuell'!$AI8*BD10))</f>
        <v>386.32</v>
      </c>
      <c r="BJ10" s="1944">
        <v>20</v>
      </c>
      <c r="BK10" s="1982"/>
      <c r="BL10" s="1958"/>
      <c r="BM10" s="2009">
        <f>IF($A10="","",IF(EL10=0,"",'23 LF individuell'!$AG8*BJ10))</f>
        <v>8776</v>
      </c>
      <c r="BN10" s="2009">
        <f>IF($A10="","",IF(EL10=0,"",'23 LF individuell'!$AH8*BJ10))</f>
        <v>8297.1</v>
      </c>
      <c r="BO10" s="2010">
        <f>IF($A10="","",IF(EL10=0,"",'23 LF individuell'!$AI8*BJ10))</f>
        <v>482.9</v>
      </c>
      <c r="BP10" s="1944">
        <v>20</v>
      </c>
      <c r="BQ10" s="1982"/>
      <c r="BR10" s="1958"/>
      <c r="BS10" s="2009">
        <f>IF($A10="","",IF(EM10=0,"",'23 LF individuell'!$AG8*BP10))</f>
        <v>8776</v>
      </c>
      <c r="BT10" s="2009">
        <f>IF($A10="","",IF(EM10=0,"",'23 LF individuell'!$AH8*BP10))</f>
        <v>8297.1</v>
      </c>
      <c r="BU10" s="2010">
        <f>IF($A10="","",IF(EM10=0,"",'23 LF individuell'!$AI8*BP10))</f>
        <v>482.9</v>
      </c>
      <c r="BV10" s="2044">
        <f t="shared" ref="BV10:BX13" si="51">IF($A10="","",SUM(B10+H10+N10+T10+Z10+AF10+AL10+AR10+AX10+BD10+BJ10+BP10))</f>
        <v>228</v>
      </c>
      <c r="BW10" s="2044">
        <f t="shared" si="51"/>
        <v>20</v>
      </c>
      <c r="BX10" s="2044">
        <f t="shared" si="51"/>
        <v>2</v>
      </c>
      <c r="BY10" s="2049">
        <f t="shared" ref="BY10:CA13" si="52">IF($A10="","",SUM(E10,K10,Q10,W10,AC10,AI10,AO10,AU10,BA10,BG10,BM10,BS10))</f>
        <v>100046.40000000001</v>
      </c>
      <c r="BZ10" s="2049">
        <f t="shared" si="52"/>
        <v>94586.940000000031</v>
      </c>
      <c r="CA10" s="2049">
        <f t="shared" si="52"/>
        <v>5505.0599999999995</v>
      </c>
      <c r="CB10" s="2117" t="str">
        <f>IF(A10="","",A10)</f>
        <v xml:space="preserve">Linda </v>
      </c>
      <c r="CC10" s="267"/>
      <c r="CD10" s="1163" t="str">
        <f>IF($CD8="Januar","Januar",IF($CD8="Februar","Februar",IF($CD8="März","März","April")))</f>
        <v>Januar</v>
      </c>
      <c r="CE10" s="267">
        <f>IF($CD8="Januar",1,IF($CD8="Februar",1,IF($CD8="März",1,IF($CD8="April",1,0))))</f>
        <v>1</v>
      </c>
      <c r="CF10" s="267"/>
      <c r="CG10" s="267"/>
      <c r="CH10" s="267"/>
      <c r="CI10" s="267"/>
      <c r="CJ10" s="267"/>
      <c r="CK10" s="267"/>
      <c r="CL10" s="267"/>
      <c r="CM10" s="267"/>
      <c r="CN10" s="267"/>
      <c r="CO10" s="267"/>
      <c r="CP10" s="1163" t="str">
        <f>IF($CD$8="Mai","Mai",IF($CD$8="Juni","Juni",IF($CD$8="Juli","Juli","August")))</f>
        <v>August</v>
      </c>
      <c r="CQ10" s="267">
        <f>IF(CD8="Mai",2,IF(CD8="Juni",2,IF(CD8="Juli",2,IF(CD8="August",2,0))))</f>
        <v>0</v>
      </c>
      <c r="CR10" s="267"/>
      <c r="CS10" s="267"/>
      <c r="CT10" s="267"/>
      <c r="CU10" s="267"/>
      <c r="CV10" s="267"/>
      <c r="CW10" s="267"/>
      <c r="CX10" s="267"/>
      <c r="CY10" s="267"/>
      <c r="CZ10" s="267"/>
      <c r="DA10" s="267"/>
      <c r="DB10" s="1163" t="str">
        <f>IF($CD$8="September","September",IF($CD$8="Oktober","Oktober",IF($CD$8="November","November","Dezember")))</f>
        <v>Dezember</v>
      </c>
      <c r="DC10" s="267">
        <f>IF(CD8="September",3,IF(CD8="Oktober",3,IF(CD8="November",3,IF(CD8="Dezember",3,0))))</f>
        <v>0</v>
      </c>
      <c r="DD10" s="267"/>
      <c r="DE10" s="267"/>
      <c r="DF10" s="267"/>
      <c r="DG10" s="267"/>
      <c r="DH10" s="267"/>
      <c r="DI10" s="267"/>
      <c r="DJ10" s="267"/>
      <c r="DK10" s="267"/>
      <c r="DL10" s="267"/>
      <c r="DM10" s="267"/>
      <c r="DN10" s="267">
        <f>SUM(CE10,CQ10,DC10)</f>
        <v>1</v>
      </c>
      <c r="DO10" s="267"/>
      <c r="DP10" s="267"/>
      <c r="DQ10" s="267"/>
      <c r="DR10" s="267"/>
      <c r="DS10" s="267"/>
      <c r="DT10" s="267"/>
      <c r="DU10" s="267"/>
      <c r="DV10" s="267"/>
      <c r="DW10" s="267"/>
      <c r="DX10" s="267"/>
      <c r="DY10" s="267"/>
      <c r="DZ10" s="3239">
        <f>'4 Eingabe Friseure'!L7</f>
        <v>0</v>
      </c>
      <c r="EA10" s="267"/>
      <c r="EB10" s="3239">
        <f>IF($DZ10=12,1,'4 Eingabe Friseure'!N7)</f>
        <v>1</v>
      </c>
      <c r="EC10" s="3239">
        <f>IF($DZ10=12,1,'4 Eingabe Friseure'!O7)</f>
        <v>1</v>
      </c>
      <c r="ED10" s="3239">
        <f>IF($DZ10=12,1,'4 Eingabe Friseure'!P7)</f>
        <v>1</v>
      </c>
      <c r="EE10" s="3239">
        <f>IF($DZ10=12,1,'4 Eingabe Friseure'!Q7)</f>
        <v>1</v>
      </c>
      <c r="EF10" s="3239">
        <f>IF($DZ10=12,1,'4 Eingabe Friseure'!R7)</f>
        <v>1</v>
      </c>
      <c r="EG10" s="3239">
        <f>IF($DZ10=12,1,'4 Eingabe Friseure'!S7)</f>
        <v>1</v>
      </c>
      <c r="EH10" s="3239">
        <f>IF($DZ10=12,1,'4 Eingabe Friseure'!T7)</f>
        <v>1</v>
      </c>
      <c r="EI10" s="3239">
        <f>IF($DZ10=12,1,'4 Eingabe Friseure'!U7)</f>
        <v>1</v>
      </c>
      <c r="EJ10" s="3239">
        <f>IF($DZ10=12,1,'4 Eingabe Friseure'!V7)</f>
        <v>1</v>
      </c>
      <c r="EK10" s="3239">
        <f>IF($DZ10=12,1,'4 Eingabe Friseure'!W7)</f>
        <v>1</v>
      </c>
      <c r="EL10" s="3239">
        <f>IF($DZ10=12,1,'4 Eingabe Friseure'!X7)</f>
        <v>1</v>
      </c>
      <c r="EM10" s="3239">
        <f>IF($DZ10=12,1,'4 Eingabe Friseure'!Y7)</f>
        <v>1</v>
      </c>
    </row>
    <row r="11" spans="1:143" ht="15.75" customHeight="1">
      <c r="A11" s="2009" t="str">
        <f>IF('22 Sollumsatz pro MA '!A9="","",'22 Sollumsatz pro MA '!A9)</f>
        <v/>
      </c>
      <c r="B11" s="1944"/>
      <c r="C11" s="1982"/>
      <c r="D11" s="1958"/>
      <c r="E11" s="2009" t="str">
        <f>IF($A11="","",IF(EB11=0,"",'23 LF individuell'!$AG9*$B11))</f>
        <v/>
      </c>
      <c r="F11" s="2009" t="str">
        <f>IF($A11="","",IF(EB11=0,"",'23 LF individuell'!$AH9*$B11))</f>
        <v/>
      </c>
      <c r="G11" s="2010" t="str">
        <f>IF($A11="","",IF(EB11=0,"",'23 LF individuell'!$AI9*$B11))</f>
        <v/>
      </c>
      <c r="H11" s="1944"/>
      <c r="I11" s="1982"/>
      <c r="J11" s="1958"/>
      <c r="K11" s="2009" t="str">
        <f>IF($A11="","",IF(EC11=0,"",'23 LF individuell'!$AG9*H11))</f>
        <v/>
      </c>
      <c r="L11" s="2009" t="str">
        <f>IF($A11="","",IF(EC11=0,"",'23 LF individuell'!$AH9*H11))</f>
        <v/>
      </c>
      <c r="M11" s="2010" t="str">
        <f>IF($A11="","",IF(EC11=0,"",'23 LF individuell'!$AI9*H11))</f>
        <v/>
      </c>
      <c r="N11" s="1944"/>
      <c r="O11" s="1982"/>
      <c r="P11" s="1958"/>
      <c r="Q11" s="2009" t="str">
        <f>IF($A11="","",IF(ED11=0,"",'23 LF individuell'!$AG9*N11))</f>
        <v/>
      </c>
      <c r="R11" s="2009" t="str">
        <f>IF($A11="","",IF(ED11=0,"",'23 LF individuell'!$AH9*N11))</f>
        <v/>
      </c>
      <c r="S11" s="2010" t="str">
        <f>IF($A11="","",IF(ED11=0,"",'23 LF individuell'!$AI9*N11))</f>
        <v/>
      </c>
      <c r="T11" s="1944"/>
      <c r="U11" s="1982"/>
      <c r="V11" s="1958"/>
      <c r="W11" s="2009" t="str">
        <f>IF($A11="","",IF(EE11=0,"",'23 LF individuell'!$AG9*T11))</f>
        <v/>
      </c>
      <c r="X11" s="2009" t="str">
        <f>IF($A11="","",IF(EE11=0,"",'23 LF individuell'!$AH9*T11))</f>
        <v/>
      </c>
      <c r="Y11" s="2010" t="str">
        <f>IF($A11="","",IF(EE11=0,"",'23 LF individuell'!$AI9*T11))</f>
        <v/>
      </c>
      <c r="Z11" s="1944"/>
      <c r="AA11" s="1982"/>
      <c r="AB11" s="1958"/>
      <c r="AC11" s="2009" t="str">
        <f>IF($A11="","",IF(EF11=0,"",'23 LF individuell'!$AG9*Z11))</f>
        <v/>
      </c>
      <c r="AD11" s="2009" t="str">
        <f>IF($A11="","",IF(EF11=0,"",'23 LF individuell'!$AH9*Z11))</f>
        <v/>
      </c>
      <c r="AE11" s="2010" t="str">
        <f>IF($A11="","",IF(EF11=0,"",'23 LF individuell'!$AI9*Z11))</f>
        <v/>
      </c>
      <c r="AF11" s="1944"/>
      <c r="AG11" s="1982"/>
      <c r="AH11" s="1958"/>
      <c r="AI11" s="2009" t="str">
        <f>IF($A11="","",IF(EG11=0,"",'23 LF individuell'!$AG9*AF11))</f>
        <v/>
      </c>
      <c r="AJ11" s="2009" t="str">
        <f>IF($A11="","",IF(EG11=0,"",'23 LF individuell'!$AH9*AF11))</f>
        <v/>
      </c>
      <c r="AK11" s="2010" t="str">
        <f>IF($A11="","",IF(EG11=0,"",'23 LF individuell'!$AI9*AF11))</f>
        <v/>
      </c>
      <c r="AL11" s="1944"/>
      <c r="AM11" s="1982"/>
      <c r="AN11" s="1958"/>
      <c r="AO11" s="2009" t="str">
        <f>IF($A11="","",IF(EH11=0,"",'23 LF individuell'!$AG9*AL11))</f>
        <v/>
      </c>
      <c r="AP11" s="2009" t="str">
        <f>IF($A11="","",IF(EH11=0,"",'23 LF individuell'!$AH9*AL11))</f>
        <v/>
      </c>
      <c r="AQ11" s="2010" t="str">
        <f>IF($A11="","",IF(EH11=0,"",'23 LF individuell'!$AI9*AL11))</f>
        <v/>
      </c>
      <c r="AR11" s="1944"/>
      <c r="AS11" s="1982"/>
      <c r="AT11" s="1958"/>
      <c r="AU11" s="2009" t="str">
        <f>IF($A11="","",IF(EI11=0,"",'23 LF individuell'!$AG9*AR11))</f>
        <v/>
      </c>
      <c r="AV11" s="2009" t="str">
        <f>IF($A11="","",IF(EI11=0,"",'23 LF individuell'!$AH9*AR11))</f>
        <v/>
      </c>
      <c r="AW11" s="2010" t="str">
        <f>IF($A11="","",IF(EI11=0,"",'23 LF individuell'!$AI9*AR11))</f>
        <v/>
      </c>
      <c r="AX11" s="1944"/>
      <c r="AY11" s="1982"/>
      <c r="AZ11" s="1958"/>
      <c r="BA11" s="2009" t="str">
        <f>IF($A11="","",IF(EJ11=0,"",'23 LF individuell'!$AG9*AX11))</f>
        <v/>
      </c>
      <c r="BB11" s="2009" t="str">
        <f>IF($A11="","",IF(EJ11=0,"",'23 LF individuell'!$AH9*AX11))</f>
        <v/>
      </c>
      <c r="BC11" s="2010" t="str">
        <f>IF($A11="","",IF(EJ11=0,"",'23 LF individuell'!$AI9*AX11))</f>
        <v/>
      </c>
      <c r="BD11" s="1944"/>
      <c r="BE11" s="1982"/>
      <c r="BF11" s="1958"/>
      <c r="BG11" s="2009" t="str">
        <f>IF($A11="","",IF(EK11=0,"",'23 LF individuell'!$AG9*BD11))</f>
        <v/>
      </c>
      <c r="BH11" s="2009" t="str">
        <f>IF($A11="","",IF(EK11=0,"",'23 LF individuell'!$AH9*BD11))</f>
        <v/>
      </c>
      <c r="BI11" s="2010" t="str">
        <f>IF($A11="","",IF(EK11=0,"",'23 LF individuell'!$AI9*BD11))</f>
        <v/>
      </c>
      <c r="BJ11" s="1944"/>
      <c r="BK11" s="1982"/>
      <c r="BL11" s="1958"/>
      <c r="BM11" s="2009" t="str">
        <f>IF($A11="","",IF(EL11=0,"",'23 LF individuell'!$AG9*BJ11))</f>
        <v/>
      </c>
      <c r="BN11" s="2009" t="str">
        <f>IF($A11="","",IF(EL11=0,"",'23 LF individuell'!$AH9*BJ11))</f>
        <v/>
      </c>
      <c r="BO11" s="2010" t="str">
        <f>IF($A11="","",IF(EL11=0,"",'23 LF individuell'!$AI9*BJ11))</f>
        <v/>
      </c>
      <c r="BP11" s="1944"/>
      <c r="BQ11" s="1982"/>
      <c r="BR11" s="1958"/>
      <c r="BS11" s="2009" t="str">
        <f>IF($A11="","",IF(EM11=0,"",'23 LF individuell'!$AG9*BP11))</f>
        <v/>
      </c>
      <c r="BT11" s="2009" t="str">
        <f>IF($A11="","",IF(EM11=0,"",'23 LF individuell'!$AH9*BP11))</f>
        <v/>
      </c>
      <c r="BU11" s="2010" t="str">
        <f>IF($A11="","",IF(EM11=0,"",'23 LF individuell'!$AI9*BP11))</f>
        <v/>
      </c>
      <c r="BV11" s="2044" t="str">
        <f t="shared" si="51"/>
        <v/>
      </c>
      <c r="BW11" s="2044" t="str">
        <f t="shared" si="51"/>
        <v/>
      </c>
      <c r="BX11" s="2044" t="str">
        <f t="shared" si="51"/>
        <v/>
      </c>
      <c r="BY11" s="2049" t="str">
        <f t="shared" si="52"/>
        <v/>
      </c>
      <c r="BZ11" s="2049" t="str">
        <f t="shared" si="52"/>
        <v/>
      </c>
      <c r="CA11" s="2049" t="str">
        <f t="shared" si="52"/>
        <v/>
      </c>
      <c r="CB11" s="2117" t="str">
        <f>IF(A11="","",A11)</f>
        <v/>
      </c>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3239">
        <f>'4 Eingabe Friseure'!L8</f>
        <v>0</v>
      </c>
      <c r="EA11" s="267"/>
      <c r="EB11" s="3239" t="str">
        <f>IF($DZ11=12,1,'4 Eingabe Friseure'!N8)</f>
        <v/>
      </c>
      <c r="EC11" s="3239" t="str">
        <f>IF($DZ11=12,1,'4 Eingabe Friseure'!O8)</f>
        <v/>
      </c>
      <c r="ED11" s="3239" t="str">
        <f>IF($DZ11=12,1,'4 Eingabe Friseure'!P8)</f>
        <v/>
      </c>
      <c r="EE11" s="3239" t="str">
        <f>IF($DZ11=12,1,'4 Eingabe Friseure'!Q8)</f>
        <v/>
      </c>
      <c r="EF11" s="3239" t="str">
        <f>IF($DZ11=12,1,'4 Eingabe Friseure'!R8)</f>
        <v/>
      </c>
      <c r="EG11" s="3239" t="str">
        <f>IF($DZ11=12,1,'4 Eingabe Friseure'!S8)</f>
        <v/>
      </c>
      <c r="EH11" s="3239" t="str">
        <f>IF($DZ11=12,1,'4 Eingabe Friseure'!T8)</f>
        <v/>
      </c>
      <c r="EI11" s="3239" t="str">
        <f>IF($DZ11=12,1,'4 Eingabe Friseure'!U8)</f>
        <v/>
      </c>
      <c r="EJ11" s="3239" t="str">
        <f>IF($DZ11=12,1,'4 Eingabe Friseure'!V8)</f>
        <v/>
      </c>
      <c r="EK11" s="3239" t="str">
        <f>IF($DZ11=12,1,'4 Eingabe Friseure'!W8)</f>
        <v/>
      </c>
      <c r="EL11" s="3239" t="str">
        <f>IF($DZ11=12,1,'4 Eingabe Friseure'!X8)</f>
        <v/>
      </c>
      <c r="EM11" s="3239" t="str">
        <f>IF($DZ11=12,1,'4 Eingabe Friseure'!Y8)</f>
        <v/>
      </c>
    </row>
    <row r="12" spans="1:143" ht="15.75" customHeight="1" thickBot="1">
      <c r="A12" s="2749" t="str">
        <f>IF('22 Sollumsatz pro MA '!A10="","",'22 Sollumsatz pro MA '!A10)</f>
        <v/>
      </c>
      <c r="B12" s="2745"/>
      <c r="C12" s="2746"/>
      <c r="D12" s="2747"/>
      <c r="E12" s="2748" t="str">
        <f>IF($A12="","",IF(EB12=0,"",'23 LF individuell'!$AG10*$B12))</f>
        <v/>
      </c>
      <c r="F12" s="2749" t="str">
        <f>IF($A12="","",IF(EB12=0,"",'23 LF individuell'!$AH10*$B12))</f>
        <v/>
      </c>
      <c r="G12" s="2750" t="str">
        <f>IF($A12="","",IF(EB12=0,"",'23 LF individuell'!$AI10*$B12))</f>
        <v/>
      </c>
      <c r="H12" s="2745"/>
      <c r="I12" s="2746"/>
      <c r="J12" s="2747"/>
      <c r="K12" s="2748" t="str">
        <f>IF($A12="","",IF(EC12=0,"",'23 LF individuell'!$AG10*H12))</f>
        <v/>
      </c>
      <c r="L12" s="2749" t="str">
        <f>IF($A12="","",IF(EC12=0,"",'23 LF individuell'!$AH10*H12))</f>
        <v/>
      </c>
      <c r="M12" s="2750" t="str">
        <f>IF($A12="","",IF(EC12=0,"",'23 LF individuell'!$AI10*H12))</f>
        <v/>
      </c>
      <c r="N12" s="2745"/>
      <c r="O12" s="2746"/>
      <c r="P12" s="2747"/>
      <c r="Q12" s="2748" t="str">
        <f>IF($A12="","",IF(ED12=0,"",'23 LF individuell'!$AG10*N12))</f>
        <v/>
      </c>
      <c r="R12" s="2749" t="str">
        <f>IF($A12="","",IF(ED12=0,"",'23 LF individuell'!$AH10*N12))</f>
        <v/>
      </c>
      <c r="S12" s="2750" t="str">
        <f>IF($A12="","",IF(ED12=0,"",'23 LF individuell'!$AI10*N12))</f>
        <v/>
      </c>
      <c r="T12" s="2745"/>
      <c r="U12" s="2746"/>
      <c r="V12" s="2747"/>
      <c r="W12" s="2748" t="str">
        <f>IF($A12="","",IF(EE12=0,"",'23 LF individuell'!$AG10*T12))</f>
        <v/>
      </c>
      <c r="X12" s="2749" t="str">
        <f>IF($A12="","",IF(EE12=0,"",'23 LF individuell'!$AH10*T12))</f>
        <v/>
      </c>
      <c r="Y12" s="2750" t="str">
        <f>IF($A12="","",IF(EE12=0,"",'23 LF individuell'!$AI10*T12))</f>
        <v/>
      </c>
      <c r="Z12" s="2745"/>
      <c r="AA12" s="2746"/>
      <c r="AB12" s="2747"/>
      <c r="AC12" s="2748" t="str">
        <f>IF($A12="","",IF(EF12=0,"",'23 LF individuell'!$AG10*Z12))</f>
        <v/>
      </c>
      <c r="AD12" s="2749" t="str">
        <f>IF($A12="","",IF(EF12=0,"",'23 LF individuell'!$AH10*Z12))</f>
        <v/>
      </c>
      <c r="AE12" s="2750" t="str">
        <f>IF($A12="","",IF(EF12=0,"",'23 LF individuell'!$AI10*Z12))</f>
        <v/>
      </c>
      <c r="AF12" s="2745"/>
      <c r="AG12" s="2746"/>
      <c r="AH12" s="2747"/>
      <c r="AI12" s="2748" t="str">
        <f>IF($A12="","",IF(EG12=0,"",'23 LF individuell'!$AG10*AF12))</f>
        <v/>
      </c>
      <c r="AJ12" s="2749" t="str">
        <f>IF($A12="","",IF(EG12=0,"",'23 LF individuell'!$AH10*AF12))</f>
        <v/>
      </c>
      <c r="AK12" s="2750" t="str">
        <f>IF($A12="","",IF(EG12=0,"",'23 LF individuell'!$AI10*AF12))</f>
        <v/>
      </c>
      <c r="AL12" s="2745"/>
      <c r="AM12" s="2746"/>
      <c r="AN12" s="2747"/>
      <c r="AO12" s="2748" t="str">
        <f>IF($A12="","",IF(EH12=0,"",'23 LF individuell'!$AG10*AL12))</f>
        <v/>
      </c>
      <c r="AP12" s="2749" t="str">
        <f>IF($A12="","",IF(EH12=0,"",'23 LF individuell'!$AH10*AL12))</f>
        <v/>
      </c>
      <c r="AQ12" s="2750" t="str">
        <f>IF($A12="","",IF(EH12=0,"",'23 LF individuell'!$AI10*AL12))</f>
        <v/>
      </c>
      <c r="AR12" s="2745"/>
      <c r="AS12" s="2746"/>
      <c r="AT12" s="2747"/>
      <c r="AU12" s="2748" t="str">
        <f>IF($A12="","",IF(EI12=0,"",'23 LF individuell'!$AG10*AR12))</f>
        <v/>
      </c>
      <c r="AV12" s="2749" t="str">
        <f>IF($A12="","",IF(EI12=0,"",'23 LF individuell'!$AH10*AR12))</f>
        <v/>
      </c>
      <c r="AW12" s="2750" t="str">
        <f>IF($A12="","",IF(EI12=0,"",'23 LF individuell'!$AI10*AR12))</f>
        <v/>
      </c>
      <c r="AX12" s="2745"/>
      <c r="AY12" s="2746"/>
      <c r="AZ12" s="2747"/>
      <c r="BA12" s="2748" t="str">
        <f>IF($A12="","",IF(EJ12=0,"",'23 LF individuell'!$AG10*AX12))</f>
        <v/>
      </c>
      <c r="BB12" s="2749" t="str">
        <f>IF($A12="","",IF(EJ12=0,"",'23 LF individuell'!$AH10*AX12))</f>
        <v/>
      </c>
      <c r="BC12" s="2750" t="str">
        <f>IF($A12="","",IF(EJ12=0,"",'23 LF individuell'!$AI10*AX12))</f>
        <v/>
      </c>
      <c r="BD12" s="2745"/>
      <c r="BE12" s="2746"/>
      <c r="BF12" s="2747"/>
      <c r="BG12" s="2748" t="str">
        <f>IF($A12="","",IF(EK12=0,"",'23 LF individuell'!$AG10*BD12))</f>
        <v/>
      </c>
      <c r="BH12" s="2749" t="str">
        <f>IF($A12="","",IF(EK12=0,"",'23 LF individuell'!$AH10*BD12))</f>
        <v/>
      </c>
      <c r="BI12" s="2750" t="str">
        <f>IF($A12="","",IF(EK12=0,"",'23 LF individuell'!$AI10*BD12))</f>
        <v/>
      </c>
      <c r="BJ12" s="2745"/>
      <c r="BK12" s="2746"/>
      <c r="BL12" s="2747"/>
      <c r="BM12" s="2748" t="str">
        <f>IF($A12="","",IF(EL12=0,"",'23 LF individuell'!$AG10*BJ12))</f>
        <v/>
      </c>
      <c r="BN12" s="2749" t="str">
        <f>IF($A12="","",IF(EL12=0,"",'23 LF individuell'!$AH10*BJ12))</f>
        <v/>
      </c>
      <c r="BO12" s="2750" t="str">
        <f>IF($A12="","",IF(EL12=0,"",'23 LF individuell'!$AI10*BJ12))</f>
        <v/>
      </c>
      <c r="BP12" s="2745"/>
      <c r="BQ12" s="2746"/>
      <c r="BR12" s="2747"/>
      <c r="BS12" s="2748" t="str">
        <f>IF($A12="","",IF(EM12=0,"",'23 LF individuell'!$AG10*BP12))</f>
        <v/>
      </c>
      <c r="BT12" s="2749" t="str">
        <f>IF($A12="","",IF(EM12=0,"",'23 LF individuell'!$AH10*BP12))</f>
        <v/>
      </c>
      <c r="BU12" s="2750" t="str">
        <f>IF($A12="","",IF(EM12=0,"",'23 LF individuell'!$AI10*BP12))</f>
        <v/>
      </c>
      <c r="BV12" s="2751" t="str">
        <f t="shared" si="51"/>
        <v/>
      </c>
      <c r="BW12" s="2751" t="str">
        <f t="shared" si="51"/>
        <v/>
      </c>
      <c r="BX12" s="2751" t="str">
        <f t="shared" si="51"/>
        <v/>
      </c>
      <c r="BY12" s="2752" t="str">
        <f t="shared" si="52"/>
        <v/>
      </c>
      <c r="BZ12" s="2752" t="str">
        <f t="shared" si="52"/>
        <v/>
      </c>
      <c r="CA12" s="2752" t="str">
        <f t="shared" si="52"/>
        <v/>
      </c>
      <c r="CB12" s="2744" t="str">
        <f>IF(A12="","",A12)</f>
        <v/>
      </c>
      <c r="CC12" s="267"/>
      <c r="CD12" s="267" t="s">
        <v>1102</v>
      </c>
      <c r="CE12" s="267" t="s">
        <v>1120</v>
      </c>
      <c r="CF12" s="267" t="s">
        <v>1121</v>
      </c>
      <c r="CG12" s="267" t="str">
        <f>'25a Soll-Ist Vergl. + Provision'!D6</f>
        <v>Ist Ums DL</v>
      </c>
      <c r="CH12" s="267" t="str">
        <f>'25a Soll-Ist Vergl. + Provision'!E6</f>
        <v>Soll DL</v>
      </c>
      <c r="CI12" s="267" t="s">
        <v>1368</v>
      </c>
      <c r="CJ12" s="267" t="s">
        <v>907</v>
      </c>
      <c r="CK12" s="267" t="str">
        <f>'25a Soll-Ist Vergl. + Provision'!H6</f>
        <v>Ist Ums VK</v>
      </c>
      <c r="CL12" s="267" t="str">
        <f>'25a Soll-Ist Vergl. + Provision'!I6</f>
        <v>Soll VK</v>
      </c>
      <c r="CM12" s="267" t="s">
        <v>1368</v>
      </c>
      <c r="CN12" s="267" t="s">
        <v>907</v>
      </c>
      <c r="CO12" s="267"/>
      <c r="CP12" s="267" t="s">
        <v>1102</v>
      </c>
      <c r="CQ12" s="267" t="s">
        <v>1120</v>
      </c>
      <c r="CR12" s="267" t="s">
        <v>1121</v>
      </c>
      <c r="CS12" s="267" t="str">
        <f>'25a Soll-Ist Vergl. + Provision'!O6</f>
        <v>Ist Ums DL</v>
      </c>
      <c r="CT12" s="267" t="str">
        <f>'25a Soll-Ist Vergl. + Provision'!P6</f>
        <v>Soll DL</v>
      </c>
      <c r="CU12" s="267" t="s">
        <v>1368</v>
      </c>
      <c r="CV12" s="267" t="s">
        <v>907</v>
      </c>
      <c r="CW12" s="267" t="str">
        <f>'25a Soll-Ist Vergl. + Provision'!S6</f>
        <v>Ist Ums VK</v>
      </c>
      <c r="CX12" s="267" t="str">
        <f>'25a Soll-Ist Vergl. + Provision'!T6</f>
        <v>Soll VK</v>
      </c>
      <c r="CY12" s="267" t="s">
        <v>1368</v>
      </c>
      <c r="CZ12" s="267" t="s">
        <v>907</v>
      </c>
      <c r="DA12" s="267"/>
      <c r="DB12" s="267" t="s">
        <v>1102</v>
      </c>
      <c r="DC12" s="267" t="s">
        <v>1120</v>
      </c>
      <c r="DD12" s="267" t="s">
        <v>1121</v>
      </c>
      <c r="DE12" s="267" t="str">
        <f>'25a Soll-Ist Vergl. + Provision'!Z6</f>
        <v>Ist Ums DL</v>
      </c>
      <c r="DF12" s="267" t="str">
        <f>'25a Soll-Ist Vergl. + Provision'!AA6</f>
        <v>Soll DL</v>
      </c>
      <c r="DG12" s="267" t="s">
        <v>1368</v>
      </c>
      <c r="DH12" s="267" t="s">
        <v>907</v>
      </c>
      <c r="DI12" s="267" t="str">
        <f>'25a Soll-Ist Vergl. + Provision'!AD6</f>
        <v>Ist Ums VK</v>
      </c>
      <c r="DJ12" s="267" t="str">
        <f>'25a Soll-Ist Vergl. + Provision'!AE6</f>
        <v>Soll VK</v>
      </c>
      <c r="DK12" s="267" t="s">
        <v>1368</v>
      </c>
      <c r="DL12" s="267" t="s">
        <v>907</v>
      </c>
      <c r="DM12" s="267"/>
      <c r="DN12" s="267" t="s">
        <v>1102</v>
      </c>
      <c r="DO12" s="267" t="s">
        <v>1120</v>
      </c>
      <c r="DP12" s="267" t="s">
        <v>1121</v>
      </c>
      <c r="DQ12" s="267" t="str">
        <f>'25a Soll-Ist Vergl. + Provision'!AK6</f>
        <v>Ist Ums DL</v>
      </c>
      <c r="DR12" s="267" t="str">
        <f>'25a Soll-Ist Vergl. + Provision'!AL6</f>
        <v>Soll DL</v>
      </c>
      <c r="DS12" s="267" t="s">
        <v>1368</v>
      </c>
      <c r="DT12" s="267" t="s">
        <v>907</v>
      </c>
      <c r="DU12" s="267" t="str">
        <f>'25a Soll-Ist Vergl. + Provision'!AO6</f>
        <v>Ist Ums VK</v>
      </c>
      <c r="DV12" s="267" t="str">
        <f>'25a Soll-Ist Vergl. + Provision'!AP6</f>
        <v>Soll VK</v>
      </c>
      <c r="DW12" s="267" t="s">
        <v>1368</v>
      </c>
      <c r="DX12" s="267" t="s">
        <v>907</v>
      </c>
      <c r="DY12" s="267"/>
      <c r="DZ12" s="3239">
        <f>'4 Eingabe Friseure'!L9</f>
        <v>0</v>
      </c>
      <c r="EA12" s="267"/>
      <c r="EB12" s="3239" t="str">
        <f>IF($DZ12=12,1,'4 Eingabe Friseure'!N9)</f>
        <v/>
      </c>
      <c r="EC12" s="3239" t="str">
        <f>IF($DZ12=12,1,'4 Eingabe Friseure'!O9)</f>
        <v/>
      </c>
      <c r="ED12" s="3239" t="str">
        <f>IF($DZ12=12,1,'4 Eingabe Friseure'!P9)</f>
        <v/>
      </c>
      <c r="EE12" s="3239" t="str">
        <f>IF($DZ12=12,1,'4 Eingabe Friseure'!Q9)</f>
        <v/>
      </c>
      <c r="EF12" s="3239" t="str">
        <f>IF($DZ12=12,1,'4 Eingabe Friseure'!R9)</f>
        <v/>
      </c>
      <c r="EG12" s="3239" t="str">
        <f>IF($DZ12=12,1,'4 Eingabe Friseure'!S9)</f>
        <v/>
      </c>
      <c r="EH12" s="3239" t="str">
        <f>IF($DZ12=12,1,'4 Eingabe Friseure'!T9)</f>
        <v/>
      </c>
      <c r="EI12" s="3239" t="str">
        <f>IF($DZ12=12,1,'4 Eingabe Friseure'!U9)</f>
        <v/>
      </c>
      <c r="EJ12" s="3239" t="str">
        <f>IF($DZ12=12,1,'4 Eingabe Friseure'!V9)</f>
        <v/>
      </c>
      <c r="EK12" s="3239" t="str">
        <f>IF($DZ12=12,1,'4 Eingabe Friseure'!W9)</f>
        <v/>
      </c>
      <c r="EL12" s="3239" t="str">
        <f>IF($DZ12=12,1,'4 Eingabe Friseure'!X9)</f>
        <v/>
      </c>
      <c r="EM12" s="3239" t="str">
        <f>IF($DZ12=12,1,'4 Eingabe Friseure'!Y9)</f>
        <v/>
      </c>
    </row>
    <row r="13" spans="1:143" ht="18" customHeight="1">
      <c r="A13" s="2740" t="str">
        <f ca="1">IF('22 Sollumsatz pro MA '!A11="","",'22 Sollumsatz pro MA '!A11)</f>
        <v>Maria</v>
      </c>
      <c r="B13" s="1962">
        <v>18</v>
      </c>
      <c r="C13" s="1981">
        <v>2</v>
      </c>
      <c r="D13" s="1957"/>
      <c r="E13" s="2097">
        <f ca="1">IF($A13="","",IF(EB13=0,"",'23 LF individuell'!$AG11*$B13))</f>
        <v>9983.16</v>
      </c>
      <c r="F13" s="2100">
        <f ca="1">IF($A13="","",IF(EB13=0,"",'23 LF individuell'!$AH11*$B13))</f>
        <v>9433.8548123348482</v>
      </c>
      <c r="G13" s="2101">
        <f ca="1">IF($A13="","",IF(EB13=0,"",'23 LF individuell'!$AI11*$B13))</f>
        <v>549.28804480800852</v>
      </c>
      <c r="H13" s="1962">
        <v>21</v>
      </c>
      <c r="I13" s="1981"/>
      <c r="J13" s="1957"/>
      <c r="K13" s="2006">
        <f ca="1">IF($A13="","",IF(EC13=0,"",'23 LF individuell'!$AG11*H13))</f>
        <v>11647.02</v>
      </c>
      <c r="L13" s="2007">
        <f ca="1">IF($A13="","",IF(EC13=0,"",'23 LF individuell'!$AH11*H13))</f>
        <v>11006.16394772399</v>
      </c>
      <c r="M13" s="2008">
        <f ca="1">IF($A13="","",IF(EC13=0,"",'23 LF individuell'!$AI11*H13))</f>
        <v>640.83605227600992</v>
      </c>
      <c r="N13" s="1962">
        <v>21</v>
      </c>
      <c r="O13" s="1981"/>
      <c r="P13" s="1957"/>
      <c r="Q13" s="2097">
        <f ca="1">IF($A13="","",IF(ED13=0,"",'23 LF individuell'!$AG11*N13))</f>
        <v>11647.02</v>
      </c>
      <c r="R13" s="2100">
        <f ca="1">IF($A13="","",IF(ED13=0,"",'23 LF individuell'!$AH11*N13))</f>
        <v>11006.16394772399</v>
      </c>
      <c r="S13" s="2101">
        <f ca="1">IF($A13="","",IF(ED13=0,"",'23 LF individuell'!$AI11*N13))</f>
        <v>640.83605227600992</v>
      </c>
      <c r="T13" s="1962">
        <v>21</v>
      </c>
      <c r="U13" s="1981"/>
      <c r="V13" s="1957"/>
      <c r="W13" s="2006">
        <f ca="1">IF($A13="","",IF(EE13=0,"",'23 LF individuell'!$AG11*T13))</f>
        <v>11647.02</v>
      </c>
      <c r="X13" s="2007">
        <f ca="1">IF($A13="","",IF(EE13=0,"",'23 LF individuell'!$AH11*T13))</f>
        <v>11006.16394772399</v>
      </c>
      <c r="Y13" s="2008">
        <f ca="1">IF($A13="","",IF(EE13=0,"",'23 LF individuell'!$AI11*T13))</f>
        <v>640.83605227600992</v>
      </c>
      <c r="Z13" s="1962">
        <v>10</v>
      </c>
      <c r="AA13" s="1981">
        <v>10</v>
      </c>
      <c r="AB13" s="1957"/>
      <c r="AC13" s="2097">
        <f ca="1">IF($A13="","",IF(EF13=0,"",'23 LF individuell'!$AG11*Z13))</f>
        <v>5546.2</v>
      </c>
      <c r="AD13" s="2100">
        <f ca="1">IF($A13="","",IF(EF13=0,"",'23 LF individuell'!$AH11*Z13))</f>
        <v>5241.0304512971379</v>
      </c>
      <c r="AE13" s="2101">
        <f ca="1">IF($A13="","",IF(EF13=0,"",'23 LF individuell'!$AI11*Z13))</f>
        <v>305.16002489333806</v>
      </c>
      <c r="AF13" s="1962">
        <v>15</v>
      </c>
      <c r="AG13" s="1981"/>
      <c r="AH13" s="1957">
        <v>6</v>
      </c>
      <c r="AI13" s="2006">
        <f ca="1">IF($A13="","",IF(EG13=0,"",'23 LF individuell'!$AG11*AF13))</f>
        <v>8319.2999999999993</v>
      </c>
      <c r="AJ13" s="2007">
        <f ca="1">IF($A13="","",IF(EG13=0,"",'23 LF individuell'!$AH11*AF13))</f>
        <v>7861.5456769457069</v>
      </c>
      <c r="AK13" s="2008">
        <f ca="1">IF($A13="","",IF(EG13=0,"",'23 LF individuell'!$AI11*AF13))</f>
        <v>457.74003734000712</v>
      </c>
      <c r="AL13" s="1962">
        <v>21</v>
      </c>
      <c r="AM13" s="1981">
        <f ca="1">$D13/$E13</f>
        <v>0</v>
      </c>
      <c r="AN13" s="1957"/>
      <c r="AO13" s="2097">
        <f ca="1">IF($A13="","",IF(EH13=0,"",'23 LF individuell'!$AG11*AL13))</f>
        <v>11647.02</v>
      </c>
      <c r="AP13" s="2100">
        <f ca="1">IF($A13="","",IF(EH13=0,"",'23 LF individuell'!$AH11*AL13))</f>
        <v>11006.16394772399</v>
      </c>
      <c r="AQ13" s="2101">
        <f ca="1">IF($A13="","",IF(EH13=0,"",'23 LF individuell'!$AI11*AL13))</f>
        <v>640.83605227600992</v>
      </c>
      <c r="AR13" s="1962">
        <v>23</v>
      </c>
      <c r="AS13" s="1981"/>
      <c r="AT13" s="1957"/>
      <c r="AU13" s="2006">
        <f ca="1">IF($A13="","",IF(EI13=0,"",'23 LF individuell'!$AG11*AR13))</f>
        <v>12756.26</v>
      </c>
      <c r="AV13" s="2007">
        <f ca="1">IF($A13="","",IF(EI13=0,"",'23 LF individuell'!$AH11*AR13))</f>
        <v>12054.370037983417</v>
      </c>
      <c r="AW13" s="2008">
        <f ca="1">IF($A13="","",IF(EI13=0,"",'23 LF individuell'!$AI11*AR13))</f>
        <v>701.86805725467752</v>
      </c>
      <c r="AX13" s="1962">
        <v>20</v>
      </c>
      <c r="AY13" s="1981"/>
      <c r="AZ13" s="1957"/>
      <c r="BA13" s="2097">
        <f ca="1">IF($A13="","",IF(EJ13=0,"",'23 LF individuell'!$AG11*AX13))</f>
        <v>11092.4</v>
      </c>
      <c r="BB13" s="2100">
        <f ca="1">IF($A13="","",IF(EJ13=0,"",'23 LF individuell'!$AH11*AX13))</f>
        <v>10482.060902594276</v>
      </c>
      <c r="BC13" s="2101">
        <f ca="1">IF($A13="","",IF(EJ13=0,"",'23 LF individuell'!$AI11*AX13))</f>
        <v>610.32004978667612</v>
      </c>
      <c r="BD13" s="1962">
        <v>21</v>
      </c>
      <c r="BE13" s="1981"/>
      <c r="BF13" s="1957"/>
      <c r="BG13" s="2006">
        <f ca="1">IF($A13="","",IF(EK13=0,"",'23 LF individuell'!$AG11*BD13))</f>
        <v>11647.02</v>
      </c>
      <c r="BH13" s="2007">
        <f ca="1">IF($A13="","",IF(EK13=0,"",'23 LF individuell'!$AH11*BD13))</f>
        <v>11006.16394772399</v>
      </c>
      <c r="BI13" s="2008">
        <f ca="1">IF($A13="","",IF(EK13=0,"",'23 LF individuell'!$AI11*BD13))</f>
        <v>640.83605227600992</v>
      </c>
      <c r="BJ13" s="1962">
        <v>10</v>
      </c>
      <c r="BK13" s="1981">
        <v>10</v>
      </c>
      <c r="BL13" s="1957"/>
      <c r="BM13" s="2097">
        <f ca="1">IF($A13="","",IF(EL13=0,"",'23 LF individuell'!$AG11*BJ13))</f>
        <v>5546.2</v>
      </c>
      <c r="BN13" s="2100">
        <f ca="1">IF($A13="","",IF(EL13=0,"",'23 LF individuell'!$AH11*BJ13))</f>
        <v>5241.0304512971379</v>
      </c>
      <c r="BO13" s="2101">
        <f ca="1">IF($A13="","",IF(EL13=0,"",'23 LF individuell'!$AI11*BJ13))</f>
        <v>305.16002489333806</v>
      </c>
      <c r="BP13" s="1962">
        <v>15</v>
      </c>
      <c r="BQ13" s="1981"/>
      <c r="BR13" s="1957">
        <v>6</v>
      </c>
      <c r="BS13" s="2006">
        <f ca="1">IF($A13="","",IF(EM13=0,"",'23 LF individuell'!$AG11*BP13))</f>
        <v>8319.2999999999993</v>
      </c>
      <c r="BT13" s="2007">
        <f ca="1">IF($A13="","",IF(EM13=0,"",'23 LF individuell'!$AH11*BP13))</f>
        <v>7861.5456769457069</v>
      </c>
      <c r="BU13" s="2008">
        <f ca="1">IF($A13="","",IF(EM13=0,"",'23 LF individuell'!$AI11*BP13))</f>
        <v>457.74003734000712</v>
      </c>
      <c r="BV13" s="2742">
        <f t="shared" ca="1" si="51"/>
        <v>216</v>
      </c>
      <c r="BW13" s="2742">
        <f t="shared" ca="1" si="51"/>
        <v>22</v>
      </c>
      <c r="BX13" s="2742">
        <f t="shared" ca="1" si="51"/>
        <v>12</v>
      </c>
      <c r="BY13" s="2743">
        <f t="shared" ca="1" si="52"/>
        <v>119797.92</v>
      </c>
      <c r="BZ13" s="2743">
        <f t="shared" ca="1" si="52"/>
        <v>113206.25774801819</v>
      </c>
      <c r="CA13" s="2743">
        <f t="shared" ca="1" si="52"/>
        <v>6591.4565376961027</v>
      </c>
      <c r="CB13" s="2116" t="str">
        <f ca="1">IF(A13="","",A13)</f>
        <v>Maria</v>
      </c>
      <c r="CC13" s="1163" t="str">
        <f>IF($CD$8="Januar","Januar",IF($CD$8="Februar","Februar",IF($CD$8="März","März","April")))</f>
        <v>Januar</v>
      </c>
      <c r="CD13" s="1163">
        <f>IF($CD$10="Januar",B13,IF($CD$10="Februar",H13,IF($CD$10="März",N13,T13)))</f>
        <v>18</v>
      </c>
      <c r="CE13" s="1163">
        <f>IF($CD$10="Januar",C13,IF($CD$10="Februar",I13,IF($CD$10="März",O13,U13)))</f>
        <v>2</v>
      </c>
      <c r="CF13" s="1163">
        <f>IF($CD$10="Januar",D13,IF($CD$10="Februar",J13,IF($CD$10="März",P13,V13)))</f>
        <v>0</v>
      </c>
      <c r="CG13" s="1163">
        <f>IF($CD$10="Januar",'25a Soll-Ist Vergl. + Provision'!D10,IF($CD$10="Februar",'25a Soll-Ist Vergl. + Provision'!O10,IF($CD$10="März",'25a Soll-Ist Vergl. + Provision'!Z10,'25a Soll-Ist Vergl. + Provision'!AK10)))</f>
        <v>0</v>
      </c>
      <c r="CH13" s="1163">
        <f ca="1">IF($CD$10="Januar",'25a Soll-Ist Vergl. + Provision'!E10,IF($CD$10="Februar",'25a Soll-Ist Vergl. + Provision'!P10,IF($CD$10="März",'25a Soll-Ist Vergl. + Provision'!AA10,'25a Soll-Ist Vergl. + Provision'!AL10)))</f>
        <v>9433.8548123348482</v>
      </c>
      <c r="CI13" s="1163" t="str">
        <f ca="1">IF($CD$10="Januar",'25a Soll-Ist Vergl. + Provision'!F10,IF($CD$10="Februar",'25a Soll-Ist Vergl. + Provision'!Q10,IF($CD$10="März",'25a Soll-Ist Vergl. + Provision'!AB10,'25a Soll-Ist Vergl. + Provision'!AM10)))</f>
        <v/>
      </c>
      <c r="CJ13" s="1163" t="str">
        <f ca="1">IF($CD$10="Januar",'25a Soll-Ist Vergl. + Provision'!G10,IF($CD$10="Februar",'25a Soll-Ist Vergl. + Provision'!R10,IF($CD$10="März",'25a Soll-Ist Vergl. + Provision'!AC10,'25a Soll-Ist Vergl. + Provision'!AN10)))</f>
        <v/>
      </c>
      <c r="CK13" s="1163">
        <f>IF($CD$10="Januar",'25a Soll-Ist Vergl. + Provision'!H10,IF($CD$10="Februar",'25a Soll-Ist Vergl. + Provision'!S10,IF($CD$10="März",'25a Soll-Ist Vergl. + Provision'!AD10,'25a Soll-Ist Vergl. + Provision'!AO10)))</f>
        <v>0</v>
      </c>
      <c r="CL13" s="1163">
        <f ca="1">IF($CD$10="Januar",'25a Soll-Ist Vergl. + Provision'!I10,IF($CD$10="Februar",'25a Soll-Ist Vergl. + Provision'!T10,IF($CD$10="März",'25a Soll-Ist Vergl. + Provision'!AE10,'25a Soll-Ist Vergl. + Provision'!AP10)))</f>
        <v>549.28804480800852</v>
      </c>
      <c r="CM13" s="1163" t="str">
        <f ca="1">IF($CD$10="Januar",'25a Soll-Ist Vergl. + Provision'!J10,IF($CD$10="Februar",'25a Soll-Ist Vergl. + Provision'!U10,IF($CD$10="März",'25a Soll-Ist Vergl. + Provision'!AF10,'25a Soll-Ist Vergl. + Provision'!AQ10)))</f>
        <v/>
      </c>
      <c r="CN13" s="1163" t="str">
        <f ca="1">IF($CD$10="Januar",'25a Soll-Ist Vergl. + Provision'!K10,IF($CD$10="Februar",'25a Soll-Ist Vergl. + Provision'!V10,IF($CD$10="März",'25a Soll-Ist Vergl. + Provision'!AG10,'25a Soll-Ist Vergl. + Provision'!AR10)))</f>
        <v/>
      </c>
      <c r="CO13" s="1163" t="str">
        <f>IF($CD$8="Mai","Mai",IF($CD$8="Juni","Juni",IF($CD$8="Juli","Juli","August")))</f>
        <v>August</v>
      </c>
      <c r="CP13" s="1163">
        <f>IF($CP$10="Mai",Z13,IF($CP$10="Juni",AF13,IF($CP$10="Juli",AL13,AR13)))</f>
        <v>23</v>
      </c>
      <c r="CQ13" s="1163">
        <f>IF($CP$10="Mai",AA13,IF($CP$10="Juni",AG13,IF($CP$10="Juli",AM13,AS13)))</f>
        <v>0</v>
      </c>
      <c r="CR13" s="1163">
        <f>IF($CP$10="Mai",AB13,IF($CP$10="Juni",AH13,IF($CP$10="Juli",AN13,AT13)))</f>
        <v>0</v>
      </c>
      <c r="CS13" s="1163">
        <f>IF($CP$10="Mai",'25a Soll-Ist Vergl. + Provision'!AV10,IF($CP$10="Juni",'25a Soll-Ist Vergl. + Provision'!BG10,IF($CP$10="Juli",'25a Soll-Ist Vergl. + Provision'!BR10,'25a Soll-Ist Vergl. + Provision'!CC10)))</f>
        <v>0</v>
      </c>
      <c r="CT13" s="1163">
        <f ca="1">IF($CP$10="Mai",'25a Soll-Ist Vergl. + Provision'!AW10,IF($CP$10="Juni",'25a Soll-Ist Vergl. + Provision'!BH10,IF($CP$10="Juli",'25a Soll-Ist Vergl. + Provision'!BS10,'25a Soll-Ist Vergl. + Provision'!CD10)))</f>
        <v>12054.370037983417</v>
      </c>
      <c r="CU13" s="1163" t="str">
        <f ca="1">IF($CP$10="Mai",'25a Soll-Ist Vergl. + Provision'!AX10,IF($CP$10="Juni",'25a Soll-Ist Vergl. + Provision'!BI10,IF($CP$10="Juli",'25a Soll-Ist Vergl. + Provision'!BT10,'25a Soll-Ist Vergl. + Provision'!CE10)))</f>
        <v/>
      </c>
      <c r="CV13" s="1163" t="str">
        <f ca="1">IF($CP$10="Mai",'25a Soll-Ist Vergl. + Provision'!AY10,IF($CP$10="Juni",'25a Soll-Ist Vergl. + Provision'!BJ10,IF($CP$10="Juli",'25a Soll-Ist Vergl. + Provision'!BU10,'25a Soll-Ist Vergl. + Provision'!CF10)))</f>
        <v/>
      </c>
      <c r="CW13" s="1163">
        <f>IF($CP$10="Mai",'25a Soll-Ist Vergl. + Provision'!AZ10,IF($CP$10="Juni",'25a Soll-Ist Vergl. + Provision'!BK10,IF($CP$10="Juli",'25a Soll-Ist Vergl. + Provision'!BV10,'25a Soll-Ist Vergl. + Provision'!CG10)))</f>
        <v>0</v>
      </c>
      <c r="CX13" s="1163">
        <f ca="1">IF($CP$10="Mai",'25a Soll-Ist Vergl. + Provision'!BA10,IF($CP$10="Juni",'25a Soll-Ist Vergl. + Provision'!BL10,IF($CP$10="Juli",'25a Soll-Ist Vergl. + Provision'!BW10,'25a Soll-Ist Vergl. + Provision'!CH10)))</f>
        <v>701.86805725467752</v>
      </c>
      <c r="CY13" s="1163" t="str">
        <f ca="1">IF($CP$10="Mai",'25a Soll-Ist Vergl. + Provision'!BB10,IF($CP$10="Juni",'25a Soll-Ist Vergl. + Provision'!BM10,IF($CP$10="Juli",'25a Soll-Ist Vergl. + Provision'!BX10,'25a Soll-Ist Vergl. + Provision'!CI10)))</f>
        <v/>
      </c>
      <c r="CZ13" s="1163" t="str">
        <f ca="1">IF($CP$10="Mai",'25a Soll-Ist Vergl. + Provision'!BC10,IF($CP$10="Juni",'25a Soll-Ist Vergl. + Provision'!BN10,IF($CP$10="Juli",'25a Soll-Ist Vergl. + Provision'!BY10,'25a Soll-Ist Vergl. + Provision'!CJ10)))</f>
        <v/>
      </c>
      <c r="DA13" s="1163" t="str">
        <f>IF($CD$8="September","September",IF($CD$8="Oktober","Oktober",IF($CD$8="November","November","Dezember")))</f>
        <v>Dezember</v>
      </c>
      <c r="DB13" s="1163">
        <f>IF($DB$10="September",AX13,IF($DB$10="Oktober",BD13,IF($DB$10="November",BJ13,BP13)))</f>
        <v>15</v>
      </c>
      <c r="DC13" s="1163">
        <f>IF($DB$10="September",AY13,IF($DB$10="Oktober",BE13,IF($DB$10="November",BK13,BQ13)))</f>
        <v>0</v>
      </c>
      <c r="DD13" s="1163">
        <f>IF($DB$10="September",AZ13,IF($DB$10="Oktober",BF13,IF($DB$10="November",BL13,BR13)))</f>
        <v>6</v>
      </c>
      <c r="DE13" s="1163">
        <f>IF($DB$10="September",'25a Soll-Ist Vergl. + Provision'!CN10,IF($DB$10="Oktober",'25a Soll-Ist Vergl. + Provision'!CY10,IF($DB$10="November",'25a Soll-Ist Vergl. + Provision'!DJ10,'25a Soll-Ist Vergl. + Provision'!DU10)))</f>
        <v>0</v>
      </c>
      <c r="DF13" s="1163">
        <f ca="1">IF($DB$10="September",'25a Soll-Ist Vergl. + Provision'!CO10,IF($DB$10="Oktober",'25a Soll-Ist Vergl. + Provision'!CZ10,IF($DB$10="November",'25a Soll-Ist Vergl. + Provision'!DK10,'25a Soll-Ist Vergl. + Provision'!DV10)))</f>
        <v>7861.5456769457069</v>
      </c>
      <c r="DG13" s="1163" t="str">
        <f ca="1">IF($DB$10="September",'25a Soll-Ist Vergl. + Provision'!CP10,IF($DB$10="Oktober",'25a Soll-Ist Vergl. + Provision'!DA10,IF($DB$10="November",'25a Soll-Ist Vergl. + Provision'!DL10,'25a Soll-Ist Vergl. + Provision'!DW10)))</f>
        <v/>
      </c>
      <c r="DH13" s="1163" t="str">
        <f ca="1">IF($DB$10="September",'25a Soll-Ist Vergl. + Provision'!CQ10,IF($DB$10="Oktober",'25a Soll-Ist Vergl. + Provision'!DB10,IF($DB$10="November",'25a Soll-Ist Vergl. + Provision'!DM10,'25a Soll-Ist Vergl. + Provision'!DX10)))</f>
        <v/>
      </c>
      <c r="DI13" s="1163">
        <f>IF($DB$10="September",'25a Soll-Ist Vergl. + Provision'!CR10,IF($DB$10="Oktober",'25a Soll-Ist Vergl. + Provision'!DC10,IF($DB$10="November",'25a Soll-Ist Vergl. + Provision'!DN10,'25a Soll-Ist Vergl. + Provision'!DY10)))</f>
        <v>0</v>
      </c>
      <c r="DJ13" s="1163">
        <f ca="1">IF($DB$10="September",'25a Soll-Ist Vergl. + Provision'!CS10,IF($DB$10="Oktober",'25a Soll-Ist Vergl. + Provision'!DD10,IF($DB$10="November",'25a Soll-Ist Vergl. + Provision'!DO10,'25a Soll-Ist Vergl. + Provision'!DZ10)))</f>
        <v>457.74003734000712</v>
      </c>
      <c r="DK13" s="1163" t="str">
        <f ca="1">IF($DB$10="September",'25a Soll-Ist Vergl. + Provision'!CT10,IF($DB$10="Oktober",'25a Soll-Ist Vergl. + Provision'!DE10,IF($DB$10="November",'25a Soll-Ist Vergl. + Provision'!DP10,'25a Soll-Ist Vergl. + Provision'!EA10)))</f>
        <v/>
      </c>
      <c r="DL13" s="1163" t="str">
        <f ca="1">IF($DB$10="September",'25a Soll-Ist Vergl. + Provision'!CU10,IF($DB$10="Oktober",'25a Soll-Ist Vergl. + Provision'!DF10,IF($DB$10="November",'25a Soll-Ist Vergl. + Provision'!DQ10,'25a Soll-Ist Vergl. + Provision'!EB10)))</f>
        <v/>
      </c>
      <c r="DM13" s="1163" t="str">
        <f t="shared" ref="DM13:DX13" si="53">IF($DN$10=1,CC13,IF($DN$10=2,CO13,IF($DN$10=3,DA13,"")))</f>
        <v>Januar</v>
      </c>
      <c r="DN13" s="1163">
        <f t="shared" si="53"/>
        <v>18</v>
      </c>
      <c r="DO13" s="1163">
        <f t="shared" si="53"/>
        <v>2</v>
      </c>
      <c r="DP13" s="1163">
        <f t="shared" si="53"/>
        <v>0</v>
      </c>
      <c r="DQ13" s="1163">
        <f t="shared" si="53"/>
        <v>0</v>
      </c>
      <c r="DR13" s="1163">
        <f t="shared" ca="1" si="53"/>
        <v>9433.8548123348482</v>
      </c>
      <c r="DS13" s="1163" t="str">
        <f t="shared" ca="1" si="53"/>
        <v/>
      </c>
      <c r="DT13" s="1163" t="str">
        <f t="shared" ca="1" si="53"/>
        <v/>
      </c>
      <c r="DU13" s="1163">
        <f t="shared" si="53"/>
        <v>0</v>
      </c>
      <c r="DV13" s="1163">
        <f t="shared" ca="1" si="53"/>
        <v>549.28804480800852</v>
      </c>
      <c r="DW13" s="1163" t="str">
        <f t="shared" ca="1" si="53"/>
        <v/>
      </c>
      <c r="DX13" s="1163" t="str">
        <f t="shared" ca="1" si="53"/>
        <v/>
      </c>
      <c r="DY13" s="267"/>
      <c r="DZ13" s="3239">
        <f>'4 Eingabe Friseure'!L10</f>
        <v>12</v>
      </c>
      <c r="EA13" s="3239"/>
      <c r="EB13" s="3239">
        <f>IF($DZ13=12,1,'4 Eingabe Friseure'!N10)</f>
        <v>1</v>
      </c>
      <c r="EC13" s="3239">
        <f>IF($DZ13=12,1,'4 Eingabe Friseure'!O10)</f>
        <v>1</v>
      </c>
      <c r="ED13" s="3239">
        <f>IF($DZ13=12,1,'4 Eingabe Friseure'!P10)</f>
        <v>1</v>
      </c>
      <c r="EE13" s="3239">
        <f>IF($DZ13=12,1,'4 Eingabe Friseure'!Q10)</f>
        <v>1</v>
      </c>
      <c r="EF13" s="3239">
        <f>IF($DZ13=12,1,'4 Eingabe Friseure'!R10)</f>
        <v>1</v>
      </c>
      <c r="EG13" s="3239">
        <f>IF($DZ13=12,1,'4 Eingabe Friseure'!S10)</f>
        <v>1</v>
      </c>
      <c r="EH13" s="3239">
        <f>IF($DZ13=12,1,'4 Eingabe Friseure'!T10)</f>
        <v>1</v>
      </c>
      <c r="EI13" s="3239">
        <f>IF($DZ13=12,1,'4 Eingabe Friseure'!U10)</f>
        <v>1</v>
      </c>
      <c r="EJ13" s="3239">
        <f>IF($DZ13=12,1,'4 Eingabe Friseure'!V10)</f>
        <v>1</v>
      </c>
      <c r="EK13" s="3239">
        <f>IF($DZ13=12,1,'4 Eingabe Friseure'!W10)</f>
        <v>1</v>
      </c>
      <c r="EL13" s="3239">
        <f>IF($DZ13=12,1,'4 Eingabe Friseure'!X10)</f>
        <v>1</v>
      </c>
      <c r="EM13" s="3239">
        <f>IF($DZ13=12,1,'4 Eingabe Friseure'!Y10)</f>
        <v>1</v>
      </c>
    </row>
    <row r="14" spans="1:143" ht="18" customHeight="1">
      <c r="A14" s="2740" t="str">
        <f ca="1">IF('22 Sollumsatz pro MA '!A12="","",'22 Sollumsatz pro MA '!A12)</f>
        <v>Jutta</v>
      </c>
      <c r="B14" s="1945">
        <v>13</v>
      </c>
      <c r="C14" s="1981">
        <v>4</v>
      </c>
      <c r="D14" s="1957"/>
      <c r="E14" s="2097">
        <f ca="1">IF($A14="","",IF(EB14=0,"",'23 LF individuell'!$AG12*$B14))</f>
        <v>6194.5</v>
      </c>
      <c r="F14" s="2100">
        <f ca="1">IF($A14="","",IF(EB14=0,"",'23 LF individuell'!$AH12*$B14))</f>
        <v>5859.8113368108925</v>
      </c>
      <c r="G14" s="2101">
        <f ca="1">IF($A14="","",IF(EB14=0,"",'23 LF individuell'!$AI12*$B14))</f>
        <v>340.8318490396224</v>
      </c>
      <c r="H14" s="1945">
        <v>12</v>
      </c>
      <c r="I14" s="1981"/>
      <c r="J14" s="1957">
        <v>5</v>
      </c>
      <c r="K14" s="2006">
        <f ca="1">IF($A14="","",IF(EC14=0,"",'23 LF individuell'!$AG12*H14))</f>
        <v>5718</v>
      </c>
      <c r="L14" s="2007">
        <f ca="1">IF($A14="","",IF(EC14=0,"",'23 LF individuell'!$AH12*H14))</f>
        <v>5409.05661859467</v>
      </c>
      <c r="M14" s="2008">
        <f ca="1">IF($A14="","",IF(EC14=0,"",'23 LF individuell'!$AI12*H14))</f>
        <v>314.61401449811297</v>
      </c>
      <c r="N14" s="1945">
        <v>17</v>
      </c>
      <c r="O14" s="1981"/>
      <c r="P14" s="1957"/>
      <c r="Q14" s="2097">
        <f ca="1">IF($A14="","",IF(ED14=0,"",'23 LF individuell'!$AG12*N14))</f>
        <v>8100.5</v>
      </c>
      <c r="R14" s="2098">
        <f ca="1">IF($A14="","",IF(ED14=0,"",'23 LF individuell'!$AH12*N14))</f>
        <v>7662.8302096757825</v>
      </c>
      <c r="S14" s="2099">
        <f ca="1">IF($A14="","",IF(ED14=0,"",'23 LF individuell'!$AI12*N14))</f>
        <v>445.70318720566007</v>
      </c>
      <c r="T14" s="1945">
        <v>17</v>
      </c>
      <c r="U14" s="1981"/>
      <c r="V14" s="1957"/>
      <c r="W14" s="2006">
        <f ca="1">IF($A14="","",IF(EE14=0,"",'23 LF individuell'!$AG12*T14))</f>
        <v>8100.5</v>
      </c>
      <c r="X14" s="2007">
        <f ca="1">IF($A14="","",IF(EE14=0,"",'23 LF individuell'!$AH12*T14))</f>
        <v>7662.8302096757825</v>
      </c>
      <c r="Y14" s="2008">
        <f ca="1">IF($A14="","",IF(EE14=0,"",'23 LF individuell'!$AI12*T14))</f>
        <v>445.70318720566007</v>
      </c>
      <c r="Z14" s="1945">
        <v>16</v>
      </c>
      <c r="AA14" s="1981"/>
      <c r="AB14" s="1957"/>
      <c r="AC14" s="2097">
        <f ca="1">IF($A14="","",IF(EF14=0,"",'23 LF individuell'!$AG12*Z14))</f>
        <v>7624</v>
      </c>
      <c r="AD14" s="2098">
        <f ca="1">IF($A14="","",IF(EF14=0,"",'23 LF individuell'!$AH12*Z14))</f>
        <v>7212.07549145956</v>
      </c>
      <c r="AE14" s="2099">
        <f ca="1">IF($A14="","",IF(EF14=0,"",'23 LF individuell'!$AI12*Z14))</f>
        <v>419.48535266415064</v>
      </c>
      <c r="AF14" s="1945">
        <v>16</v>
      </c>
      <c r="AG14" s="1981"/>
      <c r="AH14" s="1957"/>
      <c r="AI14" s="2006">
        <f ca="1">IF($A14="","",IF(EG14=0,"",'23 LF individuell'!$AG12*AF14))</f>
        <v>7624</v>
      </c>
      <c r="AJ14" s="2007">
        <f ca="1">IF($A14="","",IF(EG14=0,"",'23 LF individuell'!$AH12*AF14))</f>
        <v>7212.07549145956</v>
      </c>
      <c r="AK14" s="2008">
        <f ca="1">IF($A14="","",IF(EG14=0,"",'23 LF individuell'!$AI12*AF14))</f>
        <v>419.48535266415064</v>
      </c>
      <c r="AL14" s="1945">
        <v>6</v>
      </c>
      <c r="AM14" s="1981">
        <v>10</v>
      </c>
      <c r="AN14" s="1957"/>
      <c r="AO14" s="2097">
        <f ca="1">IF($A14="","",IF(EH14=0,"",'23 LF individuell'!$AG12*AL14))</f>
        <v>2859</v>
      </c>
      <c r="AP14" s="2098">
        <f ca="1">IF($A14="","",IF(EH14=0,"",'23 LF individuell'!$AH12*AL14))</f>
        <v>2704.528309297335</v>
      </c>
      <c r="AQ14" s="2099">
        <f ca="1">IF($A14="","",IF(EH14=0,"",'23 LF individuell'!$AI12*AL14))</f>
        <v>157.30700724905648</v>
      </c>
      <c r="AR14" s="1945">
        <v>12</v>
      </c>
      <c r="AS14" s="1981"/>
      <c r="AT14" s="1957">
        <v>5</v>
      </c>
      <c r="AU14" s="2006">
        <f ca="1">IF($A14="","",IF(EI14=0,"",'23 LF individuell'!$AG12*AR14))</f>
        <v>5718</v>
      </c>
      <c r="AV14" s="2007">
        <f ca="1">IF($A14="","",IF(EI14=0,"",'23 LF individuell'!$AH12*AR14))</f>
        <v>5409.05661859467</v>
      </c>
      <c r="AW14" s="2008">
        <f ca="1">IF($A14="","",IF(EI14=0,"",'23 LF individuell'!$AI12*AR14))</f>
        <v>314.61401449811297</v>
      </c>
      <c r="AX14" s="1945">
        <v>17</v>
      </c>
      <c r="AY14" s="1981"/>
      <c r="AZ14" s="1957"/>
      <c r="BA14" s="2097">
        <f ca="1">IF($A14="","",IF(EJ14=0,"",'23 LF individuell'!$AG12*AX14))</f>
        <v>8100.5</v>
      </c>
      <c r="BB14" s="2098">
        <f ca="1">IF($A14="","",IF(EJ14=0,"",'23 LF individuell'!$AH12*AX14))</f>
        <v>7662.8302096757825</v>
      </c>
      <c r="BC14" s="2099">
        <f ca="1">IF($A14="","",IF(EJ14=0,"",'23 LF individuell'!$AI12*AX14))</f>
        <v>445.70318720566007</v>
      </c>
      <c r="BD14" s="1945">
        <v>16</v>
      </c>
      <c r="BE14" s="1981"/>
      <c r="BF14" s="1957"/>
      <c r="BG14" s="2006">
        <f ca="1">IF($A14="","",IF(EK14=0,"",'23 LF individuell'!$AG12*BD14))</f>
        <v>7624</v>
      </c>
      <c r="BH14" s="2007">
        <f ca="1">IF($A14="","",IF(EK14=0,"",'23 LF individuell'!$AH12*BD14))</f>
        <v>7212.07549145956</v>
      </c>
      <c r="BI14" s="2008">
        <f ca="1">IF($A14="","",IF(EK14=0,"",'23 LF individuell'!$AI12*BD14))</f>
        <v>419.48535266415064</v>
      </c>
      <c r="BJ14" s="1945">
        <v>12</v>
      </c>
      <c r="BK14" s="1981">
        <v>5</v>
      </c>
      <c r="BL14" s="1957"/>
      <c r="BM14" s="2097">
        <f ca="1">IF($A14="","",IF(EL14=0,"",'23 LF individuell'!$AG12*BJ14))</f>
        <v>5718</v>
      </c>
      <c r="BN14" s="2098">
        <f ca="1">IF($A14="","",IF(EL14=0,"",'23 LF individuell'!$AH12*BJ14))</f>
        <v>5409.05661859467</v>
      </c>
      <c r="BO14" s="2099">
        <f ca="1">IF($A14="","",IF(EL14=0,"",'23 LF individuell'!$AI12*BJ14))</f>
        <v>314.61401449811297</v>
      </c>
      <c r="BP14" s="1945">
        <v>16</v>
      </c>
      <c r="BQ14" s="1981"/>
      <c r="BR14" s="1957"/>
      <c r="BS14" s="2006">
        <f ca="1">IF($A14="","",IF(EM14=0,"",'23 LF individuell'!$AG12*BP14))</f>
        <v>7624</v>
      </c>
      <c r="BT14" s="2007">
        <f ca="1">IF($A14="","",IF(EM14=0,"",'23 LF individuell'!$AH12*BP14))</f>
        <v>7212.07549145956</v>
      </c>
      <c r="BU14" s="2008">
        <f ca="1">IF($A14="","",IF(EM14=0,"",'23 LF individuell'!$AI12*BP14))</f>
        <v>419.48535266415064</v>
      </c>
      <c r="BV14" s="2044">
        <f t="shared" ref="BV14:BV28" ca="1" si="54">IF($A14="","",SUM(B14+H14+N14+T14+Z14+AF14+AL14+AR14+AX14+BD14+BJ14+BP14))</f>
        <v>170</v>
      </c>
      <c r="BW14" s="2044">
        <f t="shared" ref="BW14:BW28" ca="1" si="55">IF($A14="","",SUM(C14+I14+O14+U14+AA14+AG14+AM14+AS14+AY14+BE14+BK14+BQ14))</f>
        <v>19</v>
      </c>
      <c r="BX14" s="2044">
        <f t="shared" ref="BX14:BX28" ca="1" si="56">IF($A14="","",SUM(D14+J14+P14+V14+AB14+AH14+AN14+AT14+AZ14+BF14+BL14+BR14))</f>
        <v>10</v>
      </c>
      <c r="BY14" s="2049">
        <f t="shared" ref="BY14:BY46" ca="1" si="57">IF($A14="","",SUM(E14,K14,Q14,W14,AC14,AI14,AO14,AU14,BA14,BG14,BM14,BS14))</f>
        <v>81005</v>
      </c>
      <c r="BZ14" s="2049">
        <f t="shared" ref="BZ14:BZ46" ca="1" si="58">IF($A14="","",SUM(F14,L14,R14,X14,AD14,AJ14,AP14,AV14,BB14,BH14,BN14,BT14))</f>
        <v>76628.30209675782</v>
      </c>
      <c r="CA14" s="2049">
        <f t="shared" ref="CA14:CA46" ca="1" si="59">IF($A14="","",SUM(G14,M14,S14,Y14,AE14,AK14,AQ14,AW14,BC14,BI14,BO14,BU14))</f>
        <v>4457.0318720566002</v>
      </c>
      <c r="CB14" s="2116" t="str">
        <f t="shared" ref="CB14:CB28" ca="1" si="60">IF(A14="","",A14)</f>
        <v>Jutta</v>
      </c>
      <c r="CC14" s="1163" t="str">
        <f t="shared" ref="CC14:CC46" si="61">IF($CD$8="Januar","Januar",IF($CD$8="Februar","Februar",IF($CD$8="März","März","April")))</f>
        <v>Januar</v>
      </c>
      <c r="CD14" s="1163">
        <f t="shared" ref="CD14:CD46" si="62">IF($CD$10="Januar",B14,IF($CD$10="Februar",H14,IF($CD$10="März",N14,T14)))</f>
        <v>13</v>
      </c>
      <c r="CE14" s="1163">
        <f t="shared" ref="CE14:CE46" si="63">IF($CD$10="Januar",C14,IF($CD$10="Februar",I14,IF($CD$10="März",O14,U14)))</f>
        <v>4</v>
      </c>
      <c r="CF14" s="1163">
        <f t="shared" ref="CF14:CF46" si="64">IF($CD$10="Januar",D14,IF($CD$10="Februar",J14,IF($CD$10="März",P14,V14)))</f>
        <v>0</v>
      </c>
      <c r="CG14" s="1163">
        <f>IF($CD$10="Januar",'25a Soll-Ist Vergl. + Provision'!D11,IF($CD$10="Februar",'25a Soll-Ist Vergl. + Provision'!O11,IF($CD$10="März",'25a Soll-Ist Vergl. + Provision'!Z11,'25a Soll-Ist Vergl. + Provision'!AK11)))</f>
        <v>0</v>
      </c>
      <c r="CH14" s="1163">
        <f ca="1">IF($CD$10="Januar",'25a Soll-Ist Vergl. + Provision'!E11,IF($CD$10="Februar",'25a Soll-Ist Vergl. + Provision'!P11,IF($CD$10="März",'25a Soll-Ist Vergl. + Provision'!AA11,'25a Soll-Ist Vergl. + Provision'!AL11)))</f>
        <v>5859.8113368108925</v>
      </c>
      <c r="CI14" s="1163" t="str">
        <f ca="1">IF($CD$10="Januar",'25a Soll-Ist Vergl. + Provision'!F11,IF($CD$10="Februar",'25a Soll-Ist Vergl. + Provision'!Q11,IF($CD$10="März",'25a Soll-Ist Vergl. + Provision'!AB11,'25a Soll-Ist Vergl. + Provision'!AM11)))</f>
        <v/>
      </c>
      <c r="CJ14" s="1163" t="str">
        <f ca="1">IF($CD$10="Januar",'25a Soll-Ist Vergl. + Provision'!G11,IF($CD$10="Februar",'25a Soll-Ist Vergl. + Provision'!R11,IF($CD$10="März",'25a Soll-Ist Vergl. + Provision'!AC11,'25a Soll-Ist Vergl. + Provision'!AN11)))</f>
        <v/>
      </c>
      <c r="CK14" s="1163">
        <f>IF($CD$10="Januar",'25a Soll-Ist Vergl. + Provision'!H11,IF($CD$10="Februar",'25a Soll-Ist Vergl. + Provision'!S11,IF($CD$10="März",'25a Soll-Ist Vergl. + Provision'!AD11,'25a Soll-Ist Vergl. + Provision'!AO11)))</f>
        <v>0</v>
      </c>
      <c r="CL14" s="1163">
        <f ca="1">IF($CD$10="Januar",'25a Soll-Ist Vergl. + Provision'!I11,IF($CD$10="Februar",'25a Soll-Ist Vergl. + Provision'!T11,IF($CD$10="März",'25a Soll-Ist Vergl. + Provision'!AE11,'25a Soll-Ist Vergl. + Provision'!AP11)))</f>
        <v>340.8318490396224</v>
      </c>
      <c r="CM14" s="1163" t="str">
        <f ca="1">IF($CD$10="Januar",'25a Soll-Ist Vergl. + Provision'!J11,IF($CD$10="Februar",'25a Soll-Ist Vergl. + Provision'!U11,IF($CD$10="März",'25a Soll-Ist Vergl. + Provision'!AF11,'25a Soll-Ist Vergl. + Provision'!AQ11)))</f>
        <v/>
      </c>
      <c r="CN14" s="1163" t="str">
        <f ca="1">IF($CD$10="Januar",'25a Soll-Ist Vergl. + Provision'!K11,IF($CD$10="Februar",'25a Soll-Ist Vergl. + Provision'!V11,IF($CD$10="März",'25a Soll-Ist Vergl. + Provision'!AG11,'25a Soll-Ist Vergl. + Provision'!AR11)))</f>
        <v/>
      </c>
      <c r="CO14" s="1163" t="str">
        <f t="shared" ref="CO14:CO46" si="65">IF($CD$8="Mai","Mai",IF($CD$8="Juni","Juni",IF($CD$8="Juli","Juli","August")))</f>
        <v>August</v>
      </c>
      <c r="CP14" s="1163">
        <f t="shared" ref="CP14:CP46" si="66">IF($CP$10="Mai",Z14,IF($CP$10="Juni",AF14,IF($CP$10="Juli",AL14,AR14)))</f>
        <v>12</v>
      </c>
      <c r="CQ14" s="1163">
        <f t="shared" ref="CQ14:CQ46" si="67">IF($CP$10="Mai",AA14,IF($CP$10="Juni",AG14,IF($CP$10="Juli",AM14,AS14)))</f>
        <v>0</v>
      </c>
      <c r="CR14" s="1163">
        <f t="shared" ref="CR14:CR46" si="68">IF($CP$10="Mai",AB14,IF($CP$10="Juni",AH14,IF($CP$10="Juli",AN14,AT14)))</f>
        <v>5</v>
      </c>
      <c r="CS14" s="1163">
        <f>IF($CP$10="Mai",'25a Soll-Ist Vergl. + Provision'!AV11,IF($CP$10="Juni",'25a Soll-Ist Vergl. + Provision'!BG11,IF($CP$10="Juli",'25a Soll-Ist Vergl. + Provision'!BR11,'25a Soll-Ist Vergl. + Provision'!CC11)))</f>
        <v>0</v>
      </c>
      <c r="CT14" s="1163">
        <f ca="1">IF($CP$10="Mai",'25a Soll-Ist Vergl. + Provision'!AW11,IF($CP$10="Juni",'25a Soll-Ist Vergl. + Provision'!BH11,IF($CP$10="Juli",'25a Soll-Ist Vergl. + Provision'!BS11,'25a Soll-Ist Vergl. + Provision'!CD11)))</f>
        <v>5409.05661859467</v>
      </c>
      <c r="CU14" s="1163" t="str">
        <f ca="1">IF($CP$10="Mai",'25a Soll-Ist Vergl. + Provision'!AX11,IF($CP$10="Juni",'25a Soll-Ist Vergl. + Provision'!BI11,IF($CP$10="Juli",'25a Soll-Ist Vergl. + Provision'!BT11,'25a Soll-Ist Vergl. + Provision'!CE11)))</f>
        <v/>
      </c>
      <c r="CV14" s="1163" t="str">
        <f ca="1">IF($CP$10="Mai",'25a Soll-Ist Vergl. + Provision'!AY11,IF($CP$10="Juni",'25a Soll-Ist Vergl. + Provision'!BJ11,IF($CP$10="Juli",'25a Soll-Ist Vergl. + Provision'!BU11,'25a Soll-Ist Vergl. + Provision'!CF11)))</f>
        <v/>
      </c>
      <c r="CW14" s="1163">
        <f>IF($CP$10="Mai",'25a Soll-Ist Vergl. + Provision'!AZ11,IF($CP$10="Juni",'25a Soll-Ist Vergl. + Provision'!BK11,IF($CP$10="Juli",'25a Soll-Ist Vergl. + Provision'!BV11,'25a Soll-Ist Vergl. + Provision'!CG11)))</f>
        <v>0</v>
      </c>
      <c r="CX14" s="1163">
        <f ca="1">IF($CP$10="Mai",'25a Soll-Ist Vergl. + Provision'!BA11,IF($CP$10="Juni",'25a Soll-Ist Vergl. + Provision'!BL11,IF($CP$10="Juli",'25a Soll-Ist Vergl. + Provision'!BW11,'25a Soll-Ist Vergl. + Provision'!CH11)))</f>
        <v>314.61401449811297</v>
      </c>
      <c r="CY14" s="1163" t="str">
        <f ca="1">IF($CP$10="Mai",'25a Soll-Ist Vergl. + Provision'!BB11,IF($CP$10="Juni",'25a Soll-Ist Vergl. + Provision'!BM11,IF($CP$10="Juli",'25a Soll-Ist Vergl. + Provision'!BX11,'25a Soll-Ist Vergl. + Provision'!CI11)))</f>
        <v/>
      </c>
      <c r="CZ14" s="1163" t="str">
        <f ca="1">IF($CP$10="Mai",'25a Soll-Ist Vergl. + Provision'!BC11,IF($CP$10="Juni",'25a Soll-Ist Vergl. + Provision'!BN11,IF($CP$10="Juli",'25a Soll-Ist Vergl. + Provision'!BY11,'25a Soll-Ist Vergl. + Provision'!CJ11)))</f>
        <v/>
      </c>
      <c r="DA14" s="1163" t="str">
        <f t="shared" ref="DA14:DA46" si="69">IF($CD$8="September","September",IF($CD$8="Oktober","Oktober",IF($CD$8="November","November","Dezember")))</f>
        <v>Dezember</v>
      </c>
      <c r="DB14" s="1163">
        <f t="shared" ref="DB14:DB46" si="70">IF($DB$10="September",AX14,IF($DB$10="Oktober",BD14,IF($DB$10="November",BJ14,BP14)))</f>
        <v>16</v>
      </c>
      <c r="DC14" s="1163">
        <f t="shared" ref="DC14:DC46" si="71">IF($DB$10="September",AY14,IF($DB$10="Oktober",BE14,IF($DB$10="November",BK14,BQ14)))</f>
        <v>0</v>
      </c>
      <c r="DD14" s="1163">
        <f t="shared" ref="DD14:DD46" si="72">IF($DB$10="September",AZ14,IF($DB$10="Oktober",BF14,IF($DB$10="November",BL14,BR14)))</f>
        <v>0</v>
      </c>
      <c r="DE14" s="1163">
        <f>IF($DB$10="September",'25a Soll-Ist Vergl. + Provision'!CN11,IF($DB$10="Oktober",'25a Soll-Ist Vergl. + Provision'!CY11,IF($DB$10="November",'25a Soll-Ist Vergl. + Provision'!DJ11,'25a Soll-Ist Vergl. + Provision'!DU11)))</f>
        <v>0</v>
      </c>
      <c r="DF14" s="1163">
        <f ca="1">IF($DB$10="September",'25a Soll-Ist Vergl. + Provision'!CO11,IF($DB$10="Oktober",'25a Soll-Ist Vergl. + Provision'!CZ11,IF($DB$10="November",'25a Soll-Ist Vergl. + Provision'!DK11,'25a Soll-Ist Vergl. + Provision'!DV11)))</f>
        <v>7212.07549145956</v>
      </c>
      <c r="DG14" s="1163" t="str">
        <f ca="1">IF($DB$10="September",'25a Soll-Ist Vergl. + Provision'!CP11,IF($DB$10="Oktober",'25a Soll-Ist Vergl. + Provision'!DA11,IF($DB$10="November",'25a Soll-Ist Vergl. + Provision'!DL11,'25a Soll-Ist Vergl. + Provision'!DW11)))</f>
        <v/>
      </c>
      <c r="DH14" s="1163" t="str">
        <f ca="1">IF($DB$10="September",'25a Soll-Ist Vergl. + Provision'!CQ11,IF($DB$10="Oktober",'25a Soll-Ist Vergl. + Provision'!DB11,IF($DB$10="November",'25a Soll-Ist Vergl. + Provision'!DM11,'25a Soll-Ist Vergl. + Provision'!DX11)))</f>
        <v/>
      </c>
      <c r="DI14" s="1163">
        <f>IF($DB$10="September",'25a Soll-Ist Vergl. + Provision'!CR11,IF($DB$10="Oktober",'25a Soll-Ist Vergl. + Provision'!DC11,IF($DB$10="November",'25a Soll-Ist Vergl. + Provision'!DN11,'25a Soll-Ist Vergl. + Provision'!DY11)))</f>
        <v>0</v>
      </c>
      <c r="DJ14" s="1163">
        <f ca="1">IF($DB$10="September",'25a Soll-Ist Vergl. + Provision'!CS11,IF($DB$10="Oktober",'25a Soll-Ist Vergl. + Provision'!DD11,IF($DB$10="November",'25a Soll-Ist Vergl. + Provision'!DO11,'25a Soll-Ist Vergl. + Provision'!DZ11)))</f>
        <v>419.48535266415064</v>
      </c>
      <c r="DK14" s="1163" t="str">
        <f ca="1">IF($DB$10="September",'25a Soll-Ist Vergl. + Provision'!CT11,IF($DB$10="Oktober",'25a Soll-Ist Vergl. + Provision'!DE11,IF($DB$10="November",'25a Soll-Ist Vergl. + Provision'!DP11,'25a Soll-Ist Vergl. + Provision'!EA11)))</f>
        <v/>
      </c>
      <c r="DL14" s="1163" t="str">
        <f ca="1">IF($DB$10="September",'25a Soll-Ist Vergl. + Provision'!CU11,IF($DB$10="Oktober",'25a Soll-Ist Vergl. + Provision'!DF11,IF($DB$10="November",'25a Soll-Ist Vergl. + Provision'!DQ11,'25a Soll-Ist Vergl. + Provision'!EB11)))</f>
        <v/>
      </c>
      <c r="DM14" s="1163" t="str">
        <f t="shared" ref="DM14:DM46" si="73">IF($DN$10=1,CC14,IF($DN$10=2,CO14,IF($DN$10=3,DA14,"")))</f>
        <v>Januar</v>
      </c>
      <c r="DN14" s="1163">
        <f t="shared" ref="DN14:DN46" si="74">IF($DN$10=1,CD14,IF($DN$10=2,CP14,IF($DN$10=3,DB14,"")))</f>
        <v>13</v>
      </c>
      <c r="DO14" s="1163">
        <f t="shared" ref="DO14:DO46" si="75">IF($DN$10=1,CE14,IF($DN$10=2,CQ14,IF($DN$10=3,DC14,"")))</f>
        <v>4</v>
      </c>
      <c r="DP14" s="1163">
        <f t="shared" ref="DP14:DP46" si="76">IF($DN$10=1,CF14,IF($DN$10=2,CR14,IF($DN$10=3,DD14,"")))</f>
        <v>0</v>
      </c>
      <c r="DQ14" s="1163">
        <f t="shared" ref="DQ14:DQ46" si="77">IF($DN$10=1,CG14,IF($DN$10=2,CS14,IF($DN$10=3,DE14,"")))</f>
        <v>0</v>
      </c>
      <c r="DR14" s="1163">
        <f t="shared" ref="DR14:DR46" ca="1" si="78">IF($DN$10=1,CH14,IF($DN$10=2,CT14,IF($DN$10=3,DF14,"")))</f>
        <v>5859.8113368108925</v>
      </c>
      <c r="DS14" s="1163" t="str">
        <f t="shared" ref="DS14:DS46" ca="1" si="79">IF($DN$10=1,CI14,IF($DN$10=2,CU14,IF($DN$10=3,DG14,"")))</f>
        <v/>
      </c>
      <c r="DT14" s="1163" t="str">
        <f t="shared" ref="DT14:DT46" ca="1" si="80">IF($DN$10=1,CJ14,IF($DN$10=2,CV14,IF($DN$10=3,DH14,"")))</f>
        <v/>
      </c>
      <c r="DU14" s="1163">
        <f t="shared" ref="DU14:DU46" si="81">IF($DN$10=1,CK14,IF($DN$10=2,CW14,IF($DN$10=3,DI14,"")))</f>
        <v>0</v>
      </c>
      <c r="DV14" s="1163">
        <f t="shared" ref="DV14:DV46" ca="1" si="82">IF($DN$10=1,CL14,IF($DN$10=2,CX14,IF($DN$10=3,DJ14,"")))</f>
        <v>340.8318490396224</v>
      </c>
      <c r="DW14" s="1163" t="str">
        <f t="shared" ref="DW14:DW46" ca="1" si="83">IF($DN$10=1,CM14,IF($DN$10=2,CY14,IF($DN$10=3,DK14,"")))</f>
        <v/>
      </c>
      <c r="DX14" s="1163" t="str">
        <f t="shared" ref="DX14:DX46" ca="1" si="84">IF($DN$10=1,CN14,IF($DN$10=2,CZ14,IF($DN$10=3,DL14,"")))</f>
        <v/>
      </c>
      <c r="DY14" s="267"/>
      <c r="DZ14" s="3239">
        <f>'4 Eingabe Friseure'!L11</f>
        <v>12</v>
      </c>
      <c r="EA14" s="3239"/>
      <c r="EB14" s="3239">
        <f>IF($DZ14=12,1,'4 Eingabe Friseure'!N11)</f>
        <v>1</v>
      </c>
      <c r="EC14" s="3239">
        <f>IF($DZ14=12,1,'4 Eingabe Friseure'!O11)</f>
        <v>1</v>
      </c>
      <c r="ED14" s="3239">
        <f>IF($DZ14=12,1,'4 Eingabe Friseure'!P11)</f>
        <v>1</v>
      </c>
      <c r="EE14" s="3239">
        <f>IF($DZ14=12,1,'4 Eingabe Friseure'!Q11)</f>
        <v>1</v>
      </c>
      <c r="EF14" s="3239">
        <f>IF($DZ14=12,1,'4 Eingabe Friseure'!R11)</f>
        <v>1</v>
      </c>
      <c r="EG14" s="3239">
        <f>IF($DZ14=12,1,'4 Eingabe Friseure'!S11)</f>
        <v>1</v>
      </c>
      <c r="EH14" s="3239">
        <f>IF($DZ14=12,1,'4 Eingabe Friseure'!T11)</f>
        <v>1</v>
      </c>
      <c r="EI14" s="3239">
        <f>IF($DZ14=12,1,'4 Eingabe Friseure'!U11)</f>
        <v>1</v>
      </c>
      <c r="EJ14" s="3239">
        <f>IF($DZ14=12,1,'4 Eingabe Friseure'!V11)</f>
        <v>1</v>
      </c>
      <c r="EK14" s="3239">
        <f>IF($DZ14=12,1,'4 Eingabe Friseure'!W11)</f>
        <v>1</v>
      </c>
      <c r="EL14" s="3239">
        <f>IF($DZ14=12,1,'4 Eingabe Friseure'!X11)</f>
        <v>1</v>
      </c>
      <c r="EM14" s="3239">
        <f>IF($DZ14=12,1,'4 Eingabe Friseure'!Y11)</f>
        <v>1</v>
      </c>
    </row>
    <row r="15" spans="1:143" ht="18" customHeight="1">
      <c r="A15" s="2740" t="str">
        <f ca="1">IF('22 Sollumsatz pro MA '!A13="","",'22 Sollumsatz pro MA '!A13)</f>
        <v>Karina</v>
      </c>
      <c r="B15" s="1945">
        <v>15</v>
      </c>
      <c r="C15" s="1981"/>
      <c r="D15" s="1957"/>
      <c r="E15" s="2097">
        <f ca="1">IF($A15="","",IF(EB15=0,"",'23 LF individuell'!$AG13*$B15))</f>
        <v>6830.4000000000005</v>
      </c>
      <c r="F15" s="2100">
        <f ca="1">IF($A15="","",IF(EB15=0,"",'23 LF individuell'!$AH13*$B15))</f>
        <v>6449.4778864270829</v>
      </c>
      <c r="G15" s="2101">
        <f ca="1">IF($A15="","",IF(EB15=0,"",'23 LF individuell'!$AI13*$B15))</f>
        <v>375.82027557969872</v>
      </c>
      <c r="H15" s="1945">
        <v>15</v>
      </c>
      <c r="I15" s="1981"/>
      <c r="J15" s="1957"/>
      <c r="K15" s="2006">
        <f ca="1">IF($A15="","",IF(EC15=0,"",'23 LF individuell'!$AG13*H15))</f>
        <v>6830.4000000000005</v>
      </c>
      <c r="L15" s="2007">
        <f ca="1">IF($A15="","",IF(EC15=0,"",'23 LF individuell'!$AH13*H15))</f>
        <v>6449.4778864270829</v>
      </c>
      <c r="M15" s="2008">
        <f ca="1">IF($A15="","",IF(EC15=0,"",'23 LF individuell'!$AI13*H15))</f>
        <v>375.82027557969872</v>
      </c>
      <c r="N15" s="1945">
        <v>10</v>
      </c>
      <c r="O15" s="1981">
        <v>2</v>
      </c>
      <c r="P15" s="1957"/>
      <c r="Q15" s="2097">
        <f ca="1">IF($A15="","",IF(ED15=0,"",'23 LF individuell'!$AG13*N15))</f>
        <v>4553.6000000000004</v>
      </c>
      <c r="R15" s="2098">
        <f ca="1">IF($A15="","",IF(ED15=0,"",'23 LF individuell'!$AH13*N15))</f>
        <v>4299.6519242847216</v>
      </c>
      <c r="S15" s="2099">
        <f ca="1">IF($A15="","",IF(ED15=0,"",'23 LF individuell'!$AI13*N15))</f>
        <v>250.54685038646582</v>
      </c>
      <c r="T15" s="1945">
        <v>10</v>
      </c>
      <c r="U15" s="1981"/>
      <c r="V15" s="1957">
        <v>5</v>
      </c>
      <c r="W15" s="2006">
        <f ca="1">IF($A15="","",IF(EE15=0,"",'23 LF individuell'!$AG13*T15))</f>
        <v>4553.6000000000004</v>
      </c>
      <c r="X15" s="2007">
        <f ca="1">IF($A15="","",IF(EE15=0,"",'23 LF individuell'!$AH13*T15))</f>
        <v>4299.6519242847216</v>
      </c>
      <c r="Y15" s="2008">
        <f ca="1">IF($A15="","",IF(EE15=0,"",'23 LF individuell'!$AI13*T15))</f>
        <v>250.54685038646582</v>
      </c>
      <c r="Z15" s="1945">
        <v>15</v>
      </c>
      <c r="AA15" s="1981"/>
      <c r="AB15" s="1957"/>
      <c r="AC15" s="2097">
        <f ca="1">IF($A15="","",IF(EF15=0,"",'23 LF individuell'!$AG13*Z15))</f>
        <v>6830.4000000000005</v>
      </c>
      <c r="AD15" s="2098">
        <f ca="1">IF($A15="","",IF(EF15=0,"",'23 LF individuell'!$AH13*Z15))</f>
        <v>6449.4778864270829</v>
      </c>
      <c r="AE15" s="2099">
        <f ca="1">IF($A15="","",IF(EF15=0,"",'23 LF individuell'!$AI13*Z15))</f>
        <v>375.82027557969872</v>
      </c>
      <c r="AF15" s="1945">
        <v>15</v>
      </c>
      <c r="AG15" s="1981"/>
      <c r="AH15" s="1957"/>
      <c r="AI15" s="2006">
        <f ca="1">IF($A15="","",IF(EG15=0,"",'23 LF individuell'!$AG13*AF15))</f>
        <v>6830.4000000000005</v>
      </c>
      <c r="AJ15" s="2007">
        <f ca="1">IF($A15="","",IF(EG15=0,"",'23 LF individuell'!$AH13*AF15))</f>
        <v>6449.4778864270829</v>
      </c>
      <c r="AK15" s="2008">
        <f ca="1">IF($A15="","",IF(EG15=0,"",'23 LF individuell'!$AI13*AF15))</f>
        <v>375.82027557969872</v>
      </c>
      <c r="AL15" s="1945">
        <v>5</v>
      </c>
      <c r="AM15" s="1981">
        <v>10</v>
      </c>
      <c r="AN15" s="1957"/>
      <c r="AO15" s="2097">
        <f ca="1">IF($A15="","",IF(EH15=0,"",'23 LF individuell'!$AG13*AL15))</f>
        <v>2276.8000000000002</v>
      </c>
      <c r="AP15" s="2098">
        <f ca="1">IF($A15="","",IF(EH15=0,"",'23 LF individuell'!$AH13*AL15))</f>
        <v>2149.8259621423608</v>
      </c>
      <c r="AQ15" s="2099">
        <f ca="1">IF($A15="","",IF(EH15=0,"",'23 LF individuell'!$AI13*AL15))</f>
        <v>125.27342519323291</v>
      </c>
      <c r="AR15" s="1945">
        <v>15</v>
      </c>
      <c r="AS15" s="1981"/>
      <c r="AT15" s="1957"/>
      <c r="AU15" s="2006">
        <f ca="1">IF($A15="","",IF(EI15=0,"",'23 LF individuell'!$AG13*AR15))</f>
        <v>6830.4000000000005</v>
      </c>
      <c r="AV15" s="2007">
        <f ca="1">IF($A15="","",IF(EI15=0,"",'23 LF individuell'!$AH13*AR15))</f>
        <v>6449.4778864270829</v>
      </c>
      <c r="AW15" s="2008">
        <f ca="1">IF($A15="","",IF(EI15=0,"",'23 LF individuell'!$AI13*AR15))</f>
        <v>375.82027557969872</v>
      </c>
      <c r="AX15" s="1945">
        <v>10</v>
      </c>
      <c r="AY15" s="1981">
        <v>5</v>
      </c>
      <c r="AZ15" s="1957"/>
      <c r="BA15" s="2097">
        <f ca="1">IF($A15="","",IF(EJ15=0,"",'23 LF individuell'!$AG13*AX15))</f>
        <v>4553.6000000000004</v>
      </c>
      <c r="BB15" s="2098">
        <f ca="1">IF($A15="","",IF(EJ15=0,"",'23 LF individuell'!$AH13*AX15))</f>
        <v>4299.6519242847216</v>
      </c>
      <c r="BC15" s="2099">
        <f ca="1">IF($A15="","",IF(EJ15=0,"",'23 LF individuell'!$AI13*AX15))</f>
        <v>250.54685038646582</v>
      </c>
      <c r="BD15" s="1945">
        <v>10</v>
      </c>
      <c r="BE15" s="1981"/>
      <c r="BF15" s="1957">
        <v>5</v>
      </c>
      <c r="BG15" s="2006">
        <f ca="1">IF($A15="","",IF(EK15=0,"",'23 LF individuell'!$AG13*BD15))</f>
        <v>4553.6000000000004</v>
      </c>
      <c r="BH15" s="2007">
        <f ca="1">IF($A15="","",IF(EK15=0,"",'23 LF individuell'!$AH13*BD15))</f>
        <v>4299.6519242847216</v>
      </c>
      <c r="BI15" s="2008">
        <f ca="1">IF($A15="","",IF(EK15=0,"",'23 LF individuell'!$AI13*BD15))</f>
        <v>250.54685038646582</v>
      </c>
      <c r="BJ15" s="1945">
        <v>14</v>
      </c>
      <c r="BK15" s="1981"/>
      <c r="BL15" s="1957">
        <v>2</v>
      </c>
      <c r="BM15" s="2097">
        <f ca="1">IF($A15="","",IF(EL15=0,"",'23 LF individuell'!$AG13*BJ15))</f>
        <v>6375.04</v>
      </c>
      <c r="BN15" s="2098">
        <f ca="1">IF($A15="","",IF(EL15=0,"",'23 LF individuell'!$AH13*BJ15))</f>
        <v>6019.5126939986103</v>
      </c>
      <c r="BO15" s="2099">
        <f ca="1">IF($A15="","",IF(EL15=0,"",'23 LF individuell'!$AI13*BJ15))</f>
        <v>350.76559054105212</v>
      </c>
      <c r="BP15" s="1945">
        <v>15</v>
      </c>
      <c r="BQ15" s="1981"/>
      <c r="BR15" s="1957"/>
      <c r="BS15" s="2006">
        <f ca="1">IF($A15="","",IF(EM15=0,"",'23 LF individuell'!$AG13*BP15))</f>
        <v>6830.4000000000005</v>
      </c>
      <c r="BT15" s="2007">
        <f ca="1">IF($A15="","",IF(EM15=0,"",'23 LF individuell'!$AH13*BP15))</f>
        <v>6449.4778864270829</v>
      </c>
      <c r="BU15" s="2008">
        <f ca="1">IF($A15="","",IF(EM15=0,"",'23 LF individuell'!$AI13*BP15))</f>
        <v>375.82027557969872</v>
      </c>
      <c r="BV15" s="2044">
        <f t="shared" ca="1" si="54"/>
        <v>149</v>
      </c>
      <c r="BW15" s="2044">
        <f t="shared" ca="1" si="55"/>
        <v>17</v>
      </c>
      <c r="BX15" s="2044">
        <f t="shared" ca="1" si="56"/>
        <v>12</v>
      </c>
      <c r="BY15" s="2049">
        <f t="shared" ca="1" si="57"/>
        <v>67848.639999999999</v>
      </c>
      <c r="BZ15" s="2049">
        <f t="shared" ca="1" si="58"/>
        <v>64064.813671842356</v>
      </c>
      <c r="CA15" s="2049">
        <f t="shared" ca="1" si="59"/>
        <v>3733.1480707583405</v>
      </c>
      <c r="CB15" s="2116" t="str">
        <f t="shared" ca="1" si="60"/>
        <v>Karina</v>
      </c>
      <c r="CC15" s="1163" t="str">
        <f t="shared" si="61"/>
        <v>Januar</v>
      </c>
      <c r="CD15" s="1163">
        <f t="shared" si="62"/>
        <v>15</v>
      </c>
      <c r="CE15" s="1163">
        <f t="shared" si="63"/>
        <v>0</v>
      </c>
      <c r="CF15" s="1163">
        <f t="shared" si="64"/>
        <v>0</v>
      </c>
      <c r="CG15" s="1163">
        <f>IF($CD$10="Januar",'25a Soll-Ist Vergl. + Provision'!D12,IF($CD$10="Februar",'25a Soll-Ist Vergl. + Provision'!O12,IF($CD$10="März",'25a Soll-Ist Vergl. + Provision'!Z12,'25a Soll-Ist Vergl. + Provision'!AK12)))</f>
        <v>0</v>
      </c>
      <c r="CH15" s="1163">
        <f ca="1">IF($CD$10="Januar",'25a Soll-Ist Vergl. + Provision'!E12,IF($CD$10="Februar",'25a Soll-Ist Vergl. + Provision'!P12,IF($CD$10="März",'25a Soll-Ist Vergl. + Provision'!AA12,'25a Soll-Ist Vergl. + Provision'!AL12)))</f>
        <v>6449.4778864270829</v>
      </c>
      <c r="CI15" s="1163" t="str">
        <f ca="1">IF($CD$10="Januar",'25a Soll-Ist Vergl. + Provision'!F12,IF($CD$10="Februar",'25a Soll-Ist Vergl. + Provision'!Q12,IF($CD$10="März",'25a Soll-Ist Vergl. + Provision'!AB12,'25a Soll-Ist Vergl. + Provision'!AM12)))</f>
        <v/>
      </c>
      <c r="CJ15" s="1163" t="str">
        <f ca="1">IF($CD$10="Januar",'25a Soll-Ist Vergl. + Provision'!G12,IF($CD$10="Februar",'25a Soll-Ist Vergl. + Provision'!R12,IF($CD$10="März",'25a Soll-Ist Vergl. + Provision'!AC12,'25a Soll-Ist Vergl. + Provision'!AN12)))</f>
        <v/>
      </c>
      <c r="CK15" s="1163">
        <f>IF($CD$10="Januar",'25a Soll-Ist Vergl. + Provision'!H12,IF($CD$10="Februar",'25a Soll-Ist Vergl. + Provision'!S12,IF($CD$10="März",'25a Soll-Ist Vergl. + Provision'!AD12,'25a Soll-Ist Vergl. + Provision'!AO12)))</f>
        <v>0</v>
      </c>
      <c r="CL15" s="1163">
        <f ca="1">IF($CD$10="Januar",'25a Soll-Ist Vergl. + Provision'!I12,IF($CD$10="Februar",'25a Soll-Ist Vergl. + Provision'!T12,IF($CD$10="März",'25a Soll-Ist Vergl. + Provision'!AE12,'25a Soll-Ist Vergl. + Provision'!AP12)))</f>
        <v>375.82027557969872</v>
      </c>
      <c r="CM15" s="1163" t="str">
        <f ca="1">IF($CD$10="Januar",'25a Soll-Ist Vergl. + Provision'!J12,IF($CD$10="Februar",'25a Soll-Ist Vergl. + Provision'!U12,IF($CD$10="März",'25a Soll-Ist Vergl. + Provision'!AF12,'25a Soll-Ist Vergl. + Provision'!AQ12)))</f>
        <v/>
      </c>
      <c r="CN15" s="1163" t="str">
        <f ca="1">IF($CD$10="Januar",'25a Soll-Ist Vergl. + Provision'!K12,IF($CD$10="Februar",'25a Soll-Ist Vergl. + Provision'!V12,IF($CD$10="März",'25a Soll-Ist Vergl. + Provision'!AG12,'25a Soll-Ist Vergl. + Provision'!AR12)))</f>
        <v/>
      </c>
      <c r="CO15" s="1163" t="str">
        <f t="shared" si="65"/>
        <v>August</v>
      </c>
      <c r="CP15" s="1163">
        <f t="shared" si="66"/>
        <v>15</v>
      </c>
      <c r="CQ15" s="1163">
        <f t="shared" si="67"/>
        <v>0</v>
      </c>
      <c r="CR15" s="1163">
        <f t="shared" si="68"/>
        <v>0</v>
      </c>
      <c r="CS15" s="1163">
        <f>IF($CP$10="Mai",'25a Soll-Ist Vergl. + Provision'!AV12,IF($CP$10="Juni",'25a Soll-Ist Vergl. + Provision'!BG12,IF($CP$10="Juli",'25a Soll-Ist Vergl. + Provision'!BR12,'25a Soll-Ist Vergl. + Provision'!CC12)))</f>
        <v>0</v>
      </c>
      <c r="CT15" s="1163">
        <f ca="1">IF($CP$10="Mai",'25a Soll-Ist Vergl. + Provision'!AW12,IF($CP$10="Juni",'25a Soll-Ist Vergl. + Provision'!BH12,IF($CP$10="Juli",'25a Soll-Ist Vergl. + Provision'!BS12,'25a Soll-Ist Vergl. + Provision'!CD12)))</f>
        <v>6449.4778864270829</v>
      </c>
      <c r="CU15" s="1163" t="str">
        <f ca="1">IF($CP$10="Mai",'25a Soll-Ist Vergl. + Provision'!AX12,IF($CP$10="Juni",'25a Soll-Ist Vergl. + Provision'!BI12,IF($CP$10="Juli",'25a Soll-Ist Vergl. + Provision'!BT12,'25a Soll-Ist Vergl. + Provision'!CE12)))</f>
        <v/>
      </c>
      <c r="CV15" s="1163" t="str">
        <f ca="1">IF($CP$10="Mai",'25a Soll-Ist Vergl. + Provision'!AY12,IF($CP$10="Juni",'25a Soll-Ist Vergl. + Provision'!BJ12,IF($CP$10="Juli",'25a Soll-Ist Vergl. + Provision'!BU12,'25a Soll-Ist Vergl. + Provision'!CF12)))</f>
        <v/>
      </c>
      <c r="CW15" s="1163">
        <f>IF($CP$10="Mai",'25a Soll-Ist Vergl. + Provision'!AZ12,IF($CP$10="Juni",'25a Soll-Ist Vergl. + Provision'!BK12,IF($CP$10="Juli",'25a Soll-Ist Vergl. + Provision'!BV12,'25a Soll-Ist Vergl. + Provision'!CG12)))</f>
        <v>0</v>
      </c>
      <c r="CX15" s="1163">
        <f ca="1">IF($CP$10="Mai",'25a Soll-Ist Vergl. + Provision'!BA12,IF($CP$10="Juni",'25a Soll-Ist Vergl. + Provision'!BL12,IF($CP$10="Juli",'25a Soll-Ist Vergl. + Provision'!BW12,'25a Soll-Ist Vergl. + Provision'!CH12)))</f>
        <v>375.82027557969872</v>
      </c>
      <c r="CY15" s="1163" t="str">
        <f ca="1">IF($CP$10="Mai",'25a Soll-Ist Vergl. + Provision'!BB12,IF($CP$10="Juni",'25a Soll-Ist Vergl. + Provision'!BM12,IF($CP$10="Juli",'25a Soll-Ist Vergl. + Provision'!BX12,'25a Soll-Ist Vergl. + Provision'!CI12)))</f>
        <v/>
      </c>
      <c r="CZ15" s="1163" t="str">
        <f ca="1">IF($CP$10="Mai",'25a Soll-Ist Vergl. + Provision'!BC12,IF($CP$10="Juni",'25a Soll-Ist Vergl. + Provision'!BN12,IF($CP$10="Juli",'25a Soll-Ist Vergl. + Provision'!BY12,'25a Soll-Ist Vergl. + Provision'!CJ12)))</f>
        <v/>
      </c>
      <c r="DA15" s="1163" t="str">
        <f t="shared" si="69"/>
        <v>Dezember</v>
      </c>
      <c r="DB15" s="1163">
        <f t="shared" si="70"/>
        <v>15</v>
      </c>
      <c r="DC15" s="1163">
        <f t="shared" si="71"/>
        <v>0</v>
      </c>
      <c r="DD15" s="1163">
        <f t="shared" si="72"/>
        <v>0</v>
      </c>
      <c r="DE15" s="1163">
        <f>IF($DB$10="September",'25a Soll-Ist Vergl. + Provision'!CN12,IF($DB$10="Oktober",'25a Soll-Ist Vergl. + Provision'!CY12,IF($DB$10="November",'25a Soll-Ist Vergl. + Provision'!DJ12,'25a Soll-Ist Vergl. + Provision'!DU12)))</f>
        <v>0</v>
      </c>
      <c r="DF15" s="1163">
        <f ca="1">IF($DB$10="September",'25a Soll-Ist Vergl. + Provision'!CO12,IF($DB$10="Oktober",'25a Soll-Ist Vergl. + Provision'!CZ12,IF($DB$10="November",'25a Soll-Ist Vergl. + Provision'!DK12,'25a Soll-Ist Vergl. + Provision'!DV12)))</f>
        <v>6449.4778864270829</v>
      </c>
      <c r="DG15" s="1163" t="str">
        <f ca="1">IF($DB$10="September",'25a Soll-Ist Vergl. + Provision'!CP12,IF($DB$10="Oktober",'25a Soll-Ist Vergl. + Provision'!DA12,IF($DB$10="November",'25a Soll-Ist Vergl. + Provision'!DL12,'25a Soll-Ist Vergl. + Provision'!DW12)))</f>
        <v/>
      </c>
      <c r="DH15" s="1163" t="str">
        <f ca="1">IF($DB$10="September",'25a Soll-Ist Vergl. + Provision'!CQ12,IF($DB$10="Oktober",'25a Soll-Ist Vergl. + Provision'!DB12,IF($DB$10="November",'25a Soll-Ist Vergl. + Provision'!DM12,'25a Soll-Ist Vergl. + Provision'!DX12)))</f>
        <v/>
      </c>
      <c r="DI15" s="1163">
        <f>IF($DB$10="September",'25a Soll-Ist Vergl. + Provision'!CR12,IF($DB$10="Oktober",'25a Soll-Ist Vergl. + Provision'!DC12,IF($DB$10="November",'25a Soll-Ist Vergl. + Provision'!DN12,'25a Soll-Ist Vergl. + Provision'!DY12)))</f>
        <v>0</v>
      </c>
      <c r="DJ15" s="1163">
        <f ca="1">IF($DB$10="September",'25a Soll-Ist Vergl. + Provision'!CS12,IF($DB$10="Oktober",'25a Soll-Ist Vergl. + Provision'!DD12,IF($DB$10="November",'25a Soll-Ist Vergl. + Provision'!DO12,'25a Soll-Ist Vergl. + Provision'!DZ12)))</f>
        <v>375.82027557969872</v>
      </c>
      <c r="DK15" s="1163" t="str">
        <f ca="1">IF($DB$10="September",'25a Soll-Ist Vergl. + Provision'!CT12,IF($DB$10="Oktober",'25a Soll-Ist Vergl. + Provision'!DE12,IF($DB$10="November",'25a Soll-Ist Vergl. + Provision'!DP12,'25a Soll-Ist Vergl. + Provision'!EA12)))</f>
        <v/>
      </c>
      <c r="DL15" s="1163" t="str">
        <f ca="1">IF($DB$10="September",'25a Soll-Ist Vergl. + Provision'!CU12,IF($DB$10="Oktober",'25a Soll-Ist Vergl. + Provision'!DF12,IF($DB$10="November",'25a Soll-Ist Vergl. + Provision'!DQ12,'25a Soll-Ist Vergl. + Provision'!EB12)))</f>
        <v/>
      </c>
      <c r="DM15" s="1163" t="str">
        <f t="shared" si="73"/>
        <v>Januar</v>
      </c>
      <c r="DN15" s="1163">
        <f t="shared" si="74"/>
        <v>15</v>
      </c>
      <c r="DO15" s="1163">
        <f t="shared" si="75"/>
        <v>0</v>
      </c>
      <c r="DP15" s="1163">
        <f t="shared" si="76"/>
        <v>0</v>
      </c>
      <c r="DQ15" s="1163">
        <f t="shared" si="77"/>
        <v>0</v>
      </c>
      <c r="DR15" s="1163">
        <f t="shared" ca="1" si="78"/>
        <v>6449.4778864270829</v>
      </c>
      <c r="DS15" s="1163" t="str">
        <f t="shared" ca="1" si="79"/>
        <v/>
      </c>
      <c r="DT15" s="1163" t="str">
        <f t="shared" ca="1" si="80"/>
        <v/>
      </c>
      <c r="DU15" s="1163">
        <f t="shared" si="81"/>
        <v>0</v>
      </c>
      <c r="DV15" s="1163">
        <f t="shared" ca="1" si="82"/>
        <v>375.82027557969872</v>
      </c>
      <c r="DW15" s="1163" t="str">
        <f t="shared" ca="1" si="83"/>
        <v/>
      </c>
      <c r="DX15" s="1163" t="str">
        <f t="shared" ca="1" si="84"/>
        <v/>
      </c>
      <c r="DY15" s="267"/>
      <c r="DZ15" s="3239">
        <f>'4 Eingabe Friseure'!L12</f>
        <v>12</v>
      </c>
      <c r="EA15" s="3239"/>
      <c r="EB15" s="3239">
        <f>IF($DZ15=12,1,'4 Eingabe Friseure'!N12)</f>
        <v>1</v>
      </c>
      <c r="EC15" s="3239">
        <f>IF($DZ15=12,1,'4 Eingabe Friseure'!O12)</f>
        <v>1</v>
      </c>
      <c r="ED15" s="3239">
        <f>IF($DZ15=12,1,'4 Eingabe Friseure'!P12)</f>
        <v>1</v>
      </c>
      <c r="EE15" s="3239">
        <f>IF($DZ15=12,1,'4 Eingabe Friseure'!Q12)</f>
        <v>1</v>
      </c>
      <c r="EF15" s="3239">
        <f>IF($DZ15=12,1,'4 Eingabe Friseure'!R12)</f>
        <v>1</v>
      </c>
      <c r="EG15" s="3239">
        <f>IF($DZ15=12,1,'4 Eingabe Friseure'!S12)</f>
        <v>1</v>
      </c>
      <c r="EH15" s="3239">
        <f>IF($DZ15=12,1,'4 Eingabe Friseure'!T12)</f>
        <v>1</v>
      </c>
      <c r="EI15" s="3239">
        <f>IF($DZ15=12,1,'4 Eingabe Friseure'!U12)</f>
        <v>1</v>
      </c>
      <c r="EJ15" s="3239">
        <f>IF($DZ15=12,1,'4 Eingabe Friseure'!V12)</f>
        <v>1</v>
      </c>
      <c r="EK15" s="3239">
        <f>IF($DZ15=12,1,'4 Eingabe Friseure'!W12)</f>
        <v>1</v>
      </c>
      <c r="EL15" s="3239">
        <f>IF($DZ15=12,1,'4 Eingabe Friseure'!X12)</f>
        <v>1</v>
      </c>
      <c r="EM15" s="3239">
        <f>IF($DZ15=12,1,'4 Eingabe Friseure'!Y12)</f>
        <v>1</v>
      </c>
    </row>
    <row r="16" spans="1:143" ht="18" customHeight="1">
      <c r="A16" s="2740" t="str">
        <f ca="1">IF('22 Sollumsatz pro MA '!A14="","",'22 Sollumsatz pro MA '!A14)</f>
        <v>Cordula</v>
      </c>
      <c r="B16" s="1945">
        <v>11</v>
      </c>
      <c r="C16" s="1981"/>
      <c r="D16" s="1957">
        <v>3</v>
      </c>
      <c r="E16" s="2097">
        <f ca="1">IF($A16="","",IF(EB16=0,"",'23 LF individuell'!$AG14*$B16))</f>
        <v>5135.8999999999996</v>
      </c>
      <c r="F16" s="2100">
        <f ca="1">IF($A16="","",IF(EB16=0,"",'23 LF individuell'!$AH14*$B16))</f>
        <v>4854.3542714396954</v>
      </c>
      <c r="G16" s="2101">
        <f ca="1">IF($A16="","",IF(EB16=0,"",'23 LF individuell'!$AI14*$B16))</f>
        <v>282.58376048092418</v>
      </c>
      <c r="H16" s="1945">
        <v>13</v>
      </c>
      <c r="I16" s="1981"/>
      <c r="J16" s="1957"/>
      <c r="K16" s="2006">
        <f ca="1">IF($A16="","",IF(EC16=0,"",'23 LF individuell'!$AG14*H16))</f>
        <v>6069.7</v>
      </c>
      <c r="L16" s="2007">
        <f ca="1">IF($A16="","",IF(EC16=0,"",'23 LF individuell'!$AH14*H16))</f>
        <v>5736.9641389741864</v>
      </c>
      <c r="M16" s="2008">
        <f ca="1">IF($A16="","",IF(EC16=0,"",'23 LF individuell'!$AI14*H16))</f>
        <v>333.9626260229104</v>
      </c>
      <c r="N16" s="1945">
        <v>13</v>
      </c>
      <c r="O16" s="1981"/>
      <c r="P16" s="1957"/>
      <c r="Q16" s="2097">
        <f ca="1">IF($A16="","",IF(ED16=0,"",'23 LF individuell'!$AG14*N16))</f>
        <v>6069.7</v>
      </c>
      <c r="R16" s="2098">
        <f ca="1">IF($A16="","",IF(ED16=0,"",'23 LF individuell'!$AH14*N16))</f>
        <v>5736.9641389741864</v>
      </c>
      <c r="S16" s="2099">
        <f ca="1">IF($A16="","",IF(ED16=0,"",'23 LF individuell'!$AI14*N16))</f>
        <v>333.9626260229104</v>
      </c>
      <c r="T16" s="1945">
        <v>7</v>
      </c>
      <c r="U16" s="1981">
        <v>5</v>
      </c>
      <c r="V16" s="1957"/>
      <c r="W16" s="2006">
        <f ca="1">IF($A16="","",IF(EE16=0,"",'23 LF individuell'!$AG14*T16))</f>
        <v>3268.2999999999997</v>
      </c>
      <c r="X16" s="2007">
        <f ca="1">IF($A16="","",IF(EE16=0,"",'23 LF individuell'!$AH14*T16))</f>
        <v>3089.1345363707155</v>
      </c>
      <c r="Y16" s="2008">
        <f ca="1">IF($A16="","",IF(EE16=0,"",'23 LF individuell'!$AI14*T16))</f>
        <v>179.82602939695175</v>
      </c>
      <c r="Z16" s="1945">
        <v>7</v>
      </c>
      <c r="AA16" s="1981"/>
      <c r="AB16" s="1957">
        <v>2</v>
      </c>
      <c r="AC16" s="2097">
        <f ca="1">IF($A16="","",IF(EF16=0,"",'23 LF individuell'!$AG14*Z16))</f>
        <v>3268.2999999999997</v>
      </c>
      <c r="AD16" s="2098">
        <f ca="1">IF($A16="","",IF(EF16=0,"",'23 LF individuell'!$AH14*Z16))</f>
        <v>3089.1345363707155</v>
      </c>
      <c r="AE16" s="2099">
        <f ca="1">IF($A16="","",IF(EF16=0,"",'23 LF individuell'!$AI14*Z16))</f>
        <v>179.82602939695175</v>
      </c>
      <c r="AF16" s="1945">
        <v>13</v>
      </c>
      <c r="AG16" s="1981"/>
      <c r="AH16" s="1957"/>
      <c r="AI16" s="2006">
        <f ca="1">IF($A16="","",IF(EG16=0,"",'23 LF individuell'!$AG14*AF16))</f>
        <v>6069.7</v>
      </c>
      <c r="AJ16" s="2007">
        <f ca="1">IF($A16="","",IF(EG16=0,"",'23 LF individuell'!$AH14*AF16))</f>
        <v>5736.9641389741864</v>
      </c>
      <c r="AK16" s="2008">
        <f ca="1">IF($A16="","",IF(EG16=0,"",'23 LF individuell'!$AI14*AF16))</f>
        <v>333.9626260229104</v>
      </c>
      <c r="AL16" s="1945">
        <v>7</v>
      </c>
      <c r="AM16" s="1981"/>
      <c r="AN16" s="1957">
        <v>7</v>
      </c>
      <c r="AO16" s="2097">
        <f ca="1">IF($A16="","",IF(EH16=0,"",'23 LF individuell'!$AG14*AL16))</f>
        <v>3268.2999999999997</v>
      </c>
      <c r="AP16" s="2098">
        <f ca="1">IF($A16="","",IF(EH16=0,"",'23 LF individuell'!$AH14*AL16))</f>
        <v>3089.1345363707155</v>
      </c>
      <c r="AQ16" s="2099">
        <f ca="1">IF($A16="","",IF(EH16=0,"",'23 LF individuell'!$AI14*AL16))</f>
        <v>179.82602939695175</v>
      </c>
      <c r="AR16" s="1945">
        <v>13</v>
      </c>
      <c r="AS16" s="1981"/>
      <c r="AT16" s="1957"/>
      <c r="AU16" s="2006">
        <f ca="1">IF($A16="","",IF(EI16=0,"",'23 LF individuell'!$AG14*AR16))</f>
        <v>6069.7</v>
      </c>
      <c r="AV16" s="2007">
        <f ca="1">IF($A16="","",IF(EI16=0,"",'23 LF individuell'!$AH14*AR16))</f>
        <v>5736.9641389741864</v>
      </c>
      <c r="AW16" s="2008">
        <f ca="1">IF($A16="","",IF(EI16=0,"",'23 LF individuell'!$AI14*AR16))</f>
        <v>333.9626260229104</v>
      </c>
      <c r="AX16" s="1945">
        <v>11</v>
      </c>
      <c r="AY16" s="1981">
        <v>4</v>
      </c>
      <c r="AZ16" s="1957"/>
      <c r="BA16" s="2097">
        <f ca="1">IF($A16="","",IF(EJ16=0,"",'23 LF individuell'!$AG14*AX16))</f>
        <v>5135.8999999999996</v>
      </c>
      <c r="BB16" s="2098">
        <f ca="1">IF($A16="","",IF(EJ16=0,"",'23 LF individuell'!$AH14*AX16))</f>
        <v>4854.3542714396954</v>
      </c>
      <c r="BC16" s="2099">
        <f ca="1">IF($A16="","",IF(EJ16=0,"",'23 LF individuell'!$AI14*AX16))</f>
        <v>282.58376048092418</v>
      </c>
      <c r="BD16" s="1945">
        <v>7</v>
      </c>
      <c r="BE16" s="1981">
        <v>5</v>
      </c>
      <c r="BF16" s="1957"/>
      <c r="BG16" s="2006">
        <f ca="1">IF($A16="","",IF(EK16=0,"",'23 LF individuell'!$AG14*BD16))</f>
        <v>3268.2999999999997</v>
      </c>
      <c r="BH16" s="2007">
        <f ca="1">IF($A16="","",IF(EK16=0,"",'23 LF individuell'!$AH14*BD16))</f>
        <v>3089.1345363707155</v>
      </c>
      <c r="BI16" s="2008">
        <f ca="1">IF($A16="","",IF(EK16=0,"",'23 LF individuell'!$AI14*BD16))</f>
        <v>179.82602939695175</v>
      </c>
      <c r="BJ16" s="1945">
        <v>13</v>
      </c>
      <c r="BK16" s="1981"/>
      <c r="BL16" s="1957"/>
      <c r="BM16" s="2097">
        <f ca="1">IF($A16="","",IF(EL16=0,"",'23 LF individuell'!$AG14*BJ16))</f>
        <v>6069.7</v>
      </c>
      <c r="BN16" s="2098">
        <f ca="1">IF($A16="","",IF(EL16=0,"",'23 LF individuell'!$AH14*BJ16))</f>
        <v>5736.9641389741864</v>
      </c>
      <c r="BO16" s="2099">
        <f ca="1">IF($A16="","",IF(EL16=0,"",'23 LF individuell'!$AI14*BJ16))</f>
        <v>333.9626260229104</v>
      </c>
      <c r="BP16" s="1945">
        <v>13</v>
      </c>
      <c r="BQ16" s="1981"/>
      <c r="BR16" s="1957"/>
      <c r="BS16" s="2006">
        <f ca="1">IF($A16="","",IF(EM16=0,"",'23 LF individuell'!$AG14*BP16))</f>
        <v>6069.7</v>
      </c>
      <c r="BT16" s="2007">
        <f ca="1">IF($A16="","",IF(EM16=0,"",'23 LF individuell'!$AH14*BP16))</f>
        <v>5736.9641389741864</v>
      </c>
      <c r="BU16" s="2008">
        <f ca="1">IF($A16="","",IF(EM16=0,"",'23 LF individuell'!$AI14*BP16))</f>
        <v>333.9626260229104</v>
      </c>
      <c r="BV16" s="2044">
        <f t="shared" ca="1" si="54"/>
        <v>128</v>
      </c>
      <c r="BW16" s="2044">
        <f t="shared" ca="1" si="55"/>
        <v>14</v>
      </c>
      <c r="BX16" s="2044">
        <f t="shared" ca="1" si="56"/>
        <v>12</v>
      </c>
      <c r="BY16" s="2049">
        <f t="shared" ca="1" si="57"/>
        <v>59763.199999999997</v>
      </c>
      <c r="BZ16" s="2049">
        <f t="shared" ca="1" si="58"/>
        <v>56487.031522207377</v>
      </c>
      <c r="CA16" s="2049">
        <f t="shared" ca="1" si="59"/>
        <v>3288.2473946871178</v>
      </c>
      <c r="CB16" s="2116" t="str">
        <f t="shared" ca="1" si="60"/>
        <v>Cordula</v>
      </c>
      <c r="CC16" s="1163" t="str">
        <f t="shared" si="61"/>
        <v>Januar</v>
      </c>
      <c r="CD16" s="1163">
        <f t="shared" si="62"/>
        <v>11</v>
      </c>
      <c r="CE16" s="1163">
        <f t="shared" si="63"/>
        <v>0</v>
      </c>
      <c r="CF16" s="1163">
        <f t="shared" si="64"/>
        <v>3</v>
      </c>
      <c r="CG16" s="1163">
        <f>IF($CD$10="Januar",'25a Soll-Ist Vergl. + Provision'!D13,IF($CD$10="Februar",'25a Soll-Ist Vergl. + Provision'!O13,IF($CD$10="März",'25a Soll-Ist Vergl. + Provision'!Z13,'25a Soll-Ist Vergl. + Provision'!AK13)))</f>
        <v>0</v>
      </c>
      <c r="CH16" s="1163">
        <f ca="1">IF($CD$10="Januar",'25a Soll-Ist Vergl. + Provision'!E13,IF($CD$10="Februar",'25a Soll-Ist Vergl. + Provision'!P13,IF($CD$10="März",'25a Soll-Ist Vergl. + Provision'!AA13,'25a Soll-Ist Vergl. + Provision'!AL13)))</f>
        <v>4854.3542714396954</v>
      </c>
      <c r="CI16" s="1163" t="str">
        <f ca="1">IF($CD$10="Januar",'25a Soll-Ist Vergl. + Provision'!F13,IF($CD$10="Februar",'25a Soll-Ist Vergl. + Provision'!Q13,IF($CD$10="März",'25a Soll-Ist Vergl. + Provision'!AB13,'25a Soll-Ist Vergl. + Provision'!AM13)))</f>
        <v/>
      </c>
      <c r="CJ16" s="1163" t="str">
        <f ca="1">IF($CD$10="Januar",'25a Soll-Ist Vergl. + Provision'!G13,IF($CD$10="Februar",'25a Soll-Ist Vergl. + Provision'!R13,IF($CD$10="März",'25a Soll-Ist Vergl. + Provision'!AC13,'25a Soll-Ist Vergl. + Provision'!AN13)))</f>
        <v/>
      </c>
      <c r="CK16" s="1163">
        <f>IF($CD$10="Januar",'25a Soll-Ist Vergl. + Provision'!H13,IF($CD$10="Februar",'25a Soll-Ist Vergl. + Provision'!S13,IF($CD$10="März",'25a Soll-Ist Vergl. + Provision'!AD13,'25a Soll-Ist Vergl. + Provision'!AO13)))</f>
        <v>0</v>
      </c>
      <c r="CL16" s="1163">
        <f ca="1">IF($CD$10="Januar",'25a Soll-Ist Vergl. + Provision'!I13,IF($CD$10="Februar",'25a Soll-Ist Vergl. + Provision'!T13,IF($CD$10="März",'25a Soll-Ist Vergl. + Provision'!AE13,'25a Soll-Ist Vergl. + Provision'!AP13)))</f>
        <v>282.58376048092418</v>
      </c>
      <c r="CM16" s="1163" t="str">
        <f ca="1">IF($CD$10="Januar",'25a Soll-Ist Vergl. + Provision'!J13,IF($CD$10="Februar",'25a Soll-Ist Vergl. + Provision'!U13,IF($CD$10="März",'25a Soll-Ist Vergl. + Provision'!AF13,'25a Soll-Ist Vergl. + Provision'!AQ13)))</f>
        <v/>
      </c>
      <c r="CN16" s="1163" t="str">
        <f ca="1">IF($CD$10="Januar",'25a Soll-Ist Vergl. + Provision'!K13,IF($CD$10="Februar",'25a Soll-Ist Vergl. + Provision'!V13,IF($CD$10="März",'25a Soll-Ist Vergl. + Provision'!AG13,'25a Soll-Ist Vergl. + Provision'!AR13)))</f>
        <v/>
      </c>
      <c r="CO16" s="1163" t="str">
        <f t="shared" si="65"/>
        <v>August</v>
      </c>
      <c r="CP16" s="1163">
        <f t="shared" si="66"/>
        <v>13</v>
      </c>
      <c r="CQ16" s="1163">
        <f t="shared" si="67"/>
        <v>0</v>
      </c>
      <c r="CR16" s="1163">
        <f t="shared" si="68"/>
        <v>0</v>
      </c>
      <c r="CS16" s="1163">
        <f>IF($CP$10="Mai",'25a Soll-Ist Vergl. + Provision'!AV13,IF($CP$10="Juni",'25a Soll-Ist Vergl. + Provision'!BG13,IF($CP$10="Juli",'25a Soll-Ist Vergl. + Provision'!BR13,'25a Soll-Ist Vergl. + Provision'!CC13)))</f>
        <v>0</v>
      </c>
      <c r="CT16" s="1163">
        <f ca="1">IF($CP$10="Mai",'25a Soll-Ist Vergl. + Provision'!AW13,IF($CP$10="Juni",'25a Soll-Ist Vergl. + Provision'!BH13,IF($CP$10="Juli",'25a Soll-Ist Vergl. + Provision'!BS13,'25a Soll-Ist Vergl. + Provision'!CD13)))</f>
        <v>5736.9641389741864</v>
      </c>
      <c r="CU16" s="1163" t="str">
        <f ca="1">IF($CP$10="Mai",'25a Soll-Ist Vergl. + Provision'!AX13,IF($CP$10="Juni",'25a Soll-Ist Vergl. + Provision'!BI13,IF($CP$10="Juli",'25a Soll-Ist Vergl. + Provision'!BT13,'25a Soll-Ist Vergl. + Provision'!CE13)))</f>
        <v/>
      </c>
      <c r="CV16" s="1163" t="str">
        <f ca="1">IF($CP$10="Mai",'25a Soll-Ist Vergl. + Provision'!AY13,IF($CP$10="Juni",'25a Soll-Ist Vergl. + Provision'!BJ13,IF($CP$10="Juli",'25a Soll-Ist Vergl. + Provision'!BU13,'25a Soll-Ist Vergl. + Provision'!CF13)))</f>
        <v/>
      </c>
      <c r="CW16" s="1163">
        <f>IF($CP$10="Mai",'25a Soll-Ist Vergl. + Provision'!AZ13,IF($CP$10="Juni",'25a Soll-Ist Vergl. + Provision'!BK13,IF($CP$10="Juli",'25a Soll-Ist Vergl. + Provision'!BV13,'25a Soll-Ist Vergl. + Provision'!CG13)))</f>
        <v>0</v>
      </c>
      <c r="CX16" s="1163">
        <f ca="1">IF($CP$10="Mai",'25a Soll-Ist Vergl. + Provision'!BA13,IF($CP$10="Juni",'25a Soll-Ist Vergl. + Provision'!BL13,IF($CP$10="Juli",'25a Soll-Ist Vergl. + Provision'!BW13,'25a Soll-Ist Vergl. + Provision'!CH13)))</f>
        <v>333.9626260229104</v>
      </c>
      <c r="CY16" s="1163" t="str">
        <f ca="1">IF($CP$10="Mai",'25a Soll-Ist Vergl. + Provision'!BB13,IF($CP$10="Juni",'25a Soll-Ist Vergl. + Provision'!BM13,IF($CP$10="Juli",'25a Soll-Ist Vergl. + Provision'!BX13,'25a Soll-Ist Vergl. + Provision'!CI13)))</f>
        <v/>
      </c>
      <c r="CZ16" s="1163" t="str">
        <f ca="1">IF($CP$10="Mai",'25a Soll-Ist Vergl. + Provision'!BC13,IF($CP$10="Juni",'25a Soll-Ist Vergl. + Provision'!BN13,IF($CP$10="Juli",'25a Soll-Ist Vergl. + Provision'!BY13,'25a Soll-Ist Vergl. + Provision'!CJ13)))</f>
        <v/>
      </c>
      <c r="DA16" s="1163" t="str">
        <f t="shared" si="69"/>
        <v>Dezember</v>
      </c>
      <c r="DB16" s="1163">
        <f t="shared" si="70"/>
        <v>13</v>
      </c>
      <c r="DC16" s="1163">
        <f t="shared" si="71"/>
        <v>0</v>
      </c>
      <c r="DD16" s="1163">
        <f t="shared" si="72"/>
        <v>0</v>
      </c>
      <c r="DE16" s="1163">
        <f>IF($DB$10="September",'25a Soll-Ist Vergl. + Provision'!CN13,IF($DB$10="Oktober",'25a Soll-Ist Vergl. + Provision'!CY13,IF($DB$10="November",'25a Soll-Ist Vergl. + Provision'!DJ13,'25a Soll-Ist Vergl. + Provision'!DU13)))</f>
        <v>0</v>
      </c>
      <c r="DF16" s="1163">
        <f ca="1">IF($DB$10="September",'25a Soll-Ist Vergl. + Provision'!CO13,IF($DB$10="Oktober",'25a Soll-Ist Vergl. + Provision'!CZ13,IF($DB$10="November",'25a Soll-Ist Vergl. + Provision'!DK13,'25a Soll-Ist Vergl. + Provision'!DV13)))</f>
        <v>5736.9641389741864</v>
      </c>
      <c r="DG16" s="1163" t="str">
        <f ca="1">IF($DB$10="September",'25a Soll-Ist Vergl. + Provision'!CP13,IF($DB$10="Oktober",'25a Soll-Ist Vergl. + Provision'!DA13,IF($DB$10="November",'25a Soll-Ist Vergl. + Provision'!DL13,'25a Soll-Ist Vergl. + Provision'!DW13)))</f>
        <v/>
      </c>
      <c r="DH16" s="1163" t="str">
        <f ca="1">IF($DB$10="September",'25a Soll-Ist Vergl. + Provision'!CQ13,IF($DB$10="Oktober",'25a Soll-Ist Vergl. + Provision'!DB13,IF($DB$10="November",'25a Soll-Ist Vergl. + Provision'!DM13,'25a Soll-Ist Vergl. + Provision'!DX13)))</f>
        <v/>
      </c>
      <c r="DI16" s="1163">
        <f>IF($DB$10="September",'25a Soll-Ist Vergl. + Provision'!CR13,IF($DB$10="Oktober",'25a Soll-Ist Vergl. + Provision'!DC13,IF($DB$10="November",'25a Soll-Ist Vergl. + Provision'!DN13,'25a Soll-Ist Vergl. + Provision'!DY13)))</f>
        <v>0</v>
      </c>
      <c r="DJ16" s="1163">
        <f ca="1">IF($DB$10="September",'25a Soll-Ist Vergl. + Provision'!CS13,IF($DB$10="Oktober",'25a Soll-Ist Vergl. + Provision'!DD13,IF($DB$10="November",'25a Soll-Ist Vergl. + Provision'!DO13,'25a Soll-Ist Vergl. + Provision'!DZ13)))</f>
        <v>333.9626260229104</v>
      </c>
      <c r="DK16" s="1163" t="str">
        <f ca="1">IF($DB$10="September",'25a Soll-Ist Vergl. + Provision'!CT13,IF($DB$10="Oktober",'25a Soll-Ist Vergl. + Provision'!DE13,IF($DB$10="November",'25a Soll-Ist Vergl. + Provision'!DP13,'25a Soll-Ist Vergl. + Provision'!EA13)))</f>
        <v/>
      </c>
      <c r="DL16" s="1163" t="str">
        <f ca="1">IF($DB$10="September",'25a Soll-Ist Vergl. + Provision'!CU13,IF($DB$10="Oktober",'25a Soll-Ist Vergl. + Provision'!DF13,IF($DB$10="November",'25a Soll-Ist Vergl. + Provision'!DQ13,'25a Soll-Ist Vergl. + Provision'!EB13)))</f>
        <v/>
      </c>
      <c r="DM16" s="1163" t="str">
        <f t="shared" si="73"/>
        <v>Januar</v>
      </c>
      <c r="DN16" s="1163">
        <f t="shared" si="74"/>
        <v>11</v>
      </c>
      <c r="DO16" s="1163">
        <f t="shared" si="75"/>
        <v>0</v>
      </c>
      <c r="DP16" s="1163">
        <f t="shared" si="76"/>
        <v>3</v>
      </c>
      <c r="DQ16" s="1163">
        <f t="shared" si="77"/>
        <v>0</v>
      </c>
      <c r="DR16" s="1163">
        <f t="shared" ca="1" si="78"/>
        <v>4854.3542714396954</v>
      </c>
      <c r="DS16" s="1163" t="str">
        <f t="shared" ca="1" si="79"/>
        <v/>
      </c>
      <c r="DT16" s="1163" t="str">
        <f t="shared" ca="1" si="80"/>
        <v/>
      </c>
      <c r="DU16" s="1163">
        <f t="shared" si="81"/>
        <v>0</v>
      </c>
      <c r="DV16" s="1163">
        <f t="shared" ca="1" si="82"/>
        <v>282.58376048092418</v>
      </c>
      <c r="DW16" s="1163" t="str">
        <f t="shared" ca="1" si="83"/>
        <v/>
      </c>
      <c r="DX16" s="1163" t="str">
        <f t="shared" ca="1" si="84"/>
        <v/>
      </c>
      <c r="DY16" s="267"/>
      <c r="DZ16" s="3239">
        <f>'4 Eingabe Friseure'!L13</f>
        <v>12</v>
      </c>
      <c r="EA16" s="3239"/>
      <c r="EB16" s="3239">
        <f>IF($DZ16=12,1,'4 Eingabe Friseure'!N13)</f>
        <v>1</v>
      </c>
      <c r="EC16" s="3239">
        <f>IF($DZ16=12,1,'4 Eingabe Friseure'!O13)</f>
        <v>1</v>
      </c>
      <c r="ED16" s="3239">
        <f>IF($DZ16=12,1,'4 Eingabe Friseure'!P13)</f>
        <v>1</v>
      </c>
      <c r="EE16" s="3239">
        <f>IF($DZ16=12,1,'4 Eingabe Friseure'!Q13)</f>
        <v>1</v>
      </c>
      <c r="EF16" s="3239">
        <f>IF($DZ16=12,1,'4 Eingabe Friseure'!R13)</f>
        <v>1</v>
      </c>
      <c r="EG16" s="3239">
        <f>IF($DZ16=12,1,'4 Eingabe Friseure'!S13)</f>
        <v>1</v>
      </c>
      <c r="EH16" s="3239">
        <f>IF($DZ16=12,1,'4 Eingabe Friseure'!T13)</f>
        <v>1</v>
      </c>
      <c r="EI16" s="3239">
        <f>IF($DZ16=12,1,'4 Eingabe Friseure'!U13)</f>
        <v>1</v>
      </c>
      <c r="EJ16" s="3239">
        <f>IF($DZ16=12,1,'4 Eingabe Friseure'!V13)</f>
        <v>1</v>
      </c>
      <c r="EK16" s="3239">
        <f>IF($DZ16=12,1,'4 Eingabe Friseure'!W13)</f>
        <v>1</v>
      </c>
      <c r="EL16" s="3239">
        <f>IF($DZ16=12,1,'4 Eingabe Friseure'!X13)</f>
        <v>1</v>
      </c>
      <c r="EM16" s="3239">
        <f>IF($DZ16=12,1,'4 Eingabe Friseure'!Y13)</f>
        <v>1</v>
      </c>
    </row>
    <row r="17" spans="1:143" ht="18" customHeight="1">
      <c r="A17" s="2740" t="str">
        <f ca="1">IF('22 Sollumsatz pro MA '!A15="","",'22 Sollumsatz pro MA '!A15)</f>
        <v>Christa</v>
      </c>
      <c r="B17" s="1945">
        <v>9</v>
      </c>
      <c r="C17" s="1981"/>
      <c r="D17" s="1957"/>
      <c r="E17" s="2097">
        <f ca="1">IF($A17="","",IF(EB17=0,"",'23 LF individuell'!$AG15*$B17))</f>
        <v>5004</v>
      </c>
      <c r="F17" s="2100">
        <f ca="1">IF($A17="","",IF(EB17=0,"",'23 LF individuell'!$AH15*$B17))</f>
        <v>4728.6721382682963</v>
      </c>
      <c r="G17" s="2101">
        <f ca="1">IF($A17="","",IF(EB17=0,"",'23 LF individuell'!$AI15*$B17))</f>
        <v>275.33014900189272</v>
      </c>
      <c r="H17" s="1945">
        <v>8</v>
      </c>
      <c r="I17" s="1981"/>
      <c r="J17" s="1957"/>
      <c r="K17" s="2006">
        <f ca="1">IF($A17="","",IF(EC17=0,"",'23 LF individuell'!$AG15*H17))</f>
        <v>4448</v>
      </c>
      <c r="L17" s="2007">
        <f ca="1">IF($A17="","",IF(EC17=0,"",'23 LF individuell'!$AH15*H17))</f>
        <v>4203.2641229051524</v>
      </c>
      <c r="M17" s="2008">
        <f ca="1">IF($A17="","",IF(EC17=0,"",'23 LF individuell'!$AI15*H17))</f>
        <v>244.73791022390466</v>
      </c>
      <c r="N17" s="1945">
        <v>7</v>
      </c>
      <c r="O17" s="1981"/>
      <c r="P17" s="1957">
        <v>2</v>
      </c>
      <c r="Q17" s="2097">
        <f ca="1">IF($A17="","",IF(ED17=0,"",'23 LF individuell'!$AG15*N17))</f>
        <v>3892</v>
      </c>
      <c r="R17" s="2098">
        <f ca="1">IF($A17="","",IF(ED17=0,"",'23 LF individuell'!$AH15*N17))</f>
        <v>3677.8561075420084</v>
      </c>
      <c r="S17" s="2099">
        <f ca="1">IF($A17="","",IF(ED17=0,"",'23 LF individuell'!$AI15*N17))</f>
        <v>214.14567144591658</v>
      </c>
      <c r="T17" s="1945">
        <v>7</v>
      </c>
      <c r="U17" s="1981">
        <v>2</v>
      </c>
      <c r="V17" s="1957"/>
      <c r="W17" s="2006">
        <f ca="1">IF($A17="","",IF(EE17=0,"",'23 LF individuell'!$AG15*T17))</f>
        <v>3892</v>
      </c>
      <c r="X17" s="2007">
        <f ca="1">IF($A17="","",IF(EE17=0,"",'23 LF individuell'!$AH15*T17))</f>
        <v>3677.8561075420084</v>
      </c>
      <c r="Y17" s="2008">
        <f ca="1">IF($A17="","",IF(EE17=0,"",'23 LF individuell'!$AI15*T17))</f>
        <v>214.14567144591658</v>
      </c>
      <c r="Z17" s="1945">
        <v>6</v>
      </c>
      <c r="AA17" s="1981">
        <v>3</v>
      </c>
      <c r="AB17" s="1957"/>
      <c r="AC17" s="2097">
        <f ca="1">IF($A17="","",IF(EF17=0,"",'23 LF individuell'!$AG15*Z17))</f>
        <v>3336</v>
      </c>
      <c r="AD17" s="2098">
        <f ca="1">IF($A17="","",IF(EF17=0,"",'23 LF individuell'!$AH15*Z17))</f>
        <v>3152.4480921788645</v>
      </c>
      <c r="AE17" s="2099">
        <f ca="1">IF($A17="","",IF(EF17=0,"",'23 LF individuell'!$AI15*Z17))</f>
        <v>183.55343266792849</v>
      </c>
      <c r="AF17" s="1945">
        <v>8</v>
      </c>
      <c r="AG17" s="1981"/>
      <c r="AH17" s="1957"/>
      <c r="AI17" s="2006">
        <f ca="1">IF($A17="","",IF(EG17=0,"",'23 LF individuell'!$AG15*AF17))</f>
        <v>4448</v>
      </c>
      <c r="AJ17" s="2007">
        <f ca="1">IF($A17="","",IF(EG17=0,"",'23 LF individuell'!$AH15*AF17))</f>
        <v>4203.2641229051524</v>
      </c>
      <c r="AK17" s="2008">
        <f ca="1">IF($A17="","",IF(EG17=0,"",'23 LF individuell'!$AI15*AF17))</f>
        <v>244.73791022390466</v>
      </c>
      <c r="AL17" s="1945">
        <v>9</v>
      </c>
      <c r="AM17" s="1981"/>
      <c r="AN17" s="1957"/>
      <c r="AO17" s="2097">
        <f ca="1">IF($A17="","",IF(EH17=0,"",'23 LF individuell'!$AG15*AL17))</f>
        <v>5004</v>
      </c>
      <c r="AP17" s="2098">
        <f ca="1">IF($A17="","",IF(EH17=0,"",'23 LF individuell'!$AH15*AL17))</f>
        <v>4728.6721382682963</v>
      </c>
      <c r="AQ17" s="2099">
        <f ca="1">IF($A17="","",IF(EH17=0,"",'23 LF individuell'!$AI15*AL17))</f>
        <v>275.33014900189272</v>
      </c>
      <c r="AR17" s="1945">
        <v>9</v>
      </c>
      <c r="AS17" s="1981"/>
      <c r="AT17" s="1957"/>
      <c r="AU17" s="2006">
        <f ca="1">IF($A17="","",IF(EI17=0,"",'23 LF individuell'!$AG15*AR17))</f>
        <v>5004</v>
      </c>
      <c r="AV17" s="2007">
        <f ca="1">IF($A17="","",IF(EI17=0,"",'23 LF individuell'!$AH15*AR17))</f>
        <v>4728.6721382682963</v>
      </c>
      <c r="AW17" s="2008">
        <f ca="1">IF($A17="","",IF(EI17=0,"",'23 LF individuell'!$AI15*AR17))</f>
        <v>275.33014900189272</v>
      </c>
      <c r="AX17" s="1945">
        <v>6</v>
      </c>
      <c r="AY17" s="1981">
        <v>2</v>
      </c>
      <c r="AZ17" s="1957"/>
      <c r="BA17" s="2097">
        <f ca="1">IF($A17="","",IF(EJ17=0,"",'23 LF individuell'!$AG15*AX17))</f>
        <v>3336</v>
      </c>
      <c r="BB17" s="2098">
        <f ca="1">IF($A17="","",IF(EJ17=0,"",'23 LF individuell'!$AH15*AX17))</f>
        <v>3152.4480921788645</v>
      </c>
      <c r="BC17" s="2099">
        <f ca="1">IF($A17="","",IF(EJ17=0,"",'23 LF individuell'!$AI15*AX17))</f>
        <v>183.55343266792849</v>
      </c>
      <c r="BD17" s="1945">
        <v>5</v>
      </c>
      <c r="BE17" s="1981">
        <v>3</v>
      </c>
      <c r="BF17" s="1957"/>
      <c r="BG17" s="2006">
        <f ca="1">IF($A17="","",IF(EK17=0,"",'23 LF individuell'!$AG15*BD17))</f>
        <v>2780</v>
      </c>
      <c r="BH17" s="2007">
        <f ca="1">IF($A17="","",IF(EK17=0,"",'23 LF individuell'!$AH15*BD17))</f>
        <v>2627.0400768157201</v>
      </c>
      <c r="BI17" s="2008">
        <f ca="1">IF($A17="","",IF(EK17=0,"",'23 LF individuell'!$AI15*BD17))</f>
        <v>152.9611938899404</v>
      </c>
      <c r="BJ17" s="1945">
        <v>6</v>
      </c>
      <c r="BK17" s="1981"/>
      <c r="BL17" s="1957">
        <v>3</v>
      </c>
      <c r="BM17" s="2097">
        <f ca="1">IF($A17="","",IF(EL17=0,"",'23 LF individuell'!$AG15*BJ17))</f>
        <v>3336</v>
      </c>
      <c r="BN17" s="2098">
        <f ca="1">IF($A17="","",IF(EL17=0,"",'23 LF individuell'!$AH15*BJ17))</f>
        <v>3152.4480921788645</v>
      </c>
      <c r="BO17" s="2099">
        <f ca="1">IF($A17="","",IF(EL17=0,"",'23 LF individuell'!$AI15*BJ17))</f>
        <v>183.55343266792849</v>
      </c>
      <c r="BP17" s="1945">
        <v>8</v>
      </c>
      <c r="BQ17" s="1981"/>
      <c r="BR17" s="1957"/>
      <c r="BS17" s="2006">
        <f ca="1">IF($A17="","",IF(EM17=0,"",'23 LF individuell'!$AG15*BP17))</f>
        <v>4448</v>
      </c>
      <c r="BT17" s="2007">
        <f ca="1">IF($A17="","",IF(EM17=0,"",'23 LF individuell'!$AH15*BP17))</f>
        <v>4203.2641229051524</v>
      </c>
      <c r="BU17" s="2008">
        <f ca="1">IF($A17="","",IF(EM17=0,"",'23 LF individuell'!$AI15*BP17))</f>
        <v>244.73791022390466</v>
      </c>
      <c r="BV17" s="2044">
        <f t="shared" ca="1" si="54"/>
        <v>88</v>
      </c>
      <c r="BW17" s="2044">
        <f t="shared" ca="1" si="55"/>
        <v>10</v>
      </c>
      <c r="BX17" s="2044">
        <f t="shared" ca="1" si="56"/>
        <v>5</v>
      </c>
      <c r="BY17" s="2049">
        <f t="shared" ca="1" si="57"/>
        <v>48928</v>
      </c>
      <c r="BZ17" s="2049">
        <f t="shared" ca="1" si="58"/>
        <v>46235.905351956673</v>
      </c>
      <c r="CA17" s="2049">
        <f t="shared" ca="1" si="59"/>
        <v>2692.1170124629512</v>
      </c>
      <c r="CB17" s="2116" t="str">
        <f t="shared" ca="1" si="60"/>
        <v>Christa</v>
      </c>
      <c r="CC17" s="1163" t="str">
        <f t="shared" si="61"/>
        <v>Januar</v>
      </c>
      <c r="CD17" s="1163">
        <f t="shared" si="62"/>
        <v>9</v>
      </c>
      <c r="CE17" s="1163">
        <f t="shared" si="63"/>
        <v>0</v>
      </c>
      <c r="CF17" s="1163">
        <f t="shared" si="64"/>
        <v>0</v>
      </c>
      <c r="CG17" s="1163">
        <f>IF($CD$10="Januar",'25a Soll-Ist Vergl. + Provision'!D14,IF($CD$10="Februar",'25a Soll-Ist Vergl. + Provision'!O14,IF($CD$10="März",'25a Soll-Ist Vergl. + Provision'!Z14,'25a Soll-Ist Vergl. + Provision'!AK14)))</f>
        <v>0</v>
      </c>
      <c r="CH17" s="1163">
        <f ca="1">IF($CD$10="Januar",'25a Soll-Ist Vergl. + Provision'!E14,IF($CD$10="Februar",'25a Soll-Ist Vergl. + Provision'!P14,IF($CD$10="März",'25a Soll-Ist Vergl. + Provision'!AA14,'25a Soll-Ist Vergl. + Provision'!AL14)))</f>
        <v>4728.6721382682963</v>
      </c>
      <c r="CI17" s="1163" t="str">
        <f ca="1">IF($CD$10="Januar",'25a Soll-Ist Vergl. + Provision'!F14,IF($CD$10="Februar",'25a Soll-Ist Vergl. + Provision'!Q14,IF($CD$10="März",'25a Soll-Ist Vergl. + Provision'!AB14,'25a Soll-Ist Vergl. + Provision'!AM14)))</f>
        <v/>
      </c>
      <c r="CJ17" s="1163" t="str">
        <f ca="1">IF($CD$10="Januar",'25a Soll-Ist Vergl. + Provision'!G14,IF($CD$10="Februar",'25a Soll-Ist Vergl. + Provision'!R14,IF($CD$10="März",'25a Soll-Ist Vergl. + Provision'!AC14,'25a Soll-Ist Vergl. + Provision'!AN14)))</f>
        <v/>
      </c>
      <c r="CK17" s="1163">
        <f>IF($CD$10="Januar",'25a Soll-Ist Vergl. + Provision'!H14,IF($CD$10="Februar",'25a Soll-Ist Vergl. + Provision'!S14,IF($CD$10="März",'25a Soll-Ist Vergl. + Provision'!AD14,'25a Soll-Ist Vergl. + Provision'!AO14)))</f>
        <v>0</v>
      </c>
      <c r="CL17" s="1163">
        <f ca="1">IF($CD$10="Januar",'25a Soll-Ist Vergl. + Provision'!I14,IF($CD$10="Februar",'25a Soll-Ist Vergl. + Provision'!T14,IF($CD$10="März",'25a Soll-Ist Vergl. + Provision'!AE14,'25a Soll-Ist Vergl. + Provision'!AP14)))</f>
        <v>275.33014900189272</v>
      </c>
      <c r="CM17" s="1163" t="str">
        <f ca="1">IF($CD$10="Januar",'25a Soll-Ist Vergl. + Provision'!J14,IF($CD$10="Februar",'25a Soll-Ist Vergl. + Provision'!U14,IF($CD$10="März",'25a Soll-Ist Vergl. + Provision'!AF14,'25a Soll-Ist Vergl. + Provision'!AQ14)))</f>
        <v/>
      </c>
      <c r="CN17" s="1163" t="str">
        <f ca="1">IF($CD$10="Januar",'25a Soll-Ist Vergl. + Provision'!K14,IF($CD$10="Februar",'25a Soll-Ist Vergl. + Provision'!V14,IF($CD$10="März",'25a Soll-Ist Vergl. + Provision'!AG14,'25a Soll-Ist Vergl. + Provision'!AR14)))</f>
        <v/>
      </c>
      <c r="CO17" s="1163" t="str">
        <f t="shared" si="65"/>
        <v>August</v>
      </c>
      <c r="CP17" s="1163">
        <f t="shared" si="66"/>
        <v>9</v>
      </c>
      <c r="CQ17" s="1163">
        <f t="shared" si="67"/>
        <v>0</v>
      </c>
      <c r="CR17" s="1163">
        <f t="shared" si="68"/>
        <v>0</v>
      </c>
      <c r="CS17" s="1163">
        <f>IF($CP$10="Mai",'25a Soll-Ist Vergl. + Provision'!AV14,IF($CP$10="Juni",'25a Soll-Ist Vergl. + Provision'!BG14,IF($CP$10="Juli",'25a Soll-Ist Vergl. + Provision'!BR14,'25a Soll-Ist Vergl. + Provision'!CC14)))</f>
        <v>0</v>
      </c>
      <c r="CT17" s="1163">
        <f ca="1">IF($CP$10="Mai",'25a Soll-Ist Vergl. + Provision'!AW14,IF($CP$10="Juni",'25a Soll-Ist Vergl. + Provision'!BH14,IF($CP$10="Juli",'25a Soll-Ist Vergl. + Provision'!BS14,'25a Soll-Ist Vergl. + Provision'!CD14)))</f>
        <v>4728.6721382682963</v>
      </c>
      <c r="CU17" s="1163" t="str">
        <f ca="1">IF($CP$10="Mai",'25a Soll-Ist Vergl. + Provision'!AX14,IF($CP$10="Juni",'25a Soll-Ist Vergl. + Provision'!BI14,IF($CP$10="Juli",'25a Soll-Ist Vergl. + Provision'!BT14,'25a Soll-Ist Vergl. + Provision'!CE14)))</f>
        <v/>
      </c>
      <c r="CV17" s="1163" t="str">
        <f ca="1">IF($CP$10="Mai",'25a Soll-Ist Vergl. + Provision'!AY14,IF($CP$10="Juni",'25a Soll-Ist Vergl. + Provision'!BJ14,IF($CP$10="Juli",'25a Soll-Ist Vergl. + Provision'!BU14,'25a Soll-Ist Vergl. + Provision'!CF14)))</f>
        <v/>
      </c>
      <c r="CW17" s="1163">
        <f>IF($CP$10="Mai",'25a Soll-Ist Vergl. + Provision'!AZ14,IF($CP$10="Juni",'25a Soll-Ist Vergl. + Provision'!BK14,IF($CP$10="Juli",'25a Soll-Ist Vergl. + Provision'!BV14,'25a Soll-Ist Vergl. + Provision'!CG14)))</f>
        <v>0</v>
      </c>
      <c r="CX17" s="1163">
        <f ca="1">IF($CP$10="Mai",'25a Soll-Ist Vergl. + Provision'!BA14,IF($CP$10="Juni",'25a Soll-Ist Vergl. + Provision'!BL14,IF($CP$10="Juli",'25a Soll-Ist Vergl. + Provision'!BW14,'25a Soll-Ist Vergl. + Provision'!CH14)))</f>
        <v>275.33014900189272</v>
      </c>
      <c r="CY17" s="1163" t="str">
        <f ca="1">IF($CP$10="Mai",'25a Soll-Ist Vergl. + Provision'!BB14,IF($CP$10="Juni",'25a Soll-Ist Vergl. + Provision'!BM14,IF($CP$10="Juli",'25a Soll-Ist Vergl. + Provision'!BX14,'25a Soll-Ist Vergl. + Provision'!CI14)))</f>
        <v/>
      </c>
      <c r="CZ17" s="1163" t="str">
        <f ca="1">IF($CP$10="Mai",'25a Soll-Ist Vergl. + Provision'!BC14,IF($CP$10="Juni",'25a Soll-Ist Vergl. + Provision'!BN14,IF($CP$10="Juli",'25a Soll-Ist Vergl. + Provision'!BY14,'25a Soll-Ist Vergl. + Provision'!CJ14)))</f>
        <v/>
      </c>
      <c r="DA17" s="1163" t="str">
        <f t="shared" si="69"/>
        <v>Dezember</v>
      </c>
      <c r="DB17" s="1163">
        <f t="shared" si="70"/>
        <v>8</v>
      </c>
      <c r="DC17" s="1163">
        <f t="shared" si="71"/>
        <v>0</v>
      </c>
      <c r="DD17" s="1163">
        <f t="shared" si="72"/>
        <v>0</v>
      </c>
      <c r="DE17" s="1163">
        <f>IF($DB$10="September",'25a Soll-Ist Vergl. + Provision'!CN14,IF($DB$10="Oktober",'25a Soll-Ist Vergl. + Provision'!CY14,IF($DB$10="November",'25a Soll-Ist Vergl. + Provision'!DJ14,'25a Soll-Ist Vergl. + Provision'!DU14)))</f>
        <v>0</v>
      </c>
      <c r="DF17" s="1163">
        <f ca="1">IF($DB$10="September",'25a Soll-Ist Vergl. + Provision'!CO14,IF($DB$10="Oktober",'25a Soll-Ist Vergl. + Provision'!CZ14,IF($DB$10="November",'25a Soll-Ist Vergl. + Provision'!DK14,'25a Soll-Ist Vergl. + Provision'!DV14)))</f>
        <v>4203.2641229051524</v>
      </c>
      <c r="DG17" s="1163" t="str">
        <f ca="1">IF($DB$10="September",'25a Soll-Ist Vergl. + Provision'!CP14,IF($DB$10="Oktober",'25a Soll-Ist Vergl. + Provision'!DA14,IF($DB$10="November",'25a Soll-Ist Vergl. + Provision'!DL14,'25a Soll-Ist Vergl. + Provision'!DW14)))</f>
        <v/>
      </c>
      <c r="DH17" s="1163" t="str">
        <f ca="1">IF($DB$10="September",'25a Soll-Ist Vergl. + Provision'!CQ14,IF($DB$10="Oktober",'25a Soll-Ist Vergl. + Provision'!DB14,IF($DB$10="November",'25a Soll-Ist Vergl. + Provision'!DM14,'25a Soll-Ist Vergl. + Provision'!DX14)))</f>
        <v/>
      </c>
      <c r="DI17" s="1163">
        <f>IF($DB$10="September",'25a Soll-Ist Vergl. + Provision'!CR14,IF($DB$10="Oktober",'25a Soll-Ist Vergl. + Provision'!DC14,IF($DB$10="November",'25a Soll-Ist Vergl. + Provision'!DN14,'25a Soll-Ist Vergl. + Provision'!DY14)))</f>
        <v>0</v>
      </c>
      <c r="DJ17" s="1163">
        <f ca="1">IF($DB$10="September",'25a Soll-Ist Vergl. + Provision'!CS14,IF($DB$10="Oktober",'25a Soll-Ist Vergl. + Provision'!DD14,IF($DB$10="November",'25a Soll-Ist Vergl. + Provision'!DO14,'25a Soll-Ist Vergl. + Provision'!DZ14)))</f>
        <v>244.73791022390466</v>
      </c>
      <c r="DK17" s="1163" t="str">
        <f ca="1">IF($DB$10="September",'25a Soll-Ist Vergl. + Provision'!CT14,IF($DB$10="Oktober",'25a Soll-Ist Vergl. + Provision'!DE14,IF($DB$10="November",'25a Soll-Ist Vergl. + Provision'!DP14,'25a Soll-Ist Vergl. + Provision'!EA14)))</f>
        <v/>
      </c>
      <c r="DL17" s="1163" t="str">
        <f ca="1">IF($DB$10="September",'25a Soll-Ist Vergl. + Provision'!CU14,IF($DB$10="Oktober",'25a Soll-Ist Vergl. + Provision'!DF14,IF($DB$10="November",'25a Soll-Ist Vergl. + Provision'!DQ14,'25a Soll-Ist Vergl. + Provision'!EB14)))</f>
        <v/>
      </c>
      <c r="DM17" s="1163" t="str">
        <f t="shared" si="73"/>
        <v>Januar</v>
      </c>
      <c r="DN17" s="1163">
        <f t="shared" si="74"/>
        <v>9</v>
      </c>
      <c r="DO17" s="1163">
        <f t="shared" si="75"/>
        <v>0</v>
      </c>
      <c r="DP17" s="1163">
        <f t="shared" si="76"/>
        <v>0</v>
      </c>
      <c r="DQ17" s="1163">
        <f t="shared" si="77"/>
        <v>0</v>
      </c>
      <c r="DR17" s="1163">
        <f t="shared" ca="1" si="78"/>
        <v>4728.6721382682963</v>
      </c>
      <c r="DS17" s="1163" t="str">
        <f t="shared" ca="1" si="79"/>
        <v/>
      </c>
      <c r="DT17" s="1163" t="str">
        <f t="shared" ca="1" si="80"/>
        <v/>
      </c>
      <c r="DU17" s="1163">
        <f t="shared" si="81"/>
        <v>0</v>
      </c>
      <c r="DV17" s="1163">
        <f t="shared" ca="1" si="82"/>
        <v>275.33014900189272</v>
      </c>
      <c r="DW17" s="1163" t="str">
        <f t="shared" ca="1" si="83"/>
        <v/>
      </c>
      <c r="DX17" s="1163" t="str">
        <f t="shared" ca="1" si="84"/>
        <v/>
      </c>
      <c r="DY17" s="267"/>
      <c r="DZ17" s="3239">
        <f>'4 Eingabe Friseure'!L14</f>
        <v>12</v>
      </c>
      <c r="EA17" s="3239"/>
      <c r="EB17" s="3239">
        <f>IF($DZ17=12,1,'4 Eingabe Friseure'!N14)</f>
        <v>1</v>
      </c>
      <c r="EC17" s="3239">
        <f>IF($DZ17=12,1,'4 Eingabe Friseure'!O14)</f>
        <v>1</v>
      </c>
      <c r="ED17" s="3239">
        <f>IF($DZ17=12,1,'4 Eingabe Friseure'!P14)</f>
        <v>1</v>
      </c>
      <c r="EE17" s="3239">
        <f>IF($DZ17=12,1,'4 Eingabe Friseure'!Q14)</f>
        <v>1</v>
      </c>
      <c r="EF17" s="3239">
        <f>IF($DZ17=12,1,'4 Eingabe Friseure'!R14)</f>
        <v>1</v>
      </c>
      <c r="EG17" s="3239">
        <f>IF($DZ17=12,1,'4 Eingabe Friseure'!S14)</f>
        <v>1</v>
      </c>
      <c r="EH17" s="3239">
        <f>IF($DZ17=12,1,'4 Eingabe Friseure'!T14)</f>
        <v>1</v>
      </c>
      <c r="EI17" s="3239">
        <f>IF($DZ17=12,1,'4 Eingabe Friseure'!U14)</f>
        <v>1</v>
      </c>
      <c r="EJ17" s="3239">
        <f>IF($DZ17=12,1,'4 Eingabe Friseure'!V14)</f>
        <v>1</v>
      </c>
      <c r="EK17" s="3239">
        <f>IF($DZ17=12,1,'4 Eingabe Friseure'!W14)</f>
        <v>1</v>
      </c>
      <c r="EL17" s="3239">
        <f>IF($DZ17=12,1,'4 Eingabe Friseure'!X14)</f>
        <v>1</v>
      </c>
      <c r="EM17" s="3239">
        <f>IF($DZ17=12,1,'4 Eingabe Friseure'!Y14)</f>
        <v>1</v>
      </c>
    </row>
    <row r="18" spans="1:143" ht="18" customHeight="1">
      <c r="A18" s="2740" t="str">
        <f ca="1">IF('22 Sollumsatz pro MA '!A16="","",'22 Sollumsatz pro MA '!A16)</f>
        <v>Horst</v>
      </c>
      <c r="B18" s="1945">
        <v>13</v>
      </c>
      <c r="C18" s="1981"/>
      <c r="D18" s="1957"/>
      <c r="E18" s="2097">
        <f ca="1">IF($A18="","",IF(EB18=0,"",'23 LF individuell'!$AG16*$B18))</f>
        <v>6255.8600000000006</v>
      </c>
      <c r="F18" s="2100">
        <f ca="1">IF($A18="","",IF(EB18=0,"",'23 LF individuell'!$AH16*$B18))</f>
        <v>5908.9502159455751</v>
      </c>
      <c r="G18" s="2101">
        <f ca="1">IF($A18="","",IF(EB18=0,"",'23 LF individuell'!$AI16*$B18))</f>
        <v>344.20451364702603</v>
      </c>
      <c r="H18" s="1945">
        <v>10</v>
      </c>
      <c r="I18" s="1981"/>
      <c r="J18" s="1957">
        <v>3</v>
      </c>
      <c r="K18" s="2006">
        <f ca="1">IF($A18="","",IF(EC18=0,"",'23 LF individuell'!$AG16*H18))</f>
        <v>4812.2000000000007</v>
      </c>
      <c r="L18" s="2007">
        <f ca="1">IF($A18="","",IF(EC18=0,"",'23 LF individuell'!$AH16*H18))</f>
        <v>4545.3463199581347</v>
      </c>
      <c r="M18" s="2008">
        <f ca="1">IF($A18="","",IF(EC18=0,"",'23 LF individuell'!$AI16*H18))</f>
        <v>264.77270280540466</v>
      </c>
      <c r="N18" s="1945">
        <v>8</v>
      </c>
      <c r="O18" s="1981">
        <v>5</v>
      </c>
      <c r="P18" s="1957"/>
      <c r="Q18" s="2097">
        <f ca="1">IF($A18="","",IF(ED18=0,"",'23 LF individuell'!$AG16*N18))</f>
        <v>3849.76</v>
      </c>
      <c r="R18" s="2098">
        <f ca="1">IF($A18="","",IF(ED18=0,"",'23 LF individuell'!$AH16*N18))</f>
        <v>3636.2770559665078</v>
      </c>
      <c r="S18" s="2099">
        <f ca="1">IF($A18="","",IF(ED18=0,"",'23 LF individuell'!$AI16*N18))</f>
        <v>211.81816224432373</v>
      </c>
      <c r="T18" s="1945">
        <v>13</v>
      </c>
      <c r="U18" s="1981"/>
      <c r="V18" s="1957"/>
      <c r="W18" s="2006">
        <f ca="1">IF($A18="","",IF(EE18=0,"",'23 LF individuell'!$AG16*T18))</f>
        <v>6255.8600000000006</v>
      </c>
      <c r="X18" s="2007">
        <f ca="1">IF($A18="","",IF(EE18=0,"",'23 LF individuell'!$AH16*T18))</f>
        <v>5908.9502159455751</v>
      </c>
      <c r="Y18" s="2008">
        <f ca="1">IF($A18="","",IF(EE18=0,"",'23 LF individuell'!$AI16*T18))</f>
        <v>344.20451364702603</v>
      </c>
      <c r="Z18" s="1945">
        <v>8</v>
      </c>
      <c r="AA18" s="1981"/>
      <c r="AB18" s="1957">
        <v>2</v>
      </c>
      <c r="AC18" s="2097">
        <f ca="1">IF($A18="","",IF(EF18=0,"",'23 LF individuell'!$AG16*Z18))</f>
        <v>3849.76</v>
      </c>
      <c r="AD18" s="2098">
        <f ca="1">IF($A18="","",IF(EF18=0,"",'23 LF individuell'!$AH16*Z18))</f>
        <v>3636.2770559665078</v>
      </c>
      <c r="AE18" s="2099">
        <f ca="1">IF($A18="","",IF(EF18=0,"",'23 LF individuell'!$AI16*Z18))</f>
        <v>211.81816224432373</v>
      </c>
      <c r="AF18" s="1945">
        <v>13</v>
      </c>
      <c r="AG18" s="1981"/>
      <c r="AH18" s="1957"/>
      <c r="AI18" s="2006">
        <f ca="1">IF($A18="","",IF(EG18=0,"",'23 LF individuell'!$AG16*AF18))</f>
        <v>6255.8600000000006</v>
      </c>
      <c r="AJ18" s="2007">
        <f ca="1">IF($A18="","",IF(EG18=0,"",'23 LF individuell'!$AH16*AF18))</f>
        <v>5908.9502159455751</v>
      </c>
      <c r="AK18" s="2008">
        <f ca="1">IF($A18="","",IF(EG18=0,"",'23 LF individuell'!$AI16*AF18))</f>
        <v>344.20451364702603</v>
      </c>
      <c r="AL18" s="1945">
        <v>13</v>
      </c>
      <c r="AM18" s="1981"/>
      <c r="AN18" s="1957"/>
      <c r="AO18" s="2097">
        <f ca="1">IF($A18="","",IF(EH18=0,"",'23 LF individuell'!$AG16*AL18))</f>
        <v>6255.8600000000006</v>
      </c>
      <c r="AP18" s="2098">
        <f ca="1">IF($A18="","",IF(EH18=0,"",'23 LF individuell'!$AH16*AL18))</f>
        <v>5908.9502159455751</v>
      </c>
      <c r="AQ18" s="2099">
        <f ca="1">IF($A18="","",IF(EH18=0,"",'23 LF individuell'!$AI16*AL18))</f>
        <v>344.20451364702603</v>
      </c>
      <c r="AR18" s="1945">
        <v>7</v>
      </c>
      <c r="AS18" s="1981"/>
      <c r="AT18" s="1957">
        <v>7</v>
      </c>
      <c r="AU18" s="2006">
        <f ca="1">IF($A18="","",IF(EI18=0,"",'23 LF individuell'!$AG16*AR18))</f>
        <v>3368.54</v>
      </c>
      <c r="AV18" s="2007">
        <f ca="1">IF($A18="","",IF(EI18=0,"",'23 LF individuell'!$AH16*AR18))</f>
        <v>3181.7424239706943</v>
      </c>
      <c r="AW18" s="2008">
        <f ca="1">IF($A18="","",IF(EI18=0,"",'23 LF individuell'!$AI16*AR18))</f>
        <v>185.34089196378326</v>
      </c>
      <c r="AX18" s="1945">
        <v>11</v>
      </c>
      <c r="AY18" s="1981">
        <v>4</v>
      </c>
      <c r="AZ18" s="1957"/>
      <c r="BA18" s="2097">
        <f ca="1">IF($A18="","",IF(EJ18=0,"",'23 LF individuell'!$AG16*AX18))</f>
        <v>5293.42</v>
      </c>
      <c r="BB18" s="2098">
        <f ca="1">IF($A18="","",IF(EJ18=0,"",'23 LF individuell'!$AH16*AX18))</f>
        <v>4999.8809519539482</v>
      </c>
      <c r="BC18" s="2099">
        <f ca="1">IF($A18="","",IF(EJ18=0,"",'23 LF individuell'!$AI16*AX18))</f>
        <v>291.24997308594516</v>
      </c>
      <c r="BD18" s="1945">
        <v>7</v>
      </c>
      <c r="BE18" s="1981">
        <v>5</v>
      </c>
      <c r="BF18" s="1957"/>
      <c r="BG18" s="2006">
        <f ca="1">IF($A18="","",IF(EK18=0,"",'23 LF individuell'!$AG16*BD18))</f>
        <v>3368.54</v>
      </c>
      <c r="BH18" s="2007">
        <f ca="1">IF($A18="","",IF(EK18=0,"",'23 LF individuell'!$AH16*BD18))</f>
        <v>3181.7424239706943</v>
      </c>
      <c r="BI18" s="2008">
        <f ca="1">IF($A18="","",IF(EK18=0,"",'23 LF individuell'!$AI16*BD18))</f>
        <v>185.34089196378326</v>
      </c>
      <c r="BJ18" s="1945">
        <v>13</v>
      </c>
      <c r="BK18" s="1981"/>
      <c r="BL18" s="1957"/>
      <c r="BM18" s="2097">
        <f ca="1">IF($A18="","",IF(EL18=0,"",'23 LF individuell'!$AG16*BJ18))</f>
        <v>6255.8600000000006</v>
      </c>
      <c r="BN18" s="2098">
        <f ca="1">IF($A18="","",IF(EL18=0,"",'23 LF individuell'!$AH16*BJ18))</f>
        <v>5908.9502159455751</v>
      </c>
      <c r="BO18" s="2099">
        <f ca="1">IF($A18="","",IF(EL18=0,"",'23 LF individuell'!$AI16*BJ18))</f>
        <v>344.20451364702603</v>
      </c>
      <c r="BP18" s="1945">
        <v>13</v>
      </c>
      <c r="BQ18" s="1981"/>
      <c r="BR18" s="1957"/>
      <c r="BS18" s="2006">
        <f ca="1">IF($A18="","",IF(EM18=0,"",'23 LF individuell'!$AG16*BP18))</f>
        <v>6255.8600000000006</v>
      </c>
      <c r="BT18" s="2007">
        <f ca="1">IF($A18="","",IF(EM18=0,"",'23 LF individuell'!$AH16*BP18))</f>
        <v>5908.9502159455751</v>
      </c>
      <c r="BU18" s="2008">
        <f ca="1">IF($A18="","",IF(EM18=0,"",'23 LF individuell'!$AI16*BP18))</f>
        <v>344.20451364702603</v>
      </c>
      <c r="BV18" s="2044">
        <f t="shared" ca="1" si="54"/>
        <v>129</v>
      </c>
      <c r="BW18" s="2044">
        <f t="shared" ca="1" si="55"/>
        <v>14</v>
      </c>
      <c r="BX18" s="2044">
        <f t="shared" ca="1" si="56"/>
        <v>12</v>
      </c>
      <c r="BY18" s="2049">
        <f t="shared" ca="1" si="57"/>
        <v>62077.380000000005</v>
      </c>
      <c r="BZ18" s="2049">
        <f t="shared" ca="1" si="58"/>
        <v>58634.967527459936</v>
      </c>
      <c r="CA18" s="2049">
        <f t="shared" ca="1" si="59"/>
        <v>3415.56786618972</v>
      </c>
      <c r="CB18" s="2116" t="str">
        <f t="shared" ca="1" si="60"/>
        <v>Horst</v>
      </c>
      <c r="CC18" s="1163" t="str">
        <f t="shared" si="61"/>
        <v>Januar</v>
      </c>
      <c r="CD18" s="1163">
        <f t="shared" si="62"/>
        <v>13</v>
      </c>
      <c r="CE18" s="1163">
        <f t="shared" si="63"/>
        <v>0</v>
      </c>
      <c r="CF18" s="1163">
        <f t="shared" si="64"/>
        <v>0</v>
      </c>
      <c r="CG18" s="1163">
        <f>IF($CD$10="Januar",'25a Soll-Ist Vergl. + Provision'!D15,IF($CD$10="Februar",'25a Soll-Ist Vergl. + Provision'!O15,IF($CD$10="März",'25a Soll-Ist Vergl. + Provision'!Z15,'25a Soll-Ist Vergl. + Provision'!AK15)))</f>
        <v>0</v>
      </c>
      <c r="CH18" s="1163">
        <f ca="1">IF($CD$10="Januar",'25a Soll-Ist Vergl. + Provision'!E15,IF($CD$10="Februar",'25a Soll-Ist Vergl. + Provision'!P15,IF($CD$10="März",'25a Soll-Ist Vergl. + Provision'!AA15,'25a Soll-Ist Vergl. + Provision'!AL15)))</f>
        <v>5908.9502159455751</v>
      </c>
      <c r="CI18" s="1163" t="str">
        <f ca="1">IF($CD$10="Januar",'25a Soll-Ist Vergl. + Provision'!F15,IF($CD$10="Februar",'25a Soll-Ist Vergl. + Provision'!Q15,IF($CD$10="März",'25a Soll-Ist Vergl. + Provision'!AB15,'25a Soll-Ist Vergl. + Provision'!AM15)))</f>
        <v/>
      </c>
      <c r="CJ18" s="1163" t="str">
        <f ca="1">IF($CD$10="Januar",'25a Soll-Ist Vergl. + Provision'!G15,IF($CD$10="Februar",'25a Soll-Ist Vergl. + Provision'!R15,IF($CD$10="März",'25a Soll-Ist Vergl. + Provision'!AC15,'25a Soll-Ist Vergl. + Provision'!AN15)))</f>
        <v/>
      </c>
      <c r="CK18" s="1163">
        <f>IF($CD$10="Januar",'25a Soll-Ist Vergl. + Provision'!H15,IF($CD$10="Februar",'25a Soll-Ist Vergl. + Provision'!S15,IF($CD$10="März",'25a Soll-Ist Vergl. + Provision'!AD15,'25a Soll-Ist Vergl. + Provision'!AO15)))</f>
        <v>0</v>
      </c>
      <c r="CL18" s="1163">
        <f ca="1">IF($CD$10="Januar",'25a Soll-Ist Vergl. + Provision'!I15,IF($CD$10="Februar",'25a Soll-Ist Vergl. + Provision'!T15,IF($CD$10="März",'25a Soll-Ist Vergl. + Provision'!AE15,'25a Soll-Ist Vergl. + Provision'!AP15)))</f>
        <v>344.20451364702603</v>
      </c>
      <c r="CM18" s="1163" t="str">
        <f ca="1">IF($CD$10="Januar",'25a Soll-Ist Vergl. + Provision'!J15,IF($CD$10="Februar",'25a Soll-Ist Vergl. + Provision'!U15,IF($CD$10="März",'25a Soll-Ist Vergl. + Provision'!AF15,'25a Soll-Ist Vergl. + Provision'!AQ15)))</f>
        <v/>
      </c>
      <c r="CN18" s="1163" t="str">
        <f ca="1">IF($CD$10="Januar",'25a Soll-Ist Vergl. + Provision'!K15,IF($CD$10="Februar",'25a Soll-Ist Vergl. + Provision'!V15,IF($CD$10="März",'25a Soll-Ist Vergl. + Provision'!AG15,'25a Soll-Ist Vergl. + Provision'!AR15)))</f>
        <v/>
      </c>
      <c r="CO18" s="1163" t="str">
        <f t="shared" si="65"/>
        <v>August</v>
      </c>
      <c r="CP18" s="1163">
        <f t="shared" si="66"/>
        <v>7</v>
      </c>
      <c r="CQ18" s="1163">
        <f t="shared" si="67"/>
        <v>0</v>
      </c>
      <c r="CR18" s="1163">
        <f t="shared" si="68"/>
        <v>7</v>
      </c>
      <c r="CS18" s="1163">
        <f>IF($CP$10="Mai",'25a Soll-Ist Vergl. + Provision'!AV15,IF($CP$10="Juni",'25a Soll-Ist Vergl. + Provision'!BG15,IF($CP$10="Juli",'25a Soll-Ist Vergl. + Provision'!BR15,'25a Soll-Ist Vergl. + Provision'!CC15)))</f>
        <v>0</v>
      </c>
      <c r="CT18" s="1163">
        <f ca="1">IF($CP$10="Mai",'25a Soll-Ist Vergl. + Provision'!AW15,IF($CP$10="Juni",'25a Soll-Ist Vergl. + Provision'!BH15,IF($CP$10="Juli",'25a Soll-Ist Vergl. + Provision'!BS15,'25a Soll-Ist Vergl. + Provision'!CD15)))</f>
        <v>3181.7424239706943</v>
      </c>
      <c r="CU18" s="1163" t="str">
        <f ca="1">IF($CP$10="Mai",'25a Soll-Ist Vergl. + Provision'!AX15,IF($CP$10="Juni",'25a Soll-Ist Vergl. + Provision'!BI15,IF($CP$10="Juli",'25a Soll-Ist Vergl. + Provision'!BT15,'25a Soll-Ist Vergl. + Provision'!CE15)))</f>
        <v/>
      </c>
      <c r="CV18" s="1163" t="str">
        <f ca="1">IF($CP$10="Mai",'25a Soll-Ist Vergl. + Provision'!AY15,IF($CP$10="Juni",'25a Soll-Ist Vergl. + Provision'!BJ15,IF($CP$10="Juli",'25a Soll-Ist Vergl. + Provision'!BU15,'25a Soll-Ist Vergl. + Provision'!CF15)))</f>
        <v/>
      </c>
      <c r="CW18" s="1163">
        <f>IF($CP$10="Mai",'25a Soll-Ist Vergl. + Provision'!AZ15,IF($CP$10="Juni",'25a Soll-Ist Vergl. + Provision'!BK15,IF($CP$10="Juli",'25a Soll-Ist Vergl. + Provision'!BV15,'25a Soll-Ist Vergl. + Provision'!CG15)))</f>
        <v>0</v>
      </c>
      <c r="CX18" s="1163">
        <f ca="1">IF($CP$10="Mai",'25a Soll-Ist Vergl. + Provision'!BA15,IF($CP$10="Juni",'25a Soll-Ist Vergl. + Provision'!BL15,IF($CP$10="Juli",'25a Soll-Ist Vergl. + Provision'!BW15,'25a Soll-Ist Vergl. + Provision'!CH15)))</f>
        <v>185.34089196378326</v>
      </c>
      <c r="CY18" s="1163" t="str">
        <f ca="1">IF($CP$10="Mai",'25a Soll-Ist Vergl. + Provision'!BB15,IF($CP$10="Juni",'25a Soll-Ist Vergl. + Provision'!BM15,IF($CP$10="Juli",'25a Soll-Ist Vergl. + Provision'!BX15,'25a Soll-Ist Vergl. + Provision'!CI15)))</f>
        <v/>
      </c>
      <c r="CZ18" s="1163" t="str">
        <f ca="1">IF($CP$10="Mai",'25a Soll-Ist Vergl. + Provision'!BC15,IF($CP$10="Juni",'25a Soll-Ist Vergl. + Provision'!BN15,IF($CP$10="Juli",'25a Soll-Ist Vergl. + Provision'!BY15,'25a Soll-Ist Vergl. + Provision'!CJ15)))</f>
        <v/>
      </c>
      <c r="DA18" s="1163" t="str">
        <f t="shared" si="69"/>
        <v>Dezember</v>
      </c>
      <c r="DB18" s="1163">
        <f t="shared" si="70"/>
        <v>13</v>
      </c>
      <c r="DC18" s="1163">
        <f t="shared" si="71"/>
        <v>0</v>
      </c>
      <c r="DD18" s="1163">
        <f t="shared" si="72"/>
        <v>0</v>
      </c>
      <c r="DE18" s="1163">
        <f>IF($DB$10="September",'25a Soll-Ist Vergl. + Provision'!CN15,IF($DB$10="Oktober",'25a Soll-Ist Vergl. + Provision'!CY15,IF($DB$10="November",'25a Soll-Ist Vergl. + Provision'!DJ15,'25a Soll-Ist Vergl. + Provision'!DU15)))</f>
        <v>0</v>
      </c>
      <c r="DF18" s="1163">
        <f ca="1">IF($DB$10="September",'25a Soll-Ist Vergl. + Provision'!CO15,IF($DB$10="Oktober",'25a Soll-Ist Vergl. + Provision'!CZ15,IF($DB$10="November",'25a Soll-Ist Vergl. + Provision'!DK15,'25a Soll-Ist Vergl. + Provision'!DV15)))</f>
        <v>5908.9502159455751</v>
      </c>
      <c r="DG18" s="1163" t="str">
        <f ca="1">IF($DB$10="September",'25a Soll-Ist Vergl. + Provision'!CP15,IF($DB$10="Oktober",'25a Soll-Ist Vergl. + Provision'!DA15,IF($DB$10="November",'25a Soll-Ist Vergl. + Provision'!DL15,'25a Soll-Ist Vergl. + Provision'!DW15)))</f>
        <v/>
      </c>
      <c r="DH18" s="1163" t="str">
        <f ca="1">IF($DB$10="September",'25a Soll-Ist Vergl. + Provision'!CQ15,IF($DB$10="Oktober",'25a Soll-Ist Vergl. + Provision'!DB15,IF($DB$10="November",'25a Soll-Ist Vergl. + Provision'!DM15,'25a Soll-Ist Vergl. + Provision'!DX15)))</f>
        <v/>
      </c>
      <c r="DI18" s="1163">
        <f>IF($DB$10="September",'25a Soll-Ist Vergl. + Provision'!CR15,IF($DB$10="Oktober",'25a Soll-Ist Vergl. + Provision'!DC15,IF($DB$10="November",'25a Soll-Ist Vergl. + Provision'!DN15,'25a Soll-Ist Vergl. + Provision'!DY15)))</f>
        <v>0</v>
      </c>
      <c r="DJ18" s="1163">
        <f ca="1">IF($DB$10="September",'25a Soll-Ist Vergl. + Provision'!CS15,IF($DB$10="Oktober",'25a Soll-Ist Vergl. + Provision'!DD15,IF($DB$10="November",'25a Soll-Ist Vergl. + Provision'!DO15,'25a Soll-Ist Vergl. + Provision'!DZ15)))</f>
        <v>344.20451364702603</v>
      </c>
      <c r="DK18" s="1163" t="str">
        <f ca="1">IF($DB$10="September",'25a Soll-Ist Vergl. + Provision'!CT15,IF($DB$10="Oktober",'25a Soll-Ist Vergl. + Provision'!DE15,IF($DB$10="November",'25a Soll-Ist Vergl. + Provision'!DP15,'25a Soll-Ist Vergl. + Provision'!EA15)))</f>
        <v/>
      </c>
      <c r="DL18" s="1163" t="str">
        <f ca="1">IF($DB$10="September",'25a Soll-Ist Vergl. + Provision'!CU15,IF($DB$10="Oktober",'25a Soll-Ist Vergl. + Provision'!DF15,IF($DB$10="November",'25a Soll-Ist Vergl. + Provision'!DQ15,'25a Soll-Ist Vergl. + Provision'!EB15)))</f>
        <v/>
      </c>
      <c r="DM18" s="1163" t="str">
        <f t="shared" si="73"/>
        <v>Januar</v>
      </c>
      <c r="DN18" s="1163">
        <f t="shared" si="74"/>
        <v>13</v>
      </c>
      <c r="DO18" s="1163">
        <f t="shared" si="75"/>
        <v>0</v>
      </c>
      <c r="DP18" s="1163">
        <f t="shared" si="76"/>
        <v>0</v>
      </c>
      <c r="DQ18" s="1163">
        <f t="shared" si="77"/>
        <v>0</v>
      </c>
      <c r="DR18" s="1163">
        <f t="shared" ca="1" si="78"/>
        <v>5908.9502159455751</v>
      </c>
      <c r="DS18" s="1163" t="str">
        <f t="shared" ca="1" si="79"/>
        <v/>
      </c>
      <c r="DT18" s="1163" t="str">
        <f t="shared" ca="1" si="80"/>
        <v/>
      </c>
      <c r="DU18" s="1163">
        <f t="shared" si="81"/>
        <v>0</v>
      </c>
      <c r="DV18" s="1163">
        <f t="shared" ca="1" si="82"/>
        <v>344.20451364702603</v>
      </c>
      <c r="DW18" s="1163" t="str">
        <f t="shared" ca="1" si="83"/>
        <v/>
      </c>
      <c r="DX18" s="1163" t="str">
        <f t="shared" ca="1" si="84"/>
        <v/>
      </c>
      <c r="DY18" s="267"/>
      <c r="DZ18" s="3239">
        <f>'4 Eingabe Friseure'!L15</f>
        <v>12</v>
      </c>
      <c r="EA18" s="3239"/>
      <c r="EB18" s="3239">
        <f>IF($DZ18=12,1,'4 Eingabe Friseure'!N15)</f>
        <v>1</v>
      </c>
      <c r="EC18" s="3239">
        <f>IF($DZ18=12,1,'4 Eingabe Friseure'!O15)</f>
        <v>1</v>
      </c>
      <c r="ED18" s="3239">
        <f>IF($DZ18=12,1,'4 Eingabe Friseure'!P15)</f>
        <v>1</v>
      </c>
      <c r="EE18" s="3239">
        <f>IF($DZ18=12,1,'4 Eingabe Friseure'!Q15)</f>
        <v>1</v>
      </c>
      <c r="EF18" s="3239">
        <f>IF($DZ18=12,1,'4 Eingabe Friseure'!R15)</f>
        <v>1</v>
      </c>
      <c r="EG18" s="3239">
        <f>IF($DZ18=12,1,'4 Eingabe Friseure'!S15)</f>
        <v>1</v>
      </c>
      <c r="EH18" s="3239">
        <f>IF($DZ18=12,1,'4 Eingabe Friseure'!T15)</f>
        <v>1</v>
      </c>
      <c r="EI18" s="3239">
        <f>IF($DZ18=12,1,'4 Eingabe Friseure'!U15)</f>
        <v>1</v>
      </c>
      <c r="EJ18" s="3239">
        <f>IF($DZ18=12,1,'4 Eingabe Friseure'!V15)</f>
        <v>1</v>
      </c>
      <c r="EK18" s="3239">
        <f>IF($DZ18=12,1,'4 Eingabe Friseure'!W15)</f>
        <v>1</v>
      </c>
      <c r="EL18" s="3239">
        <f>IF($DZ18=12,1,'4 Eingabe Friseure'!X15)</f>
        <v>1</v>
      </c>
      <c r="EM18" s="3239">
        <f>IF($DZ18=12,1,'4 Eingabe Friseure'!Y15)</f>
        <v>1</v>
      </c>
    </row>
    <row r="19" spans="1:143" ht="18" customHeight="1">
      <c r="A19" s="2740" t="str">
        <f ca="1">IF('22 Sollumsatz pro MA '!A17="","",'22 Sollumsatz pro MA '!A17)</f>
        <v/>
      </c>
      <c r="B19" s="1945"/>
      <c r="C19" s="1981"/>
      <c r="D19" s="1957"/>
      <c r="E19" s="2097" t="str">
        <f ca="1">IF($A19="","",IF(EB19=0,"",'23 LF individuell'!$AG17*$B19))</f>
        <v/>
      </c>
      <c r="F19" s="2100" t="str">
        <f ca="1">IF($A19="","",IF(EB19=0,"",'23 LF individuell'!$AH17*$B19))</f>
        <v/>
      </c>
      <c r="G19" s="2101" t="str">
        <f ca="1">IF($A19="","",IF(EB19=0,"",'23 LF individuell'!$AI17*$B19))</f>
        <v/>
      </c>
      <c r="H19" s="1945"/>
      <c r="I19" s="1981"/>
      <c r="J19" s="1957"/>
      <c r="K19" s="2006" t="str">
        <f ca="1">IF($A19="","",IF(EC19=0,"",'23 LF individuell'!$AG17*H19))</f>
        <v/>
      </c>
      <c r="L19" s="2007" t="str">
        <f ca="1">IF($A19="","",IF(EC19=0,"",'23 LF individuell'!$AH17*H19))</f>
        <v/>
      </c>
      <c r="M19" s="2008" t="str">
        <f ca="1">IF($A19="","",IF(EC19=0,"",'23 LF individuell'!$AI17*H19))</f>
        <v/>
      </c>
      <c r="N19" s="1945"/>
      <c r="O19" s="1981"/>
      <c r="P19" s="1957"/>
      <c r="Q19" s="2097" t="str">
        <f ca="1">IF($A19="","",IF(ED19=0,"",'23 LF individuell'!$AG17*N19))</f>
        <v/>
      </c>
      <c r="R19" s="2098" t="str">
        <f ca="1">IF($A19="","",IF(ED19=0,"",'23 LF individuell'!$AH17*N19))</f>
        <v/>
      </c>
      <c r="S19" s="2099" t="str">
        <f ca="1">IF($A19="","",IF(ED19=0,"",'23 LF individuell'!$AI17*N19))</f>
        <v/>
      </c>
      <c r="T19" s="1945"/>
      <c r="U19" s="1981"/>
      <c r="V19" s="1957"/>
      <c r="W19" s="2006" t="str">
        <f ca="1">IF($A19="","",IF(EE19=0,"",'23 LF individuell'!$AG17*T19))</f>
        <v/>
      </c>
      <c r="X19" s="2007" t="str">
        <f ca="1">IF($A19="","",IF(EE19=0,"",'23 LF individuell'!$AH17*T19))</f>
        <v/>
      </c>
      <c r="Y19" s="2008" t="str">
        <f ca="1">IF($A19="","",IF(EE19=0,"",'23 LF individuell'!$AI17*T19))</f>
        <v/>
      </c>
      <c r="Z19" s="1945"/>
      <c r="AA19" s="1981"/>
      <c r="AB19" s="1957"/>
      <c r="AC19" s="2097" t="str">
        <f ca="1">IF($A19="","",IF(EF19=0,"",'23 LF individuell'!$AG17*Z19))</f>
        <v/>
      </c>
      <c r="AD19" s="2098" t="str">
        <f ca="1">IF($A19="","",IF(EF19=0,"",'23 LF individuell'!$AH17*Z19))</f>
        <v/>
      </c>
      <c r="AE19" s="2099" t="str">
        <f ca="1">IF($A19="","",IF(EF19=0,"",'23 LF individuell'!$AI17*Z19))</f>
        <v/>
      </c>
      <c r="AF19" s="1945"/>
      <c r="AG19" s="1981"/>
      <c r="AH19" s="1957"/>
      <c r="AI19" s="2006" t="str">
        <f ca="1">IF($A19="","",IF(EG19=0,"",'23 LF individuell'!$AG17*AF19))</f>
        <v/>
      </c>
      <c r="AJ19" s="2007" t="str">
        <f ca="1">IF($A19="","",IF(EG19=0,"",'23 LF individuell'!$AH17*AF19))</f>
        <v/>
      </c>
      <c r="AK19" s="2008" t="str">
        <f ca="1">IF($A19="","",IF(EG19=0,"",'23 LF individuell'!$AI17*AF19))</f>
        <v/>
      </c>
      <c r="AL19" s="1945"/>
      <c r="AM19" s="1981"/>
      <c r="AN19" s="1957"/>
      <c r="AO19" s="2097" t="str">
        <f ca="1">IF($A19="","",IF(EH19=0,"",'23 LF individuell'!$AG17*AL19))</f>
        <v/>
      </c>
      <c r="AP19" s="2098" t="str">
        <f ca="1">IF($A19="","",IF(EH19=0,"",'23 LF individuell'!$AH17*AL19))</f>
        <v/>
      </c>
      <c r="AQ19" s="2099" t="str">
        <f ca="1">IF($A19="","",IF(EH19=0,"",'23 LF individuell'!$AI17*AL19))</f>
        <v/>
      </c>
      <c r="AR19" s="1945"/>
      <c r="AS19" s="1981"/>
      <c r="AT19" s="1957"/>
      <c r="AU19" s="2006" t="str">
        <f ca="1">IF($A19="","",IF(EI19=0,"",'23 LF individuell'!$AG17*AR19))</f>
        <v/>
      </c>
      <c r="AV19" s="2007" t="str">
        <f ca="1">IF($A19="","",IF(EI19=0,"",'23 LF individuell'!$AH17*AR19))</f>
        <v/>
      </c>
      <c r="AW19" s="2008" t="str">
        <f ca="1">IF($A19="","",IF(EI19=0,"",'23 LF individuell'!$AI17*AR19))</f>
        <v/>
      </c>
      <c r="AX19" s="1945"/>
      <c r="AY19" s="1981"/>
      <c r="AZ19" s="1957"/>
      <c r="BA19" s="2097" t="str">
        <f ca="1">IF($A19="","",IF(EJ19=0,"",'23 LF individuell'!$AG17*AX19))</f>
        <v/>
      </c>
      <c r="BB19" s="2098" t="str">
        <f ca="1">IF($A19="","",IF(EJ19=0,"",'23 LF individuell'!$AH17*AX19))</f>
        <v/>
      </c>
      <c r="BC19" s="2099" t="str">
        <f ca="1">IF($A19="","",IF(EJ19=0,"",'23 LF individuell'!$AI17*AX19))</f>
        <v/>
      </c>
      <c r="BD19" s="1945"/>
      <c r="BE19" s="1981"/>
      <c r="BF19" s="1957"/>
      <c r="BG19" s="2006" t="str">
        <f ca="1">IF($A19="","",IF(EK19=0,"",'23 LF individuell'!$AG17*BD19))</f>
        <v/>
      </c>
      <c r="BH19" s="2007" t="str">
        <f ca="1">IF($A19="","",IF(EK19=0,"",'23 LF individuell'!$AH17*BD19))</f>
        <v/>
      </c>
      <c r="BI19" s="2008" t="str">
        <f ca="1">IF($A19="","",IF(EK19=0,"",'23 LF individuell'!$AI17*BD19))</f>
        <v/>
      </c>
      <c r="BJ19" s="1945"/>
      <c r="BK19" s="1981"/>
      <c r="BL19" s="1957"/>
      <c r="BM19" s="2097" t="str">
        <f ca="1">IF($A19="","",IF(EL19=0,"",'23 LF individuell'!$AG17*BJ19))</f>
        <v/>
      </c>
      <c r="BN19" s="2098" t="str">
        <f ca="1">IF($A19="","",IF(EL19=0,"",'23 LF individuell'!$AH17*BJ19))</f>
        <v/>
      </c>
      <c r="BO19" s="2099" t="str">
        <f ca="1">IF($A19="","",IF(EL19=0,"",'23 LF individuell'!$AI17*BJ19))</f>
        <v/>
      </c>
      <c r="BP19" s="1945"/>
      <c r="BQ19" s="1981"/>
      <c r="BR19" s="1957"/>
      <c r="BS19" s="2006" t="str">
        <f ca="1">IF($A19="","",IF(EM19=0,"",'23 LF individuell'!$AG17*BP19))</f>
        <v/>
      </c>
      <c r="BT19" s="2007" t="str">
        <f ca="1">IF($A19="","",IF(EM19=0,"",'23 LF individuell'!$AH17*BP19))</f>
        <v/>
      </c>
      <c r="BU19" s="2008" t="str">
        <f ca="1">IF($A19="","",IF(EM19=0,"",'23 LF individuell'!$AI17*BP19))</f>
        <v/>
      </c>
      <c r="BV19" s="2044" t="str">
        <f t="shared" ca="1" si="54"/>
        <v/>
      </c>
      <c r="BW19" s="2044" t="str">
        <f t="shared" ca="1" si="55"/>
        <v/>
      </c>
      <c r="BX19" s="2044" t="str">
        <f t="shared" ca="1" si="56"/>
        <v/>
      </c>
      <c r="BY19" s="2049" t="str">
        <f t="shared" ca="1" si="57"/>
        <v/>
      </c>
      <c r="BZ19" s="2049" t="str">
        <f t="shared" ca="1" si="58"/>
        <v/>
      </c>
      <c r="CA19" s="2049" t="str">
        <f t="shared" ca="1" si="59"/>
        <v/>
      </c>
      <c r="CB19" s="2116" t="str">
        <f t="shared" ca="1" si="60"/>
        <v/>
      </c>
      <c r="CC19" s="1163" t="str">
        <f t="shared" si="61"/>
        <v>Januar</v>
      </c>
      <c r="CD19" s="1163">
        <f t="shared" si="62"/>
        <v>0</v>
      </c>
      <c r="CE19" s="1163">
        <f t="shared" si="63"/>
        <v>0</v>
      </c>
      <c r="CF19" s="1163">
        <f t="shared" si="64"/>
        <v>0</v>
      </c>
      <c r="CG19" s="1163">
        <f>IF($CD$10="Januar",'25a Soll-Ist Vergl. + Provision'!D16,IF($CD$10="Februar",'25a Soll-Ist Vergl. + Provision'!O16,IF($CD$10="März",'25a Soll-Ist Vergl. + Provision'!Z16,'25a Soll-Ist Vergl. + Provision'!AK16)))</f>
        <v>0</v>
      </c>
      <c r="CH19" s="1163" t="str">
        <f ca="1">IF($CD$10="Januar",'25a Soll-Ist Vergl. + Provision'!E16,IF($CD$10="Februar",'25a Soll-Ist Vergl. + Provision'!P16,IF($CD$10="März",'25a Soll-Ist Vergl. + Provision'!AA16,'25a Soll-Ist Vergl. + Provision'!AL16)))</f>
        <v/>
      </c>
      <c r="CI19" s="1163" t="str">
        <f ca="1">IF($CD$10="Januar",'25a Soll-Ist Vergl. + Provision'!F16,IF($CD$10="Februar",'25a Soll-Ist Vergl. + Provision'!Q16,IF($CD$10="März",'25a Soll-Ist Vergl. + Provision'!AB16,'25a Soll-Ist Vergl. + Provision'!AM16)))</f>
        <v/>
      </c>
      <c r="CJ19" s="1163" t="str">
        <f ca="1">IF($CD$10="Januar",'25a Soll-Ist Vergl. + Provision'!G16,IF($CD$10="Februar",'25a Soll-Ist Vergl. + Provision'!R16,IF($CD$10="März",'25a Soll-Ist Vergl. + Provision'!AC16,'25a Soll-Ist Vergl. + Provision'!AN16)))</f>
        <v/>
      </c>
      <c r="CK19" s="1163">
        <f>IF($CD$10="Januar",'25a Soll-Ist Vergl. + Provision'!H16,IF($CD$10="Februar",'25a Soll-Ist Vergl. + Provision'!S16,IF($CD$10="März",'25a Soll-Ist Vergl. + Provision'!AD16,'25a Soll-Ist Vergl. + Provision'!AO16)))</f>
        <v>0</v>
      </c>
      <c r="CL19" s="1163" t="str">
        <f ca="1">IF($CD$10="Januar",'25a Soll-Ist Vergl. + Provision'!I16,IF($CD$10="Februar",'25a Soll-Ist Vergl. + Provision'!T16,IF($CD$10="März",'25a Soll-Ist Vergl. + Provision'!AE16,'25a Soll-Ist Vergl. + Provision'!AP16)))</f>
        <v/>
      </c>
      <c r="CM19" s="1163" t="str">
        <f ca="1">IF($CD$10="Januar",'25a Soll-Ist Vergl. + Provision'!J16,IF($CD$10="Februar",'25a Soll-Ist Vergl. + Provision'!U16,IF($CD$10="März",'25a Soll-Ist Vergl. + Provision'!AF16,'25a Soll-Ist Vergl. + Provision'!AQ16)))</f>
        <v/>
      </c>
      <c r="CN19" s="1163" t="str">
        <f ca="1">IF($CD$10="Januar",'25a Soll-Ist Vergl. + Provision'!K16,IF($CD$10="Februar",'25a Soll-Ist Vergl. + Provision'!V16,IF($CD$10="März",'25a Soll-Ist Vergl. + Provision'!AG16,'25a Soll-Ist Vergl. + Provision'!AR16)))</f>
        <v/>
      </c>
      <c r="CO19" s="1163" t="str">
        <f t="shared" si="65"/>
        <v>August</v>
      </c>
      <c r="CP19" s="1163">
        <f t="shared" si="66"/>
        <v>0</v>
      </c>
      <c r="CQ19" s="1163">
        <f t="shared" si="67"/>
        <v>0</v>
      </c>
      <c r="CR19" s="1163">
        <f t="shared" si="68"/>
        <v>0</v>
      </c>
      <c r="CS19" s="1163">
        <f>IF($CP$10="Mai",'25a Soll-Ist Vergl. + Provision'!AV16,IF($CP$10="Juni",'25a Soll-Ist Vergl. + Provision'!BG16,IF($CP$10="Juli",'25a Soll-Ist Vergl. + Provision'!BR16,'25a Soll-Ist Vergl. + Provision'!CC16)))</f>
        <v>0</v>
      </c>
      <c r="CT19" s="1163" t="str">
        <f ca="1">IF($CP$10="Mai",'25a Soll-Ist Vergl. + Provision'!AW16,IF($CP$10="Juni",'25a Soll-Ist Vergl. + Provision'!BH16,IF($CP$10="Juli",'25a Soll-Ist Vergl. + Provision'!BS16,'25a Soll-Ist Vergl. + Provision'!CD16)))</f>
        <v/>
      </c>
      <c r="CU19" s="1163" t="str">
        <f ca="1">IF($CP$10="Mai",'25a Soll-Ist Vergl. + Provision'!AX16,IF($CP$10="Juni",'25a Soll-Ist Vergl. + Provision'!BI16,IF($CP$10="Juli",'25a Soll-Ist Vergl. + Provision'!BT16,'25a Soll-Ist Vergl. + Provision'!CE16)))</f>
        <v/>
      </c>
      <c r="CV19" s="1163" t="str">
        <f ca="1">IF($CP$10="Mai",'25a Soll-Ist Vergl. + Provision'!AY16,IF($CP$10="Juni",'25a Soll-Ist Vergl. + Provision'!BJ16,IF($CP$10="Juli",'25a Soll-Ist Vergl. + Provision'!BU16,'25a Soll-Ist Vergl. + Provision'!CF16)))</f>
        <v/>
      </c>
      <c r="CW19" s="1163">
        <f>IF($CP$10="Mai",'25a Soll-Ist Vergl. + Provision'!AZ16,IF($CP$10="Juni",'25a Soll-Ist Vergl. + Provision'!BK16,IF($CP$10="Juli",'25a Soll-Ist Vergl. + Provision'!BV16,'25a Soll-Ist Vergl. + Provision'!CG16)))</f>
        <v>0</v>
      </c>
      <c r="CX19" s="1163" t="str">
        <f ca="1">IF($CP$10="Mai",'25a Soll-Ist Vergl. + Provision'!BA16,IF($CP$10="Juni",'25a Soll-Ist Vergl. + Provision'!BL16,IF($CP$10="Juli",'25a Soll-Ist Vergl. + Provision'!BW16,'25a Soll-Ist Vergl. + Provision'!CH16)))</f>
        <v/>
      </c>
      <c r="CY19" s="1163" t="str">
        <f ca="1">IF($CP$10="Mai",'25a Soll-Ist Vergl. + Provision'!BB16,IF($CP$10="Juni",'25a Soll-Ist Vergl. + Provision'!BM16,IF($CP$10="Juli",'25a Soll-Ist Vergl. + Provision'!BX16,'25a Soll-Ist Vergl. + Provision'!CI16)))</f>
        <v/>
      </c>
      <c r="CZ19" s="1163" t="str">
        <f ca="1">IF($CP$10="Mai",'25a Soll-Ist Vergl. + Provision'!BC16,IF($CP$10="Juni",'25a Soll-Ist Vergl. + Provision'!BN16,IF($CP$10="Juli",'25a Soll-Ist Vergl. + Provision'!BY16,'25a Soll-Ist Vergl. + Provision'!CJ16)))</f>
        <v/>
      </c>
      <c r="DA19" s="1163" t="str">
        <f t="shared" si="69"/>
        <v>Dezember</v>
      </c>
      <c r="DB19" s="1163">
        <f t="shared" si="70"/>
        <v>0</v>
      </c>
      <c r="DC19" s="1163">
        <f t="shared" si="71"/>
        <v>0</v>
      </c>
      <c r="DD19" s="1163">
        <f t="shared" si="72"/>
        <v>0</v>
      </c>
      <c r="DE19" s="1163">
        <f>IF($DB$10="September",'25a Soll-Ist Vergl. + Provision'!CN16,IF($DB$10="Oktober",'25a Soll-Ist Vergl. + Provision'!CY16,IF($DB$10="November",'25a Soll-Ist Vergl. + Provision'!DJ16,'25a Soll-Ist Vergl. + Provision'!DU16)))</f>
        <v>0</v>
      </c>
      <c r="DF19" s="1163" t="str">
        <f ca="1">IF($DB$10="September",'25a Soll-Ist Vergl. + Provision'!CO16,IF($DB$10="Oktober",'25a Soll-Ist Vergl. + Provision'!CZ16,IF($DB$10="November",'25a Soll-Ist Vergl. + Provision'!DK16,'25a Soll-Ist Vergl. + Provision'!DV16)))</f>
        <v/>
      </c>
      <c r="DG19" s="1163" t="str">
        <f ca="1">IF($DB$10="September",'25a Soll-Ist Vergl. + Provision'!CP16,IF($DB$10="Oktober",'25a Soll-Ist Vergl. + Provision'!DA16,IF($DB$10="November",'25a Soll-Ist Vergl. + Provision'!DL16,'25a Soll-Ist Vergl. + Provision'!DW16)))</f>
        <v/>
      </c>
      <c r="DH19" s="1163" t="str">
        <f ca="1">IF($DB$10="September",'25a Soll-Ist Vergl. + Provision'!CQ16,IF($DB$10="Oktober",'25a Soll-Ist Vergl. + Provision'!DB16,IF($DB$10="November",'25a Soll-Ist Vergl. + Provision'!DM16,'25a Soll-Ist Vergl. + Provision'!DX16)))</f>
        <v/>
      </c>
      <c r="DI19" s="1163">
        <f>IF($DB$10="September",'25a Soll-Ist Vergl. + Provision'!CR16,IF($DB$10="Oktober",'25a Soll-Ist Vergl. + Provision'!DC16,IF($DB$10="November",'25a Soll-Ist Vergl. + Provision'!DN16,'25a Soll-Ist Vergl. + Provision'!DY16)))</f>
        <v>0</v>
      </c>
      <c r="DJ19" s="1163" t="str">
        <f ca="1">IF($DB$10="September",'25a Soll-Ist Vergl. + Provision'!CS16,IF($DB$10="Oktober",'25a Soll-Ist Vergl. + Provision'!DD16,IF($DB$10="November",'25a Soll-Ist Vergl. + Provision'!DO16,'25a Soll-Ist Vergl. + Provision'!DZ16)))</f>
        <v/>
      </c>
      <c r="DK19" s="1163" t="str">
        <f ca="1">IF($DB$10="September",'25a Soll-Ist Vergl. + Provision'!CT16,IF($DB$10="Oktober",'25a Soll-Ist Vergl. + Provision'!DE16,IF($DB$10="November",'25a Soll-Ist Vergl. + Provision'!DP16,'25a Soll-Ist Vergl. + Provision'!EA16)))</f>
        <v/>
      </c>
      <c r="DL19" s="1163" t="str">
        <f ca="1">IF($DB$10="September",'25a Soll-Ist Vergl. + Provision'!CU16,IF($DB$10="Oktober",'25a Soll-Ist Vergl. + Provision'!DF16,IF($DB$10="November",'25a Soll-Ist Vergl. + Provision'!DQ16,'25a Soll-Ist Vergl. + Provision'!EB16)))</f>
        <v/>
      </c>
      <c r="DM19" s="1163" t="str">
        <f t="shared" si="73"/>
        <v>Januar</v>
      </c>
      <c r="DN19" s="1163">
        <f t="shared" si="74"/>
        <v>0</v>
      </c>
      <c r="DO19" s="1163">
        <f t="shared" si="75"/>
        <v>0</v>
      </c>
      <c r="DP19" s="1163">
        <f t="shared" si="76"/>
        <v>0</v>
      </c>
      <c r="DQ19" s="1163">
        <f t="shared" si="77"/>
        <v>0</v>
      </c>
      <c r="DR19" s="1163" t="str">
        <f t="shared" ca="1" si="78"/>
        <v/>
      </c>
      <c r="DS19" s="1163" t="str">
        <f t="shared" ca="1" si="79"/>
        <v/>
      </c>
      <c r="DT19" s="1163" t="str">
        <f t="shared" ca="1" si="80"/>
        <v/>
      </c>
      <c r="DU19" s="1163">
        <f t="shared" si="81"/>
        <v>0</v>
      </c>
      <c r="DV19" s="1163" t="str">
        <f t="shared" ca="1" si="82"/>
        <v/>
      </c>
      <c r="DW19" s="1163" t="str">
        <f t="shared" ca="1" si="83"/>
        <v/>
      </c>
      <c r="DX19" s="1163" t="str">
        <f t="shared" ca="1" si="84"/>
        <v/>
      </c>
      <c r="DY19" s="267"/>
      <c r="DZ19" s="3239">
        <f>'4 Eingabe Friseure'!L16</f>
        <v>0</v>
      </c>
      <c r="EA19" s="3239"/>
      <c r="EB19" s="3239">
        <f>IF($DZ19=12,1,'4 Eingabe Friseure'!N16)</f>
        <v>0</v>
      </c>
      <c r="EC19" s="3239">
        <f>IF($DZ19=12,1,'4 Eingabe Friseure'!O16)</f>
        <v>0</v>
      </c>
      <c r="ED19" s="3239">
        <f>IF($DZ19=12,1,'4 Eingabe Friseure'!P16)</f>
        <v>0</v>
      </c>
      <c r="EE19" s="3239">
        <f>IF($DZ19=12,1,'4 Eingabe Friseure'!Q16)</f>
        <v>0</v>
      </c>
      <c r="EF19" s="3239">
        <f>IF($DZ19=12,1,'4 Eingabe Friseure'!R16)</f>
        <v>0</v>
      </c>
      <c r="EG19" s="3239">
        <f>IF($DZ19=12,1,'4 Eingabe Friseure'!S16)</f>
        <v>0</v>
      </c>
      <c r="EH19" s="3239">
        <f>IF($DZ19=12,1,'4 Eingabe Friseure'!T16)</f>
        <v>0</v>
      </c>
      <c r="EI19" s="3239">
        <f>IF($DZ19=12,1,'4 Eingabe Friseure'!U16)</f>
        <v>0</v>
      </c>
      <c r="EJ19" s="3239">
        <f>IF($DZ19=12,1,'4 Eingabe Friseure'!V16)</f>
        <v>0</v>
      </c>
      <c r="EK19" s="3239">
        <f>IF($DZ19=12,1,'4 Eingabe Friseure'!W16)</f>
        <v>0</v>
      </c>
      <c r="EL19" s="3239">
        <f>IF($DZ19=12,1,'4 Eingabe Friseure'!X16)</f>
        <v>0</v>
      </c>
      <c r="EM19" s="3239">
        <f>IF($DZ19=12,1,'4 Eingabe Friseure'!Y16)</f>
        <v>0</v>
      </c>
    </row>
    <row r="20" spans="1:143" ht="18" customHeight="1">
      <c r="A20" s="2740" t="str">
        <f ca="1">IF('22 Sollumsatz pro MA '!A18="","",'22 Sollumsatz pro MA '!A18)</f>
        <v>Salli</v>
      </c>
      <c r="B20" s="1945">
        <v>13</v>
      </c>
      <c r="C20" s="1981"/>
      <c r="D20" s="1957"/>
      <c r="E20" s="2097">
        <f ca="1">IF($A20="","",IF(EB20=0,"",'23 LF individuell'!$AG18*$B20))</f>
        <v>6147.7</v>
      </c>
      <c r="F20" s="2100">
        <f ca="1">IF($A20="","",IF(EB20=0,"",'23 LF individuell'!$AH18*$B20))</f>
        <v>5810.6724576762099</v>
      </c>
      <c r="G20" s="2101">
        <f ca="1">IF($A20="","",IF(EB20=0,"",'23 LF individuell'!$AI18*$B20))</f>
        <v>338.25761115560408</v>
      </c>
      <c r="H20" s="1945">
        <v>10</v>
      </c>
      <c r="I20" s="1981"/>
      <c r="J20" s="1957">
        <v>3</v>
      </c>
      <c r="K20" s="2006">
        <f ca="1">IF($A20="","",IF(EC20=0,"",'23 LF individuell'!$AG18*H20))</f>
        <v>4729</v>
      </c>
      <c r="L20" s="2007">
        <f ca="1">IF($A20="","",IF(EC20=0,"",'23 LF individuell'!$AH18*H20))</f>
        <v>4469.7480443663153</v>
      </c>
      <c r="M20" s="2008">
        <f ca="1">IF($A20="","",IF(EC20=0,"",'23 LF individuell'!$AI18*H20))</f>
        <v>260.19816242738773</v>
      </c>
      <c r="N20" s="1945">
        <v>8</v>
      </c>
      <c r="O20" s="1981">
        <v>5</v>
      </c>
      <c r="P20" s="1957"/>
      <c r="Q20" s="2097">
        <f ca="1">IF($A20="","",IF(ED20=0,"",'23 LF individuell'!$AG18*N20))</f>
        <v>3783.2</v>
      </c>
      <c r="R20" s="2098">
        <f ca="1">IF($A20="","",IF(ED20=0,"",'23 LF individuell'!$AH18*N20))</f>
        <v>3575.7984354930522</v>
      </c>
      <c r="S20" s="2099">
        <f ca="1">IF($A20="","",IF(ED20=0,"",'23 LF individuell'!$AI18*N20))</f>
        <v>208.15852994191019</v>
      </c>
      <c r="T20" s="1945">
        <v>13</v>
      </c>
      <c r="U20" s="1981"/>
      <c r="V20" s="1957"/>
      <c r="W20" s="2006">
        <f ca="1">IF($A20="","",IF(EE20=0,"",'23 LF individuell'!$AG18*T20))</f>
        <v>6147.7</v>
      </c>
      <c r="X20" s="2007">
        <f ca="1">IF($A20="","",IF(EE20=0,"",'23 LF individuell'!$AH18*T20))</f>
        <v>5810.6724576762099</v>
      </c>
      <c r="Y20" s="2008">
        <f ca="1">IF($A20="","",IF(EE20=0,"",'23 LF individuell'!$AI18*T20))</f>
        <v>338.25761115560408</v>
      </c>
      <c r="Z20" s="1945">
        <v>9</v>
      </c>
      <c r="AA20" s="1981">
        <v>1</v>
      </c>
      <c r="AB20" s="1957">
        <v>2</v>
      </c>
      <c r="AC20" s="2097">
        <f ca="1">IF($A20="","",IF(EF20=0,"",'23 LF individuell'!$AG18*Z20))</f>
        <v>4256.0999999999995</v>
      </c>
      <c r="AD20" s="2098">
        <f ca="1">IF($A20="","",IF(EF20=0,"",'23 LF individuell'!$AH18*Z20))</f>
        <v>4022.7732399296838</v>
      </c>
      <c r="AE20" s="2099">
        <f ca="1">IF($A20="","",IF(EF20=0,"",'23 LF individuell'!$AI18*Z20))</f>
        <v>234.17834618464897</v>
      </c>
      <c r="AF20" s="1945">
        <v>13</v>
      </c>
      <c r="AG20" s="1981"/>
      <c r="AH20" s="1957"/>
      <c r="AI20" s="2006">
        <f ca="1">IF($A20="","",IF(EG20=0,"",'23 LF individuell'!$AG18*AF20))</f>
        <v>6147.7</v>
      </c>
      <c r="AJ20" s="2007">
        <f ca="1">IF($A20="","",IF(EG20=0,"",'23 LF individuell'!$AH18*AF20))</f>
        <v>5810.6724576762099</v>
      </c>
      <c r="AK20" s="2008">
        <f ca="1">IF($A20="","",IF(EG20=0,"",'23 LF individuell'!$AI18*AF20))</f>
        <v>338.25761115560408</v>
      </c>
      <c r="AL20" s="2003">
        <v>14</v>
      </c>
      <c r="AM20" s="2004"/>
      <c r="AN20" s="2005"/>
      <c r="AO20" s="2097">
        <f ca="1">IF($A20="","",IF(EH20=0,"",'23 LF individuell'!$AG18*AL20))</f>
        <v>6620.5999999999995</v>
      </c>
      <c r="AP20" s="2098">
        <f ca="1">IF($A20="","",IF(EH20=0,"",'23 LF individuell'!$AH18*AL20))</f>
        <v>6257.6472621128414</v>
      </c>
      <c r="AQ20" s="2099">
        <f ca="1">IF($A20="","",IF(EH20=0,"",'23 LF individuell'!$AI18*AL20))</f>
        <v>364.27742739834281</v>
      </c>
      <c r="AR20" s="2003"/>
      <c r="AS20" s="2004"/>
      <c r="AT20" s="2005"/>
      <c r="AU20" s="2006" t="str">
        <f ca="1">IF($A20="","",IF(EI20=0,"",'23 LF individuell'!$AG18*AR20))</f>
        <v/>
      </c>
      <c r="AV20" s="2007" t="str">
        <f ca="1">IF($A20="","",IF(EI20=0,"",'23 LF individuell'!$AH18*AR20))</f>
        <v/>
      </c>
      <c r="AW20" s="2008" t="str">
        <f ca="1">IF($A20="","",IF(EI20=0,"",'23 LF individuell'!$AI18*AR20))</f>
        <v/>
      </c>
      <c r="AX20" s="2003"/>
      <c r="AY20" s="2004"/>
      <c r="AZ20" s="2005"/>
      <c r="BA20" s="2097" t="str">
        <f ca="1">IF($A20="","",IF(EJ20=0,"",'23 LF individuell'!$AG18*AX20))</f>
        <v/>
      </c>
      <c r="BB20" s="2098" t="str">
        <f ca="1">IF($A20="","",IF(EJ20=0,"",'23 LF individuell'!$AH18*AX20))</f>
        <v/>
      </c>
      <c r="BC20" s="2099" t="str">
        <f ca="1">IF($A20="","",IF(EJ20=0,"",'23 LF individuell'!$AI18*AX20))</f>
        <v/>
      </c>
      <c r="BD20" s="2003"/>
      <c r="BE20" s="2004"/>
      <c r="BF20" s="2005"/>
      <c r="BG20" s="2006" t="str">
        <f ca="1">IF($A20="","",IF(EK20=0,"",'23 LF individuell'!$AG18*BD20))</f>
        <v/>
      </c>
      <c r="BH20" s="2007" t="str">
        <f ca="1">IF($A20="","",IF(EK20=0,"",'23 LF individuell'!$AH18*BD20))</f>
        <v/>
      </c>
      <c r="BI20" s="2008" t="str">
        <f ca="1">IF($A20="","",IF(EK20=0,"",'23 LF individuell'!$AI18*BD20))</f>
        <v/>
      </c>
      <c r="BJ20" s="2003"/>
      <c r="BK20" s="2004"/>
      <c r="BL20" s="2005"/>
      <c r="BM20" s="2097" t="str">
        <f ca="1">IF($A20="","",IF(EL20=0,"",'23 LF individuell'!$AG18*BJ20))</f>
        <v/>
      </c>
      <c r="BN20" s="2098" t="str">
        <f ca="1">IF($A20="","",IF(EL20=0,"",'23 LF individuell'!$AH18*BJ20))</f>
        <v/>
      </c>
      <c r="BO20" s="2099" t="str">
        <f ca="1">IF($A20="","",IF(EL20=0,"",'23 LF individuell'!$AI18*BJ20))</f>
        <v/>
      </c>
      <c r="BP20" s="2003"/>
      <c r="BQ20" s="2004"/>
      <c r="BR20" s="2005"/>
      <c r="BS20" s="2006" t="str">
        <f ca="1">IF($A20="","",IF(EM20=0,"",'23 LF individuell'!$AG18*BP20))</f>
        <v/>
      </c>
      <c r="BT20" s="2007" t="str">
        <f ca="1">IF($A20="","",IF(EM20=0,"",'23 LF individuell'!$AH18*BP20))</f>
        <v/>
      </c>
      <c r="BU20" s="2008" t="str">
        <f ca="1">IF($A20="","",IF(EM20=0,"",'23 LF individuell'!$AI18*BP20))</f>
        <v/>
      </c>
      <c r="BV20" s="2044">
        <f t="shared" ca="1" si="54"/>
        <v>80</v>
      </c>
      <c r="BW20" s="2044">
        <f t="shared" ca="1" si="55"/>
        <v>6</v>
      </c>
      <c r="BX20" s="2044">
        <f t="shared" ca="1" si="56"/>
        <v>5</v>
      </c>
      <c r="BY20" s="2049">
        <f t="shared" ca="1" si="57"/>
        <v>37832</v>
      </c>
      <c r="BZ20" s="2049">
        <f t="shared" ca="1" si="58"/>
        <v>35757.984354930522</v>
      </c>
      <c r="CA20" s="2049">
        <f t="shared" ca="1" si="59"/>
        <v>2081.5852994191018</v>
      </c>
      <c r="CB20" s="2116" t="str">
        <f t="shared" ca="1" si="60"/>
        <v>Salli</v>
      </c>
      <c r="CC20" s="1163" t="str">
        <f t="shared" si="61"/>
        <v>Januar</v>
      </c>
      <c r="CD20" s="1163">
        <f t="shared" si="62"/>
        <v>13</v>
      </c>
      <c r="CE20" s="1163">
        <f t="shared" si="63"/>
        <v>0</v>
      </c>
      <c r="CF20" s="1163">
        <f t="shared" si="64"/>
        <v>0</v>
      </c>
      <c r="CG20" s="1163">
        <f>IF($CD$10="Januar",'25a Soll-Ist Vergl. + Provision'!D17,IF($CD$10="Februar",'25a Soll-Ist Vergl. + Provision'!O17,IF($CD$10="März",'25a Soll-Ist Vergl. + Provision'!Z17,'25a Soll-Ist Vergl. + Provision'!AK17)))</f>
        <v>0</v>
      </c>
      <c r="CH20" s="1163">
        <f ca="1">IF($CD$10="Januar",'25a Soll-Ist Vergl. + Provision'!E17,IF($CD$10="Februar",'25a Soll-Ist Vergl. + Provision'!P17,IF($CD$10="März",'25a Soll-Ist Vergl. + Provision'!AA17,'25a Soll-Ist Vergl. + Provision'!AL17)))</f>
        <v>5810.6724576762099</v>
      </c>
      <c r="CI20" s="1163" t="str">
        <f ca="1">IF($CD$10="Januar",'25a Soll-Ist Vergl. + Provision'!F17,IF($CD$10="Februar",'25a Soll-Ist Vergl. + Provision'!Q17,IF($CD$10="März",'25a Soll-Ist Vergl. + Provision'!AB17,'25a Soll-Ist Vergl. + Provision'!AM17)))</f>
        <v/>
      </c>
      <c r="CJ20" s="1163" t="str">
        <f ca="1">IF($CD$10="Januar",'25a Soll-Ist Vergl. + Provision'!G17,IF($CD$10="Februar",'25a Soll-Ist Vergl. + Provision'!R17,IF($CD$10="März",'25a Soll-Ist Vergl. + Provision'!AC17,'25a Soll-Ist Vergl. + Provision'!AN17)))</f>
        <v/>
      </c>
      <c r="CK20" s="1163">
        <f>IF($CD$10="Januar",'25a Soll-Ist Vergl. + Provision'!H17,IF($CD$10="Februar",'25a Soll-Ist Vergl. + Provision'!S17,IF($CD$10="März",'25a Soll-Ist Vergl. + Provision'!AD17,'25a Soll-Ist Vergl. + Provision'!AO17)))</f>
        <v>0</v>
      </c>
      <c r="CL20" s="1163">
        <f ca="1">IF($CD$10="Januar",'25a Soll-Ist Vergl. + Provision'!I17,IF($CD$10="Februar",'25a Soll-Ist Vergl. + Provision'!T17,IF($CD$10="März",'25a Soll-Ist Vergl. + Provision'!AE17,'25a Soll-Ist Vergl. + Provision'!AP17)))</f>
        <v>338.25761115560408</v>
      </c>
      <c r="CM20" s="1163" t="str">
        <f ca="1">IF($CD$10="Januar",'25a Soll-Ist Vergl. + Provision'!J17,IF($CD$10="Februar",'25a Soll-Ist Vergl. + Provision'!U17,IF($CD$10="März",'25a Soll-Ist Vergl. + Provision'!AF17,'25a Soll-Ist Vergl. + Provision'!AQ17)))</f>
        <v/>
      </c>
      <c r="CN20" s="1163" t="str">
        <f ca="1">IF($CD$10="Januar",'25a Soll-Ist Vergl. + Provision'!K17,IF($CD$10="Februar",'25a Soll-Ist Vergl. + Provision'!V17,IF($CD$10="März",'25a Soll-Ist Vergl. + Provision'!AG17,'25a Soll-Ist Vergl. + Provision'!AR17)))</f>
        <v/>
      </c>
      <c r="CO20" s="1163" t="str">
        <f t="shared" si="65"/>
        <v>August</v>
      </c>
      <c r="CP20" s="1163">
        <f t="shared" si="66"/>
        <v>0</v>
      </c>
      <c r="CQ20" s="1163">
        <f t="shared" si="67"/>
        <v>0</v>
      </c>
      <c r="CR20" s="1163">
        <f t="shared" si="68"/>
        <v>0</v>
      </c>
      <c r="CS20" s="1163">
        <f>IF($CP$10="Mai",'25a Soll-Ist Vergl. + Provision'!AV17,IF($CP$10="Juni",'25a Soll-Ist Vergl. + Provision'!BG17,IF($CP$10="Juli",'25a Soll-Ist Vergl. + Provision'!BR17,'25a Soll-Ist Vergl. + Provision'!CC17)))</f>
        <v>0</v>
      </c>
      <c r="CT20" s="1163" t="str">
        <f ca="1">IF($CP$10="Mai",'25a Soll-Ist Vergl. + Provision'!AW17,IF($CP$10="Juni",'25a Soll-Ist Vergl. + Provision'!BH17,IF($CP$10="Juli",'25a Soll-Ist Vergl. + Provision'!BS17,'25a Soll-Ist Vergl. + Provision'!CD17)))</f>
        <v/>
      </c>
      <c r="CU20" s="1163" t="str">
        <f ca="1">IF($CP$10="Mai",'25a Soll-Ist Vergl. + Provision'!AX17,IF($CP$10="Juni",'25a Soll-Ist Vergl. + Provision'!BI17,IF($CP$10="Juli",'25a Soll-Ist Vergl. + Provision'!BT17,'25a Soll-Ist Vergl. + Provision'!CE17)))</f>
        <v/>
      </c>
      <c r="CV20" s="1163" t="str">
        <f ca="1">IF($CP$10="Mai",'25a Soll-Ist Vergl. + Provision'!AY17,IF($CP$10="Juni",'25a Soll-Ist Vergl. + Provision'!BJ17,IF($CP$10="Juli",'25a Soll-Ist Vergl. + Provision'!BU17,'25a Soll-Ist Vergl. + Provision'!CF17)))</f>
        <v/>
      </c>
      <c r="CW20" s="1163">
        <f>IF($CP$10="Mai",'25a Soll-Ist Vergl. + Provision'!AZ17,IF($CP$10="Juni",'25a Soll-Ist Vergl. + Provision'!BK17,IF($CP$10="Juli",'25a Soll-Ist Vergl. + Provision'!BV17,'25a Soll-Ist Vergl. + Provision'!CG17)))</f>
        <v>0</v>
      </c>
      <c r="CX20" s="1163" t="str">
        <f ca="1">IF($CP$10="Mai",'25a Soll-Ist Vergl. + Provision'!BA17,IF($CP$10="Juni",'25a Soll-Ist Vergl. + Provision'!BL17,IF($CP$10="Juli",'25a Soll-Ist Vergl. + Provision'!BW17,'25a Soll-Ist Vergl. + Provision'!CH17)))</f>
        <v/>
      </c>
      <c r="CY20" s="1163" t="str">
        <f ca="1">IF($CP$10="Mai",'25a Soll-Ist Vergl. + Provision'!BB17,IF($CP$10="Juni",'25a Soll-Ist Vergl. + Provision'!BM17,IF($CP$10="Juli",'25a Soll-Ist Vergl. + Provision'!BX17,'25a Soll-Ist Vergl. + Provision'!CI17)))</f>
        <v/>
      </c>
      <c r="CZ20" s="1163" t="str">
        <f ca="1">IF($CP$10="Mai",'25a Soll-Ist Vergl. + Provision'!BC17,IF($CP$10="Juni",'25a Soll-Ist Vergl. + Provision'!BN17,IF($CP$10="Juli",'25a Soll-Ist Vergl. + Provision'!BY17,'25a Soll-Ist Vergl. + Provision'!CJ17)))</f>
        <v/>
      </c>
      <c r="DA20" s="1163" t="str">
        <f t="shared" si="69"/>
        <v>Dezember</v>
      </c>
      <c r="DB20" s="1163">
        <f t="shared" si="70"/>
        <v>0</v>
      </c>
      <c r="DC20" s="1163">
        <f t="shared" si="71"/>
        <v>0</v>
      </c>
      <c r="DD20" s="1163">
        <f t="shared" si="72"/>
        <v>0</v>
      </c>
      <c r="DE20" s="1163">
        <f>IF($DB$10="September",'25a Soll-Ist Vergl. + Provision'!CN17,IF($DB$10="Oktober",'25a Soll-Ist Vergl. + Provision'!CY17,IF($DB$10="November",'25a Soll-Ist Vergl. + Provision'!DJ17,'25a Soll-Ist Vergl. + Provision'!DU17)))</f>
        <v>0</v>
      </c>
      <c r="DF20" s="1163" t="str">
        <f ca="1">IF($DB$10="September",'25a Soll-Ist Vergl. + Provision'!CO17,IF($DB$10="Oktober",'25a Soll-Ist Vergl. + Provision'!CZ17,IF($DB$10="November",'25a Soll-Ist Vergl. + Provision'!DK17,'25a Soll-Ist Vergl. + Provision'!DV17)))</f>
        <v/>
      </c>
      <c r="DG20" s="1163" t="str">
        <f ca="1">IF($DB$10="September",'25a Soll-Ist Vergl. + Provision'!CP17,IF($DB$10="Oktober",'25a Soll-Ist Vergl. + Provision'!DA17,IF($DB$10="November",'25a Soll-Ist Vergl. + Provision'!DL17,'25a Soll-Ist Vergl. + Provision'!DW17)))</f>
        <v/>
      </c>
      <c r="DH20" s="1163" t="str">
        <f ca="1">IF($DB$10="September",'25a Soll-Ist Vergl. + Provision'!CQ17,IF($DB$10="Oktober",'25a Soll-Ist Vergl. + Provision'!DB17,IF($DB$10="November",'25a Soll-Ist Vergl. + Provision'!DM17,'25a Soll-Ist Vergl. + Provision'!DX17)))</f>
        <v/>
      </c>
      <c r="DI20" s="1163">
        <f>IF($DB$10="September",'25a Soll-Ist Vergl. + Provision'!CR17,IF($DB$10="Oktober",'25a Soll-Ist Vergl. + Provision'!DC17,IF($DB$10="November",'25a Soll-Ist Vergl. + Provision'!DN17,'25a Soll-Ist Vergl. + Provision'!DY17)))</f>
        <v>0</v>
      </c>
      <c r="DJ20" s="1163" t="str">
        <f ca="1">IF($DB$10="September",'25a Soll-Ist Vergl. + Provision'!CS17,IF($DB$10="Oktober",'25a Soll-Ist Vergl. + Provision'!DD17,IF($DB$10="November",'25a Soll-Ist Vergl. + Provision'!DO17,'25a Soll-Ist Vergl. + Provision'!DZ17)))</f>
        <v/>
      </c>
      <c r="DK20" s="1163" t="str">
        <f ca="1">IF($DB$10="September",'25a Soll-Ist Vergl. + Provision'!CT17,IF($DB$10="Oktober",'25a Soll-Ist Vergl. + Provision'!DE17,IF($DB$10="November",'25a Soll-Ist Vergl. + Provision'!DP17,'25a Soll-Ist Vergl. + Provision'!EA17)))</f>
        <v/>
      </c>
      <c r="DL20" s="1163" t="str">
        <f ca="1">IF($DB$10="September",'25a Soll-Ist Vergl. + Provision'!CU17,IF($DB$10="Oktober",'25a Soll-Ist Vergl. + Provision'!DF17,IF($DB$10="November",'25a Soll-Ist Vergl. + Provision'!DQ17,'25a Soll-Ist Vergl. + Provision'!EB17)))</f>
        <v/>
      </c>
      <c r="DM20" s="1163" t="str">
        <f t="shared" si="73"/>
        <v>Januar</v>
      </c>
      <c r="DN20" s="1163">
        <f t="shared" si="74"/>
        <v>13</v>
      </c>
      <c r="DO20" s="1163">
        <f t="shared" si="75"/>
        <v>0</v>
      </c>
      <c r="DP20" s="1163">
        <f t="shared" si="76"/>
        <v>0</v>
      </c>
      <c r="DQ20" s="1163">
        <f t="shared" si="77"/>
        <v>0</v>
      </c>
      <c r="DR20" s="1163">
        <f t="shared" ca="1" si="78"/>
        <v>5810.6724576762099</v>
      </c>
      <c r="DS20" s="1163" t="str">
        <f t="shared" ca="1" si="79"/>
        <v/>
      </c>
      <c r="DT20" s="1163" t="str">
        <f t="shared" ca="1" si="80"/>
        <v/>
      </c>
      <c r="DU20" s="1163">
        <f t="shared" si="81"/>
        <v>0</v>
      </c>
      <c r="DV20" s="1163">
        <f t="shared" ca="1" si="82"/>
        <v>338.25761115560408</v>
      </c>
      <c r="DW20" s="1163" t="str">
        <f t="shared" ca="1" si="83"/>
        <v/>
      </c>
      <c r="DX20" s="1163" t="str">
        <f t="shared" ca="1" si="84"/>
        <v/>
      </c>
      <c r="DY20" s="267"/>
      <c r="DZ20" s="3239">
        <f>'4 Eingabe Friseure'!L17</f>
        <v>0</v>
      </c>
      <c r="EA20" s="3239"/>
      <c r="EB20" s="3239">
        <f>IF($DZ20=12,1,'4 Eingabe Friseure'!N17)</f>
        <v>1</v>
      </c>
      <c r="EC20" s="3239">
        <f>IF($DZ20=12,1,'4 Eingabe Friseure'!O17)</f>
        <v>1</v>
      </c>
      <c r="ED20" s="3239">
        <f>IF($DZ20=12,1,'4 Eingabe Friseure'!P17)</f>
        <v>1</v>
      </c>
      <c r="EE20" s="3239">
        <f>IF($DZ20=12,1,'4 Eingabe Friseure'!Q17)</f>
        <v>1</v>
      </c>
      <c r="EF20" s="3239">
        <f>IF($DZ20=12,1,'4 Eingabe Friseure'!R17)</f>
        <v>1</v>
      </c>
      <c r="EG20" s="3239">
        <f>IF($DZ20=12,1,'4 Eingabe Friseure'!S17)</f>
        <v>1</v>
      </c>
      <c r="EH20" s="3239">
        <f>IF($DZ20=12,1,'4 Eingabe Friseure'!T17)</f>
        <v>1</v>
      </c>
      <c r="EI20" s="3239">
        <f>IF($DZ20=12,1,'4 Eingabe Friseure'!U17)</f>
        <v>0</v>
      </c>
      <c r="EJ20" s="3239">
        <f>IF($DZ20=12,1,'4 Eingabe Friseure'!V17)</f>
        <v>0</v>
      </c>
      <c r="EK20" s="3239">
        <f>IF($DZ20=12,1,'4 Eingabe Friseure'!W17)</f>
        <v>0</v>
      </c>
      <c r="EL20" s="3239">
        <f>IF($DZ20=12,1,'4 Eingabe Friseure'!X17)</f>
        <v>0</v>
      </c>
      <c r="EM20" s="3239">
        <f>IF($DZ20=12,1,'4 Eingabe Friseure'!Y17)</f>
        <v>0</v>
      </c>
    </row>
    <row r="21" spans="1:143" ht="18" customHeight="1">
      <c r="A21" s="2740" t="str">
        <f ca="1">IF('22 Sollumsatz pro MA '!A19="","",'22 Sollumsatz pro MA '!A19)</f>
        <v>Salli</v>
      </c>
      <c r="B21" s="1945"/>
      <c r="C21" s="1981"/>
      <c r="D21" s="1957"/>
      <c r="E21" s="2097" t="str">
        <f ca="1">IF($A21="","",IF(EB21=0,"",'23 LF individuell'!$AG19*$B21))</f>
        <v/>
      </c>
      <c r="F21" s="2100" t="str">
        <f ca="1">IF($A21="","",IF(EB21=0,"",'23 LF individuell'!$AH19*$B21))</f>
        <v/>
      </c>
      <c r="G21" s="2101" t="str">
        <f ca="1">IF($A21="","",IF(EB21=0,"",'23 LF individuell'!$AI19*$B21))</f>
        <v/>
      </c>
      <c r="H21" s="1945"/>
      <c r="I21" s="1981"/>
      <c r="J21" s="1957"/>
      <c r="K21" s="2006" t="str">
        <f ca="1">IF($A21="","",IF(EC21=0,"",'23 LF individuell'!$AG19*H21))</f>
        <v/>
      </c>
      <c r="L21" s="2007" t="str">
        <f ca="1">IF($A21="","",IF(EC21=0,"",'23 LF individuell'!$AH19*H21))</f>
        <v/>
      </c>
      <c r="M21" s="2008" t="str">
        <f ca="1">IF($A21="","",IF(EC21=0,"",'23 LF individuell'!$AI19*H21))</f>
        <v/>
      </c>
      <c r="N21" s="1945"/>
      <c r="O21" s="1981"/>
      <c r="P21" s="1957"/>
      <c r="Q21" s="2097" t="str">
        <f ca="1">IF($A21="","",IF(ED21=0,"",'23 LF individuell'!$AG19*N21))</f>
        <v/>
      </c>
      <c r="R21" s="2098" t="str">
        <f ca="1">IF($A21="","",IF(ED21=0,"",'23 LF individuell'!$AH19*N21))</f>
        <v/>
      </c>
      <c r="S21" s="2099" t="str">
        <f ca="1">IF($A21="","",IF(ED21=0,"",'23 LF individuell'!$AI19*N21))</f>
        <v/>
      </c>
      <c r="T21" s="1945"/>
      <c r="U21" s="1981"/>
      <c r="V21" s="1957"/>
      <c r="W21" s="2006" t="str">
        <f ca="1">IF($A21="","",IF(EE21=0,"",'23 LF individuell'!$AG19*T21))</f>
        <v/>
      </c>
      <c r="X21" s="2007" t="str">
        <f ca="1">IF($A21="","",IF(EE21=0,"",'23 LF individuell'!$AH19*T21))</f>
        <v/>
      </c>
      <c r="Y21" s="2008" t="str">
        <f ca="1">IF($A21="","",IF(EE21=0,"",'23 LF individuell'!$AI19*T21))</f>
        <v/>
      </c>
      <c r="Z21" s="1945"/>
      <c r="AA21" s="1981"/>
      <c r="AB21" s="1957"/>
      <c r="AC21" s="2097" t="str">
        <f ca="1">IF($A21="","",IF(EF21=0,"",'23 LF individuell'!$AG19*Z21))</f>
        <v/>
      </c>
      <c r="AD21" s="2098" t="str">
        <f ca="1">IF($A21="","",IF(EF21=0,"",'23 LF individuell'!$AH19*Z21))</f>
        <v/>
      </c>
      <c r="AE21" s="2099" t="str">
        <f ca="1">IF($A21="","",IF(EF21=0,"",'23 LF individuell'!$AI19*Z21))</f>
        <v/>
      </c>
      <c r="AF21" s="1945"/>
      <c r="AG21" s="1981"/>
      <c r="AH21" s="1957"/>
      <c r="AI21" s="2006" t="str">
        <f ca="1">IF($A21="","",IF(EG21=0,"",'23 LF individuell'!$AG19*AF21))</f>
        <v/>
      </c>
      <c r="AJ21" s="2007" t="str">
        <f ca="1">IF($A21="","",IF(EG21=0,"",'23 LF individuell'!$AH19*AF21))</f>
        <v/>
      </c>
      <c r="AK21" s="2008" t="str">
        <f ca="1">IF($A21="","",IF(EG21=0,"",'23 LF individuell'!$AI19*AF21))</f>
        <v/>
      </c>
      <c r="AL21" s="2003"/>
      <c r="AM21" s="2004"/>
      <c r="AN21" s="2005"/>
      <c r="AO21" s="2097" t="str">
        <f ca="1">IF($A21="","",IF(EH21=0,"",'23 LF individuell'!$AG19*AL21))</f>
        <v/>
      </c>
      <c r="AP21" s="2098" t="str">
        <f ca="1">IF($A21="","",IF(EH21=0,"",'23 LF individuell'!$AH19*AL21))</f>
        <v/>
      </c>
      <c r="AQ21" s="2099" t="str">
        <f ca="1">IF($A21="","",IF(EH21=0,"",'23 LF individuell'!$AI19*AL21))</f>
        <v/>
      </c>
      <c r="AR21" s="2003">
        <v>17</v>
      </c>
      <c r="AS21" s="2004"/>
      <c r="AT21" s="2005"/>
      <c r="AU21" s="2006">
        <f ca="1">IF($A21="","",IF(EI21=0,"",'23 LF individuell'!$AG19*AR21))</f>
        <v>8309.94</v>
      </c>
      <c r="AV21" s="2007">
        <f ca="1">IF($A21="","",IF(EI21=0,"",'23 LF individuell'!$AH19*AR21))</f>
        <v>7855.6058124349211</v>
      </c>
      <c r="AW21" s="2008">
        <f ca="1">IF($A21="","",IF(EI21=0,"",'23 LF individuell'!$AI19*AR21))</f>
        <v>457.22168019518853</v>
      </c>
      <c r="AX21" s="2003">
        <v>12</v>
      </c>
      <c r="AY21" s="2004">
        <v>5</v>
      </c>
      <c r="AZ21" s="2005"/>
      <c r="BA21" s="2097">
        <f ca="1">IF($A21="","",IF(EJ21=0,"",'23 LF individuell'!$AG19*AX21))</f>
        <v>5865.84</v>
      </c>
      <c r="BB21" s="2098">
        <f ca="1">IF($A21="","",IF(EJ21=0,"",'23 LF individuell'!$AH19*AX21))</f>
        <v>5545.133514659944</v>
      </c>
      <c r="BC21" s="2099">
        <f ca="1">IF($A21="","",IF(EJ21=0,"",'23 LF individuell'!$AI19*AX21))</f>
        <v>322.74471543189782</v>
      </c>
      <c r="BD21" s="2003">
        <v>12</v>
      </c>
      <c r="BE21" s="2004"/>
      <c r="BF21" s="2005">
        <v>5</v>
      </c>
      <c r="BG21" s="2006">
        <f ca="1">IF($A21="","",IF(EK21=0,"",'23 LF individuell'!$AG19*BD21))</f>
        <v>5865.84</v>
      </c>
      <c r="BH21" s="2007">
        <f ca="1">IF($A21="","",IF(EK21=0,"",'23 LF individuell'!$AH19*BD21))</f>
        <v>5545.133514659944</v>
      </c>
      <c r="BI21" s="2008">
        <f ca="1">IF($A21="","",IF(EK21=0,"",'23 LF individuell'!$AI19*BD21))</f>
        <v>322.74471543189782</v>
      </c>
      <c r="BJ21" s="2003">
        <v>14</v>
      </c>
      <c r="BK21" s="2004"/>
      <c r="BL21" s="2005">
        <v>2</v>
      </c>
      <c r="BM21" s="2097">
        <f ca="1">IF($A21="","",IF(EL21=0,"",'23 LF individuell'!$AG19*BJ21))</f>
        <v>6843.48</v>
      </c>
      <c r="BN21" s="2098">
        <f ca="1">IF($A21="","",IF(EL21=0,"",'23 LF individuell'!$AH19*BJ21))</f>
        <v>6469.3224337699348</v>
      </c>
      <c r="BO21" s="2099">
        <f ca="1">IF($A21="","",IF(EL21=0,"",'23 LF individuell'!$AI19*BJ21))</f>
        <v>376.5355013372141</v>
      </c>
      <c r="BP21" s="2003">
        <v>17</v>
      </c>
      <c r="BQ21" s="2004"/>
      <c r="BR21" s="2005"/>
      <c r="BS21" s="2006">
        <f ca="1">IF($A21="","",IF(EM21=0,"",'23 LF individuell'!$AG19*BP21))</f>
        <v>8309.94</v>
      </c>
      <c r="BT21" s="2007">
        <f ca="1">IF($A21="","",IF(EM21=0,"",'23 LF individuell'!$AH19*BP21))</f>
        <v>7855.6058124349211</v>
      </c>
      <c r="BU21" s="2008">
        <f ca="1">IF($A21="","",IF(EM21=0,"",'23 LF individuell'!$AI19*BP21))</f>
        <v>457.22168019518853</v>
      </c>
      <c r="BV21" s="2044">
        <f t="shared" ca="1" si="54"/>
        <v>72</v>
      </c>
      <c r="BW21" s="2044">
        <f t="shared" ca="1" si="55"/>
        <v>5</v>
      </c>
      <c r="BX21" s="2044">
        <f t="shared" ca="1" si="56"/>
        <v>7</v>
      </c>
      <c r="BY21" s="2049">
        <f t="shared" ca="1" si="57"/>
        <v>35195.040000000001</v>
      </c>
      <c r="BZ21" s="2049">
        <f t="shared" ca="1" si="58"/>
        <v>33270.801087959662</v>
      </c>
      <c r="CA21" s="2049">
        <f t="shared" ca="1" si="59"/>
        <v>1936.4682925913867</v>
      </c>
      <c r="CB21" s="2116" t="str">
        <f t="shared" ca="1" si="60"/>
        <v>Salli</v>
      </c>
      <c r="CC21" s="1163" t="str">
        <f t="shared" si="61"/>
        <v>Januar</v>
      </c>
      <c r="CD21" s="1163">
        <f t="shared" si="62"/>
        <v>0</v>
      </c>
      <c r="CE21" s="1163">
        <f t="shared" si="63"/>
        <v>0</v>
      </c>
      <c r="CF21" s="1163">
        <f t="shared" si="64"/>
        <v>0</v>
      </c>
      <c r="CG21" s="1163">
        <f>IF($CD$10="Januar",'25a Soll-Ist Vergl. + Provision'!D18,IF($CD$10="Februar",'25a Soll-Ist Vergl. + Provision'!O18,IF($CD$10="März",'25a Soll-Ist Vergl. + Provision'!Z18,'25a Soll-Ist Vergl. + Provision'!AK18)))</f>
        <v>0</v>
      </c>
      <c r="CH21" s="1163" t="str">
        <f ca="1">IF($CD$10="Januar",'25a Soll-Ist Vergl. + Provision'!E18,IF($CD$10="Februar",'25a Soll-Ist Vergl. + Provision'!P18,IF($CD$10="März",'25a Soll-Ist Vergl. + Provision'!AA18,'25a Soll-Ist Vergl. + Provision'!AL18)))</f>
        <v/>
      </c>
      <c r="CI21" s="1163" t="str">
        <f ca="1">IF($CD$10="Januar",'25a Soll-Ist Vergl. + Provision'!F18,IF($CD$10="Februar",'25a Soll-Ist Vergl. + Provision'!Q18,IF($CD$10="März",'25a Soll-Ist Vergl. + Provision'!AB18,'25a Soll-Ist Vergl. + Provision'!AM18)))</f>
        <v/>
      </c>
      <c r="CJ21" s="1163" t="str">
        <f ca="1">IF($CD$10="Januar",'25a Soll-Ist Vergl. + Provision'!G18,IF($CD$10="Februar",'25a Soll-Ist Vergl. + Provision'!R18,IF($CD$10="März",'25a Soll-Ist Vergl. + Provision'!AC18,'25a Soll-Ist Vergl. + Provision'!AN18)))</f>
        <v/>
      </c>
      <c r="CK21" s="1163">
        <f>IF($CD$10="Januar",'25a Soll-Ist Vergl. + Provision'!H18,IF($CD$10="Februar",'25a Soll-Ist Vergl. + Provision'!S18,IF($CD$10="März",'25a Soll-Ist Vergl. + Provision'!AD18,'25a Soll-Ist Vergl. + Provision'!AO18)))</f>
        <v>0</v>
      </c>
      <c r="CL21" s="1163" t="str">
        <f ca="1">IF($CD$10="Januar",'25a Soll-Ist Vergl. + Provision'!I18,IF($CD$10="Februar",'25a Soll-Ist Vergl. + Provision'!T18,IF($CD$10="März",'25a Soll-Ist Vergl. + Provision'!AE18,'25a Soll-Ist Vergl. + Provision'!AP18)))</f>
        <v/>
      </c>
      <c r="CM21" s="1163" t="str">
        <f ca="1">IF($CD$10="Januar",'25a Soll-Ist Vergl. + Provision'!J18,IF($CD$10="Februar",'25a Soll-Ist Vergl. + Provision'!U18,IF($CD$10="März",'25a Soll-Ist Vergl. + Provision'!AF18,'25a Soll-Ist Vergl. + Provision'!AQ18)))</f>
        <v/>
      </c>
      <c r="CN21" s="1163" t="str">
        <f ca="1">IF($CD$10="Januar",'25a Soll-Ist Vergl. + Provision'!K18,IF($CD$10="Februar",'25a Soll-Ist Vergl. + Provision'!V18,IF($CD$10="März",'25a Soll-Ist Vergl. + Provision'!AG18,'25a Soll-Ist Vergl. + Provision'!AR18)))</f>
        <v/>
      </c>
      <c r="CO21" s="1163" t="str">
        <f t="shared" si="65"/>
        <v>August</v>
      </c>
      <c r="CP21" s="1163">
        <f t="shared" si="66"/>
        <v>17</v>
      </c>
      <c r="CQ21" s="1163">
        <f t="shared" si="67"/>
        <v>0</v>
      </c>
      <c r="CR21" s="1163">
        <f t="shared" si="68"/>
        <v>0</v>
      </c>
      <c r="CS21" s="1163">
        <f>IF($CP$10="Mai",'25a Soll-Ist Vergl. + Provision'!AV18,IF($CP$10="Juni",'25a Soll-Ist Vergl. + Provision'!BG18,IF($CP$10="Juli",'25a Soll-Ist Vergl. + Provision'!BR18,'25a Soll-Ist Vergl. + Provision'!CC18)))</f>
        <v>0</v>
      </c>
      <c r="CT21" s="1163">
        <f ca="1">IF($CP$10="Mai",'25a Soll-Ist Vergl. + Provision'!AW18,IF($CP$10="Juni",'25a Soll-Ist Vergl. + Provision'!BH18,IF($CP$10="Juli",'25a Soll-Ist Vergl. + Provision'!BS18,'25a Soll-Ist Vergl. + Provision'!CD18)))</f>
        <v>7855.6058124349211</v>
      </c>
      <c r="CU21" s="1163" t="str">
        <f ca="1">IF($CP$10="Mai",'25a Soll-Ist Vergl. + Provision'!AX18,IF($CP$10="Juni",'25a Soll-Ist Vergl. + Provision'!BI18,IF($CP$10="Juli",'25a Soll-Ist Vergl. + Provision'!BT18,'25a Soll-Ist Vergl. + Provision'!CE18)))</f>
        <v/>
      </c>
      <c r="CV21" s="1163" t="str">
        <f ca="1">IF($CP$10="Mai",'25a Soll-Ist Vergl. + Provision'!AY18,IF($CP$10="Juni",'25a Soll-Ist Vergl. + Provision'!BJ18,IF($CP$10="Juli",'25a Soll-Ist Vergl. + Provision'!BU18,'25a Soll-Ist Vergl. + Provision'!CF18)))</f>
        <v/>
      </c>
      <c r="CW21" s="1163">
        <f>IF($CP$10="Mai",'25a Soll-Ist Vergl. + Provision'!AZ18,IF($CP$10="Juni",'25a Soll-Ist Vergl. + Provision'!BK18,IF($CP$10="Juli",'25a Soll-Ist Vergl. + Provision'!BV18,'25a Soll-Ist Vergl. + Provision'!CG18)))</f>
        <v>0</v>
      </c>
      <c r="CX21" s="1163">
        <f ca="1">IF($CP$10="Mai",'25a Soll-Ist Vergl. + Provision'!BA18,IF($CP$10="Juni",'25a Soll-Ist Vergl. + Provision'!BL18,IF($CP$10="Juli",'25a Soll-Ist Vergl. + Provision'!BW18,'25a Soll-Ist Vergl. + Provision'!CH18)))</f>
        <v>457.22168019518853</v>
      </c>
      <c r="CY21" s="1163" t="str">
        <f ca="1">IF($CP$10="Mai",'25a Soll-Ist Vergl. + Provision'!BB18,IF($CP$10="Juni",'25a Soll-Ist Vergl. + Provision'!BM18,IF($CP$10="Juli",'25a Soll-Ist Vergl. + Provision'!BX18,'25a Soll-Ist Vergl. + Provision'!CI18)))</f>
        <v/>
      </c>
      <c r="CZ21" s="1163" t="str">
        <f ca="1">IF($CP$10="Mai",'25a Soll-Ist Vergl. + Provision'!BC18,IF($CP$10="Juni",'25a Soll-Ist Vergl. + Provision'!BN18,IF($CP$10="Juli",'25a Soll-Ist Vergl. + Provision'!BY18,'25a Soll-Ist Vergl. + Provision'!CJ18)))</f>
        <v/>
      </c>
      <c r="DA21" s="1163" t="str">
        <f t="shared" si="69"/>
        <v>Dezember</v>
      </c>
      <c r="DB21" s="1163">
        <f t="shared" si="70"/>
        <v>17</v>
      </c>
      <c r="DC21" s="1163">
        <f t="shared" si="71"/>
        <v>0</v>
      </c>
      <c r="DD21" s="1163">
        <f t="shared" si="72"/>
        <v>0</v>
      </c>
      <c r="DE21" s="1163">
        <f>IF($DB$10="September",'25a Soll-Ist Vergl. + Provision'!CN18,IF($DB$10="Oktober",'25a Soll-Ist Vergl. + Provision'!CY18,IF($DB$10="November",'25a Soll-Ist Vergl. + Provision'!DJ18,'25a Soll-Ist Vergl. + Provision'!DU18)))</f>
        <v>0</v>
      </c>
      <c r="DF21" s="1163">
        <f ca="1">IF($DB$10="September",'25a Soll-Ist Vergl. + Provision'!CO18,IF($DB$10="Oktober",'25a Soll-Ist Vergl. + Provision'!CZ18,IF($DB$10="November",'25a Soll-Ist Vergl. + Provision'!DK18,'25a Soll-Ist Vergl. + Provision'!DV18)))</f>
        <v>7855.6058124349211</v>
      </c>
      <c r="DG21" s="1163" t="str">
        <f ca="1">IF($DB$10="September",'25a Soll-Ist Vergl. + Provision'!CP18,IF($DB$10="Oktober",'25a Soll-Ist Vergl. + Provision'!DA18,IF($DB$10="November",'25a Soll-Ist Vergl. + Provision'!DL18,'25a Soll-Ist Vergl. + Provision'!DW18)))</f>
        <v/>
      </c>
      <c r="DH21" s="1163" t="str">
        <f ca="1">IF($DB$10="September",'25a Soll-Ist Vergl. + Provision'!CQ18,IF($DB$10="Oktober",'25a Soll-Ist Vergl. + Provision'!DB18,IF($DB$10="November",'25a Soll-Ist Vergl. + Provision'!DM18,'25a Soll-Ist Vergl. + Provision'!DX18)))</f>
        <v/>
      </c>
      <c r="DI21" s="1163">
        <f>IF($DB$10="September",'25a Soll-Ist Vergl. + Provision'!CR18,IF($DB$10="Oktober",'25a Soll-Ist Vergl. + Provision'!DC18,IF($DB$10="November",'25a Soll-Ist Vergl. + Provision'!DN18,'25a Soll-Ist Vergl. + Provision'!DY18)))</f>
        <v>0</v>
      </c>
      <c r="DJ21" s="1163">
        <f ca="1">IF($DB$10="September",'25a Soll-Ist Vergl. + Provision'!CS18,IF($DB$10="Oktober",'25a Soll-Ist Vergl. + Provision'!DD18,IF($DB$10="November",'25a Soll-Ist Vergl. + Provision'!DO18,'25a Soll-Ist Vergl. + Provision'!DZ18)))</f>
        <v>457.22168019518853</v>
      </c>
      <c r="DK21" s="1163" t="str">
        <f ca="1">IF($DB$10="September",'25a Soll-Ist Vergl. + Provision'!CT18,IF($DB$10="Oktober",'25a Soll-Ist Vergl. + Provision'!DE18,IF($DB$10="November",'25a Soll-Ist Vergl. + Provision'!DP18,'25a Soll-Ist Vergl. + Provision'!EA18)))</f>
        <v/>
      </c>
      <c r="DL21" s="1163" t="str">
        <f ca="1">IF($DB$10="September",'25a Soll-Ist Vergl. + Provision'!CU18,IF($DB$10="Oktober",'25a Soll-Ist Vergl. + Provision'!DF18,IF($DB$10="November",'25a Soll-Ist Vergl. + Provision'!DQ18,'25a Soll-Ist Vergl. + Provision'!EB18)))</f>
        <v/>
      </c>
      <c r="DM21" s="1163" t="str">
        <f t="shared" si="73"/>
        <v>Januar</v>
      </c>
      <c r="DN21" s="1163">
        <f t="shared" si="74"/>
        <v>0</v>
      </c>
      <c r="DO21" s="1163">
        <f t="shared" si="75"/>
        <v>0</v>
      </c>
      <c r="DP21" s="1163">
        <f t="shared" si="76"/>
        <v>0</v>
      </c>
      <c r="DQ21" s="1163">
        <f t="shared" si="77"/>
        <v>0</v>
      </c>
      <c r="DR21" s="1163" t="str">
        <f t="shared" ca="1" si="78"/>
        <v/>
      </c>
      <c r="DS21" s="1163" t="str">
        <f t="shared" ca="1" si="79"/>
        <v/>
      </c>
      <c r="DT21" s="1163" t="str">
        <f t="shared" ca="1" si="80"/>
        <v/>
      </c>
      <c r="DU21" s="1163">
        <f t="shared" si="81"/>
        <v>0</v>
      </c>
      <c r="DV21" s="1163" t="str">
        <f t="shared" ca="1" si="82"/>
        <v/>
      </c>
      <c r="DW21" s="1163" t="str">
        <f t="shared" ca="1" si="83"/>
        <v/>
      </c>
      <c r="DX21" s="1163" t="str">
        <f t="shared" ca="1" si="84"/>
        <v/>
      </c>
      <c r="DY21" s="267"/>
      <c r="DZ21" s="3239">
        <f>'4 Eingabe Friseure'!L18</f>
        <v>0</v>
      </c>
      <c r="EA21" s="3239"/>
      <c r="EB21" s="3239">
        <f>IF($DZ21=12,1,'4 Eingabe Friseure'!N18)</f>
        <v>0</v>
      </c>
      <c r="EC21" s="3239">
        <f>IF($DZ21=12,1,'4 Eingabe Friseure'!O18)</f>
        <v>0</v>
      </c>
      <c r="ED21" s="3239">
        <f>IF($DZ21=12,1,'4 Eingabe Friseure'!P18)</f>
        <v>0</v>
      </c>
      <c r="EE21" s="3239">
        <f>IF($DZ21=12,1,'4 Eingabe Friseure'!Q18)</f>
        <v>0</v>
      </c>
      <c r="EF21" s="3239">
        <f>IF($DZ21=12,1,'4 Eingabe Friseure'!R18)</f>
        <v>0</v>
      </c>
      <c r="EG21" s="3239">
        <f>IF($DZ21=12,1,'4 Eingabe Friseure'!S18)</f>
        <v>0</v>
      </c>
      <c r="EH21" s="3239">
        <f>IF($DZ21=12,1,'4 Eingabe Friseure'!T18)</f>
        <v>0</v>
      </c>
      <c r="EI21" s="3239">
        <f>IF($DZ21=12,1,'4 Eingabe Friseure'!U18)</f>
        <v>1</v>
      </c>
      <c r="EJ21" s="3239">
        <f>IF($DZ21=12,1,'4 Eingabe Friseure'!V18)</f>
        <v>1</v>
      </c>
      <c r="EK21" s="3239">
        <f>IF($DZ21=12,1,'4 Eingabe Friseure'!W18)</f>
        <v>1</v>
      </c>
      <c r="EL21" s="3239">
        <f>IF($DZ21=12,1,'4 Eingabe Friseure'!X18)</f>
        <v>1</v>
      </c>
      <c r="EM21" s="3239">
        <f>IF($DZ21=12,1,'4 Eingabe Friseure'!Y18)</f>
        <v>1</v>
      </c>
    </row>
    <row r="22" spans="1:143" ht="18" customHeight="1">
      <c r="A22" s="2740" t="str">
        <f ca="1">IF('22 Sollumsatz pro MA '!A20="","",'22 Sollumsatz pro MA '!A20)</f>
        <v/>
      </c>
      <c r="B22" s="1945"/>
      <c r="C22" s="1981"/>
      <c r="D22" s="1957"/>
      <c r="E22" s="2097" t="str">
        <f ca="1">IF($A22="","",IF(EB22=0,"",'23 LF individuell'!$AG20*$B22))</f>
        <v/>
      </c>
      <c r="F22" s="2100" t="str">
        <f ca="1">IF($A22="","",IF(EB22=0,"",'23 LF individuell'!$AH20*$B22))</f>
        <v/>
      </c>
      <c r="G22" s="2101" t="str">
        <f ca="1">IF($A22="","",IF(EB22=0,"",'23 LF individuell'!$AI20*$B22))</f>
        <v/>
      </c>
      <c r="H22" s="1945"/>
      <c r="I22" s="1981"/>
      <c r="J22" s="1957"/>
      <c r="K22" s="2006" t="str">
        <f ca="1">IF($A22="","",IF(EC22=0,"",'23 LF individuell'!$AG20*H22))</f>
        <v/>
      </c>
      <c r="L22" s="2007" t="str">
        <f ca="1">IF($A22="","",IF(EC22=0,"",'23 LF individuell'!$AH20*H22))</f>
        <v/>
      </c>
      <c r="M22" s="2008" t="str">
        <f ca="1">IF($A22="","",IF(EC22=0,"",'23 LF individuell'!$AI20*H22))</f>
        <v/>
      </c>
      <c r="N22" s="1945"/>
      <c r="O22" s="1981"/>
      <c r="P22" s="1957"/>
      <c r="Q22" s="2097" t="str">
        <f ca="1">IF($A22="","",IF(ED22=0,"",'23 LF individuell'!$AG20*N22))</f>
        <v/>
      </c>
      <c r="R22" s="2098" t="str">
        <f ca="1">IF($A22="","",IF(ED22=0,"",'23 LF individuell'!$AH20*N22))</f>
        <v/>
      </c>
      <c r="S22" s="2099" t="str">
        <f ca="1">IF($A22="","",IF(ED22=0,"",'23 LF individuell'!$AI20*N22))</f>
        <v/>
      </c>
      <c r="T22" s="1945"/>
      <c r="U22" s="1981"/>
      <c r="V22" s="1957"/>
      <c r="W22" s="2006" t="str">
        <f ca="1">IF($A22="","",IF(EE22=0,"",'23 LF individuell'!$AG20*T22))</f>
        <v/>
      </c>
      <c r="X22" s="2007" t="str">
        <f ca="1">IF($A22="","",IF(EE22=0,"",'23 LF individuell'!$AH20*T22))</f>
        <v/>
      </c>
      <c r="Y22" s="2008" t="str">
        <f ca="1">IF($A22="","",IF(EE22=0,"",'23 LF individuell'!$AI20*T22))</f>
        <v/>
      </c>
      <c r="Z22" s="1945"/>
      <c r="AA22" s="1981"/>
      <c r="AB22" s="1957"/>
      <c r="AC22" s="2097" t="str">
        <f ca="1">IF($A22="","",IF(EF22=0,"",'23 LF individuell'!$AG20*Z22))</f>
        <v/>
      </c>
      <c r="AD22" s="2098" t="str">
        <f ca="1">IF($A22="","",IF(EF22=0,"",'23 LF individuell'!$AH20*Z22))</f>
        <v/>
      </c>
      <c r="AE22" s="2099" t="str">
        <f ca="1">IF($A22="","",IF(EF22=0,"",'23 LF individuell'!$AI20*Z22))</f>
        <v/>
      </c>
      <c r="AF22" s="1945"/>
      <c r="AG22" s="1981"/>
      <c r="AH22" s="1957"/>
      <c r="AI22" s="2006" t="str">
        <f ca="1">IF($A22="","",IF(EG22=0,"",'23 LF individuell'!$AG20*AF22))</f>
        <v/>
      </c>
      <c r="AJ22" s="2007" t="str">
        <f ca="1">IF($A22="","",IF(EG22=0,"",'23 LF individuell'!$AH20*AF22))</f>
        <v/>
      </c>
      <c r="AK22" s="2008" t="str">
        <f ca="1">IF($A22="","",IF(EG22=0,"",'23 LF individuell'!$AI20*AF22))</f>
        <v/>
      </c>
      <c r="AL22" s="2003"/>
      <c r="AM22" s="2004"/>
      <c r="AN22" s="2005"/>
      <c r="AO22" s="2097" t="str">
        <f ca="1">IF($A22="","",IF(EH22=0,"",'23 LF individuell'!$AG20*AL22))</f>
        <v/>
      </c>
      <c r="AP22" s="2098" t="str">
        <f ca="1">IF($A22="","",IF(EH22=0,"",'23 LF individuell'!$AH20*AL22))</f>
        <v/>
      </c>
      <c r="AQ22" s="2099" t="str">
        <f ca="1">IF($A22="","",IF(EH22=0,"",'23 LF individuell'!$AI20*AL22))</f>
        <v/>
      </c>
      <c r="AR22" s="2003"/>
      <c r="AS22" s="2004"/>
      <c r="AT22" s="2005"/>
      <c r="AU22" s="2006" t="str">
        <f ca="1">IF($A22="","",IF(EI22=0,"",'23 LF individuell'!$AG20*AR22))</f>
        <v/>
      </c>
      <c r="AV22" s="2007" t="str">
        <f ca="1">IF($A22="","",IF(EI22=0,"",'23 LF individuell'!$AH20*AR22))</f>
        <v/>
      </c>
      <c r="AW22" s="2008" t="str">
        <f ca="1">IF($A22="","",IF(EI22=0,"",'23 LF individuell'!$AI20*AR22))</f>
        <v/>
      </c>
      <c r="AX22" s="2003"/>
      <c r="AY22" s="2004"/>
      <c r="AZ22" s="2005"/>
      <c r="BA22" s="2097" t="str">
        <f ca="1">IF($A22="","",IF(EJ22=0,"",'23 LF individuell'!$AG20*AX22))</f>
        <v/>
      </c>
      <c r="BB22" s="2098" t="str">
        <f ca="1">IF($A22="","",IF(EJ22=0,"",'23 LF individuell'!$AH20*AX22))</f>
        <v/>
      </c>
      <c r="BC22" s="2099" t="str">
        <f ca="1">IF($A22="","",IF(EJ22=0,"",'23 LF individuell'!$AI20*AX22))</f>
        <v/>
      </c>
      <c r="BD22" s="2003"/>
      <c r="BE22" s="2004"/>
      <c r="BF22" s="2005"/>
      <c r="BG22" s="2006" t="str">
        <f ca="1">IF($A22="","",IF(EK22=0,"",'23 LF individuell'!$AG20*BD22))</f>
        <v/>
      </c>
      <c r="BH22" s="2007" t="str">
        <f ca="1">IF($A22="","",IF(EK22=0,"",'23 LF individuell'!$AH20*BD22))</f>
        <v/>
      </c>
      <c r="BI22" s="2008" t="str">
        <f ca="1">IF($A22="","",IF(EK22=0,"",'23 LF individuell'!$AI20*BD22))</f>
        <v/>
      </c>
      <c r="BJ22" s="2003"/>
      <c r="BK22" s="2004"/>
      <c r="BL22" s="2005"/>
      <c r="BM22" s="2097" t="str">
        <f ca="1">IF($A22="","",IF(EL22=0,"",'23 LF individuell'!$AG20*BJ22))</f>
        <v/>
      </c>
      <c r="BN22" s="2098" t="str">
        <f ca="1">IF($A22="","",IF(EL22=0,"",'23 LF individuell'!$AH20*BJ22))</f>
        <v/>
      </c>
      <c r="BO22" s="2099" t="str">
        <f ca="1">IF($A22="","",IF(EL22=0,"",'23 LF individuell'!$AI20*BJ22))</f>
        <v/>
      </c>
      <c r="BP22" s="2003"/>
      <c r="BQ22" s="2004"/>
      <c r="BR22" s="2005"/>
      <c r="BS22" s="2006" t="str">
        <f ca="1">IF($A22="","",IF(EM22=0,"",'23 LF individuell'!$AG20*BP22))</f>
        <v/>
      </c>
      <c r="BT22" s="2007" t="str">
        <f ca="1">IF($A22="","",IF(EM22=0,"",'23 LF individuell'!$AH20*BP22))</f>
        <v/>
      </c>
      <c r="BU22" s="2008" t="str">
        <f ca="1">IF($A22="","",IF(EM22=0,"",'23 LF individuell'!$AI20*BP22))</f>
        <v/>
      </c>
      <c r="BV22" s="2044" t="str">
        <f t="shared" ca="1" si="54"/>
        <v/>
      </c>
      <c r="BW22" s="2044" t="str">
        <f t="shared" ca="1" si="55"/>
        <v/>
      </c>
      <c r="BX22" s="2044" t="str">
        <f t="shared" ca="1" si="56"/>
        <v/>
      </c>
      <c r="BY22" s="2049" t="str">
        <f t="shared" ca="1" si="57"/>
        <v/>
      </c>
      <c r="BZ22" s="2049" t="str">
        <f t="shared" ca="1" si="58"/>
        <v/>
      </c>
      <c r="CA22" s="2049" t="str">
        <f t="shared" ca="1" si="59"/>
        <v/>
      </c>
      <c r="CB22" s="2116" t="str">
        <f t="shared" ca="1" si="60"/>
        <v/>
      </c>
      <c r="CC22" s="1163" t="str">
        <f t="shared" si="61"/>
        <v>Januar</v>
      </c>
      <c r="CD22" s="1163">
        <f t="shared" si="62"/>
        <v>0</v>
      </c>
      <c r="CE22" s="1163">
        <f t="shared" si="63"/>
        <v>0</v>
      </c>
      <c r="CF22" s="1163">
        <f t="shared" si="64"/>
        <v>0</v>
      </c>
      <c r="CG22" s="1163">
        <f>IF($CD$10="Januar",'25a Soll-Ist Vergl. + Provision'!D19,IF($CD$10="Februar",'25a Soll-Ist Vergl. + Provision'!O19,IF($CD$10="März",'25a Soll-Ist Vergl. + Provision'!Z19,'25a Soll-Ist Vergl. + Provision'!AK19)))</f>
        <v>0</v>
      </c>
      <c r="CH22" s="1163" t="str">
        <f ca="1">IF($CD$10="Januar",'25a Soll-Ist Vergl. + Provision'!E19,IF($CD$10="Februar",'25a Soll-Ist Vergl. + Provision'!P19,IF($CD$10="März",'25a Soll-Ist Vergl. + Provision'!AA19,'25a Soll-Ist Vergl. + Provision'!AL19)))</f>
        <v/>
      </c>
      <c r="CI22" s="1163" t="str">
        <f ca="1">IF($CD$10="Januar",'25a Soll-Ist Vergl. + Provision'!F19,IF($CD$10="Februar",'25a Soll-Ist Vergl. + Provision'!Q19,IF($CD$10="März",'25a Soll-Ist Vergl. + Provision'!AB19,'25a Soll-Ist Vergl. + Provision'!AM19)))</f>
        <v/>
      </c>
      <c r="CJ22" s="1163" t="str">
        <f ca="1">IF($CD$10="Januar",'25a Soll-Ist Vergl. + Provision'!G19,IF($CD$10="Februar",'25a Soll-Ist Vergl. + Provision'!R19,IF($CD$10="März",'25a Soll-Ist Vergl. + Provision'!AC19,'25a Soll-Ist Vergl. + Provision'!AN19)))</f>
        <v/>
      </c>
      <c r="CK22" s="1163">
        <f>IF($CD$10="Januar",'25a Soll-Ist Vergl. + Provision'!H19,IF($CD$10="Februar",'25a Soll-Ist Vergl. + Provision'!S19,IF($CD$10="März",'25a Soll-Ist Vergl. + Provision'!AD19,'25a Soll-Ist Vergl. + Provision'!AO19)))</f>
        <v>0</v>
      </c>
      <c r="CL22" s="1163" t="str">
        <f ca="1">IF($CD$10="Januar",'25a Soll-Ist Vergl. + Provision'!I19,IF($CD$10="Februar",'25a Soll-Ist Vergl. + Provision'!T19,IF($CD$10="März",'25a Soll-Ist Vergl. + Provision'!AE19,'25a Soll-Ist Vergl. + Provision'!AP19)))</f>
        <v/>
      </c>
      <c r="CM22" s="1163" t="str">
        <f ca="1">IF($CD$10="Januar",'25a Soll-Ist Vergl. + Provision'!J19,IF($CD$10="Februar",'25a Soll-Ist Vergl. + Provision'!U19,IF($CD$10="März",'25a Soll-Ist Vergl. + Provision'!AF19,'25a Soll-Ist Vergl. + Provision'!AQ19)))</f>
        <v/>
      </c>
      <c r="CN22" s="1163" t="str">
        <f ca="1">IF($CD$10="Januar",'25a Soll-Ist Vergl. + Provision'!K19,IF($CD$10="Februar",'25a Soll-Ist Vergl. + Provision'!V19,IF($CD$10="März",'25a Soll-Ist Vergl. + Provision'!AG19,'25a Soll-Ist Vergl. + Provision'!AR19)))</f>
        <v/>
      </c>
      <c r="CO22" s="1163" t="str">
        <f t="shared" si="65"/>
        <v>August</v>
      </c>
      <c r="CP22" s="1163">
        <f t="shared" si="66"/>
        <v>0</v>
      </c>
      <c r="CQ22" s="1163">
        <f t="shared" si="67"/>
        <v>0</v>
      </c>
      <c r="CR22" s="1163">
        <f t="shared" si="68"/>
        <v>0</v>
      </c>
      <c r="CS22" s="1163">
        <f>IF($CP$10="Mai",'25a Soll-Ist Vergl. + Provision'!AV19,IF($CP$10="Juni",'25a Soll-Ist Vergl. + Provision'!BG19,IF($CP$10="Juli",'25a Soll-Ist Vergl. + Provision'!BR19,'25a Soll-Ist Vergl. + Provision'!CC19)))</f>
        <v>0</v>
      </c>
      <c r="CT22" s="1163" t="str">
        <f ca="1">IF($CP$10="Mai",'25a Soll-Ist Vergl. + Provision'!AW19,IF($CP$10="Juni",'25a Soll-Ist Vergl. + Provision'!BH19,IF($CP$10="Juli",'25a Soll-Ist Vergl. + Provision'!BS19,'25a Soll-Ist Vergl. + Provision'!CD19)))</f>
        <v/>
      </c>
      <c r="CU22" s="1163" t="str">
        <f ca="1">IF($CP$10="Mai",'25a Soll-Ist Vergl. + Provision'!AX19,IF($CP$10="Juni",'25a Soll-Ist Vergl. + Provision'!BI19,IF($CP$10="Juli",'25a Soll-Ist Vergl. + Provision'!BT19,'25a Soll-Ist Vergl. + Provision'!CE19)))</f>
        <v/>
      </c>
      <c r="CV22" s="1163" t="str">
        <f ca="1">IF($CP$10="Mai",'25a Soll-Ist Vergl. + Provision'!AY19,IF($CP$10="Juni",'25a Soll-Ist Vergl. + Provision'!BJ19,IF($CP$10="Juli",'25a Soll-Ist Vergl. + Provision'!BU19,'25a Soll-Ist Vergl. + Provision'!CF19)))</f>
        <v/>
      </c>
      <c r="CW22" s="1163">
        <f>IF($CP$10="Mai",'25a Soll-Ist Vergl. + Provision'!AZ19,IF($CP$10="Juni",'25a Soll-Ist Vergl. + Provision'!BK19,IF($CP$10="Juli",'25a Soll-Ist Vergl. + Provision'!BV19,'25a Soll-Ist Vergl. + Provision'!CG19)))</f>
        <v>0</v>
      </c>
      <c r="CX22" s="1163" t="str">
        <f ca="1">IF($CP$10="Mai",'25a Soll-Ist Vergl. + Provision'!BA19,IF($CP$10="Juni",'25a Soll-Ist Vergl. + Provision'!BL19,IF($CP$10="Juli",'25a Soll-Ist Vergl. + Provision'!BW19,'25a Soll-Ist Vergl. + Provision'!CH19)))</f>
        <v/>
      </c>
      <c r="CY22" s="1163" t="str">
        <f ca="1">IF($CP$10="Mai",'25a Soll-Ist Vergl. + Provision'!BB19,IF($CP$10="Juni",'25a Soll-Ist Vergl. + Provision'!BM19,IF($CP$10="Juli",'25a Soll-Ist Vergl. + Provision'!BX19,'25a Soll-Ist Vergl. + Provision'!CI19)))</f>
        <v/>
      </c>
      <c r="CZ22" s="1163" t="str">
        <f ca="1">IF($CP$10="Mai",'25a Soll-Ist Vergl. + Provision'!BC19,IF($CP$10="Juni",'25a Soll-Ist Vergl. + Provision'!BN19,IF($CP$10="Juli",'25a Soll-Ist Vergl. + Provision'!BY19,'25a Soll-Ist Vergl. + Provision'!CJ19)))</f>
        <v/>
      </c>
      <c r="DA22" s="1163" t="str">
        <f t="shared" si="69"/>
        <v>Dezember</v>
      </c>
      <c r="DB22" s="1163">
        <f t="shared" si="70"/>
        <v>0</v>
      </c>
      <c r="DC22" s="1163">
        <f t="shared" si="71"/>
        <v>0</v>
      </c>
      <c r="DD22" s="1163">
        <f t="shared" si="72"/>
        <v>0</v>
      </c>
      <c r="DE22" s="1163">
        <f>IF($DB$10="September",'25a Soll-Ist Vergl. + Provision'!CN19,IF($DB$10="Oktober",'25a Soll-Ist Vergl. + Provision'!CY19,IF($DB$10="November",'25a Soll-Ist Vergl. + Provision'!DJ19,'25a Soll-Ist Vergl. + Provision'!DU19)))</f>
        <v>0</v>
      </c>
      <c r="DF22" s="1163" t="str">
        <f ca="1">IF($DB$10="September",'25a Soll-Ist Vergl. + Provision'!CO19,IF($DB$10="Oktober",'25a Soll-Ist Vergl. + Provision'!CZ19,IF($DB$10="November",'25a Soll-Ist Vergl. + Provision'!DK19,'25a Soll-Ist Vergl. + Provision'!DV19)))</f>
        <v/>
      </c>
      <c r="DG22" s="1163" t="str">
        <f ca="1">IF($DB$10="September",'25a Soll-Ist Vergl. + Provision'!CP19,IF($DB$10="Oktober",'25a Soll-Ist Vergl. + Provision'!DA19,IF($DB$10="November",'25a Soll-Ist Vergl. + Provision'!DL19,'25a Soll-Ist Vergl. + Provision'!DW19)))</f>
        <v/>
      </c>
      <c r="DH22" s="1163" t="str">
        <f ca="1">IF($DB$10="September",'25a Soll-Ist Vergl. + Provision'!CQ19,IF($DB$10="Oktober",'25a Soll-Ist Vergl. + Provision'!DB19,IF($DB$10="November",'25a Soll-Ist Vergl. + Provision'!DM19,'25a Soll-Ist Vergl. + Provision'!DX19)))</f>
        <v/>
      </c>
      <c r="DI22" s="1163">
        <f>IF($DB$10="September",'25a Soll-Ist Vergl. + Provision'!CR19,IF($DB$10="Oktober",'25a Soll-Ist Vergl. + Provision'!DC19,IF($DB$10="November",'25a Soll-Ist Vergl. + Provision'!DN19,'25a Soll-Ist Vergl. + Provision'!DY19)))</f>
        <v>0</v>
      </c>
      <c r="DJ22" s="1163" t="str">
        <f ca="1">IF($DB$10="September",'25a Soll-Ist Vergl. + Provision'!CS19,IF($DB$10="Oktober",'25a Soll-Ist Vergl. + Provision'!DD19,IF($DB$10="November",'25a Soll-Ist Vergl. + Provision'!DO19,'25a Soll-Ist Vergl. + Provision'!DZ19)))</f>
        <v/>
      </c>
      <c r="DK22" s="1163" t="str">
        <f ca="1">IF($DB$10="September",'25a Soll-Ist Vergl. + Provision'!CT19,IF($DB$10="Oktober",'25a Soll-Ist Vergl. + Provision'!DE19,IF($DB$10="November",'25a Soll-Ist Vergl. + Provision'!DP19,'25a Soll-Ist Vergl. + Provision'!EA19)))</f>
        <v/>
      </c>
      <c r="DL22" s="1163" t="str">
        <f ca="1">IF($DB$10="September",'25a Soll-Ist Vergl. + Provision'!CU19,IF($DB$10="Oktober",'25a Soll-Ist Vergl. + Provision'!DF19,IF($DB$10="November",'25a Soll-Ist Vergl. + Provision'!DQ19,'25a Soll-Ist Vergl. + Provision'!EB19)))</f>
        <v/>
      </c>
      <c r="DM22" s="1163" t="str">
        <f t="shared" si="73"/>
        <v>Januar</v>
      </c>
      <c r="DN22" s="1163">
        <f t="shared" si="74"/>
        <v>0</v>
      </c>
      <c r="DO22" s="1163">
        <f t="shared" si="75"/>
        <v>0</v>
      </c>
      <c r="DP22" s="1163">
        <f t="shared" si="76"/>
        <v>0</v>
      </c>
      <c r="DQ22" s="1163">
        <f t="shared" si="77"/>
        <v>0</v>
      </c>
      <c r="DR22" s="1163" t="str">
        <f t="shared" ca="1" si="78"/>
        <v/>
      </c>
      <c r="DS22" s="1163" t="str">
        <f t="shared" ca="1" si="79"/>
        <v/>
      </c>
      <c r="DT22" s="1163" t="str">
        <f t="shared" ca="1" si="80"/>
        <v/>
      </c>
      <c r="DU22" s="1163">
        <f t="shared" si="81"/>
        <v>0</v>
      </c>
      <c r="DV22" s="1163" t="str">
        <f t="shared" ca="1" si="82"/>
        <v/>
      </c>
      <c r="DW22" s="1163" t="str">
        <f t="shared" ca="1" si="83"/>
        <v/>
      </c>
      <c r="DX22" s="1163" t="str">
        <f t="shared" ca="1" si="84"/>
        <v/>
      </c>
      <c r="DY22" s="267"/>
      <c r="DZ22" s="3239">
        <f>'4 Eingabe Friseure'!L19</f>
        <v>0</v>
      </c>
      <c r="EA22" s="3239"/>
      <c r="EB22" s="3239">
        <f>IF($DZ22=12,1,'4 Eingabe Friseure'!N19)</f>
        <v>0</v>
      </c>
      <c r="EC22" s="3239">
        <f>IF($DZ22=12,1,'4 Eingabe Friseure'!O19)</f>
        <v>0</v>
      </c>
      <c r="ED22" s="3239">
        <f>IF($DZ22=12,1,'4 Eingabe Friseure'!P19)</f>
        <v>0</v>
      </c>
      <c r="EE22" s="3239">
        <f>IF($DZ22=12,1,'4 Eingabe Friseure'!Q19)</f>
        <v>0</v>
      </c>
      <c r="EF22" s="3239">
        <f>IF($DZ22=12,1,'4 Eingabe Friseure'!R19)</f>
        <v>0</v>
      </c>
      <c r="EG22" s="3239">
        <f>IF($DZ22=12,1,'4 Eingabe Friseure'!S19)</f>
        <v>0</v>
      </c>
      <c r="EH22" s="3239">
        <f>IF($DZ22=12,1,'4 Eingabe Friseure'!T19)</f>
        <v>0</v>
      </c>
      <c r="EI22" s="3239">
        <f>IF($DZ22=12,1,'4 Eingabe Friseure'!U19)</f>
        <v>0</v>
      </c>
      <c r="EJ22" s="3239">
        <f>IF($DZ22=12,1,'4 Eingabe Friseure'!V19)</f>
        <v>0</v>
      </c>
      <c r="EK22" s="3239">
        <f>IF($DZ22=12,1,'4 Eingabe Friseure'!W19)</f>
        <v>0</v>
      </c>
      <c r="EL22" s="3239">
        <f>IF($DZ22=12,1,'4 Eingabe Friseure'!X19)</f>
        <v>0</v>
      </c>
      <c r="EM22" s="3239">
        <f>IF($DZ22=12,1,'4 Eingabe Friseure'!Y19)</f>
        <v>0</v>
      </c>
    </row>
    <row r="23" spans="1:143" ht="18" customHeight="1">
      <c r="A23" s="2740" t="str">
        <f ca="1">IF('22 Sollumsatz pro MA '!A21="","",'22 Sollumsatz pro MA '!A21)</f>
        <v/>
      </c>
      <c r="B23" s="1945"/>
      <c r="C23" s="1981"/>
      <c r="D23" s="1957"/>
      <c r="E23" s="2097" t="str">
        <f ca="1">IF($A23="","",IF(EB23=0,"",'23 LF individuell'!$AG21*$B23))</f>
        <v/>
      </c>
      <c r="F23" s="2100" t="str">
        <f ca="1">IF($A23="","",IF(EB23=0,"",'23 LF individuell'!$AH21*$B23))</f>
        <v/>
      </c>
      <c r="G23" s="2101" t="str">
        <f ca="1">IF($A23="","",IF(EB23=0,"",'23 LF individuell'!$AI21*$B23))</f>
        <v/>
      </c>
      <c r="H23" s="1945"/>
      <c r="I23" s="1981"/>
      <c r="J23" s="1957"/>
      <c r="K23" s="2006" t="str">
        <f ca="1">IF($A23="","",IF(EC23=0,"",'23 LF individuell'!$AG21*H23))</f>
        <v/>
      </c>
      <c r="L23" s="2007" t="str">
        <f ca="1">IF($A23="","",IF(EC23=0,"",'23 LF individuell'!$AH21*H23))</f>
        <v/>
      </c>
      <c r="M23" s="2008" t="str">
        <f ca="1">IF($A23="","",IF(EC23=0,"",'23 LF individuell'!$AI21*H23))</f>
        <v/>
      </c>
      <c r="N23" s="1945"/>
      <c r="O23" s="1981"/>
      <c r="P23" s="1957"/>
      <c r="Q23" s="2097" t="str">
        <f ca="1">IF($A23="","",IF(ED23=0,"",'23 LF individuell'!$AG21*N23))</f>
        <v/>
      </c>
      <c r="R23" s="2098" t="str">
        <f ca="1">IF($A23="","",IF(ED23=0,"",'23 LF individuell'!$AH21*N23))</f>
        <v/>
      </c>
      <c r="S23" s="2099" t="str">
        <f ca="1">IF($A23="","",IF(ED23=0,"",'23 LF individuell'!$AI21*N23))</f>
        <v/>
      </c>
      <c r="T23" s="1945"/>
      <c r="U23" s="1981"/>
      <c r="V23" s="1957"/>
      <c r="W23" s="2006" t="str">
        <f ca="1">IF($A23="","",IF(EE23=0,"",'23 LF individuell'!$AG21*T23))</f>
        <v/>
      </c>
      <c r="X23" s="2007" t="str">
        <f ca="1">IF($A23="","",IF(EE23=0,"",'23 LF individuell'!$AH21*T23))</f>
        <v/>
      </c>
      <c r="Y23" s="2008" t="str">
        <f ca="1">IF($A23="","",IF(EE23=0,"",'23 LF individuell'!$AI21*T23))</f>
        <v/>
      </c>
      <c r="Z23" s="1945"/>
      <c r="AA23" s="1981"/>
      <c r="AB23" s="1957"/>
      <c r="AC23" s="2097" t="str">
        <f ca="1">IF($A23="","",IF(EF23=0,"",'23 LF individuell'!$AG21*Z23))</f>
        <v/>
      </c>
      <c r="AD23" s="2098" t="str">
        <f ca="1">IF($A23="","",IF(EF23=0,"",'23 LF individuell'!$AH21*Z23))</f>
        <v/>
      </c>
      <c r="AE23" s="2099" t="str">
        <f ca="1">IF($A23="","",IF(EF23=0,"",'23 LF individuell'!$AI21*Z23))</f>
        <v/>
      </c>
      <c r="AF23" s="1945"/>
      <c r="AG23" s="1981"/>
      <c r="AH23" s="1957"/>
      <c r="AI23" s="2006" t="str">
        <f ca="1">IF($A23="","",IF(EG23=0,"",'23 LF individuell'!$AG21*AF23))</f>
        <v/>
      </c>
      <c r="AJ23" s="2007" t="str">
        <f ca="1">IF($A23="","",IF(EG23=0,"",'23 LF individuell'!$AH21*AF23))</f>
        <v/>
      </c>
      <c r="AK23" s="2008" t="str">
        <f ca="1">IF($A23="","",IF(EG23=0,"",'23 LF individuell'!$AI21*AF23))</f>
        <v/>
      </c>
      <c r="AL23" s="2003"/>
      <c r="AM23" s="2004"/>
      <c r="AN23" s="2005"/>
      <c r="AO23" s="2097" t="str">
        <f ca="1">IF($A23="","",IF(EH23=0,"",'23 LF individuell'!$AG21*AL23))</f>
        <v/>
      </c>
      <c r="AP23" s="2098" t="str">
        <f ca="1">IF($A23="","",IF(EH23=0,"",'23 LF individuell'!$AH21*AL23))</f>
        <v/>
      </c>
      <c r="AQ23" s="2099" t="str">
        <f ca="1">IF($A23="","",IF(EH23=0,"",'23 LF individuell'!$AI21*AL23))</f>
        <v/>
      </c>
      <c r="AR23" s="2003"/>
      <c r="AS23" s="2004"/>
      <c r="AT23" s="2005"/>
      <c r="AU23" s="2006" t="str">
        <f ca="1">IF($A23="","",IF(EI23=0,"",'23 LF individuell'!$AG21*AR23))</f>
        <v/>
      </c>
      <c r="AV23" s="2007" t="str">
        <f ca="1">IF($A23="","",IF(EI23=0,"",'23 LF individuell'!$AH21*AR23))</f>
        <v/>
      </c>
      <c r="AW23" s="2008" t="str">
        <f ca="1">IF($A23="","",IF(EI23=0,"",'23 LF individuell'!$AI21*AR23))</f>
        <v/>
      </c>
      <c r="AX23" s="2003"/>
      <c r="AY23" s="2004"/>
      <c r="AZ23" s="2005"/>
      <c r="BA23" s="2097" t="str">
        <f ca="1">IF($A23="","",IF(EJ23=0,"",'23 LF individuell'!$AG21*AX23))</f>
        <v/>
      </c>
      <c r="BB23" s="2098" t="str">
        <f ca="1">IF($A23="","",IF(EJ23=0,"",'23 LF individuell'!$AH21*AX23))</f>
        <v/>
      </c>
      <c r="BC23" s="2099" t="str">
        <f ca="1">IF($A23="","",IF(EJ23=0,"",'23 LF individuell'!$AI21*AX23))</f>
        <v/>
      </c>
      <c r="BD23" s="2003"/>
      <c r="BE23" s="2004"/>
      <c r="BF23" s="2005"/>
      <c r="BG23" s="2006" t="str">
        <f ca="1">IF($A23="","",IF(EK23=0,"",'23 LF individuell'!$AG21*BD23))</f>
        <v/>
      </c>
      <c r="BH23" s="2007" t="str">
        <f ca="1">IF($A23="","",IF(EK23=0,"",'23 LF individuell'!$AH21*BD23))</f>
        <v/>
      </c>
      <c r="BI23" s="2008" t="str">
        <f ca="1">IF($A23="","",IF(EK23=0,"",'23 LF individuell'!$AI21*BD23))</f>
        <v/>
      </c>
      <c r="BJ23" s="2003"/>
      <c r="BK23" s="2004"/>
      <c r="BL23" s="2005"/>
      <c r="BM23" s="2097" t="str">
        <f ca="1">IF($A23="","",IF(EL23=0,"",'23 LF individuell'!$AG21*BJ23))</f>
        <v/>
      </c>
      <c r="BN23" s="2098" t="str">
        <f ca="1">IF($A23="","",IF(EL23=0,"",'23 LF individuell'!$AH21*BJ23))</f>
        <v/>
      </c>
      <c r="BO23" s="2099" t="str">
        <f ca="1">IF($A23="","",IF(EL23=0,"",'23 LF individuell'!$AI21*BJ23))</f>
        <v/>
      </c>
      <c r="BP23" s="2003"/>
      <c r="BQ23" s="2004"/>
      <c r="BR23" s="2005"/>
      <c r="BS23" s="2006" t="str">
        <f ca="1">IF($A23="","",IF(EM23=0,"",'23 LF individuell'!$AG21*BP23))</f>
        <v/>
      </c>
      <c r="BT23" s="2007" t="str">
        <f ca="1">IF($A23="","",IF(EM23=0,"",'23 LF individuell'!$AH21*BP23))</f>
        <v/>
      </c>
      <c r="BU23" s="2008" t="str">
        <f ca="1">IF($A23="","",IF(EM23=0,"",'23 LF individuell'!$AI21*BP23))</f>
        <v/>
      </c>
      <c r="BV23" s="2044" t="str">
        <f t="shared" ca="1" si="54"/>
        <v/>
      </c>
      <c r="BW23" s="2044" t="str">
        <f t="shared" ca="1" si="55"/>
        <v/>
      </c>
      <c r="BX23" s="2044" t="str">
        <f t="shared" ca="1" si="56"/>
        <v/>
      </c>
      <c r="BY23" s="2049" t="str">
        <f t="shared" ca="1" si="57"/>
        <v/>
      </c>
      <c r="BZ23" s="2049" t="str">
        <f t="shared" ca="1" si="58"/>
        <v/>
      </c>
      <c r="CA23" s="2049" t="str">
        <f t="shared" ca="1" si="59"/>
        <v/>
      </c>
      <c r="CB23" s="2116" t="str">
        <f t="shared" ca="1" si="60"/>
        <v/>
      </c>
      <c r="CC23" s="1163" t="str">
        <f t="shared" si="61"/>
        <v>Januar</v>
      </c>
      <c r="CD23" s="1163">
        <f t="shared" si="62"/>
        <v>0</v>
      </c>
      <c r="CE23" s="1163">
        <f t="shared" si="63"/>
        <v>0</v>
      </c>
      <c r="CF23" s="1163">
        <f t="shared" si="64"/>
        <v>0</v>
      </c>
      <c r="CG23" s="1163">
        <f>IF($CD$10="Januar",'25a Soll-Ist Vergl. + Provision'!D20,IF($CD$10="Februar",'25a Soll-Ist Vergl. + Provision'!O20,IF($CD$10="März",'25a Soll-Ist Vergl. + Provision'!Z20,'25a Soll-Ist Vergl. + Provision'!AK20)))</f>
        <v>0</v>
      </c>
      <c r="CH23" s="1163" t="str">
        <f ca="1">IF($CD$10="Januar",'25a Soll-Ist Vergl. + Provision'!E20,IF($CD$10="Februar",'25a Soll-Ist Vergl. + Provision'!P20,IF($CD$10="März",'25a Soll-Ist Vergl. + Provision'!AA20,'25a Soll-Ist Vergl. + Provision'!AL20)))</f>
        <v/>
      </c>
      <c r="CI23" s="1163" t="str">
        <f ca="1">IF($CD$10="Januar",'25a Soll-Ist Vergl. + Provision'!F20,IF($CD$10="Februar",'25a Soll-Ist Vergl. + Provision'!Q20,IF($CD$10="März",'25a Soll-Ist Vergl. + Provision'!AB20,'25a Soll-Ist Vergl. + Provision'!AM20)))</f>
        <v/>
      </c>
      <c r="CJ23" s="1163" t="str">
        <f ca="1">IF($CD$10="Januar",'25a Soll-Ist Vergl. + Provision'!G20,IF($CD$10="Februar",'25a Soll-Ist Vergl. + Provision'!R20,IF($CD$10="März",'25a Soll-Ist Vergl. + Provision'!AC20,'25a Soll-Ist Vergl. + Provision'!AN20)))</f>
        <v/>
      </c>
      <c r="CK23" s="1163">
        <f>IF($CD$10="Januar",'25a Soll-Ist Vergl. + Provision'!H20,IF($CD$10="Februar",'25a Soll-Ist Vergl. + Provision'!S20,IF($CD$10="März",'25a Soll-Ist Vergl. + Provision'!AD20,'25a Soll-Ist Vergl. + Provision'!AO20)))</f>
        <v>0</v>
      </c>
      <c r="CL23" s="1163" t="str">
        <f ca="1">IF($CD$10="Januar",'25a Soll-Ist Vergl. + Provision'!I20,IF($CD$10="Februar",'25a Soll-Ist Vergl. + Provision'!T20,IF($CD$10="März",'25a Soll-Ist Vergl. + Provision'!AE20,'25a Soll-Ist Vergl. + Provision'!AP20)))</f>
        <v/>
      </c>
      <c r="CM23" s="1163" t="str">
        <f ca="1">IF($CD$10="Januar",'25a Soll-Ist Vergl. + Provision'!J20,IF($CD$10="Februar",'25a Soll-Ist Vergl. + Provision'!U20,IF($CD$10="März",'25a Soll-Ist Vergl. + Provision'!AF20,'25a Soll-Ist Vergl. + Provision'!AQ20)))</f>
        <v/>
      </c>
      <c r="CN23" s="1163" t="str">
        <f ca="1">IF($CD$10="Januar",'25a Soll-Ist Vergl. + Provision'!K20,IF($CD$10="Februar",'25a Soll-Ist Vergl. + Provision'!V20,IF($CD$10="März",'25a Soll-Ist Vergl. + Provision'!AG20,'25a Soll-Ist Vergl. + Provision'!AR20)))</f>
        <v/>
      </c>
      <c r="CO23" s="1163" t="str">
        <f t="shared" si="65"/>
        <v>August</v>
      </c>
      <c r="CP23" s="1163">
        <f t="shared" si="66"/>
        <v>0</v>
      </c>
      <c r="CQ23" s="1163">
        <f t="shared" si="67"/>
        <v>0</v>
      </c>
      <c r="CR23" s="1163">
        <f t="shared" si="68"/>
        <v>0</v>
      </c>
      <c r="CS23" s="1163">
        <f>IF($CP$10="Mai",'25a Soll-Ist Vergl. + Provision'!AV20,IF($CP$10="Juni",'25a Soll-Ist Vergl. + Provision'!BG20,IF($CP$10="Juli",'25a Soll-Ist Vergl. + Provision'!BR20,'25a Soll-Ist Vergl. + Provision'!CC20)))</f>
        <v>0</v>
      </c>
      <c r="CT23" s="1163" t="str">
        <f ca="1">IF($CP$10="Mai",'25a Soll-Ist Vergl. + Provision'!AW20,IF($CP$10="Juni",'25a Soll-Ist Vergl. + Provision'!BH20,IF($CP$10="Juli",'25a Soll-Ist Vergl. + Provision'!BS20,'25a Soll-Ist Vergl. + Provision'!CD20)))</f>
        <v/>
      </c>
      <c r="CU23" s="1163" t="str">
        <f ca="1">IF($CP$10="Mai",'25a Soll-Ist Vergl. + Provision'!AX20,IF($CP$10="Juni",'25a Soll-Ist Vergl. + Provision'!BI20,IF($CP$10="Juli",'25a Soll-Ist Vergl. + Provision'!BT20,'25a Soll-Ist Vergl. + Provision'!CE20)))</f>
        <v/>
      </c>
      <c r="CV23" s="1163" t="str">
        <f ca="1">IF($CP$10="Mai",'25a Soll-Ist Vergl. + Provision'!AY20,IF($CP$10="Juni",'25a Soll-Ist Vergl. + Provision'!BJ20,IF($CP$10="Juli",'25a Soll-Ist Vergl. + Provision'!BU20,'25a Soll-Ist Vergl. + Provision'!CF20)))</f>
        <v/>
      </c>
      <c r="CW23" s="1163">
        <f>IF($CP$10="Mai",'25a Soll-Ist Vergl. + Provision'!AZ20,IF($CP$10="Juni",'25a Soll-Ist Vergl. + Provision'!BK20,IF($CP$10="Juli",'25a Soll-Ist Vergl. + Provision'!BV20,'25a Soll-Ist Vergl. + Provision'!CG20)))</f>
        <v>0</v>
      </c>
      <c r="CX23" s="1163" t="str">
        <f ca="1">IF($CP$10="Mai",'25a Soll-Ist Vergl. + Provision'!BA20,IF($CP$10="Juni",'25a Soll-Ist Vergl. + Provision'!BL20,IF($CP$10="Juli",'25a Soll-Ist Vergl. + Provision'!BW20,'25a Soll-Ist Vergl. + Provision'!CH20)))</f>
        <v/>
      </c>
      <c r="CY23" s="1163" t="str">
        <f ca="1">IF($CP$10="Mai",'25a Soll-Ist Vergl. + Provision'!BB20,IF($CP$10="Juni",'25a Soll-Ist Vergl. + Provision'!BM20,IF($CP$10="Juli",'25a Soll-Ist Vergl. + Provision'!BX20,'25a Soll-Ist Vergl. + Provision'!CI20)))</f>
        <v/>
      </c>
      <c r="CZ23" s="1163" t="str">
        <f ca="1">IF($CP$10="Mai",'25a Soll-Ist Vergl. + Provision'!BC20,IF($CP$10="Juni",'25a Soll-Ist Vergl. + Provision'!BN20,IF($CP$10="Juli",'25a Soll-Ist Vergl. + Provision'!BY20,'25a Soll-Ist Vergl. + Provision'!CJ20)))</f>
        <v/>
      </c>
      <c r="DA23" s="1163" t="str">
        <f t="shared" si="69"/>
        <v>Dezember</v>
      </c>
      <c r="DB23" s="1163">
        <f t="shared" si="70"/>
        <v>0</v>
      </c>
      <c r="DC23" s="1163">
        <f t="shared" si="71"/>
        <v>0</v>
      </c>
      <c r="DD23" s="1163">
        <f t="shared" si="72"/>
        <v>0</v>
      </c>
      <c r="DE23" s="1163">
        <f>IF($DB$10="September",'25a Soll-Ist Vergl. + Provision'!CN20,IF($DB$10="Oktober",'25a Soll-Ist Vergl. + Provision'!CY20,IF($DB$10="November",'25a Soll-Ist Vergl. + Provision'!DJ20,'25a Soll-Ist Vergl. + Provision'!DU20)))</f>
        <v>0</v>
      </c>
      <c r="DF23" s="1163" t="str">
        <f ca="1">IF($DB$10="September",'25a Soll-Ist Vergl. + Provision'!CO20,IF($DB$10="Oktober",'25a Soll-Ist Vergl. + Provision'!CZ20,IF($DB$10="November",'25a Soll-Ist Vergl. + Provision'!DK20,'25a Soll-Ist Vergl. + Provision'!DV20)))</f>
        <v/>
      </c>
      <c r="DG23" s="1163" t="str">
        <f ca="1">IF($DB$10="September",'25a Soll-Ist Vergl. + Provision'!CP20,IF($DB$10="Oktober",'25a Soll-Ist Vergl. + Provision'!DA20,IF($DB$10="November",'25a Soll-Ist Vergl. + Provision'!DL20,'25a Soll-Ist Vergl. + Provision'!DW20)))</f>
        <v/>
      </c>
      <c r="DH23" s="1163" t="str">
        <f ca="1">IF($DB$10="September",'25a Soll-Ist Vergl. + Provision'!CQ20,IF($DB$10="Oktober",'25a Soll-Ist Vergl. + Provision'!DB20,IF($DB$10="November",'25a Soll-Ist Vergl. + Provision'!DM20,'25a Soll-Ist Vergl. + Provision'!DX20)))</f>
        <v/>
      </c>
      <c r="DI23" s="1163">
        <f>IF($DB$10="September",'25a Soll-Ist Vergl. + Provision'!CR20,IF($DB$10="Oktober",'25a Soll-Ist Vergl. + Provision'!DC20,IF($DB$10="November",'25a Soll-Ist Vergl. + Provision'!DN20,'25a Soll-Ist Vergl. + Provision'!DY20)))</f>
        <v>0</v>
      </c>
      <c r="DJ23" s="1163" t="str">
        <f ca="1">IF($DB$10="September",'25a Soll-Ist Vergl. + Provision'!CS20,IF($DB$10="Oktober",'25a Soll-Ist Vergl. + Provision'!DD20,IF($DB$10="November",'25a Soll-Ist Vergl. + Provision'!DO20,'25a Soll-Ist Vergl. + Provision'!DZ20)))</f>
        <v/>
      </c>
      <c r="DK23" s="1163" t="str">
        <f ca="1">IF($DB$10="September",'25a Soll-Ist Vergl. + Provision'!CT20,IF($DB$10="Oktober",'25a Soll-Ist Vergl. + Provision'!DE20,IF($DB$10="November",'25a Soll-Ist Vergl. + Provision'!DP20,'25a Soll-Ist Vergl. + Provision'!EA20)))</f>
        <v/>
      </c>
      <c r="DL23" s="1163" t="str">
        <f ca="1">IF($DB$10="September",'25a Soll-Ist Vergl. + Provision'!CU20,IF($DB$10="Oktober",'25a Soll-Ist Vergl. + Provision'!DF20,IF($DB$10="November",'25a Soll-Ist Vergl. + Provision'!DQ20,'25a Soll-Ist Vergl. + Provision'!EB20)))</f>
        <v/>
      </c>
      <c r="DM23" s="1163" t="str">
        <f t="shared" si="73"/>
        <v>Januar</v>
      </c>
      <c r="DN23" s="1163">
        <f t="shared" si="74"/>
        <v>0</v>
      </c>
      <c r="DO23" s="1163">
        <f t="shared" si="75"/>
        <v>0</v>
      </c>
      <c r="DP23" s="1163">
        <f t="shared" si="76"/>
        <v>0</v>
      </c>
      <c r="DQ23" s="1163">
        <f t="shared" si="77"/>
        <v>0</v>
      </c>
      <c r="DR23" s="1163" t="str">
        <f t="shared" ca="1" si="78"/>
        <v/>
      </c>
      <c r="DS23" s="1163" t="str">
        <f t="shared" ca="1" si="79"/>
        <v/>
      </c>
      <c r="DT23" s="1163" t="str">
        <f t="shared" ca="1" si="80"/>
        <v/>
      </c>
      <c r="DU23" s="1163">
        <f t="shared" si="81"/>
        <v>0</v>
      </c>
      <c r="DV23" s="1163" t="str">
        <f t="shared" ca="1" si="82"/>
        <v/>
      </c>
      <c r="DW23" s="1163" t="str">
        <f t="shared" ca="1" si="83"/>
        <v/>
      </c>
      <c r="DX23" s="1163" t="str">
        <f t="shared" ca="1" si="84"/>
        <v/>
      </c>
      <c r="DY23" s="267"/>
      <c r="DZ23" s="3239">
        <f>'4 Eingabe Friseure'!L20</f>
        <v>0</v>
      </c>
      <c r="EA23" s="3239"/>
      <c r="EB23" s="3239">
        <f>IF($DZ23=12,1,'4 Eingabe Friseure'!N20)</f>
        <v>0</v>
      </c>
      <c r="EC23" s="3239">
        <f>IF($DZ23=12,1,'4 Eingabe Friseure'!O20)</f>
        <v>0</v>
      </c>
      <c r="ED23" s="3239">
        <f>IF($DZ23=12,1,'4 Eingabe Friseure'!P20)</f>
        <v>0</v>
      </c>
      <c r="EE23" s="3239">
        <f>IF($DZ23=12,1,'4 Eingabe Friseure'!Q20)</f>
        <v>0</v>
      </c>
      <c r="EF23" s="3239">
        <f>IF($DZ23=12,1,'4 Eingabe Friseure'!R20)</f>
        <v>0</v>
      </c>
      <c r="EG23" s="3239">
        <f>IF($DZ23=12,1,'4 Eingabe Friseure'!S20)</f>
        <v>0</v>
      </c>
      <c r="EH23" s="3239">
        <f>IF($DZ23=12,1,'4 Eingabe Friseure'!T20)</f>
        <v>0</v>
      </c>
      <c r="EI23" s="3239">
        <f>IF($DZ23=12,1,'4 Eingabe Friseure'!U20)</f>
        <v>0</v>
      </c>
      <c r="EJ23" s="3239">
        <f>IF($DZ23=12,1,'4 Eingabe Friseure'!V20)</f>
        <v>0</v>
      </c>
      <c r="EK23" s="3239">
        <f>IF($DZ23=12,1,'4 Eingabe Friseure'!W20)</f>
        <v>0</v>
      </c>
      <c r="EL23" s="3239">
        <f>IF($DZ23=12,1,'4 Eingabe Friseure'!X20)</f>
        <v>0</v>
      </c>
      <c r="EM23" s="3239">
        <f>IF($DZ23=12,1,'4 Eingabe Friseure'!Y20)</f>
        <v>0</v>
      </c>
    </row>
    <row r="24" spans="1:143" ht="18" customHeight="1">
      <c r="A24" s="2740" t="str">
        <f ca="1">IF('22 Sollumsatz pro MA '!A22="","",'22 Sollumsatz pro MA '!A22)</f>
        <v/>
      </c>
      <c r="B24" s="1945"/>
      <c r="C24" s="1981"/>
      <c r="D24" s="1957"/>
      <c r="E24" s="2097" t="str">
        <f ca="1">IF($A24="","",IF(EB24=0,"",'23 LF individuell'!$AG22*$B24))</f>
        <v/>
      </c>
      <c r="F24" s="2100" t="str">
        <f ca="1">IF($A24="","",IF(EB24=0,"",'23 LF individuell'!$AH22*$B24))</f>
        <v/>
      </c>
      <c r="G24" s="2101" t="str">
        <f ca="1">IF($A24="","",IF(EB24=0,"",'23 LF individuell'!$AI22*$B24))</f>
        <v/>
      </c>
      <c r="H24" s="1945"/>
      <c r="I24" s="1981"/>
      <c r="J24" s="1957"/>
      <c r="K24" s="2006" t="str">
        <f ca="1">IF($A24="","",IF(EC24=0,"",'23 LF individuell'!$AG22*H24))</f>
        <v/>
      </c>
      <c r="L24" s="2007" t="str">
        <f ca="1">IF($A24="","",IF(EC24=0,"",'23 LF individuell'!$AH22*H24))</f>
        <v/>
      </c>
      <c r="M24" s="2008" t="str">
        <f ca="1">IF($A24="","",IF(EC24=0,"",'23 LF individuell'!$AI22*H24))</f>
        <v/>
      </c>
      <c r="N24" s="1945"/>
      <c r="O24" s="1981"/>
      <c r="P24" s="1957"/>
      <c r="Q24" s="2097" t="str">
        <f ca="1">IF($A24="","",IF(ED24=0,"",'23 LF individuell'!$AG22*N24))</f>
        <v/>
      </c>
      <c r="R24" s="2098" t="str">
        <f ca="1">IF($A24="","",IF(ED24=0,"",'23 LF individuell'!$AH22*N24))</f>
        <v/>
      </c>
      <c r="S24" s="2099" t="str">
        <f ca="1">IF($A24="","",IF(ED24=0,"",'23 LF individuell'!$AI22*N24))</f>
        <v/>
      </c>
      <c r="T24" s="1945"/>
      <c r="U24" s="1981"/>
      <c r="V24" s="1957"/>
      <c r="W24" s="2006" t="str">
        <f ca="1">IF($A24="","",IF(EE24=0,"",'23 LF individuell'!$AG22*T24))</f>
        <v/>
      </c>
      <c r="X24" s="2007" t="str">
        <f ca="1">IF($A24="","",IF(EE24=0,"",'23 LF individuell'!$AH22*T24))</f>
        <v/>
      </c>
      <c r="Y24" s="2008" t="str">
        <f ca="1">IF($A24="","",IF(EE24=0,"",'23 LF individuell'!$AI22*T24))</f>
        <v/>
      </c>
      <c r="Z24" s="1945"/>
      <c r="AA24" s="1981"/>
      <c r="AB24" s="1957"/>
      <c r="AC24" s="2097" t="str">
        <f ca="1">IF($A24="","",IF(EF24=0,"",'23 LF individuell'!$AG22*Z24))</f>
        <v/>
      </c>
      <c r="AD24" s="2098" t="str">
        <f ca="1">IF($A24="","",IF(EF24=0,"",'23 LF individuell'!$AH22*Z24))</f>
        <v/>
      </c>
      <c r="AE24" s="2099" t="str">
        <f ca="1">IF($A24="","",IF(EF24=0,"",'23 LF individuell'!$AI22*Z24))</f>
        <v/>
      </c>
      <c r="AF24" s="1945"/>
      <c r="AG24" s="1981"/>
      <c r="AH24" s="1957"/>
      <c r="AI24" s="2006" t="str">
        <f ca="1">IF($A24="","",IF(EG24=0,"",'23 LF individuell'!$AG22*AF24))</f>
        <v/>
      </c>
      <c r="AJ24" s="2007" t="str">
        <f ca="1">IF($A24="","",IF(EG24=0,"",'23 LF individuell'!$AH22*AF24))</f>
        <v/>
      </c>
      <c r="AK24" s="2008" t="str">
        <f ca="1">IF($A24="","",IF(EG24=0,"",'23 LF individuell'!$AI22*AF24))</f>
        <v/>
      </c>
      <c r="AL24" s="2003"/>
      <c r="AM24" s="2004"/>
      <c r="AN24" s="2005"/>
      <c r="AO24" s="2097" t="str">
        <f ca="1">IF($A24="","",IF(EH24=0,"",'23 LF individuell'!$AG22*AL24))</f>
        <v/>
      </c>
      <c r="AP24" s="2098" t="str">
        <f ca="1">IF($A24="","",IF(EH24=0,"",'23 LF individuell'!$AH22*AL24))</f>
        <v/>
      </c>
      <c r="AQ24" s="2099" t="str">
        <f ca="1">IF($A24="","",IF(EH24=0,"",'23 LF individuell'!$AI22*AL24))</f>
        <v/>
      </c>
      <c r="AR24" s="2003"/>
      <c r="AS24" s="2004"/>
      <c r="AT24" s="2005"/>
      <c r="AU24" s="2006" t="str">
        <f ca="1">IF($A24="","",IF(EI24=0,"",'23 LF individuell'!$AG22*AR24))</f>
        <v/>
      </c>
      <c r="AV24" s="2007" t="str">
        <f ca="1">IF($A24="","",IF(EI24=0,"",'23 LF individuell'!$AH22*AR24))</f>
        <v/>
      </c>
      <c r="AW24" s="2008" t="str">
        <f ca="1">IF($A24="","",IF(EI24=0,"",'23 LF individuell'!$AI22*AR24))</f>
        <v/>
      </c>
      <c r="AX24" s="2003"/>
      <c r="AY24" s="2004"/>
      <c r="AZ24" s="2005"/>
      <c r="BA24" s="2097" t="str">
        <f ca="1">IF($A24="","",IF(EJ24=0,"",'23 LF individuell'!$AG22*AX24))</f>
        <v/>
      </c>
      <c r="BB24" s="2098" t="str">
        <f ca="1">IF($A24="","",IF(EJ24=0,"",'23 LF individuell'!$AH22*AX24))</f>
        <v/>
      </c>
      <c r="BC24" s="2099" t="str">
        <f ca="1">IF($A24="","",IF(EJ24=0,"",'23 LF individuell'!$AI22*AX24))</f>
        <v/>
      </c>
      <c r="BD24" s="2003"/>
      <c r="BE24" s="2004"/>
      <c r="BF24" s="2005"/>
      <c r="BG24" s="2006" t="str">
        <f ca="1">IF($A24="","",IF(EK24=0,"",'23 LF individuell'!$AG22*BD24))</f>
        <v/>
      </c>
      <c r="BH24" s="2007" t="str">
        <f ca="1">IF($A24="","",IF(EK24=0,"",'23 LF individuell'!$AH22*BD24))</f>
        <v/>
      </c>
      <c r="BI24" s="2008" t="str">
        <f ca="1">IF($A24="","",IF(EK24=0,"",'23 LF individuell'!$AI22*BD24))</f>
        <v/>
      </c>
      <c r="BJ24" s="2003"/>
      <c r="BK24" s="2004"/>
      <c r="BL24" s="2005"/>
      <c r="BM24" s="2097" t="str">
        <f ca="1">IF($A24="","",IF(EL24=0,"",'23 LF individuell'!$AG22*BJ24))</f>
        <v/>
      </c>
      <c r="BN24" s="2098" t="str">
        <f ca="1">IF($A24="","",IF(EL24=0,"",'23 LF individuell'!$AH22*BJ24))</f>
        <v/>
      </c>
      <c r="BO24" s="2099" t="str">
        <f ca="1">IF($A24="","",IF(EL24=0,"",'23 LF individuell'!$AI22*BJ24))</f>
        <v/>
      </c>
      <c r="BP24" s="2003"/>
      <c r="BQ24" s="2004"/>
      <c r="BR24" s="2005"/>
      <c r="BS24" s="2006" t="str">
        <f ca="1">IF($A24="","",IF(EM24=0,"",'23 LF individuell'!$AG22*BP24))</f>
        <v/>
      </c>
      <c r="BT24" s="2007" t="str">
        <f ca="1">IF($A24="","",IF(EM24=0,"",'23 LF individuell'!$AH22*BP24))</f>
        <v/>
      </c>
      <c r="BU24" s="2008" t="str">
        <f ca="1">IF($A24="","",IF(EM24=0,"",'23 LF individuell'!$AI22*BP24))</f>
        <v/>
      </c>
      <c r="BV24" s="2044" t="str">
        <f t="shared" ca="1" si="54"/>
        <v/>
      </c>
      <c r="BW24" s="2044" t="str">
        <f t="shared" ca="1" si="55"/>
        <v/>
      </c>
      <c r="BX24" s="2044" t="str">
        <f t="shared" ca="1" si="56"/>
        <v/>
      </c>
      <c r="BY24" s="2049" t="str">
        <f t="shared" ca="1" si="57"/>
        <v/>
      </c>
      <c r="BZ24" s="2049" t="str">
        <f t="shared" ca="1" si="58"/>
        <v/>
      </c>
      <c r="CA24" s="2049" t="str">
        <f t="shared" ca="1" si="59"/>
        <v/>
      </c>
      <c r="CB24" s="2116" t="str">
        <f t="shared" ca="1" si="60"/>
        <v/>
      </c>
      <c r="CC24" s="1163" t="str">
        <f t="shared" si="61"/>
        <v>Januar</v>
      </c>
      <c r="CD24" s="1163">
        <f t="shared" si="62"/>
        <v>0</v>
      </c>
      <c r="CE24" s="1163">
        <f t="shared" si="63"/>
        <v>0</v>
      </c>
      <c r="CF24" s="1163">
        <f t="shared" si="64"/>
        <v>0</v>
      </c>
      <c r="CG24" s="1163">
        <f>IF($CD$10="Januar",'25a Soll-Ist Vergl. + Provision'!D21,IF($CD$10="Februar",'25a Soll-Ist Vergl. + Provision'!O21,IF($CD$10="März",'25a Soll-Ist Vergl. + Provision'!Z21,'25a Soll-Ist Vergl. + Provision'!AK21)))</f>
        <v>0</v>
      </c>
      <c r="CH24" s="1163" t="str">
        <f ca="1">IF($CD$10="Januar",'25a Soll-Ist Vergl. + Provision'!E21,IF($CD$10="Februar",'25a Soll-Ist Vergl. + Provision'!P21,IF($CD$10="März",'25a Soll-Ist Vergl. + Provision'!AA21,'25a Soll-Ist Vergl. + Provision'!AL21)))</f>
        <v/>
      </c>
      <c r="CI24" s="1163" t="str">
        <f ca="1">IF($CD$10="Januar",'25a Soll-Ist Vergl. + Provision'!F21,IF($CD$10="Februar",'25a Soll-Ist Vergl. + Provision'!Q21,IF($CD$10="März",'25a Soll-Ist Vergl. + Provision'!AB21,'25a Soll-Ist Vergl. + Provision'!AM21)))</f>
        <v/>
      </c>
      <c r="CJ24" s="1163" t="str">
        <f ca="1">IF($CD$10="Januar",'25a Soll-Ist Vergl. + Provision'!G21,IF($CD$10="Februar",'25a Soll-Ist Vergl. + Provision'!R21,IF($CD$10="März",'25a Soll-Ist Vergl. + Provision'!AC21,'25a Soll-Ist Vergl. + Provision'!AN21)))</f>
        <v/>
      </c>
      <c r="CK24" s="1163">
        <f>IF($CD$10="Januar",'25a Soll-Ist Vergl. + Provision'!H21,IF($CD$10="Februar",'25a Soll-Ist Vergl. + Provision'!S21,IF($CD$10="März",'25a Soll-Ist Vergl. + Provision'!AD21,'25a Soll-Ist Vergl. + Provision'!AO21)))</f>
        <v>0</v>
      </c>
      <c r="CL24" s="1163" t="str">
        <f ca="1">IF($CD$10="Januar",'25a Soll-Ist Vergl. + Provision'!I21,IF($CD$10="Februar",'25a Soll-Ist Vergl. + Provision'!T21,IF($CD$10="März",'25a Soll-Ist Vergl. + Provision'!AE21,'25a Soll-Ist Vergl. + Provision'!AP21)))</f>
        <v/>
      </c>
      <c r="CM24" s="1163" t="str">
        <f ca="1">IF($CD$10="Januar",'25a Soll-Ist Vergl. + Provision'!J21,IF($CD$10="Februar",'25a Soll-Ist Vergl. + Provision'!U21,IF($CD$10="März",'25a Soll-Ist Vergl. + Provision'!AF21,'25a Soll-Ist Vergl. + Provision'!AQ21)))</f>
        <v/>
      </c>
      <c r="CN24" s="1163" t="str">
        <f ca="1">IF($CD$10="Januar",'25a Soll-Ist Vergl. + Provision'!K21,IF($CD$10="Februar",'25a Soll-Ist Vergl. + Provision'!V21,IF($CD$10="März",'25a Soll-Ist Vergl. + Provision'!AG21,'25a Soll-Ist Vergl. + Provision'!AR21)))</f>
        <v/>
      </c>
      <c r="CO24" s="1163" t="str">
        <f t="shared" si="65"/>
        <v>August</v>
      </c>
      <c r="CP24" s="1163">
        <f t="shared" si="66"/>
        <v>0</v>
      </c>
      <c r="CQ24" s="1163">
        <f t="shared" si="67"/>
        <v>0</v>
      </c>
      <c r="CR24" s="1163">
        <f t="shared" si="68"/>
        <v>0</v>
      </c>
      <c r="CS24" s="1163">
        <f>IF($CP$10="Mai",'25a Soll-Ist Vergl. + Provision'!AV21,IF($CP$10="Juni",'25a Soll-Ist Vergl. + Provision'!BG21,IF($CP$10="Juli",'25a Soll-Ist Vergl. + Provision'!BR21,'25a Soll-Ist Vergl. + Provision'!CC21)))</f>
        <v>0</v>
      </c>
      <c r="CT24" s="1163" t="str">
        <f ca="1">IF($CP$10="Mai",'25a Soll-Ist Vergl. + Provision'!AW21,IF($CP$10="Juni",'25a Soll-Ist Vergl. + Provision'!BH21,IF($CP$10="Juli",'25a Soll-Ist Vergl. + Provision'!BS21,'25a Soll-Ist Vergl. + Provision'!CD21)))</f>
        <v/>
      </c>
      <c r="CU24" s="1163" t="str">
        <f ca="1">IF($CP$10="Mai",'25a Soll-Ist Vergl. + Provision'!AX21,IF($CP$10="Juni",'25a Soll-Ist Vergl. + Provision'!BI21,IF($CP$10="Juli",'25a Soll-Ist Vergl. + Provision'!BT21,'25a Soll-Ist Vergl. + Provision'!CE21)))</f>
        <v/>
      </c>
      <c r="CV24" s="1163" t="str">
        <f ca="1">IF($CP$10="Mai",'25a Soll-Ist Vergl. + Provision'!AY21,IF($CP$10="Juni",'25a Soll-Ist Vergl. + Provision'!BJ21,IF($CP$10="Juli",'25a Soll-Ist Vergl. + Provision'!BU21,'25a Soll-Ist Vergl. + Provision'!CF21)))</f>
        <v/>
      </c>
      <c r="CW24" s="1163">
        <f>IF($CP$10="Mai",'25a Soll-Ist Vergl. + Provision'!AZ21,IF($CP$10="Juni",'25a Soll-Ist Vergl. + Provision'!BK21,IF($CP$10="Juli",'25a Soll-Ist Vergl. + Provision'!BV21,'25a Soll-Ist Vergl. + Provision'!CG21)))</f>
        <v>0</v>
      </c>
      <c r="CX24" s="1163" t="str">
        <f ca="1">IF($CP$10="Mai",'25a Soll-Ist Vergl. + Provision'!BA21,IF($CP$10="Juni",'25a Soll-Ist Vergl. + Provision'!BL21,IF($CP$10="Juli",'25a Soll-Ist Vergl. + Provision'!BW21,'25a Soll-Ist Vergl. + Provision'!CH21)))</f>
        <v/>
      </c>
      <c r="CY24" s="1163" t="str">
        <f ca="1">IF($CP$10="Mai",'25a Soll-Ist Vergl. + Provision'!BB21,IF($CP$10="Juni",'25a Soll-Ist Vergl. + Provision'!BM21,IF($CP$10="Juli",'25a Soll-Ist Vergl. + Provision'!BX21,'25a Soll-Ist Vergl. + Provision'!CI21)))</f>
        <v/>
      </c>
      <c r="CZ24" s="1163" t="str">
        <f ca="1">IF($CP$10="Mai",'25a Soll-Ist Vergl. + Provision'!BC21,IF($CP$10="Juni",'25a Soll-Ist Vergl. + Provision'!BN21,IF($CP$10="Juli",'25a Soll-Ist Vergl. + Provision'!BY21,'25a Soll-Ist Vergl. + Provision'!CJ21)))</f>
        <v/>
      </c>
      <c r="DA24" s="1163" t="str">
        <f t="shared" si="69"/>
        <v>Dezember</v>
      </c>
      <c r="DB24" s="1163">
        <f t="shared" si="70"/>
        <v>0</v>
      </c>
      <c r="DC24" s="1163">
        <f t="shared" si="71"/>
        <v>0</v>
      </c>
      <c r="DD24" s="1163">
        <f t="shared" si="72"/>
        <v>0</v>
      </c>
      <c r="DE24" s="1163">
        <f>IF($DB$10="September",'25a Soll-Ist Vergl. + Provision'!CN21,IF($DB$10="Oktober",'25a Soll-Ist Vergl. + Provision'!CY21,IF($DB$10="November",'25a Soll-Ist Vergl. + Provision'!DJ21,'25a Soll-Ist Vergl. + Provision'!DU21)))</f>
        <v>0</v>
      </c>
      <c r="DF24" s="1163" t="str">
        <f ca="1">IF($DB$10="September",'25a Soll-Ist Vergl. + Provision'!CO21,IF($DB$10="Oktober",'25a Soll-Ist Vergl. + Provision'!CZ21,IF($DB$10="November",'25a Soll-Ist Vergl. + Provision'!DK21,'25a Soll-Ist Vergl. + Provision'!DV21)))</f>
        <v/>
      </c>
      <c r="DG24" s="1163" t="str">
        <f ca="1">IF($DB$10="September",'25a Soll-Ist Vergl. + Provision'!CP21,IF($DB$10="Oktober",'25a Soll-Ist Vergl. + Provision'!DA21,IF($DB$10="November",'25a Soll-Ist Vergl. + Provision'!DL21,'25a Soll-Ist Vergl. + Provision'!DW21)))</f>
        <v/>
      </c>
      <c r="DH24" s="1163" t="str">
        <f ca="1">IF($DB$10="September",'25a Soll-Ist Vergl. + Provision'!CQ21,IF($DB$10="Oktober",'25a Soll-Ist Vergl. + Provision'!DB21,IF($DB$10="November",'25a Soll-Ist Vergl. + Provision'!DM21,'25a Soll-Ist Vergl. + Provision'!DX21)))</f>
        <v/>
      </c>
      <c r="DI24" s="1163">
        <f>IF($DB$10="September",'25a Soll-Ist Vergl. + Provision'!CR21,IF($DB$10="Oktober",'25a Soll-Ist Vergl. + Provision'!DC21,IF($DB$10="November",'25a Soll-Ist Vergl. + Provision'!DN21,'25a Soll-Ist Vergl. + Provision'!DY21)))</f>
        <v>0</v>
      </c>
      <c r="DJ24" s="1163" t="str">
        <f ca="1">IF($DB$10="September",'25a Soll-Ist Vergl. + Provision'!CS21,IF($DB$10="Oktober",'25a Soll-Ist Vergl. + Provision'!DD21,IF($DB$10="November",'25a Soll-Ist Vergl. + Provision'!DO21,'25a Soll-Ist Vergl. + Provision'!DZ21)))</f>
        <v/>
      </c>
      <c r="DK24" s="1163" t="str">
        <f ca="1">IF($DB$10="September",'25a Soll-Ist Vergl. + Provision'!CT21,IF($DB$10="Oktober",'25a Soll-Ist Vergl. + Provision'!DE21,IF($DB$10="November",'25a Soll-Ist Vergl. + Provision'!DP21,'25a Soll-Ist Vergl. + Provision'!EA21)))</f>
        <v/>
      </c>
      <c r="DL24" s="1163" t="str">
        <f ca="1">IF($DB$10="September",'25a Soll-Ist Vergl. + Provision'!CU21,IF($DB$10="Oktober",'25a Soll-Ist Vergl. + Provision'!DF21,IF($DB$10="November",'25a Soll-Ist Vergl. + Provision'!DQ21,'25a Soll-Ist Vergl. + Provision'!EB21)))</f>
        <v/>
      </c>
      <c r="DM24" s="1163" t="str">
        <f t="shared" si="73"/>
        <v>Januar</v>
      </c>
      <c r="DN24" s="1163">
        <f t="shared" si="74"/>
        <v>0</v>
      </c>
      <c r="DO24" s="1163">
        <f t="shared" si="75"/>
        <v>0</v>
      </c>
      <c r="DP24" s="1163">
        <f t="shared" si="76"/>
        <v>0</v>
      </c>
      <c r="DQ24" s="1163">
        <f t="shared" si="77"/>
        <v>0</v>
      </c>
      <c r="DR24" s="1163" t="str">
        <f t="shared" ca="1" si="78"/>
        <v/>
      </c>
      <c r="DS24" s="1163" t="str">
        <f t="shared" ca="1" si="79"/>
        <v/>
      </c>
      <c r="DT24" s="1163" t="str">
        <f t="shared" ca="1" si="80"/>
        <v/>
      </c>
      <c r="DU24" s="1163">
        <f t="shared" si="81"/>
        <v>0</v>
      </c>
      <c r="DV24" s="1163" t="str">
        <f t="shared" ca="1" si="82"/>
        <v/>
      </c>
      <c r="DW24" s="1163" t="str">
        <f t="shared" ca="1" si="83"/>
        <v/>
      </c>
      <c r="DX24" s="1163" t="str">
        <f t="shared" ca="1" si="84"/>
        <v/>
      </c>
      <c r="DY24" s="267"/>
      <c r="DZ24" s="3239">
        <f>'4 Eingabe Friseure'!L21</f>
        <v>0</v>
      </c>
      <c r="EA24" s="3239"/>
      <c r="EB24" s="3239">
        <f>IF($DZ24=12,1,'4 Eingabe Friseure'!N21)</f>
        <v>0</v>
      </c>
      <c r="EC24" s="3239">
        <f>IF($DZ24=12,1,'4 Eingabe Friseure'!O21)</f>
        <v>0</v>
      </c>
      <c r="ED24" s="3239">
        <f>IF($DZ24=12,1,'4 Eingabe Friseure'!P21)</f>
        <v>0</v>
      </c>
      <c r="EE24" s="3239">
        <f>IF($DZ24=12,1,'4 Eingabe Friseure'!Q21)</f>
        <v>0</v>
      </c>
      <c r="EF24" s="3239">
        <f>IF($DZ24=12,1,'4 Eingabe Friseure'!R21)</f>
        <v>0</v>
      </c>
      <c r="EG24" s="3239">
        <f>IF($DZ24=12,1,'4 Eingabe Friseure'!S21)</f>
        <v>0</v>
      </c>
      <c r="EH24" s="3239">
        <f>IF($DZ24=12,1,'4 Eingabe Friseure'!T21)</f>
        <v>0</v>
      </c>
      <c r="EI24" s="3239">
        <f>IF($DZ24=12,1,'4 Eingabe Friseure'!U21)</f>
        <v>0</v>
      </c>
      <c r="EJ24" s="3239">
        <f>IF($DZ24=12,1,'4 Eingabe Friseure'!V21)</f>
        <v>0</v>
      </c>
      <c r="EK24" s="3239">
        <f>IF($DZ24=12,1,'4 Eingabe Friseure'!W21)</f>
        <v>0</v>
      </c>
      <c r="EL24" s="3239">
        <f>IF($DZ24=12,1,'4 Eingabe Friseure'!X21)</f>
        <v>0</v>
      </c>
      <c r="EM24" s="3239">
        <f>IF($DZ24=12,1,'4 Eingabe Friseure'!Y21)</f>
        <v>0</v>
      </c>
    </row>
    <row r="25" spans="1:143" ht="18" customHeight="1">
      <c r="A25" s="2740" t="str">
        <f ca="1">IF('22 Sollumsatz pro MA '!A23="","",'22 Sollumsatz pro MA '!A23)</f>
        <v/>
      </c>
      <c r="B25" s="1945"/>
      <c r="C25" s="1981"/>
      <c r="D25" s="1957"/>
      <c r="E25" s="2097" t="str">
        <f ca="1">IF($A25="","",IF(EB25=0,"",'23 LF individuell'!$AG23*$B25))</f>
        <v/>
      </c>
      <c r="F25" s="2100" t="str">
        <f ca="1">IF($A25="","",IF(EB25=0,"",'23 LF individuell'!$AH23*$B25))</f>
        <v/>
      </c>
      <c r="G25" s="2101" t="str">
        <f ca="1">IF($A25="","",IF(EB25=0,"",'23 LF individuell'!$AI23*$B25))</f>
        <v/>
      </c>
      <c r="H25" s="1945"/>
      <c r="I25" s="1981"/>
      <c r="J25" s="1957"/>
      <c r="K25" s="2006" t="str">
        <f ca="1">IF($A25="","",IF(EC25=0,"",'23 LF individuell'!$AG23*H25))</f>
        <v/>
      </c>
      <c r="L25" s="2007" t="str">
        <f ca="1">IF($A25="","",IF(EC25=0,"",'23 LF individuell'!$AH23*H25))</f>
        <v/>
      </c>
      <c r="M25" s="2008" t="str">
        <f ca="1">IF($A25="","",IF(EC25=0,"",'23 LF individuell'!$AI23*H25))</f>
        <v/>
      </c>
      <c r="N25" s="1945"/>
      <c r="O25" s="1981"/>
      <c r="P25" s="1957"/>
      <c r="Q25" s="2097" t="str">
        <f ca="1">IF($A25="","",IF(ED25=0,"",'23 LF individuell'!$AG23*N25))</f>
        <v/>
      </c>
      <c r="R25" s="2098" t="str">
        <f ca="1">IF($A25="","",IF(ED25=0,"",'23 LF individuell'!$AH23*N25))</f>
        <v/>
      </c>
      <c r="S25" s="2099" t="str">
        <f ca="1">IF($A25="","",IF(ED25=0,"",'23 LF individuell'!$AI23*N25))</f>
        <v/>
      </c>
      <c r="T25" s="1945"/>
      <c r="U25" s="1981"/>
      <c r="V25" s="1957"/>
      <c r="W25" s="2006" t="str">
        <f ca="1">IF($A25="","",IF(EE25=0,"",'23 LF individuell'!$AG23*T25))</f>
        <v/>
      </c>
      <c r="X25" s="2007" t="str">
        <f ca="1">IF($A25="","",IF(EE25=0,"",'23 LF individuell'!$AH23*T25))</f>
        <v/>
      </c>
      <c r="Y25" s="2008" t="str">
        <f ca="1">IF($A25="","",IF(EE25=0,"",'23 LF individuell'!$AI23*T25))</f>
        <v/>
      </c>
      <c r="Z25" s="1945"/>
      <c r="AA25" s="1981"/>
      <c r="AB25" s="1957"/>
      <c r="AC25" s="2097" t="str">
        <f ca="1">IF($A25="","",IF(EF25=0,"",'23 LF individuell'!$AG23*Z25))</f>
        <v/>
      </c>
      <c r="AD25" s="2098" t="str">
        <f ca="1">IF($A25="","",IF(EF25=0,"",'23 LF individuell'!$AH23*Z25))</f>
        <v/>
      </c>
      <c r="AE25" s="2099" t="str">
        <f ca="1">IF($A25="","",IF(EF25=0,"",'23 LF individuell'!$AI23*Z25))</f>
        <v/>
      </c>
      <c r="AF25" s="1945"/>
      <c r="AG25" s="1981"/>
      <c r="AH25" s="1957"/>
      <c r="AI25" s="2006" t="str">
        <f ca="1">IF($A25="","",IF(EG25=0,"",'23 LF individuell'!$AG23*AF25))</f>
        <v/>
      </c>
      <c r="AJ25" s="2007" t="str">
        <f ca="1">IF($A25="","",IF(EG25=0,"",'23 LF individuell'!$AH23*AF25))</f>
        <v/>
      </c>
      <c r="AK25" s="2008" t="str">
        <f ca="1">IF($A25="","",IF(EG25=0,"",'23 LF individuell'!$AI23*AF25))</f>
        <v/>
      </c>
      <c r="AL25" s="2003"/>
      <c r="AM25" s="2004"/>
      <c r="AN25" s="2005"/>
      <c r="AO25" s="2097" t="str">
        <f ca="1">IF($A25="","",IF(EH25=0,"",'23 LF individuell'!$AG23*AL25))</f>
        <v/>
      </c>
      <c r="AP25" s="2098" t="str">
        <f ca="1">IF($A25="","",IF(EH25=0,"",'23 LF individuell'!$AH23*AL25))</f>
        <v/>
      </c>
      <c r="AQ25" s="2099" t="str">
        <f ca="1">IF($A25="","",IF(EH25=0,"",'23 LF individuell'!$AI23*AL25))</f>
        <v/>
      </c>
      <c r="AR25" s="2003"/>
      <c r="AS25" s="2004"/>
      <c r="AT25" s="2005"/>
      <c r="AU25" s="2006" t="str">
        <f ca="1">IF($A25="","",IF(EI25=0,"",'23 LF individuell'!$AG23*AR25))</f>
        <v/>
      </c>
      <c r="AV25" s="2007" t="str">
        <f ca="1">IF($A25="","",IF(EI25=0,"",'23 LF individuell'!$AH23*AR25))</f>
        <v/>
      </c>
      <c r="AW25" s="2008" t="str">
        <f ca="1">IF($A25="","",IF(EI25=0,"",'23 LF individuell'!$AI23*AR25))</f>
        <v/>
      </c>
      <c r="AX25" s="2003"/>
      <c r="AY25" s="2004"/>
      <c r="AZ25" s="2005"/>
      <c r="BA25" s="2097" t="str">
        <f ca="1">IF($A25="","",IF(EJ25=0,"",'23 LF individuell'!$AG23*AX25))</f>
        <v/>
      </c>
      <c r="BB25" s="2098" t="str">
        <f ca="1">IF($A25="","",IF(EJ25=0,"",'23 LF individuell'!$AH23*AX25))</f>
        <v/>
      </c>
      <c r="BC25" s="2099" t="str">
        <f ca="1">IF($A25="","",IF(EJ25=0,"",'23 LF individuell'!$AI23*AX25))</f>
        <v/>
      </c>
      <c r="BD25" s="2003"/>
      <c r="BE25" s="2004"/>
      <c r="BF25" s="2005"/>
      <c r="BG25" s="2006" t="str">
        <f ca="1">IF($A25="","",IF(EK25=0,"",'23 LF individuell'!$AG23*BD25))</f>
        <v/>
      </c>
      <c r="BH25" s="2007" t="str">
        <f ca="1">IF($A25="","",IF(EK25=0,"",'23 LF individuell'!$AH23*BD25))</f>
        <v/>
      </c>
      <c r="BI25" s="2008" t="str">
        <f ca="1">IF($A25="","",IF(EK25=0,"",'23 LF individuell'!$AI23*BD25))</f>
        <v/>
      </c>
      <c r="BJ25" s="2003"/>
      <c r="BK25" s="2004"/>
      <c r="BL25" s="2005"/>
      <c r="BM25" s="2097" t="str">
        <f ca="1">IF($A25="","",IF(EL25=0,"",'23 LF individuell'!$AG23*BJ25))</f>
        <v/>
      </c>
      <c r="BN25" s="2098" t="str">
        <f ca="1">IF($A25="","",IF(EL25=0,"",'23 LF individuell'!$AH23*BJ25))</f>
        <v/>
      </c>
      <c r="BO25" s="2099" t="str">
        <f ca="1">IF($A25="","",IF(EL25=0,"",'23 LF individuell'!$AI23*BJ25))</f>
        <v/>
      </c>
      <c r="BP25" s="2003"/>
      <c r="BQ25" s="2004"/>
      <c r="BR25" s="2005"/>
      <c r="BS25" s="2006" t="str">
        <f ca="1">IF($A25="","",IF(EM25=0,"",'23 LF individuell'!$AG23*BP25))</f>
        <v/>
      </c>
      <c r="BT25" s="2007" t="str">
        <f ca="1">IF($A25="","",IF(EM25=0,"",'23 LF individuell'!$AH23*BP25))</f>
        <v/>
      </c>
      <c r="BU25" s="2008" t="str">
        <f ca="1">IF($A25="","",IF(EM25=0,"",'23 LF individuell'!$AI23*BP25))</f>
        <v/>
      </c>
      <c r="BV25" s="2044" t="str">
        <f t="shared" ca="1" si="54"/>
        <v/>
      </c>
      <c r="BW25" s="2044" t="str">
        <f t="shared" ca="1" si="55"/>
        <v/>
      </c>
      <c r="BX25" s="2044" t="str">
        <f t="shared" ca="1" si="56"/>
        <v/>
      </c>
      <c r="BY25" s="2049" t="str">
        <f t="shared" ca="1" si="57"/>
        <v/>
      </c>
      <c r="BZ25" s="2049" t="str">
        <f t="shared" ca="1" si="58"/>
        <v/>
      </c>
      <c r="CA25" s="2049" t="str">
        <f t="shared" ca="1" si="59"/>
        <v/>
      </c>
      <c r="CB25" s="2116" t="str">
        <f t="shared" ca="1" si="60"/>
        <v/>
      </c>
      <c r="CC25" s="1163" t="str">
        <f t="shared" si="61"/>
        <v>Januar</v>
      </c>
      <c r="CD25" s="1163">
        <f t="shared" si="62"/>
        <v>0</v>
      </c>
      <c r="CE25" s="1163">
        <f t="shared" si="63"/>
        <v>0</v>
      </c>
      <c r="CF25" s="1163">
        <f t="shared" si="64"/>
        <v>0</v>
      </c>
      <c r="CG25" s="1163">
        <f>IF($CD$10="Januar",'25a Soll-Ist Vergl. + Provision'!D22,IF($CD$10="Februar",'25a Soll-Ist Vergl. + Provision'!O22,IF($CD$10="März",'25a Soll-Ist Vergl. + Provision'!Z22,'25a Soll-Ist Vergl. + Provision'!AK22)))</f>
        <v>0</v>
      </c>
      <c r="CH25" s="1163" t="str">
        <f ca="1">IF($CD$10="Januar",'25a Soll-Ist Vergl. + Provision'!E22,IF($CD$10="Februar",'25a Soll-Ist Vergl. + Provision'!P22,IF($CD$10="März",'25a Soll-Ist Vergl. + Provision'!AA22,'25a Soll-Ist Vergl. + Provision'!AL22)))</f>
        <v/>
      </c>
      <c r="CI25" s="1163" t="str">
        <f ca="1">IF($CD$10="Januar",'25a Soll-Ist Vergl. + Provision'!F22,IF($CD$10="Februar",'25a Soll-Ist Vergl. + Provision'!Q22,IF($CD$10="März",'25a Soll-Ist Vergl. + Provision'!AB22,'25a Soll-Ist Vergl. + Provision'!AM22)))</f>
        <v/>
      </c>
      <c r="CJ25" s="1163" t="str">
        <f ca="1">IF($CD$10="Januar",'25a Soll-Ist Vergl. + Provision'!G22,IF($CD$10="Februar",'25a Soll-Ist Vergl. + Provision'!R22,IF($CD$10="März",'25a Soll-Ist Vergl. + Provision'!AC22,'25a Soll-Ist Vergl. + Provision'!AN22)))</f>
        <v/>
      </c>
      <c r="CK25" s="1163">
        <f>IF($CD$10="Januar",'25a Soll-Ist Vergl. + Provision'!H22,IF($CD$10="Februar",'25a Soll-Ist Vergl. + Provision'!S22,IF($CD$10="März",'25a Soll-Ist Vergl. + Provision'!AD22,'25a Soll-Ist Vergl. + Provision'!AO22)))</f>
        <v>0</v>
      </c>
      <c r="CL25" s="1163" t="str">
        <f ca="1">IF($CD$10="Januar",'25a Soll-Ist Vergl. + Provision'!I22,IF($CD$10="Februar",'25a Soll-Ist Vergl. + Provision'!T22,IF($CD$10="März",'25a Soll-Ist Vergl. + Provision'!AE22,'25a Soll-Ist Vergl. + Provision'!AP22)))</f>
        <v/>
      </c>
      <c r="CM25" s="1163" t="str">
        <f ca="1">IF($CD$10="Januar",'25a Soll-Ist Vergl. + Provision'!J22,IF($CD$10="Februar",'25a Soll-Ist Vergl. + Provision'!U22,IF($CD$10="März",'25a Soll-Ist Vergl. + Provision'!AF22,'25a Soll-Ist Vergl. + Provision'!AQ22)))</f>
        <v/>
      </c>
      <c r="CN25" s="1163" t="str">
        <f ca="1">IF($CD$10="Januar",'25a Soll-Ist Vergl. + Provision'!K22,IF($CD$10="Februar",'25a Soll-Ist Vergl. + Provision'!V22,IF($CD$10="März",'25a Soll-Ist Vergl. + Provision'!AG22,'25a Soll-Ist Vergl. + Provision'!AR22)))</f>
        <v/>
      </c>
      <c r="CO25" s="1163" t="str">
        <f t="shared" si="65"/>
        <v>August</v>
      </c>
      <c r="CP25" s="1163">
        <f t="shared" si="66"/>
        <v>0</v>
      </c>
      <c r="CQ25" s="1163">
        <f t="shared" si="67"/>
        <v>0</v>
      </c>
      <c r="CR25" s="1163">
        <f t="shared" si="68"/>
        <v>0</v>
      </c>
      <c r="CS25" s="1163">
        <f>IF($CP$10="Mai",'25a Soll-Ist Vergl. + Provision'!AV22,IF($CP$10="Juni",'25a Soll-Ist Vergl. + Provision'!BG22,IF($CP$10="Juli",'25a Soll-Ist Vergl. + Provision'!BR22,'25a Soll-Ist Vergl. + Provision'!CC22)))</f>
        <v>0</v>
      </c>
      <c r="CT25" s="1163" t="str">
        <f ca="1">IF($CP$10="Mai",'25a Soll-Ist Vergl. + Provision'!AW22,IF($CP$10="Juni",'25a Soll-Ist Vergl. + Provision'!BH22,IF($CP$10="Juli",'25a Soll-Ist Vergl. + Provision'!BS22,'25a Soll-Ist Vergl. + Provision'!CD22)))</f>
        <v/>
      </c>
      <c r="CU25" s="1163" t="str">
        <f ca="1">IF($CP$10="Mai",'25a Soll-Ist Vergl. + Provision'!AX22,IF($CP$10="Juni",'25a Soll-Ist Vergl. + Provision'!BI22,IF($CP$10="Juli",'25a Soll-Ist Vergl. + Provision'!BT22,'25a Soll-Ist Vergl. + Provision'!CE22)))</f>
        <v/>
      </c>
      <c r="CV25" s="1163" t="str">
        <f ca="1">IF($CP$10="Mai",'25a Soll-Ist Vergl. + Provision'!AY22,IF($CP$10="Juni",'25a Soll-Ist Vergl. + Provision'!BJ22,IF($CP$10="Juli",'25a Soll-Ist Vergl. + Provision'!BU22,'25a Soll-Ist Vergl. + Provision'!CF22)))</f>
        <v/>
      </c>
      <c r="CW25" s="1163">
        <f>IF($CP$10="Mai",'25a Soll-Ist Vergl. + Provision'!AZ22,IF($CP$10="Juni",'25a Soll-Ist Vergl. + Provision'!BK22,IF($CP$10="Juli",'25a Soll-Ist Vergl. + Provision'!BV22,'25a Soll-Ist Vergl. + Provision'!CG22)))</f>
        <v>0</v>
      </c>
      <c r="CX25" s="1163" t="str">
        <f ca="1">IF($CP$10="Mai",'25a Soll-Ist Vergl. + Provision'!BA22,IF($CP$10="Juni",'25a Soll-Ist Vergl. + Provision'!BL22,IF($CP$10="Juli",'25a Soll-Ist Vergl. + Provision'!BW22,'25a Soll-Ist Vergl. + Provision'!CH22)))</f>
        <v/>
      </c>
      <c r="CY25" s="1163" t="str">
        <f ca="1">IF($CP$10="Mai",'25a Soll-Ist Vergl. + Provision'!BB22,IF($CP$10="Juni",'25a Soll-Ist Vergl. + Provision'!BM22,IF($CP$10="Juli",'25a Soll-Ist Vergl. + Provision'!BX22,'25a Soll-Ist Vergl. + Provision'!CI22)))</f>
        <v/>
      </c>
      <c r="CZ25" s="1163" t="str">
        <f ca="1">IF($CP$10="Mai",'25a Soll-Ist Vergl. + Provision'!BC22,IF($CP$10="Juni",'25a Soll-Ist Vergl. + Provision'!BN22,IF($CP$10="Juli",'25a Soll-Ist Vergl. + Provision'!BY22,'25a Soll-Ist Vergl. + Provision'!CJ22)))</f>
        <v/>
      </c>
      <c r="DA25" s="1163" t="str">
        <f t="shared" si="69"/>
        <v>Dezember</v>
      </c>
      <c r="DB25" s="1163">
        <f t="shared" si="70"/>
        <v>0</v>
      </c>
      <c r="DC25" s="1163">
        <f t="shared" si="71"/>
        <v>0</v>
      </c>
      <c r="DD25" s="1163">
        <f t="shared" si="72"/>
        <v>0</v>
      </c>
      <c r="DE25" s="1163">
        <f>IF($DB$10="September",'25a Soll-Ist Vergl. + Provision'!CN22,IF($DB$10="Oktober",'25a Soll-Ist Vergl. + Provision'!CY22,IF($DB$10="November",'25a Soll-Ist Vergl. + Provision'!DJ22,'25a Soll-Ist Vergl. + Provision'!DU22)))</f>
        <v>0</v>
      </c>
      <c r="DF25" s="1163" t="str">
        <f ca="1">IF($DB$10="September",'25a Soll-Ist Vergl. + Provision'!CO22,IF($DB$10="Oktober",'25a Soll-Ist Vergl. + Provision'!CZ22,IF($DB$10="November",'25a Soll-Ist Vergl. + Provision'!DK22,'25a Soll-Ist Vergl. + Provision'!DV22)))</f>
        <v/>
      </c>
      <c r="DG25" s="1163" t="str">
        <f ca="1">IF($DB$10="September",'25a Soll-Ist Vergl. + Provision'!CP22,IF($DB$10="Oktober",'25a Soll-Ist Vergl. + Provision'!DA22,IF($DB$10="November",'25a Soll-Ist Vergl. + Provision'!DL22,'25a Soll-Ist Vergl. + Provision'!DW22)))</f>
        <v/>
      </c>
      <c r="DH25" s="1163" t="str">
        <f ca="1">IF($DB$10="September",'25a Soll-Ist Vergl. + Provision'!CQ22,IF($DB$10="Oktober",'25a Soll-Ist Vergl. + Provision'!DB22,IF($DB$10="November",'25a Soll-Ist Vergl. + Provision'!DM22,'25a Soll-Ist Vergl. + Provision'!DX22)))</f>
        <v/>
      </c>
      <c r="DI25" s="1163">
        <f>IF($DB$10="September",'25a Soll-Ist Vergl. + Provision'!CR22,IF($DB$10="Oktober",'25a Soll-Ist Vergl. + Provision'!DC22,IF($DB$10="November",'25a Soll-Ist Vergl. + Provision'!DN22,'25a Soll-Ist Vergl. + Provision'!DY22)))</f>
        <v>0</v>
      </c>
      <c r="DJ25" s="1163" t="str">
        <f ca="1">IF($DB$10="September",'25a Soll-Ist Vergl. + Provision'!CS22,IF($DB$10="Oktober",'25a Soll-Ist Vergl. + Provision'!DD22,IF($DB$10="November",'25a Soll-Ist Vergl. + Provision'!DO22,'25a Soll-Ist Vergl. + Provision'!DZ22)))</f>
        <v/>
      </c>
      <c r="DK25" s="1163" t="str">
        <f ca="1">IF($DB$10="September",'25a Soll-Ist Vergl. + Provision'!CT22,IF($DB$10="Oktober",'25a Soll-Ist Vergl. + Provision'!DE22,IF($DB$10="November",'25a Soll-Ist Vergl. + Provision'!DP22,'25a Soll-Ist Vergl. + Provision'!EA22)))</f>
        <v/>
      </c>
      <c r="DL25" s="1163" t="str">
        <f ca="1">IF($DB$10="September",'25a Soll-Ist Vergl. + Provision'!CU22,IF($DB$10="Oktober",'25a Soll-Ist Vergl. + Provision'!DF22,IF($DB$10="November",'25a Soll-Ist Vergl. + Provision'!DQ22,'25a Soll-Ist Vergl. + Provision'!EB22)))</f>
        <v/>
      </c>
      <c r="DM25" s="1163" t="str">
        <f t="shared" si="73"/>
        <v>Januar</v>
      </c>
      <c r="DN25" s="1163">
        <f t="shared" si="74"/>
        <v>0</v>
      </c>
      <c r="DO25" s="1163">
        <f t="shared" si="75"/>
        <v>0</v>
      </c>
      <c r="DP25" s="1163">
        <f t="shared" si="76"/>
        <v>0</v>
      </c>
      <c r="DQ25" s="1163">
        <f t="shared" si="77"/>
        <v>0</v>
      </c>
      <c r="DR25" s="1163" t="str">
        <f t="shared" ca="1" si="78"/>
        <v/>
      </c>
      <c r="DS25" s="1163" t="str">
        <f t="shared" ca="1" si="79"/>
        <v/>
      </c>
      <c r="DT25" s="1163" t="str">
        <f t="shared" ca="1" si="80"/>
        <v/>
      </c>
      <c r="DU25" s="1163">
        <f t="shared" si="81"/>
        <v>0</v>
      </c>
      <c r="DV25" s="1163" t="str">
        <f t="shared" ca="1" si="82"/>
        <v/>
      </c>
      <c r="DW25" s="1163" t="str">
        <f t="shared" ca="1" si="83"/>
        <v/>
      </c>
      <c r="DX25" s="1163" t="str">
        <f t="shared" ca="1" si="84"/>
        <v/>
      </c>
      <c r="DY25" s="267"/>
      <c r="DZ25" s="3239">
        <f>'4 Eingabe Friseure'!L22</f>
        <v>0</v>
      </c>
      <c r="EA25" s="3239"/>
      <c r="EB25" s="3239">
        <f>IF($DZ25=12,1,'4 Eingabe Friseure'!N22)</f>
        <v>0</v>
      </c>
      <c r="EC25" s="3239">
        <f>IF($DZ25=12,1,'4 Eingabe Friseure'!O22)</f>
        <v>0</v>
      </c>
      <c r="ED25" s="3239">
        <f>IF($DZ25=12,1,'4 Eingabe Friseure'!P22)</f>
        <v>0</v>
      </c>
      <c r="EE25" s="3239">
        <f>IF($DZ25=12,1,'4 Eingabe Friseure'!Q22)</f>
        <v>0</v>
      </c>
      <c r="EF25" s="3239">
        <f>IF($DZ25=12,1,'4 Eingabe Friseure'!R22)</f>
        <v>0</v>
      </c>
      <c r="EG25" s="3239">
        <f>IF($DZ25=12,1,'4 Eingabe Friseure'!S22)</f>
        <v>0</v>
      </c>
      <c r="EH25" s="3239">
        <f>IF($DZ25=12,1,'4 Eingabe Friseure'!T22)</f>
        <v>0</v>
      </c>
      <c r="EI25" s="3239">
        <f>IF($DZ25=12,1,'4 Eingabe Friseure'!U22)</f>
        <v>0</v>
      </c>
      <c r="EJ25" s="3239">
        <f>IF($DZ25=12,1,'4 Eingabe Friseure'!V22)</f>
        <v>0</v>
      </c>
      <c r="EK25" s="3239">
        <f>IF($DZ25=12,1,'4 Eingabe Friseure'!W22)</f>
        <v>0</v>
      </c>
      <c r="EL25" s="3239">
        <f>IF($DZ25=12,1,'4 Eingabe Friseure'!X22)</f>
        <v>0</v>
      </c>
      <c r="EM25" s="3239">
        <f>IF($DZ25=12,1,'4 Eingabe Friseure'!Y22)</f>
        <v>0</v>
      </c>
    </row>
    <row r="26" spans="1:143" ht="18" customHeight="1">
      <c r="A26" s="2740" t="str">
        <f ca="1">IF('22 Sollumsatz pro MA '!A24="","",'22 Sollumsatz pro MA '!A24)</f>
        <v/>
      </c>
      <c r="B26" s="1945"/>
      <c r="C26" s="1981"/>
      <c r="D26" s="1957"/>
      <c r="E26" s="2097" t="str">
        <f ca="1">IF($A26="","",IF(EB26=0,"",'23 LF individuell'!$AG24*$B26))</f>
        <v/>
      </c>
      <c r="F26" s="2100" t="str">
        <f ca="1">IF($A26="","",IF(EB26=0,"",'23 LF individuell'!$AH24*$B26))</f>
        <v/>
      </c>
      <c r="G26" s="2101" t="str">
        <f ca="1">IF($A26="","",IF(EB26=0,"",'23 LF individuell'!$AI24*$B26))</f>
        <v/>
      </c>
      <c r="H26" s="1945"/>
      <c r="I26" s="1981"/>
      <c r="J26" s="1957"/>
      <c r="K26" s="2006" t="str">
        <f ca="1">IF($A26="","",IF(EC26=0,"",'23 LF individuell'!$AG24*H26))</f>
        <v/>
      </c>
      <c r="L26" s="2007" t="str">
        <f ca="1">IF($A26="","",IF(EC26=0,"",'23 LF individuell'!$AH24*H26))</f>
        <v/>
      </c>
      <c r="M26" s="2008" t="str">
        <f ca="1">IF($A26="","",IF(EC26=0,"",'23 LF individuell'!$AI24*H26))</f>
        <v/>
      </c>
      <c r="N26" s="1945"/>
      <c r="O26" s="1981"/>
      <c r="P26" s="1957"/>
      <c r="Q26" s="2097" t="str">
        <f ca="1">IF($A26="","",IF(ED26=0,"",'23 LF individuell'!$AG24*N26))</f>
        <v/>
      </c>
      <c r="R26" s="2098" t="str">
        <f ca="1">IF($A26="","",IF(ED26=0,"",'23 LF individuell'!$AH24*N26))</f>
        <v/>
      </c>
      <c r="S26" s="2099" t="str">
        <f ca="1">IF($A26="","",IF(ED26=0,"",'23 LF individuell'!$AI24*N26))</f>
        <v/>
      </c>
      <c r="T26" s="1945"/>
      <c r="U26" s="1981"/>
      <c r="V26" s="1957"/>
      <c r="W26" s="2006" t="str">
        <f ca="1">IF($A26="","",IF(EE26=0,"",'23 LF individuell'!$AG24*T26))</f>
        <v/>
      </c>
      <c r="X26" s="2007" t="str">
        <f ca="1">IF($A26="","",IF(EE26=0,"",'23 LF individuell'!$AH24*T26))</f>
        <v/>
      </c>
      <c r="Y26" s="2008" t="str">
        <f ca="1">IF($A26="","",IF(EE26=0,"",'23 LF individuell'!$AI24*T26))</f>
        <v/>
      </c>
      <c r="Z26" s="1945"/>
      <c r="AA26" s="1981"/>
      <c r="AB26" s="1957"/>
      <c r="AC26" s="2097" t="str">
        <f ca="1">IF($A26="","",IF(EF26=0,"",'23 LF individuell'!$AG24*Z26))</f>
        <v/>
      </c>
      <c r="AD26" s="2098" t="str">
        <f ca="1">IF($A26="","",IF(EF26=0,"",'23 LF individuell'!$AH24*Z26))</f>
        <v/>
      </c>
      <c r="AE26" s="2099" t="str">
        <f ca="1">IF($A26="","",IF(EF26=0,"",'23 LF individuell'!$AI24*Z26))</f>
        <v/>
      </c>
      <c r="AF26" s="1945"/>
      <c r="AG26" s="1981"/>
      <c r="AH26" s="1957"/>
      <c r="AI26" s="2006" t="str">
        <f ca="1">IF($A26="","",IF(EG26=0,"",'23 LF individuell'!$AG24*AF26))</f>
        <v/>
      </c>
      <c r="AJ26" s="2007" t="str">
        <f ca="1">IF($A26="","",IF(EG26=0,"",'23 LF individuell'!$AH24*AF26))</f>
        <v/>
      </c>
      <c r="AK26" s="2008" t="str">
        <f ca="1">IF($A26="","",IF(EG26=0,"",'23 LF individuell'!$AI24*AF26))</f>
        <v/>
      </c>
      <c r="AL26" s="2003"/>
      <c r="AM26" s="2004"/>
      <c r="AN26" s="2005"/>
      <c r="AO26" s="2097" t="str">
        <f ca="1">IF($A26="","",IF(EH26=0,"",'23 LF individuell'!$AG24*AL26))</f>
        <v/>
      </c>
      <c r="AP26" s="2098" t="str">
        <f ca="1">IF($A26="","",IF(EH26=0,"",'23 LF individuell'!$AH24*AL26))</f>
        <v/>
      </c>
      <c r="AQ26" s="2099" t="str">
        <f ca="1">IF($A26="","",IF(EH26=0,"",'23 LF individuell'!$AI24*AL26))</f>
        <v/>
      </c>
      <c r="AR26" s="2003"/>
      <c r="AS26" s="2004"/>
      <c r="AT26" s="2005"/>
      <c r="AU26" s="2006" t="str">
        <f ca="1">IF($A26="","",IF(EI26=0,"",'23 LF individuell'!$AG24*AR26))</f>
        <v/>
      </c>
      <c r="AV26" s="2007" t="str">
        <f ca="1">IF($A26="","",IF(EI26=0,"",'23 LF individuell'!$AH24*AR26))</f>
        <v/>
      </c>
      <c r="AW26" s="2008" t="str">
        <f ca="1">IF($A26="","",IF(EI26=0,"",'23 LF individuell'!$AI24*AR26))</f>
        <v/>
      </c>
      <c r="AX26" s="2003"/>
      <c r="AY26" s="2004"/>
      <c r="AZ26" s="2005"/>
      <c r="BA26" s="2097" t="str">
        <f ca="1">IF($A26="","",IF(EJ26=0,"",'23 LF individuell'!$AG24*AX26))</f>
        <v/>
      </c>
      <c r="BB26" s="2098" t="str">
        <f ca="1">IF($A26="","",IF(EJ26=0,"",'23 LF individuell'!$AH24*AX26))</f>
        <v/>
      </c>
      <c r="BC26" s="2099" t="str">
        <f ca="1">IF($A26="","",IF(EJ26=0,"",'23 LF individuell'!$AI24*AX26))</f>
        <v/>
      </c>
      <c r="BD26" s="2003"/>
      <c r="BE26" s="2004"/>
      <c r="BF26" s="2005"/>
      <c r="BG26" s="2006" t="str">
        <f ca="1">IF($A26="","",IF(EK26=0,"",'23 LF individuell'!$AG24*BD26))</f>
        <v/>
      </c>
      <c r="BH26" s="2007" t="str">
        <f ca="1">IF($A26="","",IF(EK26=0,"",'23 LF individuell'!$AH24*BD26))</f>
        <v/>
      </c>
      <c r="BI26" s="2008" t="str">
        <f ca="1">IF($A26="","",IF(EK26=0,"",'23 LF individuell'!$AI24*BD26))</f>
        <v/>
      </c>
      <c r="BJ26" s="2003"/>
      <c r="BK26" s="2004"/>
      <c r="BL26" s="2005"/>
      <c r="BM26" s="2097" t="str">
        <f ca="1">IF($A26="","",IF(EL26=0,"",'23 LF individuell'!$AG24*BJ26))</f>
        <v/>
      </c>
      <c r="BN26" s="2098" t="str">
        <f ca="1">IF($A26="","",IF(EL26=0,"",'23 LF individuell'!$AH24*BJ26))</f>
        <v/>
      </c>
      <c r="BO26" s="2099" t="str">
        <f ca="1">IF($A26="","",IF(EL26=0,"",'23 LF individuell'!$AI24*BJ26))</f>
        <v/>
      </c>
      <c r="BP26" s="2003"/>
      <c r="BQ26" s="2004"/>
      <c r="BR26" s="2005"/>
      <c r="BS26" s="2006" t="str">
        <f ca="1">IF($A26="","",IF(EM26=0,"",'23 LF individuell'!$AG24*BP26))</f>
        <v/>
      </c>
      <c r="BT26" s="2007" t="str">
        <f ca="1">IF($A26="","",IF(EM26=0,"",'23 LF individuell'!$AH24*BP26))</f>
        <v/>
      </c>
      <c r="BU26" s="2008" t="str">
        <f ca="1">IF($A26="","",IF(EM26=0,"",'23 LF individuell'!$AI24*BP26))</f>
        <v/>
      </c>
      <c r="BV26" s="2044" t="str">
        <f t="shared" ca="1" si="54"/>
        <v/>
      </c>
      <c r="BW26" s="2044" t="str">
        <f t="shared" ca="1" si="55"/>
        <v/>
      </c>
      <c r="BX26" s="2044" t="str">
        <f t="shared" ca="1" si="56"/>
        <v/>
      </c>
      <c r="BY26" s="2049" t="str">
        <f t="shared" ca="1" si="57"/>
        <v/>
      </c>
      <c r="BZ26" s="2049" t="str">
        <f t="shared" ca="1" si="58"/>
        <v/>
      </c>
      <c r="CA26" s="2049" t="str">
        <f t="shared" ca="1" si="59"/>
        <v/>
      </c>
      <c r="CB26" s="2116" t="str">
        <f t="shared" ca="1" si="60"/>
        <v/>
      </c>
      <c r="CC26" s="1163" t="str">
        <f t="shared" si="61"/>
        <v>Januar</v>
      </c>
      <c r="CD26" s="1163">
        <f t="shared" si="62"/>
        <v>0</v>
      </c>
      <c r="CE26" s="1163">
        <f t="shared" si="63"/>
        <v>0</v>
      </c>
      <c r="CF26" s="1163">
        <f t="shared" si="64"/>
        <v>0</v>
      </c>
      <c r="CG26" s="1163">
        <f>IF($CD$10="Januar",'25a Soll-Ist Vergl. + Provision'!D23,IF($CD$10="Februar",'25a Soll-Ist Vergl. + Provision'!O23,IF($CD$10="März",'25a Soll-Ist Vergl. + Provision'!Z23,'25a Soll-Ist Vergl. + Provision'!AK23)))</f>
        <v>0</v>
      </c>
      <c r="CH26" s="1163" t="str">
        <f ca="1">IF($CD$10="Januar",'25a Soll-Ist Vergl. + Provision'!E23,IF($CD$10="Februar",'25a Soll-Ist Vergl. + Provision'!P23,IF($CD$10="März",'25a Soll-Ist Vergl. + Provision'!AA23,'25a Soll-Ist Vergl. + Provision'!AL23)))</f>
        <v/>
      </c>
      <c r="CI26" s="1163" t="str">
        <f ca="1">IF($CD$10="Januar",'25a Soll-Ist Vergl. + Provision'!F23,IF($CD$10="Februar",'25a Soll-Ist Vergl. + Provision'!Q23,IF($CD$10="März",'25a Soll-Ist Vergl. + Provision'!AB23,'25a Soll-Ist Vergl. + Provision'!AM23)))</f>
        <v/>
      </c>
      <c r="CJ26" s="1163" t="str">
        <f ca="1">IF($CD$10="Januar",'25a Soll-Ist Vergl. + Provision'!G23,IF($CD$10="Februar",'25a Soll-Ist Vergl. + Provision'!R23,IF($CD$10="März",'25a Soll-Ist Vergl. + Provision'!AC23,'25a Soll-Ist Vergl. + Provision'!AN23)))</f>
        <v/>
      </c>
      <c r="CK26" s="1163">
        <f>IF($CD$10="Januar",'25a Soll-Ist Vergl. + Provision'!H23,IF($CD$10="Februar",'25a Soll-Ist Vergl. + Provision'!S23,IF($CD$10="März",'25a Soll-Ist Vergl. + Provision'!AD23,'25a Soll-Ist Vergl. + Provision'!AO23)))</f>
        <v>0</v>
      </c>
      <c r="CL26" s="1163" t="str">
        <f ca="1">IF($CD$10="Januar",'25a Soll-Ist Vergl. + Provision'!I23,IF($CD$10="Februar",'25a Soll-Ist Vergl. + Provision'!T23,IF($CD$10="März",'25a Soll-Ist Vergl. + Provision'!AE23,'25a Soll-Ist Vergl. + Provision'!AP23)))</f>
        <v/>
      </c>
      <c r="CM26" s="1163" t="str">
        <f ca="1">IF($CD$10="Januar",'25a Soll-Ist Vergl. + Provision'!J23,IF($CD$10="Februar",'25a Soll-Ist Vergl. + Provision'!U23,IF($CD$10="März",'25a Soll-Ist Vergl. + Provision'!AF23,'25a Soll-Ist Vergl. + Provision'!AQ23)))</f>
        <v/>
      </c>
      <c r="CN26" s="1163" t="str">
        <f ca="1">IF($CD$10="Januar",'25a Soll-Ist Vergl. + Provision'!K23,IF($CD$10="Februar",'25a Soll-Ist Vergl. + Provision'!V23,IF($CD$10="März",'25a Soll-Ist Vergl. + Provision'!AG23,'25a Soll-Ist Vergl. + Provision'!AR23)))</f>
        <v/>
      </c>
      <c r="CO26" s="1163" t="str">
        <f t="shared" si="65"/>
        <v>August</v>
      </c>
      <c r="CP26" s="1163">
        <f t="shared" si="66"/>
        <v>0</v>
      </c>
      <c r="CQ26" s="1163">
        <f t="shared" si="67"/>
        <v>0</v>
      </c>
      <c r="CR26" s="1163">
        <f t="shared" si="68"/>
        <v>0</v>
      </c>
      <c r="CS26" s="1163">
        <f>IF($CP$10="Mai",'25a Soll-Ist Vergl. + Provision'!AV23,IF($CP$10="Juni",'25a Soll-Ist Vergl. + Provision'!BG23,IF($CP$10="Juli",'25a Soll-Ist Vergl. + Provision'!BR23,'25a Soll-Ist Vergl. + Provision'!CC23)))</f>
        <v>0</v>
      </c>
      <c r="CT26" s="1163" t="str">
        <f ca="1">IF($CP$10="Mai",'25a Soll-Ist Vergl. + Provision'!AW23,IF($CP$10="Juni",'25a Soll-Ist Vergl. + Provision'!BH23,IF($CP$10="Juli",'25a Soll-Ist Vergl. + Provision'!BS23,'25a Soll-Ist Vergl. + Provision'!CD23)))</f>
        <v/>
      </c>
      <c r="CU26" s="1163" t="str">
        <f ca="1">IF($CP$10="Mai",'25a Soll-Ist Vergl. + Provision'!AX23,IF($CP$10="Juni",'25a Soll-Ist Vergl. + Provision'!BI23,IF($CP$10="Juli",'25a Soll-Ist Vergl. + Provision'!BT23,'25a Soll-Ist Vergl. + Provision'!CE23)))</f>
        <v/>
      </c>
      <c r="CV26" s="1163" t="str">
        <f ca="1">IF($CP$10="Mai",'25a Soll-Ist Vergl. + Provision'!AY23,IF($CP$10="Juni",'25a Soll-Ist Vergl. + Provision'!BJ23,IF($CP$10="Juli",'25a Soll-Ist Vergl. + Provision'!BU23,'25a Soll-Ist Vergl. + Provision'!CF23)))</f>
        <v/>
      </c>
      <c r="CW26" s="1163">
        <f>IF($CP$10="Mai",'25a Soll-Ist Vergl. + Provision'!AZ23,IF($CP$10="Juni",'25a Soll-Ist Vergl. + Provision'!BK23,IF($CP$10="Juli",'25a Soll-Ist Vergl. + Provision'!BV23,'25a Soll-Ist Vergl. + Provision'!CG23)))</f>
        <v>0</v>
      </c>
      <c r="CX26" s="1163" t="str">
        <f ca="1">IF($CP$10="Mai",'25a Soll-Ist Vergl. + Provision'!BA23,IF($CP$10="Juni",'25a Soll-Ist Vergl. + Provision'!BL23,IF($CP$10="Juli",'25a Soll-Ist Vergl. + Provision'!BW23,'25a Soll-Ist Vergl. + Provision'!CH23)))</f>
        <v/>
      </c>
      <c r="CY26" s="1163" t="str">
        <f ca="1">IF($CP$10="Mai",'25a Soll-Ist Vergl. + Provision'!BB23,IF($CP$10="Juni",'25a Soll-Ist Vergl. + Provision'!BM23,IF($CP$10="Juli",'25a Soll-Ist Vergl. + Provision'!BX23,'25a Soll-Ist Vergl. + Provision'!CI23)))</f>
        <v/>
      </c>
      <c r="CZ26" s="1163" t="str">
        <f ca="1">IF($CP$10="Mai",'25a Soll-Ist Vergl. + Provision'!BC23,IF($CP$10="Juni",'25a Soll-Ist Vergl. + Provision'!BN23,IF($CP$10="Juli",'25a Soll-Ist Vergl. + Provision'!BY23,'25a Soll-Ist Vergl. + Provision'!CJ23)))</f>
        <v/>
      </c>
      <c r="DA26" s="1163" t="str">
        <f t="shared" si="69"/>
        <v>Dezember</v>
      </c>
      <c r="DB26" s="1163">
        <f t="shared" si="70"/>
        <v>0</v>
      </c>
      <c r="DC26" s="1163">
        <f t="shared" si="71"/>
        <v>0</v>
      </c>
      <c r="DD26" s="1163">
        <f t="shared" si="72"/>
        <v>0</v>
      </c>
      <c r="DE26" s="1163">
        <f>IF($DB$10="September",'25a Soll-Ist Vergl. + Provision'!CN23,IF($DB$10="Oktober",'25a Soll-Ist Vergl. + Provision'!CY23,IF($DB$10="November",'25a Soll-Ist Vergl. + Provision'!DJ23,'25a Soll-Ist Vergl. + Provision'!DU23)))</f>
        <v>0</v>
      </c>
      <c r="DF26" s="1163" t="str">
        <f ca="1">IF($DB$10="September",'25a Soll-Ist Vergl. + Provision'!CO23,IF($DB$10="Oktober",'25a Soll-Ist Vergl. + Provision'!CZ23,IF($DB$10="November",'25a Soll-Ist Vergl. + Provision'!DK23,'25a Soll-Ist Vergl. + Provision'!DV23)))</f>
        <v/>
      </c>
      <c r="DG26" s="1163" t="str">
        <f ca="1">IF($DB$10="September",'25a Soll-Ist Vergl. + Provision'!CP23,IF($DB$10="Oktober",'25a Soll-Ist Vergl. + Provision'!DA23,IF($DB$10="November",'25a Soll-Ist Vergl. + Provision'!DL23,'25a Soll-Ist Vergl. + Provision'!DW23)))</f>
        <v/>
      </c>
      <c r="DH26" s="1163" t="str">
        <f ca="1">IF($DB$10="September",'25a Soll-Ist Vergl. + Provision'!CQ23,IF($DB$10="Oktober",'25a Soll-Ist Vergl. + Provision'!DB23,IF($DB$10="November",'25a Soll-Ist Vergl. + Provision'!DM23,'25a Soll-Ist Vergl. + Provision'!DX23)))</f>
        <v/>
      </c>
      <c r="DI26" s="1163">
        <f>IF($DB$10="September",'25a Soll-Ist Vergl. + Provision'!CR23,IF($DB$10="Oktober",'25a Soll-Ist Vergl. + Provision'!DC23,IF($DB$10="November",'25a Soll-Ist Vergl. + Provision'!DN23,'25a Soll-Ist Vergl. + Provision'!DY23)))</f>
        <v>0</v>
      </c>
      <c r="DJ26" s="1163" t="str">
        <f ca="1">IF($DB$10="September",'25a Soll-Ist Vergl. + Provision'!CS23,IF($DB$10="Oktober",'25a Soll-Ist Vergl. + Provision'!DD23,IF($DB$10="November",'25a Soll-Ist Vergl. + Provision'!DO23,'25a Soll-Ist Vergl. + Provision'!DZ23)))</f>
        <v/>
      </c>
      <c r="DK26" s="1163" t="str">
        <f ca="1">IF($DB$10="September",'25a Soll-Ist Vergl. + Provision'!CT23,IF($DB$10="Oktober",'25a Soll-Ist Vergl. + Provision'!DE23,IF($DB$10="November",'25a Soll-Ist Vergl. + Provision'!DP23,'25a Soll-Ist Vergl. + Provision'!EA23)))</f>
        <v/>
      </c>
      <c r="DL26" s="1163" t="str">
        <f ca="1">IF($DB$10="September",'25a Soll-Ist Vergl. + Provision'!CU23,IF($DB$10="Oktober",'25a Soll-Ist Vergl. + Provision'!DF23,IF($DB$10="November",'25a Soll-Ist Vergl. + Provision'!DQ23,'25a Soll-Ist Vergl. + Provision'!EB23)))</f>
        <v/>
      </c>
      <c r="DM26" s="1163" t="str">
        <f t="shared" si="73"/>
        <v>Januar</v>
      </c>
      <c r="DN26" s="1163">
        <f t="shared" si="74"/>
        <v>0</v>
      </c>
      <c r="DO26" s="1163">
        <f t="shared" si="75"/>
        <v>0</v>
      </c>
      <c r="DP26" s="1163">
        <f t="shared" si="76"/>
        <v>0</v>
      </c>
      <c r="DQ26" s="1163">
        <f t="shared" si="77"/>
        <v>0</v>
      </c>
      <c r="DR26" s="1163" t="str">
        <f t="shared" ca="1" si="78"/>
        <v/>
      </c>
      <c r="DS26" s="1163" t="str">
        <f t="shared" ca="1" si="79"/>
        <v/>
      </c>
      <c r="DT26" s="1163" t="str">
        <f t="shared" ca="1" si="80"/>
        <v/>
      </c>
      <c r="DU26" s="1163">
        <f t="shared" si="81"/>
        <v>0</v>
      </c>
      <c r="DV26" s="1163" t="str">
        <f t="shared" ca="1" si="82"/>
        <v/>
      </c>
      <c r="DW26" s="1163" t="str">
        <f t="shared" ca="1" si="83"/>
        <v/>
      </c>
      <c r="DX26" s="1163" t="str">
        <f t="shared" ca="1" si="84"/>
        <v/>
      </c>
      <c r="DY26" s="267"/>
      <c r="DZ26" s="3239">
        <f>'4 Eingabe Friseure'!L23</f>
        <v>0</v>
      </c>
      <c r="EA26" s="3239"/>
      <c r="EB26" s="3239">
        <f>IF($DZ26=12,1,'4 Eingabe Friseure'!N23)</f>
        <v>0</v>
      </c>
      <c r="EC26" s="3239">
        <f>IF($DZ26=12,1,'4 Eingabe Friseure'!O23)</f>
        <v>0</v>
      </c>
      <c r="ED26" s="3239">
        <f>IF($DZ26=12,1,'4 Eingabe Friseure'!P23)</f>
        <v>0</v>
      </c>
      <c r="EE26" s="3239">
        <f>IF($DZ26=12,1,'4 Eingabe Friseure'!Q23)</f>
        <v>0</v>
      </c>
      <c r="EF26" s="3239">
        <f>IF($DZ26=12,1,'4 Eingabe Friseure'!R23)</f>
        <v>0</v>
      </c>
      <c r="EG26" s="3239">
        <f>IF($DZ26=12,1,'4 Eingabe Friseure'!S23)</f>
        <v>0</v>
      </c>
      <c r="EH26" s="3239">
        <f>IF($DZ26=12,1,'4 Eingabe Friseure'!T23)</f>
        <v>0</v>
      </c>
      <c r="EI26" s="3239">
        <f>IF($DZ26=12,1,'4 Eingabe Friseure'!U23)</f>
        <v>0</v>
      </c>
      <c r="EJ26" s="3239">
        <f>IF($DZ26=12,1,'4 Eingabe Friseure'!V23)</f>
        <v>0</v>
      </c>
      <c r="EK26" s="3239">
        <f>IF($DZ26=12,1,'4 Eingabe Friseure'!W23)</f>
        <v>0</v>
      </c>
      <c r="EL26" s="3239">
        <f>IF($DZ26=12,1,'4 Eingabe Friseure'!X23)</f>
        <v>0</v>
      </c>
      <c r="EM26" s="3239">
        <f>IF($DZ26=12,1,'4 Eingabe Friseure'!Y23)</f>
        <v>0</v>
      </c>
    </row>
    <row r="27" spans="1:143" ht="18" customHeight="1">
      <c r="A27" s="2740" t="str">
        <f ca="1">IF('22 Sollumsatz pro MA '!A25="","",'22 Sollumsatz pro MA '!A25)</f>
        <v/>
      </c>
      <c r="B27" s="1945"/>
      <c r="C27" s="1981"/>
      <c r="D27" s="1957"/>
      <c r="E27" s="2097" t="str">
        <f ca="1">IF($A27="","",IF(EB27=0,"",'23 LF individuell'!$AG25*$B27))</f>
        <v/>
      </c>
      <c r="F27" s="2100" t="str">
        <f ca="1">IF($A27="","",IF(EB27=0,"",'23 LF individuell'!$AH25*$B27))</f>
        <v/>
      </c>
      <c r="G27" s="2101" t="str">
        <f ca="1">IF($A27="","",IF(EB27=0,"",'23 LF individuell'!$AI25*$B27))</f>
        <v/>
      </c>
      <c r="H27" s="1945"/>
      <c r="I27" s="1981"/>
      <c r="J27" s="1957"/>
      <c r="K27" s="2006" t="str">
        <f ca="1">IF($A27="","",IF(EC27=0,"",'23 LF individuell'!$AG25*H27))</f>
        <v/>
      </c>
      <c r="L27" s="2007" t="str">
        <f ca="1">IF($A27="","",IF(EC27=0,"",'23 LF individuell'!$AH25*H27))</f>
        <v/>
      </c>
      <c r="M27" s="2008" t="str">
        <f ca="1">IF($A27="","",IF(EC27=0,"",'23 LF individuell'!$AI25*H27))</f>
        <v/>
      </c>
      <c r="N27" s="1945"/>
      <c r="O27" s="1981"/>
      <c r="P27" s="1957"/>
      <c r="Q27" s="2097" t="str">
        <f ca="1">IF($A27="","",IF(ED27=0,"",'23 LF individuell'!$AG25*N27))</f>
        <v/>
      </c>
      <c r="R27" s="2098" t="str">
        <f ca="1">IF($A27="","",IF(ED27=0,"",'23 LF individuell'!$AH25*N27))</f>
        <v/>
      </c>
      <c r="S27" s="2099" t="str">
        <f ca="1">IF($A27="","",IF(ED27=0,"",'23 LF individuell'!$AI25*N27))</f>
        <v/>
      </c>
      <c r="T27" s="1945"/>
      <c r="U27" s="1981"/>
      <c r="V27" s="1957"/>
      <c r="W27" s="2006" t="str">
        <f ca="1">IF($A27="","",IF(EE27=0,"",'23 LF individuell'!$AG25*T27))</f>
        <v/>
      </c>
      <c r="X27" s="2007" t="str">
        <f ca="1">IF($A27="","",IF(EE27=0,"",'23 LF individuell'!$AH25*T27))</f>
        <v/>
      </c>
      <c r="Y27" s="2008" t="str">
        <f ca="1">IF($A27="","",IF(EE27=0,"",'23 LF individuell'!$AI25*T27))</f>
        <v/>
      </c>
      <c r="Z27" s="1945"/>
      <c r="AA27" s="1981"/>
      <c r="AB27" s="1957"/>
      <c r="AC27" s="2097" t="str">
        <f ca="1">IF($A27="","",IF(EF27=0,"",'23 LF individuell'!$AG25*Z27))</f>
        <v/>
      </c>
      <c r="AD27" s="2098" t="str">
        <f ca="1">IF($A27="","",IF(EF27=0,"",'23 LF individuell'!$AH25*Z27))</f>
        <v/>
      </c>
      <c r="AE27" s="2099" t="str">
        <f ca="1">IF($A27="","",IF(EF27=0,"",'23 LF individuell'!$AI25*Z27))</f>
        <v/>
      </c>
      <c r="AF27" s="1945"/>
      <c r="AG27" s="1981"/>
      <c r="AH27" s="1957"/>
      <c r="AI27" s="2006" t="str">
        <f ca="1">IF($A27="","",IF(EG27=0,"",'23 LF individuell'!$AG25*AF27))</f>
        <v/>
      </c>
      <c r="AJ27" s="2007" t="str">
        <f ca="1">IF($A27="","",IF(EG27=0,"",'23 LF individuell'!$AH25*AF27))</f>
        <v/>
      </c>
      <c r="AK27" s="2008" t="str">
        <f ca="1">IF($A27="","",IF(EG27=0,"",'23 LF individuell'!$AI25*AF27))</f>
        <v/>
      </c>
      <c r="AL27" s="2003"/>
      <c r="AM27" s="2004"/>
      <c r="AN27" s="2005"/>
      <c r="AO27" s="2097" t="str">
        <f ca="1">IF($A27="","",IF(EH27=0,"",'23 LF individuell'!$AG25*AL27))</f>
        <v/>
      </c>
      <c r="AP27" s="2098" t="str">
        <f ca="1">IF($A27="","",IF(EH27=0,"",'23 LF individuell'!$AH25*AL27))</f>
        <v/>
      </c>
      <c r="AQ27" s="2099" t="str">
        <f ca="1">IF($A27="","",IF(EH27=0,"",'23 LF individuell'!$AI25*AL27))</f>
        <v/>
      </c>
      <c r="AR27" s="2003"/>
      <c r="AS27" s="2004"/>
      <c r="AT27" s="2005"/>
      <c r="AU27" s="2006" t="str">
        <f ca="1">IF($A27="","",IF(EI27=0,"",'23 LF individuell'!$AG25*AR27))</f>
        <v/>
      </c>
      <c r="AV27" s="2007" t="str">
        <f ca="1">IF($A27="","",IF(EI27=0,"",'23 LF individuell'!$AH25*AR27))</f>
        <v/>
      </c>
      <c r="AW27" s="2008" t="str">
        <f ca="1">IF($A27="","",IF(EI27=0,"",'23 LF individuell'!$AI25*AR27))</f>
        <v/>
      </c>
      <c r="AX27" s="2003"/>
      <c r="AY27" s="2004"/>
      <c r="AZ27" s="2005"/>
      <c r="BA27" s="2097" t="str">
        <f ca="1">IF($A27="","",IF(EJ27=0,"",'23 LF individuell'!$AG25*AX27))</f>
        <v/>
      </c>
      <c r="BB27" s="2098" t="str">
        <f ca="1">IF($A27="","",IF(EJ27=0,"",'23 LF individuell'!$AH25*AX27))</f>
        <v/>
      </c>
      <c r="BC27" s="2099" t="str">
        <f ca="1">IF($A27="","",IF(EJ27=0,"",'23 LF individuell'!$AI25*AX27))</f>
        <v/>
      </c>
      <c r="BD27" s="2003"/>
      <c r="BE27" s="2004"/>
      <c r="BF27" s="2005"/>
      <c r="BG27" s="2006" t="str">
        <f ca="1">IF($A27="","",IF(EK27=0,"",'23 LF individuell'!$AG25*BD27))</f>
        <v/>
      </c>
      <c r="BH27" s="2007" t="str">
        <f ca="1">IF($A27="","",IF(EK27=0,"",'23 LF individuell'!$AH25*BD27))</f>
        <v/>
      </c>
      <c r="BI27" s="2008" t="str">
        <f ca="1">IF($A27="","",IF(EK27=0,"",'23 LF individuell'!$AI25*BD27))</f>
        <v/>
      </c>
      <c r="BJ27" s="2003"/>
      <c r="BK27" s="2004"/>
      <c r="BL27" s="2005"/>
      <c r="BM27" s="2097" t="str">
        <f ca="1">IF($A27="","",IF(EL27=0,"",'23 LF individuell'!$AG25*BJ27))</f>
        <v/>
      </c>
      <c r="BN27" s="2098" t="str">
        <f ca="1">IF($A27="","",IF(EL27=0,"",'23 LF individuell'!$AH25*BJ27))</f>
        <v/>
      </c>
      <c r="BO27" s="2099" t="str">
        <f ca="1">IF($A27="","",IF(EL27=0,"",'23 LF individuell'!$AI25*BJ27))</f>
        <v/>
      </c>
      <c r="BP27" s="2003"/>
      <c r="BQ27" s="2004"/>
      <c r="BR27" s="2005"/>
      <c r="BS27" s="2006" t="str">
        <f ca="1">IF($A27="","",IF(EM27=0,"",'23 LF individuell'!$AG25*BP27))</f>
        <v/>
      </c>
      <c r="BT27" s="2007" t="str">
        <f ca="1">IF($A27="","",IF(EM27=0,"",'23 LF individuell'!$AH25*BP27))</f>
        <v/>
      </c>
      <c r="BU27" s="2008" t="str">
        <f ca="1">IF($A27="","",IF(EM27=0,"",'23 LF individuell'!$AI25*BP27))</f>
        <v/>
      </c>
      <c r="BV27" s="2044" t="str">
        <f t="shared" ca="1" si="54"/>
        <v/>
      </c>
      <c r="BW27" s="2044" t="str">
        <f t="shared" ca="1" si="55"/>
        <v/>
      </c>
      <c r="BX27" s="2044" t="str">
        <f t="shared" ca="1" si="56"/>
        <v/>
      </c>
      <c r="BY27" s="2049" t="str">
        <f t="shared" ca="1" si="57"/>
        <v/>
      </c>
      <c r="BZ27" s="2049" t="str">
        <f t="shared" ca="1" si="58"/>
        <v/>
      </c>
      <c r="CA27" s="2049" t="str">
        <f t="shared" ca="1" si="59"/>
        <v/>
      </c>
      <c r="CB27" s="2116" t="str">
        <f t="shared" ca="1" si="60"/>
        <v/>
      </c>
      <c r="CC27" s="1163" t="str">
        <f t="shared" si="61"/>
        <v>Januar</v>
      </c>
      <c r="CD27" s="1163">
        <f t="shared" si="62"/>
        <v>0</v>
      </c>
      <c r="CE27" s="1163">
        <f t="shared" si="63"/>
        <v>0</v>
      </c>
      <c r="CF27" s="1163">
        <f t="shared" si="64"/>
        <v>0</v>
      </c>
      <c r="CG27" s="1163">
        <f>IF($CD$10="Januar",'25a Soll-Ist Vergl. + Provision'!D24,IF($CD$10="Februar",'25a Soll-Ist Vergl. + Provision'!O24,IF($CD$10="März",'25a Soll-Ist Vergl. + Provision'!Z24,'25a Soll-Ist Vergl. + Provision'!AK24)))</f>
        <v>0</v>
      </c>
      <c r="CH27" s="1163" t="str">
        <f ca="1">IF($CD$10="Januar",'25a Soll-Ist Vergl. + Provision'!E24,IF($CD$10="Februar",'25a Soll-Ist Vergl. + Provision'!P24,IF($CD$10="März",'25a Soll-Ist Vergl. + Provision'!AA24,'25a Soll-Ist Vergl. + Provision'!AL24)))</f>
        <v/>
      </c>
      <c r="CI27" s="1163" t="str">
        <f ca="1">IF($CD$10="Januar",'25a Soll-Ist Vergl. + Provision'!F24,IF($CD$10="Februar",'25a Soll-Ist Vergl. + Provision'!Q24,IF($CD$10="März",'25a Soll-Ist Vergl. + Provision'!AB24,'25a Soll-Ist Vergl. + Provision'!AM24)))</f>
        <v/>
      </c>
      <c r="CJ27" s="1163" t="str">
        <f ca="1">IF($CD$10="Januar",'25a Soll-Ist Vergl. + Provision'!G24,IF($CD$10="Februar",'25a Soll-Ist Vergl. + Provision'!R24,IF($CD$10="März",'25a Soll-Ist Vergl. + Provision'!AC24,'25a Soll-Ist Vergl. + Provision'!AN24)))</f>
        <v/>
      </c>
      <c r="CK27" s="1163">
        <f>IF($CD$10="Januar",'25a Soll-Ist Vergl. + Provision'!H24,IF($CD$10="Februar",'25a Soll-Ist Vergl. + Provision'!S24,IF($CD$10="März",'25a Soll-Ist Vergl. + Provision'!AD24,'25a Soll-Ist Vergl. + Provision'!AO24)))</f>
        <v>0</v>
      </c>
      <c r="CL27" s="1163" t="str">
        <f ca="1">IF($CD$10="Januar",'25a Soll-Ist Vergl. + Provision'!I24,IF($CD$10="Februar",'25a Soll-Ist Vergl. + Provision'!T24,IF($CD$10="März",'25a Soll-Ist Vergl. + Provision'!AE24,'25a Soll-Ist Vergl. + Provision'!AP24)))</f>
        <v/>
      </c>
      <c r="CM27" s="1163" t="str">
        <f ca="1">IF($CD$10="Januar",'25a Soll-Ist Vergl. + Provision'!J24,IF($CD$10="Februar",'25a Soll-Ist Vergl. + Provision'!U24,IF($CD$10="März",'25a Soll-Ist Vergl. + Provision'!AF24,'25a Soll-Ist Vergl. + Provision'!AQ24)))</f>
        <v/>
      </c>
      <c r="CN27" s="1163" t="str">
        <f ca="1">IF($CD$10="Januar",'25a Soll-Ist Vergl. + Provision'!K24,IF($CD$10="Februar",'25a Soll-Ist Vergl. + Provision'!V24,IF($CD$10="März",'25a Soll-Ist Vergl. + Provision'!AG24,'25a Soll-Ist Vergl. + Provision'!AR24)))</f>
        <v/>
      </c>
      <c r="CO27" s="1163" t="str">
        <f t="shared" si="65"/>
        <v>August</v>
      </c>
      <c r="CP27" s="1163">
        <f t="shared" si="66"/>
        <v>0</v>
      </c>
      <c r="CQ27" s="1163">
        <f t="shared" si="67"/>
        <v>0</v>
      </c>
      <c r="CR27" s="1163">
        <f t="shared" si="68"/>
        <v>0</v>
      </c>
      <c r="CS27" s="1163">
        <f>IF($CP$10="Mai",'25a Soll-Ist Vergl. + Provision'!AV24,IF($CP$10="Juni",'25a Soll-Ist Vergl. + Provision'!BG24,IF($CP$10="Juli",'25a Soll-Ist Vergl. + Provision'!BR24,'25a Soll-Ist Vergl. + Provision'!CC24)))</f>
        <v>0</v>
      </c>
      <c r="CT27" s="1163" t="str">
        <f ca="1">IF($CP$10="Mai",'25a Soll-Ist Vergl. + Provision'!AW24,IF($CP$10="Juni",'25a Soll-Ist Vergl. + Provision'!BH24,IF($CP$10="Juli",'25a Soll-Ist Vergl. + Provision'!BS24,'25a Soll-Ist Vergl. + Provision'!CD24)))</f>
        <v/>
      </c>
      <c r="CU27" s="1163" t="str">
        <f ca="1">IF($CP$10="Mai",'25a Soll-Ist Vergl. + Provision'!AX24,IF($CP$10="Juni",'25a Soll-Ist Vergl. + Provision'!BI24,IF($CP$10="Juli",'25a Soll-Ist Vergl. + Provision'!BT24,'25a Soll-Ist Vergl. + Provision'!CE24)))</f>
        <v/>
      </c>
      <c r="CV27" s="1163" t="str">
        <f ca="1">IF($CP$10="Mai",'25a Soll-Ist Vergl. + Provision'!AY24,IF($CP$10="Juni",'25a Soll-Ist Vergl. + Provision'!BJ24,IF($CP$10="Juli",'25a Soll-Ist Vergl. + Provision'!BU24,'25a Soll-Ist Vergl. + Provision'!CF24)))</f>
        <v/>
      </c>
      <c r="CW27" s="1163">
        <f>IF($CP$10="Mai",'25a Soll-Ist Vergl. + Provision'!AZ24,IF($CP$10="Juni",'25a Soll-Ist Vergl. + Provision'!BK24,IF($CP$10="Juli",'25a Soll-Ist Vergl. + Provision'!BV24,'25a Soll-Ist Vergl. + Provision'!CG24)))</f>
        <v>0</v>
      </c>
      <c r="CX27" s="1163" t="str">
        <f ca="1">IF($CP$10="Mai",'25a Soll-Ist Vergl. + Provision'!BA24,IF($CP$10="Juni",'25a Soll-Ist Vergl. + Provision'!BL24,IF($CP$10="Juli",'25a Soll-Ist Vergl. + Provision'!BW24,'25a Soll-Ist Vergl. + Provision'!CH24)))</f>
        <v/>
      </c>
      <c r="CY27" s="1163" t="str">
        <f ca="1">IF($CP$10="Mai",'25a Soll-Ist Vergl. + Provision'!BB24,IF($CP$10="Juni",'25a Soll-Ist Vergl. + Provision'!BM24,IF($CP$10="Juli",'25a Soll-Ist Vergl. + Provision'!BX24,'25a Soll-Ist Vergl. + Provision'!CI24)))</f>
        <v/>
      </c>
      <c r="CZ27" s="1163" t="str">
        <f ca="1">IF($CP$10="Mai",'25a Soll-Ist Vergl. + Provision'!BC24,IF($CP$10="Juni",'25a Soll-Ist Vergl. + Provision'!BN24,IF($CP$10="Juli",'25a Soll-Ist Vergl. + Provision'!BY24,'25a Soll-Ist Vergl. + Provision'!CJ24)))</f>
        <v/>
      </c>
      <c r="DA27" s="1163" t="str">
        <f t="shared" si="69"/>
        <v>Dezember</v>
      </c>
      <c r="DB27" s="1163">
        <f t="shared" si="70"/>
        <v>0</v>
      </c>
      <c r="DC27" s="1163">
        <f t="shared" si="71"/>
        <v>0</v>
      </c>
      <c r="DD27" s="1163">
        <f t="shared" si="72"/>
        <v>0</v>
      </c>
      <c r="DE27" s="1163">
        <f>IF($DB$10="September",'25a Soll-Ist Vergl. + Provision'!CN24,IF($DB$10="Oktober",'25a Soll-Ist Vergl. + Provision'!CY24,IF($DB$10="November",'25a Soll-Ist Vergl. + Provision'!DJ24,'25a Soll-Ist Vergl. + Provision'!DU24)))</f>
        <v>0</v>
      </c>
      <c r="DF27" s="1163" t="str">
        <f ca="1">IF($DB$10="September",'25a Soll-Ist Vergl. + Provision'!CO24,IF($DB$10="Oktober",'25a Soll-Ist Vergl. + Provision'!CZ24,IF($DB$10="November",'25a Soll-Ist Vergl. + Provision'!DK24,'25a Soll-Ist Vergl. + Provision'!DV24)))</f>
        <v/>
      </c>
      <c r="DG27" s="1163" t="str">
        <f ca="1">IF($DB$10="September",'25a Soll-Ist Vergl. + Provision'!CP24,IF($DB$10="Oktober",'25a Soll-Ist Vergl. + Provision'!DA24,IF($DB$10="November",'25a Soll-Ist Vergl. + Provision'!DL24,'25a Soll-Ist Vergl. + Provision'!DW24)))</f>
        <v/>
      </c>
      <c r="DH27" s="1163" t="str">
        <f ca="1">IF($DB$10="September",'25a Soll-Ist Vergl. + Provision'!CQ24,IF($DB$10="Oktober",'25a Soll-Ist Vergl. + Provision'!DB24,IF($DB$10="November",'25a Soll-Ist Vergl. + Provision'!DM24,'25a Soll-Ist Vergl. + Provision'!DX24)))</f>
        <v/>
      </c>
      <c r="DI27" s="1163">
        <f>IF($DB$10="September",'25a Soll-Ist Vergl. + Provision'!CR24,IF($DB$10="Oktober",'25a Soll-Ist Vergl. + Provision'!DC24,IF($DB$10="November",'25a Soll-Ist Vergl. + Provision'!DN24,'25a Soll-Ist Vergl. + Provision'!DY24)))</f>
        <v>0</v>
      </c>
      <c r="DJ27" s="1163" t="str">
        <f ca="1">IF($DB$10="September",'25a Soll-Ist Vergl. + Provision'!CS24,IF($DB$10="Oktober",'25a Soll-Ist Vergl. + Provision'!DD24,IF($DB$10="November",'25a Soll-Ist Vergl. + Provision'!DO24,'25a Soll-Ist Vergl. + Provision'!DZ24)))</f>
        <v/>
      </c>
      <c r="DK27" s="1163" t="str">
        <f ca="1">IF($DB$10="September",'25a Soll-Ist Vergl. + Provision'!CT24,IF($DB$10="Oktober",'25a Soll-Ist Vergl. + Provision'!DE24,IF($DB$10="November",'25a Soll-Ist Vergl. + Provision'!DP24,'25a Soll-Ist Vergl. + Provision'!EA24)))</f>
        <v/>
      </c>
      <c r="DL27" s="1163" t="str">
        <f ca="1">IF($DB$10="September",'25a Soll-Ist Vergl. + Provision'!CU24,IF($DB$10="Oktober",'25a Soll-Ist Vergl. + Provision'!DF24,IF($DB$10="November",'25a Soll-Ist Vergl. + Provision'!DQ24,'25a Soll-Ist Vergl. + Provision'!EB24)))</f>
        <v/>
      </c>
      <c r="DM27" s="1163" t="str">
        <f t="shared" si="73"/>
        <v>Januar</v>
      </c>
      <c r="DN27" s="1163">
        <f t="shared" si="74"/>
        <v>0</v>
      </c>
      <c r="DO27" s="1163">
        <f t="shared" si="75"/>
        <v>0</v>
      </c>
      <c r="DP27" s="1163">
        <f t="shared" si="76"/>
        <v>0</v>
      </c>
      <c r="DQ27" s="1163">
        <f t="shared" si="77"/>
        <v>0</v>
      </c>
      <c r="DR27" s="1163" t="str">
        <f t="shared" ca="1" si="78"/>
        <v/>
      </c>
      <c r="DS27" s="1163" t="str">
        <f t="shared" ca="1" si="79"/>
        <v/>
      </c>
      <c r="DT27" s="1163" t="str">
        <f t="shared" ca="1" si="80"/>
        <v/>
      </c>
      <c r="DU27" s="1163">
        <f t="shared" si="81"/>
        <v>0</v>
      </c>
      <c r="DV27" s="1163" t="str">
        <f t="shared" ca="1" si="82"/>
        <v/>
      </c>
      <c r="DW27" s="1163" t="str">
        <f t="shared" ca="1" si="83"/>
        <v/>
      </c>
      <c r="DX27" s="1163" t="str">
        <f t="shared" ca="1" si="84"/>
        <v/>
      </c>
      <c r="DY27" s="267"/>
      <c r="DZ27" s="3239">
        <f>'4 Eingabe Friseure'!L24</f>
        <v>0</v>
      </c>
      <c r="EA27" s="3239"/>
      <c r="EB27" s="3239">
        <f>IF($DZ27=12,1,'4 Eingabe Friseure'!N24)</f>
        <v>0</v>
      </c>
      <c r="EC27" s="3239">
        <f>IF($DZ27=12,1,'4 Eingabe Friseure'!O24)</f>
        <v>0</v>
      </c>
      <c r="ED27" s="3239">
        <f>IF($DZ27=12,1,'4 Eingabe Friseure'!P24)</f>
        <v>0</v>
      </c>
      <c r="EE27" s="3239">
        <f>IF($DZ27=12,1,'4 Eingabe Friseure'!Q24)</f>
        <v>0</v>
      </c>
      <c r="EF27" s="3239">
        <f>IF($DZ27=12,1,'4 Eingabe Friseure'!R24)</f>
        <v>0</v>
      </c>
      <c r="EG27" s="3239">
        <f>IF($DZ27=12,1,'4 Eingabe Friseure'!S24)</f>
        <v>0</v>
      </c>
      <c r="EH27" s="3239">
        <f>IF($DZ27=12,1,'4 Eingabe Friseure'!T24)</f>
        <v>0</v>
      </c>
      <c r="EI27" s="3239">
        <f>IF($DZ27=12,1,'4 Eingabe Friseure'!U24)</f>
        <v>0</v>
      </c>
      <c r="EJ27" s="3239">
        <f>IF($DZ27=12,1,'4 Eingabe Friseure'!V24)</f>
        <v>0</v>
      </c>
      <c r="EK27" s="3239">
        <f>IF($DZ27=12,1,'4 Eingabe Friseure'!W24)</f>
        <v>0</v>
      </c>
      <c r="EL27" s="3239">
        <f>IF($DZ27=12,1,'4 Eingabe Friseure'!X24)</f>
        <v>0</v>
      </c>
      <c r="EM27" s="3239">
        <f>IF($DZ27=12,1,'4 Eingabe Friseure'!Y24)</f>
        <v>0</v>
      </c>
    </row>
    <row r="28" spans="1:143" ht="18" customHeight="1">
      <c r="A28" s="2740" t="str">
        <f ca="1">IF('22 Sollumsatz pro MA '!A26="","",'22 Sollumsatz pro MA '!A26)</f>
        <v/>
      </c>
      <c r="B28" s="1945"/>
      <c r="C28" s="1981"/>
      <c r="D28" s="1957"/>
      <c r="E28" s="2097" t="str">
        <f ca="1">IF($A28="","",IF(EB28=0,"",'23 LF individuell'!$AG26*$B28))</f>
        <v/>
      </c>
      <c r="F28" s="2100" t="str">
        <f ca="1">IF($A28="","",IF(EB28=0,"",'23 LF individuell'!$AH26*$B28))</f>
        <v/>
      </c>
      <c r="G28" s="2101" t="str">
        <f ca="1">IF($A28="","",IF(EB28=0,"",'23 LF individuell'!$AI26*$B28))</f>
        <v/>
      </c>
      <c r="H28" s="1945"/>
      <c r="I28" s="1981"/>
      <c r="J28" s="1957"/>
      <c r="K28" s="2006" t="str">
        <f ca="1">IF($A28="","",IF(EC28=0,"",'23 LF individuell'!$AG26*H28))</f>
        <v/>
      </c>
      <c r="L28" s="2007" t="str">
        <f ca="1">IF($A28="","",IF(EC28=0,"",'23 LF individuell'!$AH26*H28))</f>
        <v/>
      </c>
      <c r="M28" s="2008" t="str">
        <f ca="1">IF($A28="","",IF(EC28=0,"",'23 LF individuell'!$AI26*H28))</f>
        <v/>
      </c>
      <c r="N28" s="1945"/>
      <c r="O28" s="1981"/>
      <c r="P28" s="1957"/>
      <c r="Q28" s="2097" t="str">
        <f ca="1">IF($A28="","",IF(ED28=0,"",'23 LF individuell'!$AG26*N28))</f>
        <v/>
      </c>
      <c r="R28" s="2098" t="str">
        <f ca="1">IF($A28="","",IF(ED28=0,"",'23 LF individuell'!$AH26*N28))</f>
        <v/>
      </c>
      <c r="S28" s="2099" t="str">
        <f ca="1">IF($A28="","",IF(ED28=0,"",'23 LF individuell'!$AI26*N28))</f>
        <v/>
      </c>
      <c r="T28" s="1945"/>
      <c r="U28" s="1981"/>
      <c r="V28" s="1957"/>
      <c r="W28" s="2006" t="str">
        <f ca="1">IF($A28="","",IF(EE28=0,"",'23 LF individuell'!$AG26*T28))</f>
        <v/>
      </c>
      <c r="X28" s="2007" t="str">
        <f ca="1">IF($A28="","",IF(EE28=0,"",'23 LF individuell'!$AH26*T28))</f>
        <v/>
      </c>
      <c r="Y28" s="2008" t="str">
        <f ca="1">IF($A28="","",IF(EE28=0,"",'23 LF individuell'!$AI26*T28))</f>
        <v/>
      </c>
      <c r="Z28" s="1945"/>
      <c r="AA28" s="1981"/>
      <c r="AB28" s="1957"/>
      <c r="AC28" s="2097" t="str">
        <f ca="1">IF($A28="","",IF(EF28=0,"",'23 LF individuell'!$AG26*Z28))</f>
        <v/>
      </c>
      <c r="AD28" s="2098" t="str">
        <f ca="1">IF($A28="","",IF(EF28=0,"",'23 LF individuell'!$AH26*Z28))</f>
        <v/>
      </c>
      <c r="AE28" s="2099" t="str">
        <f ca="1">IF($A28="","",IF(EF28=0,"",'23 LF individuell'!$AI26*Z28))</f>
        <v/>
      </c>
      <c r="AF28" s="1945"/>
      <c r="AG28" s="1981"/>
      <c r="AH28" s="1957"/>
      <c r="AI28" s="2006" t="str">
        <f ca="1">IF($A28="","",IF(EG28=0,"",'23 LF individuell'!$AG26*AF28))</f>
        <v/>
      </c>
      <c r="AJ28" s="2007" t="str">
        <f ca="1">IF($A28="","",IF(EG28=0,"",'23 LF individuell'!$AH26*AF28))</f>
        <v/>
      </c>
      <c r="AK28" s="2008" t="str">
        <f ca="1">IF($A28="","",IF(EG28=0,"",'23 LF individuell'!$AI26*AF28))</f>
        <v/>
      </c>
      <c r="AL28" s="2003"/>
      <c r="AM28" s="2004"/>
      <c r="AN28" s="2005"/>
      <c r="AO28" s="2097" t="str">
        <f ca="1">IF($A28="","",IF(EH28=0,"",'23 LF individuell'!$AG26*AL28))</f>
        <v/>
      </c>
      <c r="AP28" s="2098" t="str">
        <f ca="1">IF($A28="","",IF(EH28=0,"",'23 LF individuell'!$AH26*AL28))</f>
        <v/>
      </c>
      <c r="AQ28" s="2099" t="str">
        <f ca="1">IF($A28="","",IF(EH28=0,"",'23 LF individuell'!$AI26*AL28))</f>
        <v/>
      </c>
      <c r="AR28" s="2003"/>
      <c r="AS28" s="2004"/>
      <c r="AT28" s="2005"/>
      <c r="AU28" s="2006" t="str">
        <f ca="1">IF($A28="","",IF(EI28=0,"",'23 LF individuell'!$AG26*AR28))</f>
        <v/>
      </c>
      <c r="AV28" s="2007" t="str">
        <f ca="1">IF($A28="","",IF(EI28=0,"",'23 LF individuell'!$AH26*AR28))</f>
        <v/>
      </c>
      <c r="AW28" s="2008" t="str">
        <f ca="1">IF($A28="","",IF(EI28=0,"",'23 LF individuell'!$AI26*AR28))</f>
        <v/>
      </c>
      <c r="AX28" s="2003"/>
      <c r="AY28" s="2004"/>
      <c r="AZ28" s="2005"/>
      <c r="BA28" s="2097" t="str">
        <f ca="1">IF($A28="","",IF(EJ28=0,"",'23 LF individuell'!$AG26*AX28))</f>
        <v/>
      </c>
      <c r="BB28" s="2098" t="str">
        <f ca="1">IF($A28="","",IF(EJ28=0,"",'23 LF individuell'!$AH26*AX28))</f>
        <v/>
      </c>
      <c r="BC28" s="2099" t="str">
        <f ca="1">IF($A28="","",IF(EJ28=0,"",'23 LF individuell'!$AI26*AX28))</f>
        <v/>
      </c>
      <c r="BD28" s="2003"/>
      <c r="BE28" s="2004"/>
      <c r="BF28" s="2005"/>
      <c r="BG28" s="2006" t="str">
        <f ca="1">IF($A28="","",IF(EK28=0,"",'23 LF individuell'!$AG26*BD28))</f>
        <v/>
      </c>
      <c r="BH28" s="2007" t="str">
        <f ca="1">IF($A28="","",IF(EK28=0,"",'23 LF individuell'!$AH26*BD28))</f>
        <v/>
      </c>
      <c r="BI28" s="2008" t="str">
        <f ca="1">IF($A28="","",IF(EK28=0,"",'23 LF individuell'!$AI26*BD28))</f>
        <v/>
      </c>
      <c r="BJ28" s="2003"/>
      <c r="BK28" s="2004"/>
      <c r="BL28" s="2005"/>
      <c r="BM28" s="2097" t="str">
        <f ca="1">IF($A28="","",IF(EL28=0,"",'23 LF individuell'!$AG26*BJ28))</f>
        <v/>
      </c>
      <c r="BN28" s="2098" t="str">
        <f ca="1">IF($A28="","",IF(EL28=0,"",'23 LF individuell'!$AH26*BJ28))</f>
        <v/>
      </c>
      <c r="BO28" s="2099" t="str">
        <f ca="1">IF($A28="","",IF(EL28=0,"",'23 LF individuell'!$AI26*BJ28))</f>
        <v/>
      </c>
      <c r="BP28" s="2003"/>
      <c r="BQ28" s="2004"/>
      <c r="BR28" s="2005"/>
      <c r="BS28" s="2006" t="str">
        <f ca="1">IF($A28="","",IF(EM28=0,"",'23 LF individuell'!$AG26*BP28))</f>
        <v/>
      </c>
      <c r="BT28" s="2007" t="str">
        <f ca="1">IF($A28="","",IF(EM28=0,"",'23 LF individuell'!$AH26*BP28))</f>
        <v/>
      </c>
      <c r="BU28" s="2008" t="str">
        <f ca="1">IF($A28="","",IF(EM28=0,"",'23 LF individuell'!$AI26*BP28))</f>
        <v/>
      </c>
      <c r="BV28" s="2044" t="str">
        <f t="shared" ca="1" si="54"/>
        <v/>
      </c>
      <c r="BW28" s="2044" t="str">
        <f t="shared" ca="1" si="55"/>
        <v/>
      </c>
      <c r="BX28" s="2044" t="str">
        <f t="shared" ca="1" si="56"/>
        <v/>
      </c>
      <c r="BY28" s="2049" t="str">
        <f t="shared" ca="1" si="57"/>
        <v/>
      </c>
      <c r="BZ28" s="2049" t="str">
        <f t="shared" ca="1" si="58"/>
        <v/>
      </c>
      <c r="CA28" s="2049" t="str">
        <f t="shared" ca="1" si="59"/>
        <v/>
      </c>
      <c r="CB28" s="2116" t="str">
        <f t="shared" ca="1" si="60"/>
        <v/>
      </c>
      <c r="CC28" s="1163" t="str">
        <f t="shared" si="61"/>
        <v>Januar</v>
      </c>
      <c r="CD28" s="1163">
        <f t="shared" si="62"/>
        <v>0</v>
      </c>
      <c r="CE28" s="1163">
        <f t="shared" si="63"/>
        <v>0</v>
      </c>
      <c r="CF28" s="1163">
        <f t="shared" si="64"/>
        <v>0</v>
      </c>
      <c r="CG28" s="1163">
        <f>IF($CD$10="Januar",'25a Soll-Ist Vergl. + Provision'!D25,IF($CD$10="Februar",'25a Soll-Ist Vergl. + Provision'!O25,IF($CD$10="März",'25a Soll-Ist Vergl. + Provision'!Z25,'25a Soll-Ist Vergl. + Provision'!AK25)))</f>
        <v>0</v>
      </c>
      <c r="CH28" s="1163" t="str">
        <f ca="1">IF($CD$10="Januar",'25a Soll-Ist Vergl. + Provision'!E25,IF($CD$10="Februar",'25a Soll-Ist Vergl. + Provision'!P25,IF($CD$10="März",'25a Soll-Ist Vergl. + Provision'!AA25,'25a Soll-Ist Vergl. + Provision'!AL25)))</f>
        <v/>
      </c>
      <c r="CI28" s="1163" t="str">
        <f ca="1">IF($CD$10="Januar",'25a Soll-Ist Vergl. + Provision'!F25,IF($CD$10="Februar",'25a Soll-Ist Vergl. + Provision'!Q25,IF($CD$10="März",'25a Soll-Ist Vergl. + Provision'!AB25,'25a Soll-Ist Vergl. + Provision'!AM25)))</f>
        <v/>
      </c>
      <c r="CJ28" s="1163" t="str">
        <f ca="1">IF($CD$10="Januar",'25a Soll-Ist Vergl. + Provision'!G25,IF($CD$10="Februar",'25a Soll-Ist Vergl. + Provision'!R25,IF($CD$10="März",'25a Soll-Ist Vergl. + Provision'!AC25,'25a Soll-Ist Vergl. + Provision'!AN25)))</f>
        <v/>
      </c>
      <c r="CK28" s="1163">
        <f>IF($CD$10="Januar",'25a Soll-Ist Vergl. + Provision'!H25,IF($CD$10="Februar",'25a Soll-Ist Vergl. + Provision'!S25,IF($CD$10="März",'25a Soll-Ist Vergl. + Provision'!AD25,'25a Soll-Ist Vergl. + Provision'!AO25)))</f>
        <v>0</v>
      </c>
      <c r="CL28" s="1163" t="str">
        <f ca="1">IF($CD$10="Januar",'25a Soll-Ist Vergl. + Provision'!I25,IF($CD$10="Februar",'25a Soll-Ist Vergl. + Provision'!T25,IF($CD$10="März",'25a Soll-Ist Vergl. + Provision'!AE25,'25a Soll-Ist Vergl. + Provision'!AP25)))</f>
        <v/>
      </c>
      <c r="CM28" s="1163" t="str">
        <f ca="1">IF($CD$10="Januar",'25a Soll-Ist Vergl. + Provision'!J25,IF($CD$10="Februar",'25a Soll-Ist Vergl. + Provision'!U25,IF($CD$10="März",'25a Soll-Ist Vergl. + Provision'!AF25,'25a Soll-Ist Vergl. + Provision'!AQ25)))</f>
        <v/>
      </c>
      <c r="CN28" s="1163" t="str">
        <f ca="1">IF($CD$10="Januar",'25a Soll-Ist Vergl. + Provision'!K25,IF($CD$10="Februar",'25a Soll-Ist Vergl. + Provision'!V25,IF($CD$10="März",'25a Soll-Ist Vergl. + Provision'!AG25,'25a Soll-Ist Vergl. + Provision'!AR25)))</f>
        <v/>
      </c>
      <c r="CO28" s="1163" t="str">
        <f t="shared" si="65"/>
        <v>August</v>
      </c>
      <c r="CP28" s="1163">
        <f t="shared" si="66"/>
        <v>0</v>
      </c>
      <c r="CQ28" s="1163">
        <f t="shared" si="67"/>
        <v>0</v>
      </c>
      <c r="CR28" s="1163">
        <f t="shared" si="68"/>
        <v>0</v>
      </c>
      <c r="CS28" s="1163">
        <f>IF($CP$10="Mai",'25a Soll-Ist Vergl. + Provision'!AV25,IF($CP$10="Juni",'25a Soll-Ist Vergl. + Provision'!BG25,IF($CP$10="Juli",'25a Soll-Ist Vergl. + Provision'!BR25,'25a Soll-Ist Vergl. + Provision'!CC25)))</f>
        <v>0</v>
      </c>
      <c r="CT28" s="1163" t="str">
        <f ca="1">IF($CP$10="Mai",'25a Soll-Ist Vergl. + Provision'!AW25,IF($CP$10="Juni",'25a Soll-Ist Vergl. + Provision'!BH25,IF($CP$10="Juli",'25a Soll-Ist Vergl. + Provision'!BS25,'25a Soll-Ist Vergl. + Provision'!CD25)))</f>
        <v/>
      </c>
      <c r="CU28" s="1163" t="str">
        <f ca="1">IF($CP$10="Mai",'25a Soll-Ist Vergl. + Provision'!AX25,IF($CP$10="Juni",'25a Soll-Ist Vergl. + Provision'!BI25,IF($CP$10="Juli",'25a Soll-Ist Vergl. + Provision'!BT25,'25a Soll-Ist Vergl. + Provision'!CE25)))</f>
        <v/>
      </c>
      <c r="CV28" s="1163" t="str">
        <f ca="1">IF($CP$10="Mai",'25a Soll-Ist Vergl. + Provision'!AY25,IF($CP$10="Juni",'25a Soll-Ist Vergl. + Provision'!BJ25,IF($CP$10="Juli",'25a Soll-Ist Vergl. + Provision'!BU25,'25a Soll-Ist Vergl. + Provision'!CF25)))</f>
        <v/>
      </c>
      <c r="CW28" s="1163">
        <f>IF($CP$10="Mai",'25a Soll-Ist Vergl. + Provision'!AZ25,IF($CP$10="Juni",'25a Soll-Ist Vergl. + Provision'!BK25,IF($CP$10="Juli",'25a Soll-Ist Vergl. + Provision'!BV25,'25a Soll-Ist Vergl. + Provision'!CG25)))</f>
        <v>0</v>
      </c>
      <c r="CX28" s="1163" t="str">
        <f ca="1">IF($CP$10="Mai",'25a Soll-Ist Vergl. + Provision'!BA25,IF($CP$10="Juni",'25a Soll-Ist Vergl. + Provision'!BL25,IF($CP$10="Juli",'25a Soll-Ist Vergl. + Provision'!BW25,'25a Soll-Ist Vergl. + Provision'!CH25)))</f>
        <v/>
      </c>
      <c r="CY28" s="1163" t="str">
        <f ca="1">IF($CP$10="Mai",'25a Soll-Ist Vergl. + Provision'!BB25,IF($CP$10="Juni",'25a Soll-Ist Vergl. + Provision'!BM25,IF($CP$10="Juli",'25a Soll-Ist Vergl. + Provision'!BX25,'25a Soll-Ist Vergl. + Provision'!CI25)))</f>
        <v/>
      </c>
      <c r="CZ28" s="1163" t="str">
        <f ca="1">IF($CP$10="Mai",'25a Soll-Ist Vergl. + Provision'!BC25,IF($CP$10="Juni",'25a Soll-Ist Vergl. + Provision'!BN25,IF($CP$10="Juli",'25a Soll-Ist Vergl. + Provision'!BY25,'25a Soll-Ist Vergl. + Provision'!CJ25)))</f>
        <v/>
      </c>
      <c r="DA28" s="1163" t="str">
        <f t="shared" si="69"/>
        <v>Dezember</v>
      </c>
      <c r="DB28" s="1163">
        <f t="shared" si="70"/>
        <v>0</v>
      </c>
      <c r="DC28" s="1163">
        <f t="shared" si="71"/>
        <v>0</v>
      </c>
      <c r="DD28" s="1163">
        <f t="shared" si="72"/>
        <v>0</v>
      </c>
      <c r="DE28" s="1163">
        <f>IF($DB$10="September",'25a Soll-Ist Vergl. + Provision'!CN25,IF($DB$10="Oktober",'25a Soll-Ist Vergl. + Provision'!CY25,IF($DB$10="November",'25a Soll-Ist Vergl. + Provision'!DJ25,'25a Soll-Ist Vergl. + Provision'!DU25)))</f>
        <v>0</v>
      </c>
      <c r="DF28" s="1163" t="str">
        <f ca="1">IF($DB$10="September",'25a Soll-Ist Vergl. + Provision'!CO25,IF($DB$10="Oktober",'25a Soll-Ist Vergl. + Provision'!CZ25,IF($DB$10="November",'25a Soll-Ist Vergl. + Provision'!DK25,'25a Soll-Ist Vergl. + Provision'!DV25)))</f>
        <v/>
      </c>
      <c r="DG28" s="1163" t="str">
        <f ca="1">IF($DB$10="September",'25a Soll-Ist Vergl. + Provision'!CP25,IF($DB$10="Oktober",'25a Soll-Ist Vergl. + Provision'!DA25,IF($DB$10="November",'25a Soll-Ist Vergl. + Provision'!DL25,'25a Soll-Ist Vergl. + Provision'!DW25)))</f>
        <v/>
      </c>
      <c r="DH28" s="1163" t="str">
        <f ca="1">IF($DB$10="September",'25a Soll-Ist Vergl. + Provision'!CQ25,IF($DB$10="Oktober",'25a Soll-Ist Vergl. + Provision'!DB25,IF($DB$10="November",'25a Soll-Ist Vergl. + Provision'!DM25,'25a Soll-Ist Vergl. + Provision'!DX25)))</f>
        <v/>
      </c>
      <c r="DI28" s="1163">
        <f>IF($DB$10="September",'25a Soll-Ist Vergl. + Provision'!CR25,IF($DB$10="Oktober",'25a Soll-Ist Vergl. + Provision'!DC25,IF($DB$10="November",'25a Soll-Ist Vergl. + Provision'!DN25,'25a Soll-Ist Vergl. + Provision'!DY25)))</f>
        <v>0</v>
      </c>
      <c r="DJ28" s="1163" t="str">
        <f ca="1">IF($DB$10="September",'25a Soll-Ist Vergl. + Provision'!CS25,IF($DB$10="Oktober",'25a Soll-Ist Vergl. + Provision'!DD25,IF($DB$10="November",'25a Soll-Ist Vergl. + Provision'!DO25,'25a Soll-Ist Vergl. + Provision'!DZ25)))</f>
        <v/>
      </c>
      <c r="DK28" s="1163" t="str">
        <f ca="1">IF($DB$10="September",'25a Soll-Ist Vergl. + Provision'!CT25,IF($DB$10="Oktober",'25a Soll-Ist Vergl. + Provision'!DE25,IF($DB$10="November",'25a Soll-Ist Vergl. + Provision'!DP25,'25a Soll-Ist Vergl. + Provision'!EA25)))</f>
        <v/>
      </c>
      <c r="DL28" s="1163" t="str">
        <f ca="1">IF($DB$10="September",'25a Soll-Ist Vergl. + Provision'!CU25,IF($DB$10="Oktober",'25a Soll-Ist Vergl. + Provision'!DF25,IF($DB$10="November",'25a Soll-Ist Vergl. + Provision'!DQ25,'25a Soll-Ist Vergl. + Provision'!EB25)))</f>
        <v/>
      </c>
      <c r="DM28" s="1163" t="str">
        <f t="shared" si="73"/>
        <v>Januar</v>
      </c>
      <c r="DN28" s="1163">
        <f t="shared" si="74"/>
        <v>0</v>
      </c>
      <c r="DO28" s="1163">
        <f t="shared" si="75"/>
        <v>0</v>
      </c>
      <c r="DP28" s="1163">
        <f t="shared" si="76"/>
        <v>0</v>
      </c>
      <c r="DQ28" s="1163">
        <f t="shared" si="77"/>
        <v>0</v>
      </c>
      <c r="DR28" s="1163" t="str">
        <f t="shared" ca="1" si="78"/>
        <v/>
      </c>
      <c r="DS28" s="1163" t="str">
        <f t="shared" ca="1" si="79"/>
        <v/>
      </c>
      <c r="DT28" s="1163" t="str">
        <f t="shared" ca="1" si="80"/>
        <v/>
      </c>
      <c r="DU28" s="1163">
        <f t="shared" si="81"/>
        <v>0</v>
      </c>
      <c r="DV28" s="1163" t="str">
        <f t="shared" ca="1" si="82"/>
        <v/>
      </c>
      <c r="DW28" s="1163" t="str">
        <f t="shared" ca="1" si="83"/>
        <v/>
      </c>
      <c r="DX28" s="1163" t="str">
        <f t="shared" ca="1" si="84"/>
        <v/>
      </c>
      <c r="DY28" s="267"/>
      <c r="DZ28" s="3239">
        <f>'4 Eingabe Friseure'!L25</f>
        <v>0</v>
      </c>
      <c r="EA28" s="3239"/>
      <c r="EB28" s="3239">
        <f>IF($DZ28=12,1,'4 Eingabe Friseure'!N25)</f>
        <v>0</v>
      </c>
      <c r="EC28" s="3239">
        <f>IF($DZ28=12,1,'4 Eingabe Friseure'!O25)</f>
        <v>0</v>
      </c>
      <c r="ED28" s="3239">
        <f>IF($DZ28=12,1,'4 Eingabe Friseure'!P25)</f>
        <v>0</v>
      </c>
      <c r="EE28" s="3239">
        <f>IF($DZ28=12,1,'4 Eingabe Friseure'!Q25)</f>
        <v>0</v>
      </c>
      <c r="EF28" s="3239">
        <f>IF($DZ28=12,1,'4 Eingabe Friseure'!R25)</f>
        <v>0</v>
      </c>
      <c r="EG28" s="3239">
        <f>IF($DZ28=12,1,'4 Eingabe Friseure'!S25)</f>
        <v>0</v>
      </c>
      <c r="EH28" s="3239">
        <f>IF($DZ28=12,1,'4 Eingabe Friseure'!T25)</f>
        <v>0</v>
      </c>
      <c r="EI28" s="3239">
        <f>IF($DZ28=12,1,'4 Eingabe Friseure'!U25)</f>
        <v>0</v>
      </c>
      <c r="EJ28" s="3239">
        <f>IF($DZ28=12,1,'4 Eingabe Friseure'!V25)</f>
        <v>0</v>
      </c>
      <c r="EK28" s="3239">
        <f>IF($DZ28=12,1,'4 Eingabe Friseure'!W25)</f>
        <v>0</v>
      </c>
      <c r="EL28" s="3239">
        <f>IF($DZ28=12,1,'4 Eingabe Friseure'!X25)</f>
        <v>0</v>
      </c>
      <c r="EM28" s="3239">
        <f>IF($DZ28=12,1,'4 Eingabe Friseure'!Y25)</f>
        <v>0</v>
      </c>
    </row>
    <row r="29" spans="1:143" ht="7.95" customHeight="1">
      <c r="A29" s="3"/>
      <c r="B29" s="267"/>
      <c r="C29" s="267"/>
      <c r="D29" s="267"/>
      <c r="E29" s="2011"/>
      <c r="F29" s="2012"/>
      <c r="G29" s="2013"/>
      <c r="H29" s="1163"/>
      <c r="I29" s="1163"/>
      <c r="J29" s="1163"/>
      <c r="K29" s="1163"/>
      <c r="L29" s="2014"/>
      <c r="M29" s="2015"/>
      <c r="N29" s="1163"/>
      <c r="O29" s="1163"/>
      <c r="P29" s="1163"/>
      <c r="Q29" s="1163"/>
      <c r="R29" s="1163"/>
      <c r="S29" s="2015"/>
      <c r="T29" s="1163"/>
      <c r="U29" s="1163"/>
      <c r="V29" s="1163"/>
      <c r="W29" s="1163"/>
      <c r="X29" s="1163"/>
      <c r="Y29" s="2015"/>
      <c r="Z29" s="1163"/>
      <c r="AA29" s="1163"/>
      <c r="AB29" s="1163"/>
      <c r="AC29" s="1163"/>
      <c r="AD29" s="1163"/>
      <c r="AE29" s="2015"/>
      <c r="AF29" s="1163"/>
      <c r="AG29" s="1163"/>
      <c r="AH29" s="1163"/>
      <c r="AI29" s="1163"/>
      <c r="AJ29" s="1163"/>
      <c r="AK29" s="2015"/>
      <c r="AL29" s="1163"/>
      <c r="AM29" s="1163"/>
      <c r="AN29" s="1163"/>
      <c r="AO29" s="1163"/>
      <c r="AP29" s="1163"/>
      <c r="AQ29" s="2015"/>
      <c r="AR29" s="1163"/>
      <c r="AS29" s="1163"/>
      <c r="AT29" s="1163"/>
      <c r="AU29" s="1163"/>
      <c r="AV29" s="1163"/>
      <c r="AW29" s="2015"/>
      <c r="AX29" s="1163"/>
      <c r="AY29" s="1163"/>
      <c r="AZ29" s="1163"/>
      <c r="BA29" s="1163"/>
      <c r="BB29" s="1163"/>
      <c r="BC29" s="2015"/>
      <c r="BD29" s="1163"/>
      <c r="BE29" s="1163"/>
      <c r="BF29" s="1163"/>
      <c r="BG29" s="1163"/>
      <c r="BH29" s="1163"/>
      <c r="BI29" s="2015"/>
      <c r="BJ29" s="1163"/>
      <c r="BK29" s="1163"/>
      <c r="BL29" s="1163"/>
      <c r="BM29" s="1163"/>
      <c r="BN29" s="1163"/>
      <c r="BO29" s="2015"/>
      <c r="BP29" s="1163"/>
      <c r="BQ29" s="1163"/>
      <c r="BR29" s="1163"/>
      <c r="BS29" s="1163"/>
      <c r="BT29" s="1163"/>
      <c r="BU29" s="2015"/>
      <c r="BV29" s="2032"/>
      <c r="BW29" s="2032"/>
      <c r="BX29" s="2032"/>
      <c r="BY29" s="2032"/>
      <c r="BZ29" s="2032"/>
      <c r="CA29" s="2032"/>
      <c r="CC29" s="1163" t="str">
        <f t="shared" si="61"/>
        <v>Januar</v>
      </c>
      <c r="CD29" s="1163">
        <f t="shared" si="62"/>
        <v>0</v>
      </c>
      <c r="CE29" s="1163">
        <f t="shared" si="63"/>
        <v>0</v>
      </c>
      <c r="CF29" s="1163">
        <f t="shared" si="64"/>
        <v>0</v>
      </c>
      <c r="CG29" s="1163">
        <f>IF($CD$10="Januar",'25a Soll-Ist Vergl. + Provision'!D26,IF($CD$10="Februar",'25a Soll-Ist Vergl. + Provision'!O26,IF($CD$10="März",'25a Soll-Ist Vergl. + Provision'!Z26,'25a Soll-Ist Vergl. + Provision'!AK26)))</f>
        <v>0</v>
      </c>
      <c r="CH29" s="1163">
        <f>IF($CD$10="Januar",'25a Soll-Ist Vergl. + Provision'!E26,IF($CD$10="Februar",'25a Soll-Ist Vergl. + Provision'!P26,IF($CD$10="März",'25a Soll-Ist Vergl. + Provision'!AA26,'25a Soll-Ist Vergl. + Provision'!AL26)))</f>
        <v>0</v>
      </c>
      <c r="CI29" s="1163">
        <f>IF($CD$10="Januar",'25a Soll-Ist Vergl. + Provision'!F26,IF($CD$10="Februar",'25a Soll-Ist Vergl. + Provision'!Q26,IF($CD$10="März",'25a Soll-Ist Vergl. + Provision'!AB26,'25a Soll-Ist Vergl. + Provision'!AM26)))</f>
        <v>0</v>
      </c>
      <c r="CJ29" s="1163">
        <f>IF($CD$10="Januar",'25a Soll-Ist Vergl. + Provision'!G26,IF($CD$10="Februar",'25a Soll-Ist Vergl. + Provision'!R26,IF($CD$10="März",'25a Soll-Ist Vergl. + Provision'!AC26,'25a Soll-Ist Vergl. + Provision'!AN26)))</f>
        <v>0</v>
      </c>
      <c r="CK29" s="1163">
        <f>IF($CD$10="Januar",'25a Soll-Ist Vergl. + Provision'!H26,IF($CD$10="Februar",'25a Soll-Ist Vergl. + Provision'!S26,IF($CD$10="März",'25a Soll-Ist Vergl. + Provision'!AD26,'25a Soll-Ist Vergl. + Provision'!AO26)))</f>
        <v>0</v>
      </c>
      <c r="CL29" s="1163">
        <f>IF($CD$10="Januar",'25a Soll-Ist Vergl. + Provision'!I26,IF($CD$10="Februar",'25a Soll-Ist Vergl. + Provision'!T26,IF($CD$10="März",'25a Soll-Ist Vergl. + Provision'!AE26,'25a Soll-Ist Vergl. + Provision'!AP26)))</f>
        <v>0</v>
      </c>
      <c r="CM29" s="1163">
        <f>IF($CD$10="Januar",'25a Soll-Ist Vergl. + Provision'!J26,IF($CD$10="Februar",'25a Soll-Ist Vergl. + Provision'!U26,IF($CD$10="März",'25a Soll-Ist Vergl. + Provision'!AF26,'25a Soll-Ist Vergl. + Provision'!AQ26)))</f>
        <v>0</v>
      </c>
      <c r="CN29" s="1163">
        <f>IF($CD$10="Januar",'25a Soll-Ist Vergl. + Provision'!K26,IF($CD$10="Februar",'25a Soll-Ist Vergl. + Provision'!V26,IF($CD$10="März",'25a Soll-Ist Vergl. + Provision'!AG26,'25a Soll-Ist Vergl. + Provision'!AR26)))</f>
        <v>0</v>
      </c>
      <c r="CO29" s="1163" t="str">
        <f t="shared" si="65"/>
        <v>August</v>
      </c>
      <c r="CP29" s="1163">
        <f t="shared" si="66"/>
        <v>0</v>
      </c>
      <c r="CQ29" s="1163">
        <f t="shared" si="67"/>
        <v>0</v>
      </c>
      <c r="CR29" s="1163">
        <f t="shared" si="68"/>
        <v>0</v>
      </c>
      <c r="CS29" s="1163">
        <f>IF($CP$10="Mai",'25a Soll-Ist Vergl. + Provision'!AV26,IF($CP$10="Juni",'25a Soll-Ist Vergl. + Provision'!BG26,IF($CP$10="Juli",'25a Soll-Ist Vergl. + Provision'!BR26,'25a Soll-Ist Vergl. + Provision'!CC26)))</f>
        <v>0</v>
      </c>
      <c r="CT29" s="1163">
        <f>IF($CP$10="Mai",'25a Soll-Ist Vergl. + Provision'!AW26,IF($CP$10="Juni",'25a Soll-Ist Vergl. + Provision'!BH26,IF($CP$10="Juli",'25a Soll-Ist Vergl. + Provision'!BS26,'25a Soll-Ist Vergl. + Provision'!CD26)))</f>
        <v>0</v>
      </c>
      <c r="CU29" s="1163">
        <f>IF($CP$10="Mai",'25a Soll-Ist Vergl. + Provision'!AX26,IF($CP$10="Juni",'25a Soll-Ist Vergl. + Provision'!BI26,IF($CP$10="Juli",'25a Soll-Ist Vergl. + Provision'!BT26,'25a Soll-Ist Vergl. + Provision'!CE26)))</f>
        <v>0</v>
      </c>
      <c r="CV29" s="1163">
        <f>IF($CP$10="Mai",'25a Soll-Ist Vergl. + Provision'!AY26,IF($CP$10="Juni",'25a Soll-Ist Vergl. + Provision'!BJ26,IF($CP$10="Juli",'25a Soll-Ist Vergl. + Provision'!BU26,'25a Soll-Ist Vergl. + Provision'!CF26)))</f>
        <v>0</v>
      </c>
      <c r="CW29" s="1163">
        <f>IF($CP$10="Mai",'25a Soll-Ist Vergl. + Provision'!AZ26,IF($CP$10="Juni",'25a Soll-Ist Vergl. + Provision'!BK26,IF($CP$10="Juli",'25a Soll-Ist Vergl. + Provision'!BV26,'25a Soll-Ist Vergl. + Provision'!CG26)))</f>
        <v>0</v>
      </c>
      <c r="CX29" s="1163">
        <f>IF($CP$10="Mai",'25a Soll-Ist Vergl. + Provision'!BA26,IF($CP$10="Juni",'25a Soll-Ist Vergl. + Provision'!BL26,IF($CP$10="Juli",'25a Soll-Ist Vergl. + Provision'!BW26,'25a Soll-Ist Vergl. + Provision'!CH26)))</f>
        <v>0</v>
      </c>
      <c r="CY29" s="1163">
        <f>IF($CP$10="Mai",'25a Soll-Ist Vergl. + Provision'!BB26,IF($CP$10="Juni",'25a Soll-Ist Vergl. + Provision'!BM26,IF($CP$10="Juli",'25a Soll-Ist Vergl. + Provision'!BX26,'25a Soll-Ist Vergl. + Provision'!CI26)))</f>
        <v>0</v>
      </c>
      <c r="CZ29" s="1163">
        <f>IF($CP$10="Mai",'25a Soll-Ist Vergl. + Provision'!BC26,IF($CP$10="Juni",'25a Soll-Ist Vergl. + Provision'!BN26,IF($CP$10="Juli",'25a Soll-Ist Vergl. + Provision'!BY26,'25a Soll-Ist Vergl. + Provision'!CJ26)))</f>
        <v>0</v>
      </c>
      <c r="DA29" s="1163" t="str">
        <f t="shared" si="69"/>
        <v>Dezember</v>
      </c>
      <c r="DB29" s="1163">
        <f t="shared" si="70"/>
        <v>0</v>
      </c>
      <c r="DC29" s="1163">
        <f t="shared" si="71"/>
        <v>0</v>
      </c>
      <c r="DD29" s="1163">
        <f t="shared" si="72"/>
        <v>0</v>
      </c>
      <c r="DE29" s="1163">
        <f>IF($DB$10="September",'25a Soll-Ist Vergl. + Provision'!CN26,IF($DB$10="Oktober",'25a Soll-Ist Vergl. + Provision'!CY26,IF($DB$10="November",'25a Soll-Ist Vergl. + Provision'!DJ26,'25a Soll-Ist Vergl. + Provision'!DU26)))</f>
        <v>0</v>
      </c>
      <c r="DF29" s="1163">
        <f>IF($DB$10="September",'25a Soll-Ist Vergl. + Provision'!CO26,IF($DB$10="Oktober",'25a Soll-Ist Vergl. + Provision'!CZ26,IF($DB$10="November",'25a Soll-Ist Vergl. + Provision'!DK26,'25a Soll-Ist Vergl. + Provision'!DV26)))</f>
        <v>0</v>
      </c>
      <c r="DG29" s="1163">
        <f>IF($DB$10="September",'25a Soll-Ist Vergl. + Provision'!CP26,IF($DB$10="Oktober",'25a Soll-Ist Vergl. + Provision'!DA26,IF($DB$10="November",'25a Soll-Ist Vergl. + Provision'!DL26,'25a Soll-Ist Vergl. + Provision'!DW26)))</f>
        <v>0</v>
      </c>
      <c r="DH29" s="1163">
        <f>IF($DB$10="September",'25a Soll-Ist Vergl. + Provision'!CQ26,IF($DB$10="Oktober",'25a Soll-Ist Vergl. + Provision'!DB26,IF($DB$10="November",'25a Soll-Ist Vergl. + Provision'!DM26,'25a Soll-Ist Vergl. + Provision'!DX26)))</f>
        <v>0</v>
      </c>
      <c r="DI29" s="1163">
        <f>IF($DB$10="September",'25a Soll-Ist Vergl. + Provision'!CR26,IF($DB$10="Oktober",'25a Soll-Ist Vergl. + Provision'!DC26,IF($DB$10="November",'25a Soll-Ist Vergl. + Provision'!DN26,'25a Soll-Ist Vergl. + Provision'!DY26)))</f>
        <v>0</v>
      </c>
      <c r="DJ29" s="1163">
        <f>IF($DB$10="September",'25a Soll-Ist Vergl. + Provision'!CS26,IF($DB$10="Oktober",'25a Soll-Ist Vergl. + Provision'!DD26,IF($DB$10="November",'25a Soll-Ist Vergl. + Provision'!DO26,'25a Soll-Ist Vergl. + Provision'!DZ26)))</f>
        <v>0</v>
      </c>
      <c r="DK29" s="1163">
        <f>IF($DB$10="September",'25a Soll-Ist Vergl. + Provision'!CT26,IF($DB$10="Oktober",'25a Soll-Ist Vergl. + Provision'!DE26,IF($DB$10="November",'25a Soll-Ist Vergl. + Provision'!DP26,'25a Soll-Ist Vergl. + Provision'!EA26)))</f>
        <v>0</v>
      </c>
      <c r="DL29" s="1163">
        <f>IF($DB$10="September",'25a Soll-Ist Vergl. + Provision'!CU26,IF($DB$10="Oktober",'25a Soll-Ist Vergl. + Provision'!DF26,IF($DB$10="November",'25a Soll-Ist Vergl. + Provision'!DQ26,'25a Soll-Ist Vergl. + Provision'!EB26)))</f>
        <v>0</v>
      </c>
      <c r="DM29" s="1163" t="str">
        <f t="shared" si="73"/>
        <v>Januar</v>
      </c>
      <c r="DN29" s="1163">
        <f t="shared" si="74"/>
        <v>0</v>
      </c>
      <c r="DO29" s="1163">
        <f t="shared" si="75"/>
        <v>0</v>
      </c>
      <c r="DP29" s="1163">
        <f t="shared" si="76"/>
        <v>0</v>
      </c>
      <c r="DQ29" s="1163">
        <f t="shared" si="77"/>
        <v>0</v>
      </c>
      <c r="DR29" s="1163">
        <f t="shared" si="78"/>
        <v>0</v>
      </c>
      <c r="DS29" s="1163">
        <f t="shared" si="79"/>
        <v>0</v>
      </c>
      <c r="DT29" s="1163">
        <f t="shared" si="80"/>
        <v>0</v>
      </c>
      <c r="DU29" s="1163">
        <f t="shared" si="81"/>
        <v>0</v>
      </c>
      <c r="DV29" s="1163">
        <f t="shared" si="82"/>
        <v>0</v>
      </c>
      <c r="DW29" s="1163">
        <f t="shared" si="83"/>
        <v>0</v>
      </c>
      <c r="DX29" s="1163">
        <f t="shared" si="84"/>
        <v>0</v>
      </c>
      <c r="DY29" s="267"/>
      <c r="DZ29" s="3239">
        <f>'4 Eingabe Friseure'!L26</f>
        <v>0</v>
      </c>
      <c r="EA29" s="3239"/>
      <c r="EB29" s="3239">
        <f>IF($DZ29=12,1,'4 Eingabe Friseure'!N26)</f>
        <v>0</v>
      </c>
      <c r="EC29" s="3239">
        <f>IF($DZ29=12,1,'4 Eingabe Friseure'!O26)</f>
        <v>0</v>
      </c>
      <c r="ED29" s="3239">
        <f>IF($DZ29=12,1,'4 Eingabe Friseure'!P26)</f>
        <v>0</v>
      </c>
      <c r="EE29" s="3239">
        <f>IF($DZ29=12,1,'4 Eingabe Friseure'!Q26)</f>
        <v>0</v>
      </c>
      <c r="EF29" s="3239">
        <f>IF($DZ29=12,1,'4 Eingabe Friseure'!R26)</f>
        <v>0</v>
      </c>
      <c r="EG29" s="3239">
        <f>IF($DZ29=12,1,'4 Eingabe Friseure'!S26)</f>
        <v>0</v>
      </c>
      <c r="EH29" s="3239">
        <f>IF($DZ29=12,1,'4 Eingabe Friseure'!T26)</f>
        <v>0</v>
      </c>
      <c r="EI29" s="3239">
        <f>IF($DZ29=12,1,'4 Eingabe Friseure'!U26)</f>
        <v>0</v>
      </c>
      <c r="EJ29" s="3239">
        <f>IF($DZ29=12,1,'4 Eingabe Friseure'!V26)</f>
        <v>0</v>
      </c>
      <c r="EK29" s="3239">
        <f>IF($DZ29=12,1,'4 Eingabe Friseure'!W26)</f>
        <v>0</v>
      </c>
      <c r="EL29" s="3239">
        <f>IF($DZ29=12,1,'4 Eingabe Friseure'!X26)</f>
        <v>0</v>
      </c>
      <c r="EM29" s="3239">
        <f>IF($DZ29=12,1,'4 Eingabe Friseure'!Y26)</f>
        <v>0</v>
      </c>
    </row>
    <row r="30" spans="1:143" s="15" customFormat="1" ht="7.95" customHeight="1">
      <c r="B30" s="1959"/>
      <c r="C30" s="1959"/>
      <c r="D30" s="1959"/>
      <c r="E30" s="2016"/>
      <c r="F30" s="2017"/>
      <c r="G30" s="2018"/>
      <c r="H30" s="2016"/>
      <c r="I30" s="2016"/>
      <c r="J30" s="2016"/>
      <c r="K30" s="2016"/>
      <c r="L30" s="2017"/>
      <c r="M30" s="2019"/>
      <c r="N30" s="2016"/>
      <c r="O30" s="2016"/>
      <c r="P30" s="2016"/>
      <c r="Q30" s="2016"/>
      <c r="R30" s="2016"/>
      <c r="S30" s="2019"/>
      <c r="T30" s="2016"/>
      <c r="U30" s="2016"/>
      <c r="V30" s="2016"/>
      <c r="W30" s="2016"/>
      <c r="X30" s="2016"/>
      <c r="Y30" s="2019"/>
      <c r="Z30" s="2016"/>
      <c r="AA30" s="2016"/>
      <c r="AB30" s="2016"/>
      <c r="AC30" s="2016"/>
      <c r="AD30" s="2016"/>
      <c r="AE30" s="2019"/>
      <c r="AF30" s="2016"/>
      <c r="AG30" s="2016"/>
      <c r="AH30" s="2016"/>
      <c r="AI30" s="2016"/>
      <c r="AJ30" s="2016"/>
      <c r="AK30" s="2019"/>
      <c r="AL30" s="2016"/>
      <c r="AM30" s="2016"/>
      <c r="AN30" s="2016"/>
      <c r="AO30" s="2016"/>
      <c r="AP30" s="2016"/>
      <c r="AQ30" s="2019"/>
      <c r="AR30" s="2016"/>
      <c r="AS30" s="2016"/>
      <c r="AT30" s="2016"/>
      <c r="AU30" s="2016"/>
      <c r="AV30" s="2016"/>
      <c r="AW30" s="2019"/>
      <c r="AX30" s="2016"/>
      <c r="AY30" s="2016"/>
      <c r="AZ30" s="2016"/>
      <c r="BA30" s="2016"/>
      <c r="BB30" s="2016"/>
      <c r="BC30" s="2019"/>
      <c r="BD30" s="2016"/>
      <c r="BE30" s="2016"/>
      <c r="BF30" s="2016"/>
      <c r="BG30" s="2016"/>
      <c r="BH30" s="2016"/>
      <c r="BI30" s="2019"/>
      <c r="BJ30" s="2016"/>
      <c r="BK30" s="2016"/>
      <c r="BL30" s="2016"/>
      <c r="BM30" s="2016"/>
      <c r="BN30" s="2016"/>
      <c r="BO30" s="2019"/>
      <c r="BP30" s="2016"/>
      <c r="BQ30" s="2016"/>
      <c r="BR30" s="2016"/>
      <c r="BS30" s="2016"/>
      <c r="BT30" s="2016"/>
      <c r="BU30" s="2019"/>
      <c r="BV30" s="2033"/>
      <c r="BW30" s="2033"/>
      <c r="BX30" s="2033"/>
      <c r="BY30" s="2033"/>
      <c r="BZ30" s="2033"/>
      <c r="CA30" s="2033"/>
      <c r="CC30" s="1163" t="str">
        <f t="shared" si="61"/>
        <v>Januar</v>
      </c>
      <c r="CD30" s="1163">
        <f t="shared" si="62"/>
        <v>0</v>
      </c>
      <c r="CE30" s="1163">
        <f t="shared" si="63"/>
        <v>0</v>
      </c>
      <c r="CF30" s="1163">
        <f t="shared" si="64"/>
        <v>0</v>
      </c>
      <c r="CG30" s="1163">
        <f>IF($CD$10="Januar",'25a Soll-Ist Vergl. + Provision'!D27,IF($CD$10="Februar",'25a Soll-Ist Vergl. + Provision'!O27,IF($CD$10="März",'25a Soll-Ist Vergl. + Provision'!Z27,'25a Soll-Ist Vergl. + Provision'!AK27)))</f>
        <v>0</v>
      </c>
      <c r="CH30" s="1163">
        <f>IF($CD$10="Januar",'25a Soll-Ist Vergl. + Provision'!E27,IF($CD$10="Februar",'25a Soll-Ist Vergl. + Provision'!P27,IF($CD$10="März",'25a Soll-Ist Vergl. + Provision'!AA27,'25a Soll-Ist Vergl. + Provision'!AL27)))</f>
        <v>0</v>
      </c>
      <c r="CI30" s="1163">
        <f>IF($CD$10="Januar",'25a Soll-Ist Vergl. + Provision'!F27,IF($CD$10="Februar",'25a Soll-Ist Vergl. + Provision'!Q27,IF($CD$10="März",'25a Soll-Ist Vergl. + Provision'!AB27,'25a Soll-Ist Vergl. + Provision'!AM27)))</f>
        <v>0</v>
      </c>
      <c r="CJ30" s="1163">
        <f>IF($CD$10="Januar",'25a Soll-Ist Vergl. + Provision'!G27,IF($CD$10="Februar",'25a Soll-Ist Vergl. + Provision'!R27,IF($CD$10="März",'25a Soll-Ist Vergl. + Provision'!AC27,'25a Soll-Ist Vergl. + Provision'!AN27)))</f>
        <v>0</v>
      </c>
      <c r="CK30" s="1163">
        <f>IF($CD$10="Januar",'25a Soll-Ist Vergl. + Provision'!H27,IF($CD$10="Februar",'25a Soll-Ist Vergl. + Provision'!S27,IF($CD$10="März",'25a Soll-Ist Vergl. + Provision'!AD27,'25a Soll-Ist Vergl. + Provision'!AO27)))</f>
        <v>0</v>
      </c>
      <c r="CL30" s="1163">
        <f>IF($CD$10="Januar",'25a Soll-Ist Vergl. + Provision'!I27,IF($CD$10="Februar",'25a Soll-Ist Vergl. + Provision'!T27,IF($CD$10="März",'25a Soll-Ist Vergl. + Provision'!AE27,'25a Soll-Ist Vergl. + Provision'!AP27)))</f>
        <v>0</v>
      </c>
      <c r="CM30" s="1163">
        <f>IF($CD$10="Januar",'25a Soll-Ist Vergl. + Provision'!J27,IF($CD$10="Februar",'25a Soll-Ist Vergl. + Provision'!U27,IF($CD$10="März",'25a Soll-Ist Vergl. + Provision'!AF27,'25a Soll-Ist Vergl. + Provision'!AQ27)))</f>
        <v>0</v>
      </c>
      <c r="CN30" s="1163">
        <f>IF($CD$10="Januar",'25a Soll-Ist Vergl. + Provision'!K27,IF($CD$10="Februar",'25a Soll-Ist Vergl. + Provision'!V27,IF($CD$10="März",'25a Soll-Ist Vergl. + Provision'!AG27,'25a Soll-Ist Vergl. + Provision'!AR27)))</f>
        <v>0</v>
      </c>
      <c r="CO30" s="1163" t="str">
        <f t="shared" si="65"/>
        <v>August</v>
      </c>
      <c r="CP30" s="1163">
        <f t="shared" si="66"/>
        <v>0</v>
      </c>
      <c r="CQ30" s="1163">
        <f t="shared" si="67"/>
        <v>0</v>
      </c>
      <c r="CR30" s="1163">
        <f t="shared" si="68"/>
        <v>0</v>
      </c>
      <c r="CS30" s="1163">
        <f>IF($CP$10="Mai",'25a Soll-Ist Vergl. + Provision'!AV27,IF($CP$10="Juni",'25a Soll-Ist Vergl. + Provision'!BG27,IF($CP$10="Juli",'25a Soll-Ist Vergl. + Provision'!BR27,'25a Soll-Ist Vergl. + Provision'!CC27)))</f>
        <v>0</v>
      </c>
      <c r="CT30" s="1163">
        <f>IF($CP$10="Mai",'25a Soll-Ist Vergl. + Provision'!AW27,IF($CP$10="Juni",'25a Soll-Ist Vergl. + Provision'!BH27,IF($CP$10="Juli",'25a Soll-Ist Vergl. + Provision'!BS27,'25a Soll-Ist Vergl. + Provision'!CD27)))</f>
        <v>0</v>
      </c>
      <c r="CU30" s="1163">
        <f>IF($CP$10="Mai",'25a Soll-Ist Vergl. + Provision'!AX27,IF($CP$10="Juni",'25a Soll-Ist Vergl. + Provision'!BI27,IF($CP$10="Juli",'25a Soll-Ist Vergl. + Provision'!BT27,'25a Soll-Ist Vergl. + Provision'!CE27)))</f>
        <v>0</v>
      </c>
      <c r="CV30" s="1163">
        <f>IF($CP$10="Mai",'25a Soll-Ist Vergl. + Provision'!AY27,IF($CP$10="Juni",'25a Soll-Ist Vergl. + Provision'!BJ27,IF($CP$10="Juli",'25a Soll-Ist Vergl. + Provision'!BU27,'25a Soll-Ist Vergl. + Provision'!CF27)))</f>
        <v>0</v>
      </c>
      <c r="CW30" s="1163">
        <f>IF($CP$10="Mai",'25a Soll-Ist Vergl. + Provision'!AZ27,IF($CP$10="Juni",'25a Soll-Ist Vergl. + Provision'!BK27,IF($CP$10="Juli",'25a Soll-Ist Vergl. + Provision'!BV27,'25a Soll-Ist Vergl. + Provision'!CG27)))</f>
        <v>0</v>
      </c>
      <c r="CX30" s="1163">
        <f>IF($CP$10="Mai",'25a Soll-Ist Vergl. + Provision'!BA27,IF($CP$10="Juni",'25a Soll-Ist Vergl. + Provision'!BL27,IF($CP$10="Juli",'25a Soll-Ist Vergl. + Provision'!BW27,'25a Soll-Ist Vergl. + Provision'!CH27)))</f>
        <v>0</v>
      </c>
      <c r="CY30" s="1163">
        <f>IF($CP$10="Mai",'25a Soll-Ist Vergl. + Provision'!BB27,IF($CP$10="Juni",'25a Soll-Ist Vergl. + Provision'!BM27,IF($CP$10="Juli",'25a Soll-Ist Vergl. + Provision'!BX27,'25a Soll-Ist Vergl. + Provision'!CI27)))</f>
        <v>0</v>
      </c>
      <c r="CZ30" s="1163">
        <f>IF($CP$10="Mai",'25a Soll-Ist Vergl. + Provision'!BC27,IF($CP$10="Juni",'25a Soll-Ist Vergl. + Provision'!BN27,IF($CP$10="Juli",'25a Soll-Ist Vergl. + Provision'!BY27,'25a Soll-Ist Vergl. + Provision'!CJ27)))</f>
        <v>0</v>
      </c>
      <c r="DA30" s="1163" t="str">
        <f t="shared" si="69"/>
        <v>Dezember</v>
      </c>
      <c r="DB30" s="1163">
        <f t="shared" si="70"/>
        <v>0</v>
      </c>
      <c r="DC30" s="1163">
        <f t="shared" si="71"/>
        <v>0</v>
      </c>
      <c r="DD30" s="1163">
        <f t="shared" si="72"/>
        <v>0</v>
      </c>
      <c r="DE30" s="1163">
        <f>IF($DB$10="September",'25a Soll-Ist Vergl. + Provision'!CN27,IF($DB$10="Oktober",'25a Soll-Ist Vergl. + Provision'!CY27,IF($DB$10="November",'25a Soll-Ist Vergl. + Provision'!DJ27,'25a Soll-Ist Vergl. + Provision'!DU27)))</f>
        <v>0</v>
      </c>
      <c r="DF30" s="1163">
        <f>IF($DB$10="September",'25a Soll-Ist Vergl. + Provision'!CO27,IF($DB$10="Oktober",'25a Soll-Ist Vergl. + Provision'!CZ27,IF($DB$10="November",'25a Soll-Ist Vergl. + Provision'!DK27,'25a Soll-Ist Vergl. + Provision'!DV27)))</f>
        <v>0</v>
      </c>
      <c r="DG30" s="1163">
        <f>IF($DB$10="September",'25a Soll-Ist Vergl. + Provision'!CP27,IF($DB$10="Oktober",'25a Soll-Ist Vergl. + Provision'!DA27,IF($DB$10="November",'25a Soll-Ist Vergl. + Provision'!DL27,'25a Soll-Ist Vergl. + Provision'!DW27)))</f>
        <v>0</v>
      </c>
      <c r="DH30" s="1163">
        <f>IF($DB$10="September",'25a Soll-Ist Vergl. + Provision'!CQ27,IF($DB$10="Oktober",'25a Soll-Ist Vergl. + Provision'!DB27,IF($DB$10="November",'25a Soll-Ist Vergl. + Provision'!DM27,'25a Soll-Ist Vergl. + Provision'!DX27)))</f>
        <v>0</v>
      </c>
      <c r="DI30" s="1163">
        <f>IF($DB$10="September",'25a Soll-Ist Vergl. + Provision'!CR27,IF($DB$10="Oktober",'25a Soll-Ist Vergl. + Provision'!DC27,IF($DB$10="November",'25a Soll-Ist Vergl. + Provision'!DN27,'25a Soll-Ist Vergl. + Provision'!DY27)))</f>
        <v>0</v>
      </c>
      <c r="DJ30" s="1163">
        <f>IF($DB$10="September",'25a Soll-Ist Vergl. + Provision'!CS27,IF($DB$10="Oktober",'25a Soll-Ist Vergl. + Provision'!DD27,IF($DB$10="November",'25a Soll-Ist Vergl. + Provision'!DO27,'25a Soll-Ist Vergl. + Provision'!DZ27)))</f>
        <v>0</v>
      </c>
      <c r="DK30" s="1163">
        <f>IF($DB$10="September",'25a Soll-Ist Vergl. + Provision'!CT27,IF($DB$10="Oktober",'25a Soll-Ist Vergl. + Provision'!DE27,IF($DB$10="November",'25a Soll-Ist Vergl. + Provision'!DP27,'25a Soll-Ist Vergl. + Provision'!EA27)))</f>
        <v>0</v>
      </c>
      <c r="DL30" s="1163">
        <f>IF($DB$10="September",'25a Soll-Ist Vergl. + Provision'!CU27,IF($DB$10="Oktober",'25a Soll-Ist Vergl. + Provision'!DF27,IF($DB$10="November",'25a Soll-Ist Vergl. + Provision'!DQ27,'25a Soll-Ist Vergl. + Provision'!EB27)))</f>
        <v>0</v>
      </c>
      <c r="DM30" s="1163" t="str">
        <f t="shared" si="73"/>
        <v>Januar</v>
      </c>
      <c r="DN30" s="1163">
        <f t="shared" si="74"/>
        <v>0</v>
      </c>
      <c r="DO30" s="1163">
        <f t="shared" si="75"/>
        <v>0</v>
      </c>
      <c r="DP30" s="1163">
        <f t="shared" si="76"/>
        <v>0</v>
      </c>
      <c r="DQ30" s="1163">
        <f t="shared" si="77"/>
        <v>0</v>
      </c>
      <c r="DR30" s="1163">
        <f t="shared" si="78"/>
        <v>0</v>
      </c>
      <c r="DS30" s="1163">
        <f t="shared" si="79"/>
        <v>0</v>
      </c>
      <c r="DT30" s="1163">
        <f t="shared" si="80"/>
        <v>0</v>
      </c>
      <c r="DU30" s="1163">
        <f t="shared" si="81"/>
        <v>0</v>
      </c>
      <c r="DV30" s="1163">
        <f t="shared" si="82"/>
        <v>0</v>
      </c>
      <c r="DW30" s="1163">
        <f t="shared" si="83"/>
        <v>0</v>
      </c>
      <c r="DX30" s="1163">
        <f t="shared" si="84"/>
        <v>0</v>
      </c>
      <c r="DY30" s="1348"/>
      <c r="DZ30" s="3239">
        <f>'4 Eingabe Friseure'!L27</f>
        <v>0</v>
      </c>
      <c r="EA30" s="3239"/>
      <c r="EB30" s="3239">
        <f>IF($DZ30=12,1,'4 Eingabe Friseure'!N27)</f>
        <v>0</v>
      </c>
      <c r="EC30" s="3239">
        <f>IF($DZ30=12,1,'4 Eingabe Friseure'!O27)</f>
        <v>0</v>
      </c>
      <c r="ED30" s="3239">
        <f>IF($DZ30=12,1,'4 Eingabe Friseure'!P27)</f>
        <v>0</v>
      </c>
      <c r="EE30" s="3239">
        <f>IF($DZ30=12,1,'4 Eingabe Friseure'!Q27)</f>
        <v>0</v>
      </c>
      <c r="EF30" s="3239">
        <f>IF($DZ30=12,1,'4 Eingabe Friseure'!R27)</f>
        <v>0</v>
      </c>
      <c r="EG30" s="3239">
        <f>IF($DZ30=12,1,'4 Eingabe Friseure'!S27)</f>
        <v>0</v>
      </c>
      <c r="EH30" s="3239">
        <f>IF($DZ30=12,1,'4 Eingabe Friseure'!T27)</f>
        <v>0</v>
      </c>
      <c r="EI30" s="3239">
        <f>IF($DZ30=12,1,'4 Eingabe Friseure'!U27)</f>
        <v>0</v>
      </c>
      <c r="EJ30" s="3239">
        <f>IF($DZ30=12,1,'4 Eingabe Friseure'!V27)</f>
        <v>0</v>
      </c>
      <c r="EK30" s="3239">
        <f>IF($DZ30=12,1,'4 Eingabe Friseure'!W27)</f>
        <v>0</v>
      </c>
      <c r="EL30" s="3239">
        <f>IF($DZ30=12,1,'4 Eingabe Friseure'!X27)</f>
        <v>0</v>
      </c>
      <c r="EM30" s="3239">
        <f>IF($DZ30=12,1,'4 Eingabe Friseure'!Y27)</f>
        <v>0</v>
      </c>
    </row>
    <row r="31" spans="1:143" ht="18" customHeight="1">
      <c r="A31" s="2741" t="str">
        <f ca="1">IF('22 Sollumsatz pro MA '!A31="","",'22 Sollumsatz pro MA '!A31)</f>
        <v/>
      </c>
      <c r="B31" s="1962"/>
      <c r="C31" s="1984"/>
      <c r="D31" s="1957"/>
      <c r="E31" s="2097" t="str">
        <f ca="1">IF($A31="","",IF(EB31=0,"",'23 LF individuell'!$AG29*$B31))</f>
        <v/>
      </c>
      <c r="F31" s="2100" t="str">
        <f ca="1">IF($A31="","",IF(EB31=0,"",'23 LF individuell'!$AH29*$B31))</f>
        <v/>
      </c>
      <c r="G31" s="2101" t="str">
        <f ca="1">IF($A31="","",IF(EB31=0,"",'23 LF individuell'!$AI29*$B31))</f>
        <v/>
      </c>
      <c r="H31" s="2020"/>
      <c r="I31" s="2021"/>
      <c r="J31" s="2005"/>
      <c r="K31" s="2006" t="str">
        <f ca="1">IF($A31="","",IF(EC31=0,"",'23 LF individuell'!$AG29*H31))</f>
        <v/>
      </c>
      <c r="L31" s="2007" t="str">
        <f ca="1">IF($A31="","",IF(EC31=0,"",'23 LF individuell'!$AH29*H31))</f>
        <v/>
      </c>
      <c r="M31" s="2008" t="str">
        <f ca="1">IF($A31="","",IF(EC31=0,"",'23 LF individuell'!$AI29*H31))</f>
        <v/>
      </c>
      <c r="N31" s="2020"/>
      <c r="O31" s="2021"/>
      <c r="P31" s="2005"/>
      <c r="Q31" s="2097" t="str">
        <f ca="1">IF($A31="","",IF(ED31=0,"",'23 LF individuell'!$AG29*N31))</f>
        <v/>
      </c>
      <c r="R31" s="2100" t="str">
        <f ca="1">IF($A31="","",IF(ED31=0,"",'23 LF individuell'!$AH29*N31))</f>
        <v/>
      </c>
      <c r="S31" s="2101" t="str">
        <f ca="1">IF($A31="","",IF(ED31=0,"",'23 LF individuell'!$AI29*N31))</f>
        <v/>
      </c>
      <c r="T31" s="2020"/>
      <c r="U31" s="2021"/>
      <c r="V31" s="2005"/>
      <c r="W31" s="2006" t="str">
        <f ca="1">IF($A31="","",IF(EE31=0,"",'23 LF individuell'!$AG29*T31))</f>
        <v/>
      </c>
      <c r="X31" s="2007" t="str">
        <f ca="1">IF($A31="","",IF(EE31=0,"",'23 LF individuell'!$AH29*T31))</f>
        <v/>
      </c>
      <c r="Y31" s="2008" t="str">
        <f ca="1">IF($A31="","",IF(EE31=0,"",'23 LF individuell'!$AI29*T31))</f>
        <v/>
      </c>
      <c r="Z31" s="2020"/>
      <c r="AA31" s="2021"/>
      <c r="AB31" s="2005"/>
      <c r="AC31" s="2097" t="str">
        <f ca="1">IF($A31="","",IF(EF31=0,"",'23 LF individuell'!$AG29*Z31))</f>
        <v/>
      </c>
      <c r="AD31" s="2100" t="str">
        <f ca="1">IF($A31="","",IF(EF31=0,"",'23 LF individuell'!$AH29*Z31))</f>
        <v/>
      </c>
      <c r="AE31" s="2101" t="str">
        <f ca="1">IF($A31="","",IF(EF31=0,"",'23 LF individuell'!$AI29*Z31))</f>
        <v/>
      </c>
      <c r="AF31" s="2020"/>
      <c r="AG31" s="2021"/>
      <c r="AH31" s="2005"/>
      <c r="AI31" s="2006" t="str">
        <f ca="1">IF($A31="","",IF(EG31=0,"",'23 LF individuell'!$AG29*AF31))</f>
        <v/>
      </c>
      <c r="AJ31" s="2007" t="str">
        <f ca="1">IF($A31="","",IF(EG31=0,"",'23 LF individuell'!$AH29*AF31))</f>
        <v/>
      </c>
      <c r="AK31" s="2008" t="str">
        <f ca="1">IF($A31="","",IF(EG31=0,"",'23 LF individuell'!$AI29*AF31))</f>
        <v/>
      </c>
      <c r="AL31" s="2020"/>
      <c r="AM31" s="2021"/>
      <c r="AN31" s="2005"/>
      <c r="AO31" s="2097" t="str">
        <f ca="1">IF($A31="","",IF(EH31=0,"",'23 LF individuell'!$AG29*AL31))</f>
        <v/>
      </c>
      <c r="AP31" s="2100" t="str">
        <f ca="1">IF($A31="","",IF(EH31=0,"",'23 LF individuell'!$AH29*AL31))</f>
        <v/>
      </c>
      <c r="AQ31" s="2101" t="str">
        <f ca="1">IF($A31="","",IF(EH31=0,"",'23 LF individuell'!$AI29*AL31))</f>
        <v/>
      </c>
      <c r="AR31" s="2020"/>
      <c r="AS31" s="2021"/>
      <c r="AT31" s="2005"/>
      <c r="AU31" s="2006" t="str">
        <f ca="1">IF($A31="","",IF(EI31=0,"",'23 LF individuell'!$AG29*AR31))</f>
        <v/>
      </c>
      <c r="AV31" s="2007" t="str">
        <f ca="1">IF($A31="","",IF(EI31=0,"",'23 LF individuell'!$AH29*AR31))</f>
        <v/>
      </c>
      <c r="AW31" s="2008" t="str">
        <f ca="1">IF($A31="","",IF(EI31=0,"",'23 LF individuell'!$AI29*AR31))</f>
        <v/>
      </c>
      <c r="AX31" s="2020"/>
      <c r="AY31" s="2021"/>
      <c r="AZ31" s="2005"/>
      <c r="BA31" s="2097" t="str">
        <f ca="1">IF($A31="","",IF(EJ31=0,"",'23 LF individuell'!$AG29*AX31))</f>
        <v/>
      </c>
      <c r="BB31" s="2100" t="str">
        <f ca="1">IF($A31="","",IF(EJ31=0,"",'23 LF individuell'!$AH29*AX31))</f>
        <v/>
      </c>
      <c r="BC31" s="2101" t="str">
        <f ca="1">IF($A31="","",IF(EJ31=0,"",'23 LF individuell'!$AI29*AX31))</f>
        <v/>
      </c>
      <c r="BD31" s="2020"/>
      <c r="BE31" s="2021"/>
      <c r="BF31" s="2005"/>
      <c r="BG31" s="2006" t="str">
        <f ca="1">IF($A31="","",IF(EK31=0,"",'23 LF individuell'!$AG29*BD31))</f>
        <v/>
      </c>
      <c r="BH31" s="2007" t="str">
        <f ca="1">IF($A31="","",IF(EK31=0,"",'23 LF individuell'!$AH29*BD31))</f>
        <v/>
      </c>
      <c r="BI31" s="2008" t="str">
        <f ca="1">IF($A31="","",IF(EK31=0,"",'23 LF individuell'!$AI29*BD31))</f>
        <v/>
      </c>
      <c r="BJ31" s="2020"/>
      <c r="BK31" s="2021"/>
      <c r="BL31" s="2005"/>
      <c r="BM31" s="2097" t="str">
        <f ca="1">IF($A31="","",IF(EL31=0,"",'23 LF individuell'!$AG29*BJ31))</f>
        <v/>
      </c>
      <c r="BN31" s="2100" t="str">
        <f ca="1">IF($A31="","",IF(EL31=0,"",'23 LF individuell'!$AH29*BJ31))</f>
        <v/>
      </c>
      <c r="BO31" s="2101" t="str">
        <f ca="1">IF($A31="","",IF(EL31=0,"",'23 LF individuell'!$AI29*BJ31))</f>
        <v/>
      </c>
      <c r="BP31" s="2020"/>
      <c r="BQ31" s="2021"/>
      <c r="BR31" s="2005"/>
      <c r="BS31" s="2006" t="str">
        <f ca="1">IF($A31="","",IF(EM31=0,"",'23 LF individuell'!$AG29*BP31))</f>
        <v/>
      </c>
      <c r="BT31" s="2007" t="str">
        <f ca="1">IF($A31="","",IF(EM31=0,"",'23 LF individuell'!$AH29*BP31))</f>
        <v/>
      </c>
      <c r="BU31" s="2008" t="str">
        <f ca="1">IF($A31="","",IF(EM31=0,"",'23 LF individuell'!$AI29*BP31))</f>
        <v/>
      </c>
      <c r="BV31" s="2044" t="str">
        <f t="shared" ref="BV31:BV46" ca="1" si="85">IF($A31="","",SUM(B31+H31+N31+T31+Z31+AF31+AL31+AR31+AX31+BD31+BJ31+BP31))</f>
        <v/>
      </c>
      <c r="BW31" s="2044" t="str">
        <f t="shared" ref="BW31:BW46" ca="1" si="86">IF($A31="","",SUM(C31+I31+O31+U31+AA31+AG31+AM31+AS31+AY31+BE31+BK31+BQ31))</f>
        <v/>
      </c>
      <c r="BX31" s="2044" t="str">
        <f t="shared" ref="BX31:BX46" ca="1" si="87">IF($A31="","",SUM(D31+J31+P31+V31+AB31+AH31+AN31+AT31+AZ31+BF31+BL31+BR31))</f>
        <v/>
      </c>
      <c r="BY31" s="2049" t="str">
        <f t="shared" ca="1" si="57"/>
        <v/>
      </c>
      <c r="BZ31" s="2049" t="str">
        <f t="shared" ca="1" si="58"/>
        <v/>
      </c>
      <c r="CA31" s="2049" t="str">
        <f t="shared" ca="1" si="59"/>
        <v/>
      </c>
      <c r="CB31" s="2116" t="str">
        <f t="shared" ref="CB31:CB46" ca="1" si="88">IF(A31="","",A31)</f>
        <v/>
      </c>
      <c r="CC31" s="1163" t="str">
        <f t="shared" si="61"/>
        <v>Januar</v>
      </c>
      <c r="CD31" s="1163">
        <f t="shared" si="62"/>
        <v>0</v>
      </c>
      <c r="CE31" s="1163">
        <f t="shared" si="63"/>
        <v>0</v>
      </c>
      <c r="CF31" s="1163">
        <f t="shared" si="64"/>
        <v>0</v>
      </c>
      <c r="CG31" s="1163">
        <f>IF($CD$10="Januar",'25a Soll-Ist Vergl. + Provision'!D28,IF($CD$10="Februar",'25a Soll-Ist Vergl. + Provision'!O28,IF($CD$10="März",'25a Soll-Ist Vergl. + Provision'!Z28,'25a Soll-Ist Vergl. + Provision'!AK28)))</f>
        <v>0</v>
      </c>
      <c r="CH31" s="1163" t="str">
        <f ca="1">IF($CD$10="Januar",'25a Soll-Ist Vergl. + Provision'!E28,IF($CD$10="Februar",'25a Soll-Ist Vergl. + Provision'!P28,IF($CD$10="März",'25a Soll-Ist Vergl. + Provision'!AA28,'25a Soll-Ist Vergl. + Provision'!AL28)))</f>
        <v/>
      </c>
      <c r="CI31" s="1163" t="str">
        <f ca="1">IF($CD$10="Januar",'25a Soll-Ist Vergl. + Provision'!F28,IF($CD$10="Februar",'25a Soll-Ist Vergl. + Provision'!Q28,IF($CD$10="März",'25a Soll-Ist Vergl. + Provision'!AB28,'25a Soll-Ist Vergl. + Provision'!AM28)))</f>
        <v/>
      </c>
      <c r="CJ31" s="1163" t="str">
        <f ca="1">IF($CD$10="Januar",'25a Soll-Ist Vergl. + Provision'!G28,IF($CD$10="Februar",'25a Soll-Ist Vergl. + Provision'!R28,IF($CD$10="März",'25a Soll-Ist Vergl. + Provision'!AC28,'25a Soll-Ist Vergl. + Provision'!AN28)))</f>
        <v/>
      </c>
      <c r="CK31" s="1163">
        <f>IF($CD$10="Januar",'25a Soll-Ist Vergl. + Provision'!H28,IF($CD$10="Februar",'25a Soll-Ist Vergl. + Provision'!S28,IF($CD$10="März",'25a Soll-Ist Vergl. + Provision'!AD28,'25a Soll-Ist Vergl. + Provision'!AO28)))</f>
        <v>0</v>
      </c>
      <c r="CL31" s="1163" t="str">
        <f ca="1">IF($CD$10="Januar",'25a Soll-Ist Vergl. + Provision'!I28,IF($CD$10="Februar",'25a Soll-Ist Vergl. + Provision'!T28,IF($CD$10="März",'25a Soll-Ist Vergl. + Provision'!AE28,'25a Soll-Ist Vergl. + Provision'!AP28)))</f>
        <v/>
      </c>
      <c r="CM31" s="1163" t="str">
        <f ca="1">IF($CD$10="Januar",'25a Soll-Ist Vergl. + Provision'!J28,IF($CD$10="Februar",'25a Soll-Ist Vergl. + Provision'!U28,IF($CD$10="März",'25a Soll-Ist Vergl. + Provision'!AF28,'25a Soll-Ist Vergl. + Provision'!AQ28)))</f>
        <v/>
      </c>
      <c r="CN31" s="1163" t="str">
        <f ca="1">IF($CD$10="Januar",'25a Soll-Ist Vergl. + Provision'!K28,IF($CD$10="Februar",'25a Soll-Ist Vergl. + Provision'!V28,IF($CD$10="März",'25a Soll-Ist Vergl. + Provision'!AG28,'25a Soll-Ist Vergl. + Provision'!AR28)))</f>
        <v/>
      </c>
      <c r="CO31" s="1163" t="str">
        <f t="shared" si="65"/>
        <v>August</v>
      </c>
      <c r="CP31" s="1163">
        <f t="shared" si="66"/>
        <v>0</v>
      </c>
      <c r="CQ31" s="1163">
        <f t="shared" si="67"/>
        <v>0</v>
      </c>
      <c r="CR31" s="1163">
        <f t="shared" si="68"/>
        <v>0</v>
      </c>
      <c r="CS31" s="1163">
        <f>IF($CP$10="Mai",'25a Soll-Ist Vergl. + Provision'!AV28,IF($CP$10="Juni",'25a Soll-Ist Vergl. + Provision'!BG28,IF($CP$10="Juli",'25a Soll-Ist Vergl. + Provision'!BR28,'25a Soll-Ist Vergl. + Provision'!CC28)))</f>
        <v>0</v>
      </c>
      <c r="CT31" s="1163" t="str">
        <f ca="1">IF($CP$10="Mai",'25a Soll-Ist Vergl. + Provision'!AW28,IF($CP$10="Juni",'25a Soll-Ist Vergl. + Provision'!BH28,IF($CP$10="Juli",'25a Soll-Ist Vergl. + Provision'!BS28,'25a Soll-Ist Vergl. + Provision'!CD28)))</f>
        <v/>
      </c>
      <c r="CU31" s="1163" t="str">
        <f ca="1">IF($CP$10="Mai",'25a Soll-Ist Vergl. + Provision'!AX28,IF($CP$10="Juni",'25a Soll-Ist Vergl. + Provision'!BI28,IF($CP$10="Juli",'25a Soll-Ist Vergl. + Provision'!BT28,'25a Soll-Ist Vergl. + Provision'!CE28)))</f>
        <v/>
      </c>
      <c r="CV31" s="1163" t="str">
        <f ca="1">IF($CP$10="Mai",'25a Soll-Ist Vergl. + Provision'!AY28,IF($CP$10="Juni",'25a Soll-Ist Vergl. + Provision'!BJ28,IF($CP$10="Juli",'25a Soll-Ist Vergl. + Provision'!BU28,'25a Soll-Ist Vergl. + Provision'!CF28)))</f>
        <v/>
      </c>
      <c r="CW31" s="1163">
        <f>IF($CP$10="Mai",'25a Soll-Ist Vergl. + Provision'!AZ28,IF($CP$10="Juni",'25a Soll-Ist Vergl. + Provision'!BK28,IF($CP$10="Juli",'25a Soll-Ist Vergl. + Provision'!BV28,'25a Soll-Ist Vergl. + Provision'!CG28)))</f>
        <v>0</v>
      </c>
      <c r="CX31" s="1163" t="str">
        <f ca="1">IF($CP$10="Mai",'25a Soll-Ist Vergl. + Provision'!BA28,IF($CP$10="Juni",'25a Soll-Ist Vergl. + Provision'!BL28,IF($CP$10="Juli",'25a Soll-Ist Vergl. + Provision'!BW28,'25a Soll-Ist Vergl. + Provision'!CH28)))</f>
        <v/>
      </c>
      <c r="CY31" s="1163" t="str">
        <f ca="1">IF($CP$10="Mai",'25a Soll-Ist Vergl. + Provision'!BB28,IF($CP$10="Juni",'25a Soll-Ist Vergl. + Provision'!BM28,IF($CP$10="Juli",'25a Soll-Ist Vergl. + Provision'!BX28,'25a Soll-Ist Vergl. + Provision'!CI28)))</f>
        <v/>
      </c>
      <c r="CZ31" s="1163" t="str">
        <f ca="1">IF($CP$10="Mai",'25a Soll-Ist Vergl. + Provision'!BC28,IF($CP$10="Juni",'25a Soll-Ist Vergl. + Provision'!BN28,IF($CP$10="Juli",'25a Soll-Ist Vergl. + Provision'!BY28,'25a Soll-Ist Vergl. + Provision'!CJ28)))</f>
        <v/>
      </c>
      <c r="DA31" s="1163" t="str">
        <f t="shared" si="69"/>
        <v>Dezember</v>
      </c>
      <c r="DB31" s="1163">
        <f t="shared" si="70"/>
        <v>0</v>
      </c>
      <c r="DC31" s="1163">
        <f t="shared" si="71"/>
        <v>0</v>
      </c>
      <c r="DD31" s="1163">
        <f t="shared" si="72"/>
        <v>0</v>
      </c>
      <c r="DE31" s="1163">
        <f>IF($DB$10="September",'25a Soll-Ist Vergl. + Provision'!CN28,IF($DB$10="Oktober",'25a Soll-Ist Vergl. + Provision'!CY28,IF($DB$10="November",'25a Soll-Ist Vergl. + Provision'!DJ28,'25a Soll-Ist Vergl. + Provision'!DU28)))</f>
        <v>0</v>
      </c>
      <c r="DF31" s="1163" t="str">
        <f ca="1">IF($DB$10="September",'25a Soll-Ist Vergl. + Provision'!CO28,IF($DB$10="Oktober",'25a Soll-Ist Vergl. + Provision'!CZ28,IF($DB$10="November",'25a Soll-Ist Vergl. + Provision'!DK28,'25a Soll-Ist Vergl. + Provision'!DV28)))</f>
        <v/>
      </c>
      <c r="DG31" s="1163" t="str">
        <f ca="1">IF($DB$10="September",'25a Soll-Ist Vergl. + Provision'!CP28,IF($DB$10="Oktober",'25a Soll-Ist Vergl. + Provision'!DA28,IF($DB$10="November",'25a Soll-Ist Vergl. + Provision'!DL28,'25a Soll-Ist Vergl. + Provision'!DW28)))</f>
        <v/>
      </c>
      <c r="DH31" s="1163" t="str">
        <f ca="1">IF($DB$10="September",'25a Soll-Ist Vergl. + Provision'!CQ28,IF($DB$10="Oktober",'25a Soll-Ist Vergl. + Provision'!DB28,IF($DB$10="November",'25a Soll-Ist Vergl. + Provision'!DM28,'25a Soll-Ist Vergl. + Provision'!DX28)))</f>
        <v/>
      </c>
      <c r="DI31" s="1163">
        <f>IF($DB$10="September",'25a Soll-Ist Vergl. + Provision'!CR28,IF($DB$10="Oktober",'25a Soll-Ist Vergl. + Provision'!DC28,IF($DB$10="November",'25a Soll-Ist Vergl. + Provision'!DN28,'25a Soll-Ist Vergl. + Provision'!DY28)))</f>
        <v>0</v>
      </c>
      <c r="DJ31" s="1163" t="str">
        <f ca="1">IF($DB$10="September",'25a Soll-Ist Vergl. + Provision'!CS28,IF($DB$10="Oktober",'25a Soll-Ist Vergl. + Provision'!DD28,IF($DB$10="November",'25a Soll-Ist Vergl. + Provision'!DO28,'25a Soll-Ist Vergl. + Provision'!DZ28)))</f>
        <v/>
      </c>
      <c r="DK31" s="1163" t="str">
        <f ca="1">IF($DB$10="September",'25a Soll-Ist Vergl. + Provision'!CT28,IF($DB$10="Oktober",'25a Soll-Ist Vergl. + Provision'!DE28,IF($DB$10="November",'25a Soll-Ist Vergl. + Provision'!DP28,'25a Soll-Ist Vergl. + Provision'!EA28)))</f>
        <v/>
      </c>
      <c r="DL31" s="1163" t="str">
        <f ca="1">IF($DB$10="September",'25a Soll-Ist Vergl. + Provision'!CU28,IF($DB$10="Oktober",'25a Soll-Ist Vergl. + Provision'!DF28,IF($DB$10="November",'25a Soll-Ist Vergl. + Provision'!DQ28,'25a Soll-Ist Vergl. + Provision'!EB28)))</f>
        <v/>
      </c>
      <c r="DM31" s="1163" t="str">
        <f t="shared" si="73"/>
        <v>Januar</v>
      </c>
      <c r="DN31" s="1163">
        <f t="shared" si="74"/>
        <v>0</v>
      </c>
      <c r="DO31" s="1163">
        <f t="shared" si="75"/>
        <v>0</v>
      </c>
      <c r="DP31" s="1163">
        <f t="shared" si="76"/>
        <v>0</v>
      </c>
      <c r="DQ31" s="1163">
        <f t="shared" si="77"/>
        <v>0</v>
      </c>
      <c r="DR31" s="1163" t="str">
        <f t="shared" ca="1" si="78"/>
        <v/>
      </c>
      <c r="DS31" s="1163" t="str">
        <f t="shared" ca="1" si="79"/>
        <v/>
      </c>
      <c r="DT31" s="1163" t="str">
        <f t="shared" ca="1" si="80"/>
        <v/>
      </c>
      <c r="DU31" s="1163">
        <f t="shared" si="81"/>
        <v>0</v>
      </c>
      <c r="DV31" s="1163" t="str">
        <f t="shared" ca="1" si="82"/>
        <v/>
      </c>
      <c r="DW31" s="1163" t="str">
        <f t="shared" ca="1" si="83"/>
        <v/>
      </c>
      <c r="DX31" s="1163" t="str">
        <f t="shared" ca="1" si="84"/>
        <v/>
      </c>
      <c r="DY31" s="267"/>
      <c r="DZ31" s="3239">
        <f>'4 Eingabe Friseure'!L28</f>
        <v>0</v>
      </c>
      <c r="EA31" s="3239"/>
      <c r="EB31" s="3239">
        <f>IF($DZ31=12,1,'4 Eingabe Friseure'!N28)</f>
        <v>0</v>
      </c>
      <c r="EC31" s="3239">
        <f>IF($DZ31=12,1,'4 Eingabe Friseure'!O28)</f>
        <v>0</v>
      </c>
      <c r="ED31" s="3239">
        <f>IF($DZ31=12,1,'4 Eingabe Friseure'!P28)</f>
        <v>0</v>
      </c>
      <c r="EE31" s="3239">
        <f>IF($DZ31=12,1,'4 Eingabe Friseure'!Q28)</f>
        <v>0</v>
      </c>
      <c r="EF31" s="3239">
        <f>IF($DZ31=12,1,'4 Eingabe Friseure'!R28)</f>
        <v>0</v>
      </c>
      <c r="EG31" s="3239">
        <f>IF($DZ31=12,1,'4 Eingabe Friseure'!S28)</f>
        <v>0</v>
      </c>
      <c r="EH31" s="3239">
        <f>IF($DZ31=12,1,'4 Eingabe Friseure'!T28)</f>
        <v>0</v>
      </c>
      <c r="EI31" s="3239">
        <f>IF($DZ31=12,1,'4 Eingabe Friseure'!U28)</f>
        <v>0</v>
      </c>
      <c r="EJ31" s="3239">
        <f>IF($DZ31=12,1,'4 Eingabe Friseure'!V28)</f>
        <v>0</v>
      </c>
      <c r="EK31" s="3239">
        <f>IF($DZ31=12,1,'4 Eingabe Friseure'!W28)</f>
        <v>0</v>
      </c>
      <c r="EL31" s="3239">
        <f>IF($DZ31=12,1,'4 Eingabe Friseure'!X28)</f>
        <v>0</v>
      </c>
      <c r="EM31" s="3239">
        <f>IF($DZ31=12,1,'4 Eingabe Friseure'!Y28)</f>
        <v>0</v>
      </c>
    </row>
    <row r="32" spans="1:143" ht="18" customHeight="1">
      <c r="A32" s="2740" t="str">
        <f ca="1">IF('22 Sollumsatz pro MA '!A32="","",'22 Sollumsatz pro MA '!A32)</f>
        <v/>
      </c>
      <c r="B32" s="1945"/>
      <c r="C32" s="1984"/>
      <c r="D32" s="1957"/>
      <c r="E32" s="2097" t="str">
        <f ca="1">IF($A32="","",IF(EB32=0,"",'23 LF individuell'!$AG30*$B32))</f>
        <v/>
      </c>
      <c r="F32" s="2100" t="str">
        <f ca="1">IF($A32="","",IF(EB32=0,"",'23 LF individuell'!$AH30*$B32))</f>
        <v/>
      </c>
      <c r="G32" s="2101" t="str">
        <f ca="1">IF($A32="","",IF(EB32=0,"",'23 LF individuell'!$AI30*$B32))</f>
        <v/>
      </c>
      <c r="H32" s="2003"/>
      <c r="I32" s="2021"/>
      <c r="J32" s="2005"/>
      <c r="K32" s="2006" t="str">
        <f ca="1">IF($A32="","",IF(EC32=0,"",'23 LF individuell'!$AG30*H32))</f>
        <v/>
      </c>
      <c r="L32" s="2007" t="str">
        <f ca="1">IF($A32="","",IF(EC32=0,"",'23 LF individuell'!$AH30*H32))</f>
        <v/>
      </c>
      <c r="M32" s="2008" t="str">
        <f ca="1">IF($A32="","",IF(EC32=0,"",'23 LF individuell'!$AI30*H32))</f>
        <v/>
      </c>
      <c r="N32" s="2003"/>
      <c r="O32" s="2021"/>
      <c r="P32" s="2005"/>
      <c r="Q32" s="2097" t="str">
        <f ca="1">IF($A32="","",IF(ED32=0,"",'23 LF individuell'!$AG30*N32))</f>
        <v/>
      </c>
      <c r="R32" s="2098" t="str">
        <f ca="1">IF($A32="","",IF(ED32=0,"",'23 LF individuell'!$AH30*N32))</f>
        <v/>
      </c>
      <c r="S32" s="2099" t="str">
        <f ca="1">IF($A32="","",IF(ED32=0,"",'23 LF individuell'!$AI30*N32))</f>
        <v/>
      </c>
      <c r="T32" s="2003"/>
      <c r="U32" s="2021"/>
      <c r="V32" s="2005"/>
      <c r="W32" s="2006" t="str">
        <f ca="1">IF($A32="","",IF(EE32=0,"",'23 LF individuell'!$AG30*T32))</f>
        <v/>
      </c>
      <c r="X32" s="2007" t="str">
        <f ca="1">IF($A32="","",IF(EE32=0,"",'23 LF individuell'!$AH30*T32))</f>
        <v/>
      </c>
      <c r="Y32" s="2008" t="str">
        <f ca="1">IF($A32="","",IF(EE32=0,"",'23 LF individuell'!$AI30*T32))</f>
        <v/>
      </c>
      <c r="Z32" s="2003"/>
      <c r="AA32" s="2021"/>
      <c r="AB32" s="2005"/>
      <c r="AC32" s="2097" t="str">
        <f ca="1">IF($A32="","",IF(EF32=0,"",'23 LF individuell'!$AG30*Z32))</f>
        <v/>
      </c>
      <c r="AD32" s="2098" t="str">
        <f ca="1">IF($A32="","",IF(EF32=0,"",'23 LF individuell'!$AH30*Z32))</f>
        <v/>
      </c>
      <c r="AE32" s="2099" t="str">
        <f ca="1">IF($A32="","",IF(EF32=0,"",'23 LF individuell'!$AI30*Z32))</f>
        <v/>
      </c>
      <c r="AF32" s="2003"/>
      <c r="AG32" s="2021"/>
      <c r="AH32" s="2005"/>
      <c r="AI32" s="2006" t="str">
        <f ca="1">IF($A32="","",IF(EG32=0,"",'23 LF individuell'!$AG30*AF32))</f>
        <v/>
      </c>
      <c r="AJ32" s="2007" t="str">
        <f ca="1">IF($A32="","",IF(EG32=0,"",'23 LF individuell'!$AH30*AF32))</f>
        <v/>
      </c>
      <c r="AK32" s="2008" t="str">
        <f ca="1">IF($A32="","",IF(EG32=0,"",'23 LF individuell'!$AI30*AF32))</f>
        <v/>
      </c>
      <c r="AL32" s="2003"/>
      <c r="AM32" s="2021"/>
      <c r="AN32" s="2005"/>
      <c r="AO32" s="2097" t="str">
        <f ca="1">IF($A32="","",IF(EH32=0,"",'23 LF individuell'!$AG30*AL32))</f>
        <v/>
      </c>
      <c r="AP32" s="2098" t="str">
        <f ca="1">IF($A32="","",IF(EH32=0,"",'23 LF individuell'!$AH30*AL32))</f>
        <v/>
      </c>
      <c r="AQ32" s="2099" t="str">
        <f ca="1">IF($A32="","",IF(EH32=0,"",'23 LF individuell'!$AI30*AL32))</f>
        <v/>
      </c>
      <c r="AR32" s="2003"/>
      <c r="AS32" s="2021"/>
      <c r="AT32" s="2005"/>
      <c r="AU32" s="2006" t="str">
        <f ca="1">IF($A32="","",IF(EI32=0,"",'23 LF individuell'!$AG30*AR32))</f>
        <v/>
      </c>
      <c r="AV32" s="2007" t="str">
        <f ca="1">IF($A32="","",IF(EI32=0,"",'23 LF individuell'!$AH30*AR32))</f>
        <v/>
      </c>
      <c r="AW32" s="2008" t="str">
        <f ca="1">IF($A32="","",IF(EI32=0,"",'23 LF individuell'!$AI30*AR32))</f>
        <v/>
      </c>
      <c r="AX32" s="2003"/>
      <c r="AY32" s="2021"/>
      <c r="AZ32" s="2005"/>
      <c r="BA32" s="2097" t="str">
        <f ca="1">IF($A32="","",IF(EJ32=0,"",'23 LF individuell'!$AG30*AX32))</f>
        <v/>
      </c>
      <c r="BB32" s="2098" t="str">
        <f ca="1">IF($A32="","",IF(EJ32=0,"",'23 LF individuell'!$AH30*AX32))</f>
        <v/>
      </c>
      <c r="BC32" s="2099" t="str">
        <f ca="1">IF($A32="","",IF(EJ32=0,"",'23 LF individuell'!$AI30*AX32))</f>
        <v/>
      </c>
      <c r="BD32" s="2003"/>
      <c r="BE32" s="2021"/>
      <c r="BF32" s="2005"/>
      <c r="BG32" s="2006" t="str">
        <f ca="1">IF($A32="","",IF(EK32=0,"",'23 LF individuell'!$AG30*BD32))</f>
        <v/>
      </c>
      <c r="BH32" s="2007" t="str">
        <f ca="1">IF($A32="","",IF(EK32=0,"",'23 LF individuell'!$AH30*BD32))</f>
        <v/>
      </c>
      <c r="BI32" s="2008" t="str">
        <f ca="1">IF($A32="","",IF(EK32=0,"",'23 LF individuell'!$AI30*BD32))</f>
        <v/>
      </c>
      <c r="BJ32" s="2003"/>
      <c r="BK32" s="2021"/>
      <c r="BL32" s="2005"/>
      <c r="BM32" s="2097" t="str">
        <f ca="1">IF($A32="","",IF(EL32=0,"",'23 LF individuell'!$AG30*BJ32))</f>
        <v/>
      </c>
      <c r="BN32" s="2098" t="str">
        <f ca="1">IF($A32="","",IF(EL32=0,"",'23 LF individuell'!$AH30*BJ32))</f>
        <v/>
      </c>
      <c r="BO32" s="2099" t="str">
        <f ca="1">IF($A32="","",IF(EL32=0,"",'23 LF individuell'!$AI30*BJ32))</f>
        <v/>
      </c>
      <c r="BP32" s="2003"/>
      <c r="BQ32" s="2021"/>
      <c r="BR32" s="2005"/>
      <c r="BS32" s="2006" t="str">
        <f ca="1">IF($A32="","",IF(EM32=0,"",'23 LF individuell'!$AG30*BP32))</f>
        <v/>
      </c>
      <c r="BT32" s="2007" t="str">
        <f ca="1">IF($A32="","",IF(EM32=0,"",'23 LF individuell'!$AH30*BP32))</f>
        <v/>
      </c>
      <c r="BU32" s="2008" t="str">
        <f ca="1">IF($A32="","",IF(EM32=0,"",'23 LF individuell'!$AI30*BP32))</f>
        <v/>
      </c>
      <c r="BV32" s="2044" t="str">
        <f t="shared" ca="1" si="85"/>
        <v/>
      </c>
      <c r="BW32" s="2044" t="str">
        <f t="shared" ca="1" si="86"/>
        <v/>
      </c>
      <c r="BX32" s="2044" t="str">
        <f t="shared" ca="1" si="87"/>
        <v/>
      </c>
      <c r="BY32" s="2049" t="str">
        <f t="shared" ca="1" si="57"/>
        <v/>
      </c>
      <c r="BZ32" s="2049" t="str">
        <f t="shared" ca="1" si="58"/>
        <v/>
      </c>
      <c r="CA32" s="2049" t="str">
        <f t="shared" ca="1" si="59"/>
        <v/>
      </c>
      <c r="CB32" s="2116" t="str">
        <f t="shared" ca="1" si="88"/>
        <v/>
      </c>
      <c r="CC32" s="1163" t="str">
        <f t="shared" si="61"/>
        <v>Januar</v>
      </c>
      <c r="CD32" s="1163">
        <f t="shared" si="62"/>
        <v>0</v>
      </c>
      <c r="CE32" s="1163">
        <f t="shared" si="63"/>
        <v>0</v>
      </c>
      <c r="CF32" s="1163">
        <f t="shared" si="64"/>
        <v>0</v>
      </c>
      <c r="CG32" s="1163">
        <f>IF($CD$10="Januar",'25a Soll-Ist Vergl. + Provision'!D29,IF($CD$10="Februar",'25a Soll-Ist Vergl. + Provision'!O29,IF($CD$10="März",'25a Soll-Ist Vergl. + Provision'!Z29,'25a Soll-Ist Vergl. + Provision'!AK29)))</f>
        <v>0</v>
      </c>
      <c r="CH32" s="1163" t="str">
        <f ca="1">IF($CD$10="Januar",'25a Soll-Ist Vergl. + Provision'!E29,IF($CD$10="Februar",'25a Soll-Ist Vergl. + Provision'!P29,IF($CD$10="März",'25a Soll-Ist Vergl. + Provision'!AA29,'25a Soll-Ist Vergl. + Provision'!AL29)))</f>
        <v/>
      </c>
      <c r="CI32" s="1163" t="str">
        <f ca="1">IF($CD$10="Januar",'25a Soll-Ist Vergl. + Provision'!F29,IF($CD$10="Februar",'25a Soll-Ist Vergl. + Provision'!Q29,IF($CD$10="März",'25a Soll-Ist Vergl. + Provision'!AB29,'25a Soll-Ist Vergl. + Provision'!AM29)))</f>
        <v/>
      </c>
      <c r="CJ32" s="1163" t="str">
        <f ca="1">IF($CD$10="Januar",'25a Soll-Ist Vergl. + Provision'!G29,IF($CD$10="Februar",'25a Soll-Ist Vergl. + Provision'!R29,IF($CD$10="März",'25a Soll-Ist Vergl. + Provision'!AC29,'25a Soll-Ist Vergl. + Provision'!AN29)))</f>
        <v/>
      </c>
      <c r="CK32" s="1163">
        <f>IF($CD$10="Januar",'25a Soll-Ist Vergl. + Provision'!H29,IF($CD$10="Februar",'25a Soll-Ist Vergl. + Provision'!S29,IF($CD$10="März",'25a Soll-Ist Vergl. + Provision'!AD29,'25a Soll-Ist Vergl. + Provision'!AO29)))</f>
        <v>0</v>
      </c>
      <c r="CL32" s="1163" t="str">
        <f ca="1">IF($CD$10="Januar",'25a Soll-Ist Vergl. + Provision'!I29,IF($CD$10="Februar",'25a Soll-Ist Vergl. + Provision'!T29,IF($CD$10="März",'25a Soll-Ist Vergl. + Provision'!AE29,'25a Soll-Ist Vergl. + Provision'!AP29)))</f>
        <v/>
      </c>
      <c r="CM32" s="1163" t="str">
        <f ca="1">IF($CD$10="Januar",'25a Soll-Ist Vergl. + Provision'!J29,IF($CD$10="Februar",'25a Soll-Ist Vergl. + Provision'!U29,IF($CD$10="März",'25a Soll-Ist Vergl. + Provision'!AF29,'25a Soll-Ist Vergl. + Provision'!AQ29)))</f>
        <v/>
      </c>
      <c r="CN32" s="1163" t="str">
        <f ca="1">IF($CD$10="Januar",'25a Soll-Ist Vergl. + Provision'!K29,IF($CD$10="Februar",'25a Soll-Ist Vergl. + Provision'!V29,IF($CD$10="März",'25a Soll-Ist Vergl. + Provision'!AG29,'25a Soll-Ist Vergl. + Provision'!AR29)))</f>
        <v/>
      </c>
      <c r="CO32" s="1163" t="str">
        <f t="shared" si="65"/>
        <v>August</v>
      </c>
      <c r="CP32" s="1163">
        <f t="shared" si="66"/>
        <v>0</v>
      </c>
      <c r="CQ32" s="1163">
        <f t="shared" si="67"/>
        <v>0</v>
      </c>
      <c r="CR32" s="1163">
        <f t="shared" si="68"/>
        <v>0</v>
      </c>
      <c r="CS32" s="1163">
        <f>IF($CP$10="Mai",'25a Soll-Ist Vergl. + Provision'!AV29,IF($CP$10="Juni",'25a Soll-Ist Vergl. + Provision'!BG29,IF($CP$10="Juli",'25a Soll-Ist Vergl. + Provision'!BR29,'25a Soll-Ist Vergl. + Provision'!CC29)))</f>
        <v>0</v>
      </c>
      <c r="CT32" s="1163" t="str">
        <f ca="1">IF($CP$10="Mai",'25a Soll-Ist Vergl. + Provision'!AW29,IF($CP$10="Juni",'25a Soll-Ist Vergl. + Provision'!BH29,IF($CP$10="Juli",'25a Soll-Ist Vergl. + Provision'!BS29,'25a Soll-Ist Vergl. + Provision'!CD29)))</f>
        <v/>
      </c>
      <c r="CU32" s="1163" t="str">
        <f ca="1">IF($CP$10="Mai",'25a Soll-Ist Vergl. + Provision'!AX29,IF($CP$10="Juni",'25a Soll-Ist Vergl. + Provision'!BI29,IF($CP$10="Juli",'25a Soll-Ist Vergl. + Provision'!BT29,'25a Soll-Ist Vergl. + Provision'!CE29)))</f>
        <v/>
      </c>
      <c r="CV32" s="1163" t="str">
        <f ca="1">IF($CP$10="Mai",'25a Soll-Ist Vergl. + Provision'!AY29,IF($CP$10="Juni",'25a Soll-Ist Vergl. + Provision'!BJ29,IF($CP$10="Juli",'25a Soll-Ist Vergl. + Provision'!BU29,'25a Soll-Ist Vergl. + Provision'!CF29)))</f>
        <v/>
      </c>
      <c r="CW32" s="1163">
        <f>IF($CP$10="Mai",'25a Soll-Ist Vergl. + Provision'!AZ29,IF($CP$10="Juni",'25a Soll-Ist Vergl. + Provision'!BK29,IF($CP$10="Juli",'25a Soll-Ist Vergl. + Provision'!BV29,'25a Soll-Ist Vergl. + Provision'!CG29)))</f>
        <v>0</v>
      </c>
      <c r="CX32" s="1163" t="str">
        <f ca="1">IF($CP$10="Mai",'25a Soll-Ist Vergl. + Provision'!BA29,IF($CP$10="Juni",'25a Soll-Ist Vergl. + Provision'!BL29,IF($CP$10="Juli",'25a Soll-Ist Vergl. + Provision'!BW29,'25a Soll-Ist Vergl. + Provision'!CH29)))</f>
        <v/>
      </c>
      <c r="CY32" s="1163" t="str">
        <f ca="1">IF($CP$10="Mai",'25a Soll-Ist Vergl. + Provision'!BB29,IF($CP$10="Juni",'25a Soll-Ist Vergl. + Provision'!BM29,IF($CP$10="Juli",'25a Soll-Ist Vergl. + Provision'!BX29,'25a Soll-Ist Vergl. + Provision'!CI29)))</f>
        <v/>
      </c>
      <c r="CZ32" s="1163" t="str">
        <f ca="1">IF($CP$10="Mai",'25a Soll-Ist Vergl. + Provision'!BC29,IF($CP$10="Juni",'25a Soll-Ist Vergl. + Provision'!BN29,IF($CP$10="Juli",'25a Soll-Ist Vergl. + Provision'!BY29,'25a Soll-Ist Vergl. + Provision'!CJ29)))</f>
        <v/>
      </c>
      <c r="DA32" s="1163" t="str">
        <f t="shared" si="69"/>
        <v>Dezember</v>
      </c>
      <c r="DB32" s="1163">
        <f t="shared" si="70"/>
        <v>0</v>
      </c>
      <c r="DC32" s="1163">
        <f t="shared" si="71"/>
        <v>0</v>
      </c>
      <c r="DD32" s="1163">
        <f t="shared" si="72"/>
        <v>0</v>
      </c>
      <c r="DE32" s="1163">
        <f>IF($DB$10="September",'25a Soll-Ist Vergl. + Provision'!CN29,IF($DB$10="Oktober",'25a Soll-Ist Vergl. + Provision'!CY29,IF($DB$10="November",'25a Soll-Ist Vergl. + Provision'!DJ29,'25a Soll-Ist Vergl. + Provision'!DU29)))</f>
        <v>0</v>
      </c>
      <c r="DF32" s="1163" t="str">
        <f ca="1">IF($DB$10="September",'25a Soll-Ist Vergl. + Provision'!CO29,IF($DB$10="Oktober",'25a Soll-Ist Vergl. + Provision'!CZ29,IF($DB$10="November",'25a Soll-Ist Vergl. + Provision'!DK29,'25a Soll-Ist Vergl. + Provision'!DV29)))</f>
        <v/>
      </c>
      <c r="DG32" s="1163" t="str">
        <f ca="1">IF($DB$10="September",'25a Soll-Ist Vergl. + Provision'!CP29,IF($DB$10="Oktober",'25a Soll-Ist Vergl. + Provision'!DA29,IF($DB$10="November",'25a Soll-Ist Vergl. + Provision'!DL29,'25a Soll-Ist Vergl. + Provision'!DW29)))</f>
        <v/>
      </c>
      <c r="DH32" s="1163" t="str">
        <f ca="1">IF($DB$10="September",'25a Soll-Ist Vergl. + Provision'!CQ29,IF($DB$10="Oktober",'25a Soll-Ist Vergl. + Provision'!DB29,IF($DB$10="November",'25a Soll-Ist Vergl. + Provision'!DM29,'25a Soll-Ist Vergl. + Provision'!DX29)))</f>
        <v/>
      </c>
      <c r="DI32" s="1163">
        <f>IF($DB$10="September",'25a Soll-Ist Vergl. + Provision'!CR29,IF($DB$10="Oktober",'25a Soll-Ist Vergl. + Provision'!DC29,IF($DB$10="November",'25a Soll-Ist Vergl. + Provision'!DN29,'25a Soll-Ist Vergl. + Provision'!DY29)))</f>
        <v>0</v>
      </c>
      <c r="DJ32" s="1163" t="str">
        <f ca="1">IF($DB$10="September",'25a Soll-Ist Vergl. + Provision'!CS29,IF($DB$10="Oktober",'25a Soll-Ist Vergl. + Provision'!DD29,IF($DB$10="November",'25a Soll-Ist Vergl. + Provision'!DO29,'25a Soll-Ist Vergl. + Provision'!DZ29)))</f>
        <v/>
      </c>
      <c r="DK32" s="1163" t="str">
        <f ca="1">IF($DB$10="September",'25a Soll-Ist Vergl. + Provision'!CT29,IF($DB$10="Oktober",'25a Soll-Ist Vergl. + Provision'!DE29,IF($DB$10="November",'25a Soll-Ist Vergl. + Provision'!DP29,'25a Soll-Ist Vergl. + Provision'!EA29)))</f>
        <v/>
      </c>
      <c r="DL32" s="1163" t="str">
        <f ca="1">IF($DB$10="September",'25a Soll-Ist Vergl. + Provision'!CU29,IF($DB$10="Oktober",'25a Soll-Ist Vergl. + Provision'!DF29,IF($DB$10="November",'25a Soll-Ist Vergl. + Provision'!DQ29,'25a Soll-Ist Vergl. + Provision'!EB29)))</f>
        <v/>
      </c>
      <c r="DM32" s="1163" t="str">
        <f t="shared" si="73"/>
        <v>Januar</v>
      </c>
      <c r="DN32" s="1163">
        <f t="shared" si="74"/>
        <v>0</v>
      </c>
      <c r="DO32" s="1163">
        <f t="shared" si="75"/>
        <v>0</v>
      </c>
      <c r="DP32" s="1163">
        <f t="shared" si="76"/>
        <v>0</v>
      </c>
      <c r="DQ32" s="1163">
        <f t="shared" si="77"/>
        <v>0</v>
      </c>
      <c r="DR32" s="1163" t="str">
        <f t="shared" ca="1" si="78"/>
        <v/>
      </c>
      <c r="DS32" s="1163" t="str">
        <f t="shared" ca="1" si="79"/>
        <v/>
      </c>
      <c r="DT32" s="1163" t="str">
        <f t="shared" ca="1" si="80"/>
        <v/>
      </c>
      <c r="DU32" s="1163">
        <f t="shared" si="81"/>
        <v>0</v>
      </c>
      <c r="DV32" s="1163" t="str">
        <f t="shared" ca="1" si="82"/>
        <v/>
      </c>
      <c r="DW32" s="1163" t="str">
        <f t="shared" ca="1" si="83"/>
        <v/>
      </c>
      <c r="DX32" s="1163" t="str">
        <f t="shared" ca="1" si="84"/>
        <v/>
      </c>
      <c r="DY32" s="267"/>
      <c r="DZ32" s="3239">
        <f>'4 Eingabe Friseure'!L29</f>
        <v>0</v>
      </c>
      <c r="EA32" s="3239"/>
      <c r="EB32" s="3239">
        <f>IF($DZ32=12,1,'4 Eingabe Friseure'!N29)</f>
        <v>0</v>
      </c>
      <c r="EC32" s="3239">
        <f>IF($DZ32=12,1,'4 Eingabe Friseure'!O29)</f>
        <v>0</v>
      </c>
      <c r="ED32" s="3239">
        <f>IF($DZ32=12,1,'4 Eingabe Friseure'!P29)</f>
        <v>0</v>
      </c>
      <c r="EE32" s="3239">
        <f>IF($DZ32=12,1,'4 Eingabe Friseure'!Q29)</f>
        <v>0</v>
      </c>
      <c r="EF32" s="3239">
        <f>IF($DZ32=12,1,'4 Eingabe Friseure'!R29)</f>
        <v>0</v>
      </c>
      <c r="EG32" s="3239">
        <f>IF($DZ32=12,1,'4 Eingabe Friseure'!S29)</f>
        <v>0</v>
      </c>
      <c r="EH32" s="3239">
        <f>IF($DZ32=12,1,'4 Eingabe Friseure'!T29)</f>
        <v>0</v>
      </c>
      <c r="EI32" s="3239">
        <f>IF($DZ32=12,1,'4 Eingabe Friseure'!U29)</f>
        <v>0</v>
      </c>
      <c r="EJ32" s="3239">
        <f>IF($DZ32=12,1,'4 Eingabe Friseure'!V29)</f>
        <v>0</v>
      </c>
      <c r="EK32" s="3239">
        <f>IF($DZ32=12,1,'4 Eingabe Friseure'!W29)</f>
        <v>0</v>
      </c>
      <c r="EL32" s="3239">
        <f>IF($DZ32=12,1,'4 Eingabe Friseure'!X29)</f>
        <v>0</v>
      </c>
      <c r="EM32" s="3239">
        <f>IF($DZ32=12,1,'4 Eingabe Friseure'!Y29)</f>
        <v>0</v>
      </c>
    </row>
    <row r="33" spans="1:143" ht="18" customHeight="1">
      <c r="A33" s="2740" t="str">
        <f ca="1">IF('22 Sollumsatz pro MA '!A33="","",'22 Sollumsatz pro MA '!A33)</f>
        <v/>
      </c>
      <c r="B33" s="1945"/>
      <c r="C33" s="1984"/>
      <c r="D33" s="1957"/>
      <c r="E33" s="2097" t="str">
        <f ca="1">IF($A33="","",IF(EB33=0,"",'23 LF individuell'!$AG31*$B33))</f>
        <v/>
      </c>
      <c r="F33" s="2100" t="str">
        <f ca="1">IF($A33="","",IF(EB33=0,"",'23 LF individuell'!$AH31*$B33))</f>
        <v/>
      </c>
      <c r="G33" s="2101" t="str">
        <f ca="1">IF($A33="","",IF(EB33=0,"",'23 LF individuell'!$AI31*$B33))</f>
        <v/>
      </c>
      <c r="H33" s="2003"/>
      <c r="I33" s="2021"/>
      <c r="J33" s="2005"/>
      <c r="K33" s="2006" t="str">
        <f ca="1">IF($A33="","",IF(EC33=0,"",'23 LF individuell'!$AG31*H33))</f>
        <v/>
      </c>
      <c r="L33" s="2007" t="str">
        <f ca="1">IF($A33="","",IF(EC33=0,"",'23 LF individuell'!$AH31*H33))</f>
        <v/>
      </c>
      <c r="M33" s="2008" t="str">
        <f ca="1">IF($A33="","",IF(EC33=0,"",'23 LF individuell'!$AI31*H33))</f>
        <v/>
      </c>
      <c r="N33" s="2003"/>
      <c r="O33" s="2021"/>
      <c r="P33" s="2005"/>
      <c r="Q33" s="2097" t="str">
        <f ca="1">IF($A33="","",IF(ED33=0,"",'23 LF individuell'!$AG31*N33))</f>
        <v/>
      </c>
      <c r="R33" s="2098" t="str">
        <f ca="1">IF($A33="","",IF(ED33=0,"",'23 LF individuell'!$AH31*N33))</f>
        <v/>
      </c>
      <c r="S33" s="2099" t="str">
        <f ca="1">IF($A33="","",IF(ED33=0,"",'23 LF individuell'!$AI31*N33))</f>
        <v/>
      </c>
      <c r="T33" s="2003"/>
      <c r="U33" s="2021"/>
      <c r="V33" s="2005"/>
      <c r="W33" s="2006" t="str">
        <f ca="1">IF($A33="","",IF(EE33=0,"",'23 LF individuell'!$AG31*T33))</f>
        <v/>
      </c>
      <c r="X33" s="2007" t="str">
        <f ca="1">IF($A33="","",IF(EE33=0,"",'23 LF individuell'!$AH31*T33))</f>
        <v/>
      </c>
      <c r="Y33" s="2008" t="str">
        <f ca="1">IF($A33="","",IF(EE33=0,"",'23 LF individuell'!$AI31*T33))</f>
        <v/>
      </c>
      <c r="Z33" s="2003"/>
      <c r="AA33" s="2021"/>
      <c r="AB33" s="2005"/>
      <c r="AC33" s="2097" t="str">
        <f ca="1">IF($A33="","",IF(EF33=0,"",'23 LF individuell'!$AG31*Z33))</f>
        <v/>
      </c>
      <c r="AD33" s="2098" t="str">
        <f ca="1">IF($A33="","",IF(EF33=0,"",'23 LF individuell'!$AH31*Z33))</f>
        <v/>
      </c>
      <c r="AE33" s="2099" t="str">
        <f ca="1">IF($A33="","",IF(EF33=0,"",'23 LF individuell'!$AI31*Z33))</f>
        <v/>
      </c>
      <c r="AF33" s="2003"/>
      <c r="AG33" s="2021"/>
      <c r="AH33" s="2005"/>
      <c r="AI33" s="2006" t="str">
        <f ca="1">IF($A33="","",IF(EG33=0,"",'23 LF individuell'!$AG31*AF33))</f>
        <v/>
      </c>
      <c r="AJ33" s="2007" t="str">
        <f ca="1">IF($A33="","",IF(EG33=0,"",'23 LF individuell'!$AH31*AF33))</f>
        <v/>
      </c>
      <c r="AK33" s="2008" t="str">
        <f ca="1">IF($A33="","",IF(EG33=0,"",'23 LF individuell'!$AI31*AF33))</f>
        <v/>
      </c>
      <c r="AL33" s="2003"/>
      <c r="AM33" s="2021"/>
      <c r="AN33" s="2005"/>
      <c r="AO33" s="2097" t="str">
        <f ca="1">IF($A33="","",IF(EH33=0,"",'23 LF individuell'!$AG31*AL33))</f>
        <v/>
      </c>
      <c r="AP33" s="2098" t="str">
        <f ca="1">IF($A33="","",IF(EH33=0,"",'23 LF individuell'!$AH31*AL33))</f>
        <v/>
      </c>
      <c r="AQ33" s="2099" t="str">
        <f ca="1">IF($A33="","",IF(EH33=0,"",'23 LF individuell'!$AI31*AL33))</f>
        <v/>
      </c>
      <c r="AR33" s="2003"/>
      <c r="AS33" s="2021"/>
      <c r="AT33" s="2005"/>
      <c r="AU33" s="2006" t="str">
        <f ca="1">IF($A33="","",IF(EI33=0,"",'23 LF individuell'!$AG31*AR33))</f>
        <v/>
      </c>
      <c r="AV33" s="2007" t="str">
        <f ca="1">IF($A33="","",IF(EI33=0,"",'23 LF individuell'!$AH31*AR33))</f>
        <v/>
      </c>
      <c r="AW33" s="2008" t="str">
        <f ca="1">IF($A33="","",IF(EI33=0,"",'23 LF individuell'!$AI31*AR33))</f>
        <v/>
      </c>
      <c r="AX33" s="2003"/>
      <c r="AY33" s="2021"/>
      <c r="AZ33" s="2005"/>
      <c r="BA33" s="2097" t="str">
        <f ca="1">IF($A33="","",IF(EJ33=0,"",'23 LF individuell'!$AG31*AX33))</f>
        <v/>
      </c>
      <c r="BB33" s="2098" t="str">
        <f ca="1">IF($A33="","",IF(EJ33=0,"",'23 LF individuell'!$AH31*AX33))</f>
        <v/>
      </c>
      <c r="BC33" s="2099" t="str">
        <f ca="1">IF($A33="","",IF(EJ33=0,"",'23 LF individuell'!$AI31*AX33))</f>
        <v/>
      </c>
      <c r="BD33" s="2003"/>
      <c r="BE33" s="2021"/>
      <c r="BF33" s="2005"/>
      <c r="BG33" s="2006" t="str">
        <f ca="1">IF($A33="","",IF(EK33=0,"",'23 LF individuell'!$AG31*BD33))</f>
        <v/>
      </c>
      <c r="BH33" s="2007" t="str">
        <f ca="1">IF($A33="","",IF(EK33=0,"",'23 LF individuell'!$AH31*BD33))</f>
        <v/>
      </c>
      <c r="BI33" s="2008" t="str">
        <f ca="1">IF($A33="","",IF(EK33=0,"",'23 LF individuell'!$AI31*BD33))</f>
        <v/>
      </c>
      <c r="BJ33" s="2003"/>
      <c r="BK33" s="2021"/>
      <c r="BL33" s="2005"/>
      <c r="BM33" s="2097" t="str">
        <f ca="1">IF($A33="","",IF(EL33=0,"",'23 LF individuell'!$AG31*BJ33))</f>
        <v/>
      </c>
      <c r="BN33" s="2098" t="str">
        <f ca="1">IF($A33="","",IF(EL33=0,"",'23 LF individuell'!$AH31*BJ33))</f>
        <v/>
      </c>
      <c r="BO33" s="2099" t="str">
        <f ca="1">IF($A33="","",IF(EL33=0,"",'23 LF individuell'!$AI31*BJ33))</f>
        <v/>
      </c>
      <c r="BP33" s="2003"/>
      <c r="BQ33" s="2021"/>
      <c r="BR33" s="2005"/>
      <c r="BS33" s="2006" t="str">
        <f ca="1">IF($A33="","",IF(EM33=0,"",'23 LF individuell'!$AG31*BP33))</f>
        <v/>
      </c>
      <c r="BT33" s="2007" t="str">
        <f ca="1">IF($A33="","",IF(EM33=0,"",'23 LF individuell'!$AH31*BP33))</f>
        <v/>
      </c>
      <c r="BU33" s="2008" t="str">
        <f ca="1">IF($A33="","",IF(EM33=0,"",'23 LF individuell'!$AI31*BP33))</f>
        <v/>
      </c>
      <c r="BV33" s="2044" t="str">
        <f t="shared" ca="1" si="85"/>
        <v/>
      </c>
      <c r="BW33" s="2044" t="str">
        <f t="shared" ca="1" si="86"/>
        <v/>
      </c>
      <c r="BX33" s="2044" t="str">
        <f t="shared" ca="1" si="87"/>
        <v/>
      </c>
      <c r="BY33" s="2049" t="str">
        <f t="shared" ca="1" si="57"/>
        <v/>
      </c>
      <c r="BZ33" s="2049" t="str">
        <f t="shared" ca="1" si="58"/>
        <v/>
      </c>
      <c r="CA33" s="2049" t="str">
        <f t="shared" ca="1" si="59"/>
        <v/>
      </c>
      <c r="CB33" s="2116" t="str">
        <f t="shared" ca="1" si="88"/>
        <v/>
      </c>
      <c r="CC33" s="1163" t="str">
        <f t="shared" si="61"/>
        <v>Januar</v>
      </c>
      <c r="CD33" s="1163">
        <f t="shared" si="62"/>
        <v>0</v>
      </c>
      <c r="CE33" s="1163">
        <f t="shared" si="63"/>
        <v>0</v>
      </c>
      <c r="CF33" s="1163">
        <f t="shared" si="64"/>
        <v>0</v>
      </c>
      <c r="CG33" s="1163">
        <f>IF($CD$10="Januar",'25a Soll-Ist Vergl. + Provision'!D30,IF($CD$10="Februar",'25a Soll-Ist Vergl. + Provision'!O30,IF($CD$10="März",'25a Soll-Ist Vergl. + Provision'!Z30,'25a Soll-Ist Vergl. + Provision'!AK30)))</f>
        <v>0</v>
      </c>
      <c r="CH33" s="1163" t="str">
        <f ca="1">IF($CD$10="Januar",'25a Soll-Ist Vergl. + Provision'!E30,IF($CD$10="Februar",'25a Soll-Ist Vergl. + Provision'!P30,IF($CD$10="März",'25a Soll-Ist Vergl. + Provision'!AA30,'25a Soll-Ist Vergl. + Provision'!AL30)))</f>
        <v/>
      </c>
      <c r="CI33" s="1163" t="str">
        <f ca="1">IF($CD$10="Januar",'25a Soll-Ist Vergl. + Provision'!F30,IF($CD$10="Februar",'25a Soll-Ist Vergl. + Provision'!Q30,IF($CD$10="März",'25a Soll-Ist Vergl. + Provision'!AB30,'25a Soll-Ist Vergl. + Provision'!AM30)))</f>
        <v/>
      </c>
      <c r="CJ33" s="1163" t="str">
        <f ca="1">IF($CD$10="Januar",'25a Soll-Ist Vergl. + Provision'!G30,IF($CD$10="Februar",'25a Soll-Ist Vergl. + Provision'!R30,IF($CD$10="März",'25a Soll-Ist Vergl. + Provision'!AC30,'25a Soll-Ist Vergl. + Provision'!AN30)))</f>
        <v/>
      </c>
      <c r="CK33" s="1163">
        <f>IF($CD$10="Januar",'25a Soll-Ist Vergl. + Provision'!H30,IF($CD$10="Februar",'25a Soll-Ist Vergl. + Provision'!S30,IF($CD$10="März",'25a Soll-Ist Vergl. + Provision'!AD30,'25a Soll-Ist Vergl. + Provision'!AO30)))</f>
        <v>0</v>
      </c>
      <c r="CL33" s="1163" t="str">
        <f ca="1">IF($CD$10="Januar",'25a Soll-Ist Vergl. + Provision'!I30,IF($CD$10="Februar",'25a Soll-Ist Vergl. + Provision'!T30,IF($CD$10="März",'25a Soll-Ist Vergl. + Provision'!AE30,'25a Soll-Ist Vergl. + Provision'!AP30)))</f>
        <v/>
      </c>
      <c r="CM33" s="1163" t="str">
        <f ca="1">IF($CD$10="Januar",'25a Soll-Ist Vergl. + Provision'!J30,IF($CD$10="Februar",'25a Soll-Ist Vergl. + Provision'!U30,IF($CD$10="März",'25a Soll-Ist Vergl. + Provision'!AF30,'25a Soll-Ist Vergl. + Provision'!AQ30)))</f>
        <v/>
      </c>
      <c r="CN33" s="1163" t="str">
        <f ca="1">IF($CD$10="Januar",'25a Soll-Ist Vergl. + Provision'!K30,IF($CD$10="Februar",'25a Soll-Ist Vergl. + Provision'!V30,IF($CD$10="März",'25a Soll-Ist Vergl. + Provision'!AG30,'25a Soll-Ist Vergl. + Provision'!AR30)))</f>
        <v/>
      </c>
      <c r="CO33" s="1163" t="str">
        <f t="shared" si="65"/>
        <v>August</v>
      </c>
      <c r="CP33" s="1163">
        <f t="shared" si="66"/>
        <v>0</v>
      </c>
      <c r="CQ33" s="1163">
        <f t="shared" si="67"/>
        <v>0</v>
      </c>
      <c r="CR33" s="1163">
        <f t="shared" si="68"/>
        <v>0</v>
      </c>
      <c r="CS33" s="1163">
        <f>IF($CP$10="Mai",'25a Soll-Ist Vergl. + Provision'!AV30,IF($CP$10="Juni",'25a Soll-Ist Vergl. + Provision'!BG30,IF($CP$10="Juli",'25a Soll-Ist Vergl. + Provision'!BR30,'25a Soll-Ist Vergl. + Provision'!CC30)))</f>
        <v>0</v>
      </c>
      <c r="CT33" s="1163" t="str">
        <f ca="1">IF($CP$10="Mai",'25a Soll-Ist Vergl. + Provision'!AW30,IF($CP$10="Juni",'25a Soll-Ist Vergl. + Provision'!BH30,IF($CP$10="Juli",'25a Soll-Ist Vergl. + Provision'!BS30,'25a Soll-Ist Vergl. + Provision'!CD30)))</f>
        <v/>
      </c>
      <c r="CU33" s="1163" t="str">
        <f ca="1">IF($CP$10="Mai",'25a Soll-Ist Vergl. + Provision'!AX30,IF($CP$10="Juni",'25a Soll-Ist Vergl. + Provision'!BI30,IF($CP$10="Juli",'25a Soll-Ist Vergl. + Provision'!BT30,'25a Soll-Ist Vergl. + Provision'!CE30)))</f>
        <v/>
      </c>
      <c r="CV33" s="1163" t="str">
        <f ca="1">IF($CP$10="Mai",'25a Soll-Ist Vergl. + Provision'!AY30,IF($CP$10="Juni",'25a Soll-Ist Vergl. + Provision'!BJ30,IF($CP$10="Juli",'25a Soll-Ist Vergl. + Provision'!BU30,'25a Soll-Ist Vergl. + Provision'!CF30)))</f>
        <v/>
      </c>
      <c r="CW33" s="1163">
        <f>IF($CP$10="Mai",'25a Soll-Ist Vergl. + Provision'!AZ30,IF($CP$10="Juni",'25a Soll-Ist Vergl. + Provision'!BK30,IF($CP$10="Juli",'25a Soll-Ist Vergl. + Provision'!BV30,'25a Soll-Ist Vergl. + Provision'!CG30)))</f>
        <v>0</v>
      </c>
      <c r="CX33" s="1163" t="str">
        <f ca="1">IF($CP$10="Mai",'25a Soll-Ist Vergl. + Provision'!BA30,IF($CP$10="Juni",'25a Soll-Ist Vergl. + Provision'!BL30,IF($CP$10="Juli",'25a Soll-Ist Vergl. + Provision'!BW30,'25a Soll-Ist Vergl. + Provision'!CH30)))</f>
        <v/>
      </c>
      <c r="CY33" s="1163" t="str">
        <f ca="1">IF($CP$10="Mai",'25a Soll-Ist Vergl. + Provision'!BB30,IF($CP$10="Juni",'25a Soll-Ist Vergl. + Provision'!BM30,IF($CP$10="Juli",'25a Soll-Ist Vergl. + Provision'!BX30,'25a Soll-Ist Vergl. + Provision'!CI30)))</f>
        <v/>
      </c>
      <c r="CZ33" s="1163" t="str">
        <f ca="1">IF($CP$10="Mai",'25a Soll-Ist Vergl. + Provision'!BC30,IF($CP$10="Juni",'25a Soll-Ist Vergl. + Provision'!BN30,IF($CP$10="Juli",'25a Soll-Ist Vergl. + Provision'!BY30,'25a Soll-Ist Vergl. + Provision'!CJ30)))</f>
        <v/>
      </c>
      <c r="DA33" s="1163" t="str">
        <f t="shared" si="69"/>
        <v>Dezember</v>
      </c>
      <c r="DB33" s="1163">
        <f t="shared" si="70"/>
        <v>0</v>
      </c>
      <c r="DC33" s="1163">
        <f t="shared" si="71"/>
        <v>0</v>
      </c>
      <c r="DD33" s="1163">
        <f t="shared" si="72"/>
        <v>0</v>
      </c>
      <c r="DE33" s="1163">
        <f>IF($DB$10="September",'25a Soll-Ist Vergl. + Provision'!CN30,IF($DB$10="Oktober",'25a Soll-Ist Vergl. + Provision'!CY30,IF($DB$10="November",'25a Soll-Ist Vergl. + Provision'!DJ30,'25a Soll-Ist Vergl. + Provision'!DU30)))</f>
        <v>0</v>
      </c>
      <c r="DF33" s="1163" t="str">
        <f ca="1">IF($DB$10="September",'25a Soll-Ist Vergl. + Provision'!CO30,IF($DB$10="Oktober",'25a Soll-Ist Vergl. + Provision'!CZ30,IF($DB$10="November",'25a Soll-Ist Vergl. + Provision'!DK30,'25a Soll-Ist Vergl. + Provision'!DV30)))</f>
        <v/>
      </c>
      <c r="DG33" s="1163" t="str">
        <f ca="1">IF($DB$10="September",'25a Soll-Ist Vergl. + Provision'!CP30,IF($DB$10="Oktober",'25a Soll-Ist Vergl. + Provision'!DA30,IF($DB$10="November",'25a Soll-Ist Vergl. + Provision'!DL30,'25a Soll-Ist Vergl. + Provision'!DW30)))</f>
        <v/>
      </c>
      <c r="DH33" s="1163" t="str">
        <f ca="1">IF($DB$10="September",'25a Soll-Ist Vergl. + Provision'!CQ30,IF($DB$10="Oktober",'25a Soll-Ist Vergl. + Provision'!DB30,IF($DB$10="November",'25a Soll-Ist Vergl. + Provision'!DM30,'25a Soll-Ist Vergl. + Provision'!DX30)))</f>
        <v/>
      </c>
      <c r="DI33" s="1163">
        <f>IF($DB$10="September",'25a Soll-Ist Vergl. + Provision'!CR30,IF($DB$10="Oktober",'25a Soll-Ist Vergl. + Provision'!DC30,IF($DB$10="November",'25a Soll-Ist Vergl. + Provision'!DN30,'25a Soll-Ist Vergl. + Provision'!DY30)))</f>
        <v>0</v>
      </c>
      <c r="DJ33" s="1163" t="str">
        <f ca="1">IF($DB$10="September",'25a Soll-Ist Vergl. + Provision'!CS30,IF($DB$10="Oktober",'25a Soll-Ist Vergl. + Provision'!DD30,IF($DB$10="November",'25a Soll-Ist Vergl. + Provision'!DO30,'25a Soll-Ist Vergl. + Provision'!DZ30)))</f>
        <v/>
      </c>
      <c r="DK33" s="1163" t="str">
        <f ca="1">IF($DB$10="September",'25a Soll-Ist Vergl. + Provision'!CT30,IF($DB$10="Oktober",'25a Soll-Ist Vergl. + Provision'!DE30,IF($DB$10="November",'25a Soll-Ist Vergl. + Provision'!DP30,'25a Soll-Ist Vergl. + Provision'!EA30)))</f>
        <v/>
      </c>
      <c r="DL33" s="1163" t="str">
        <f ca="1">IF($DB$10="September",'25a Soll-Ist Vergl. + Provision'!CU30,IF($DB$10="Oktober",'25a Soll-Ist Vergl. + Provision'!DF30,IF($DB$10="November",'25a Soll-Ist Vergl. + Provision'!DQ30,'25a Soll-Ist Vergl. + Provision'!EB30)))</f>
        <v/>
      </c>
      <c r="DM33" s="1163" t="str">
        <f t="shared" si="73"/>
        <v>Januar</v>
      </c>
      <c r="DN33" s="1163">
        <f t="shared" si="74"/>
        <v>0</v>
      </c>
      <c r="DO33" s="1163">
        <f t="shared" si="75"/>
        <v>0</v>
      </c>
      <c r="DP33" s="1163">
        <f t="shared" si="76"/>
        <v>0</v>
      </c>
      <c r="DQ33" s="1163">
        <f t="shared" si="77"/>
        <v>0</v>
      </c>
      <c r="DR33" s="1163" t="str">
        <f t="shared" ca="1" si="78"/>
        <v/>
      </c>
      <c r="DS33" s="1163" t="str">
        <f t="shared" ca="1" si="79"/>
        <v/>
      </c>
      <c r="DT33" s="1163" t="str">
        <f t="shared" ca="1" si="80"/>
        <v/>
      </c>
      <c r="DU33" s="1163">
        <f t="shared" si="81"/>
        <v>0</v>
      </c>
      <c r="DV33" s="1163" t="str">
        <f t="shared" ca="1" si="82"/>
        <v/>
      </c>
      <c r="DW33" s="1163" t="str">
        <f t="shared" ca="1" si="83"/>
        <v/>
      </c>
      <c r="DX33" s="1163" t="str">
        <f t="shared" ca="1" si="84"/>
        <v/>
      </c>
      <c r="DY33" s="267"/>
      <c r="DZ33" s="3239">
        <f>'4 Eingabe Friseure'!L30</f>
        <v>0</v>
      </c>
      <c r="EA33" s="3239"/>
      <c r="EB33" s="3239">
        <f>IF($DZ33=12,1,'4 Eingabe Friseure'!N30)</f>
        <v>0</v>
      </c>
      <c r="EC33" s="3239">
        <f>IF($DZ33=12,1,'4 Eingabe Friseure'!O30)</f>
        <v>0</v>
      </c>
      <c r="ED33" s="3239">
        <f>IF($DZ33=12,1,'4 Eingabe Friseure'!P30)</f>
        <v>0</v>
      </c>
      <c r="EE33" s="3239">
        <f>IF($DZ33=12,1,'4 Eingabe Friseure'!Q30)</f>
        <v>0</v>
      </c>
      <c r="EF33" s="3239">
        <f>IF($DZ33=12,1,'4 Eingabe Friseure'!R30)</f>
        <v>0</v>
      </c>
      <c r="EG33" s="3239">
        <f>IF($DZ33=12,1,'4 Eingabe Friseure'!S30)</f>
        <v>0</v>
      </c>
      <c r="EH33" s="3239">
        <f>IF($DZ33=12,1,'4 Eingabe Friseure'!T30)</f>
        <v>0</v>
      </c>
      <c r="EI33" s="3239">
        <f>IF($DZ33=12,1,'4 Eingabe Friseure'!U30)</f>
        <v>0</v>
      </c>
      <c r="EJ33" s="3239">
        <f>IF($DZ33=12,1,'4 Eingabe Friseure'!V30)</f>
        <v>0</v>
      </c>
      <c r="EK33" s="3239">
        <f>IF($DZ33=12,1,'4 Eingabe Friseure'!W30)</f>
        <v>0</v>
      </c>
      <c r="EL33" s="3239">
        <f>IF($DZ33=12,1,'4 Eingabe Friseure'!X30)</f>
        <v>0</v>
      </c>
      <c r="EM33" s="3239">
        <f>IF($DZ33=12,1,'4 Eingabe Friseure'!Y30)</f>
        <v>0</v>
      </c>
    </row>
    <row r="34" spans="1:143" ht="18" customHeight="1">
      <c r="A34" s="2740" t="str">
        <f ca="1">IF('22 Sollumsatz pro MA '!A34="","",'22 Sollumsatz pro MA '!A34)</f>
        <v/>
      </c>
      <c r="B34" s="1945"/>
      <c r="C34" s="1984"/>
      <c r="D34" s="1957"/>
      <c r="E34" s="2097" t="str">
        <f ca="1">IF($A34="","",IF(EB34=0,"",'23 LF individuell'!$AG32*$B34))</f>
        <v/>
      </c>
      <c r="F34" s="2100" t="str">
        <f ca="1">IF($A34="","",IF(EB34=0,"",'23 LF individuell'!$AH32*$B34))</f>
        <v/>
      </c>
      <c r="G34" s="2101" t="str">
        <f ca="1">IF($A34="","",IF(EB34=0,"",'23 LF individuell'!$AI32*$B34))</f>
        <v/>
      </c>
      <c r="H34" s="2003"/>
      <c r="I34" s="2021"/>
      <c r="J34" s="2005"/>
      <c r="K34" s="2006" t="str">
        <f ca="1">IF($A34="","",IF(EC34=0,"",'23 LF individuell'!$AG32*H34))</f>
        <v/>
      </c>
      <c r="L34" s="2007" t="str">
        <f ca="1">IF($A34="","",IF(EC34=0,"",'23 LF individuell'!$AH32*H34))</f>
        <v/>
      </c>
      <c r="M34" s="2008" t="str">
        <f ca="1">IF($A34="","",IF(EC34=0,"",'23 LF individuell'!$AI32*H34))</f>
        <v/>
      </c>
      <c r="N34" s="2003"/>
      <c r="O34" s="2021"/>
      <c r="P34" s="2005"/>
      <c r="Q34" s="2097" t="str">
        <f ca="1">IF($A34="","",IF(ED34=0,"",'23 LF individuell'!$AG32*N34))</f>
        <v/>
      </c>
      <c r="R34" s="2098" t="str">
        <f ca="1">IF($A34="","",IF(ED34=0,"",'23 LF individuell'!$AH32*N34))</f>
        <v/>
      </c>
      <c r="S34" s="2099" t="str">
        <f ca="1">IF($A34="","",IF(ED34=0,"",'23 LF individuell'!$AI32*N34))</f>
        <v/>
      </c>
      <c r="T34" s="2003"/>
      <c r="U34" s="2021"/>
      <c r="V34" s="2005"/>
      <c r="W34" s="2006" t="str">
        <f ca="1">IF($A34="","",IF(EE34=0,"",'23 LF individuell'!$AG32*T34))</f>
        <v/>
      </c>
      <c r="X34" s="2007" t="str">
        <f ca="1">IF($A34="","",IF(EE34=0,"",'23 LF individuell'!$AH32*T34))</f>
        <v/>
      </c>
      <c r="Y34" s="2008" t="str">
        <f ca="1">IF($A34="","",IF(EE34=0,"",'23 LF individuell'!$AI32*T34))</f>
        <v/>
      </c>
      <c r="Z34" s="2003"/>
      <c r="AA34" s="2021"/>
      <c r="AB34" s="2005"/>
      <c r="AC34" s="2097" t="str">
        <f ca="1">IF($A34="","",IF(EF34=0,"",'23 LF individuell'!$AG32*Z34))</f>
        <v/>
      </c>
      <c r="AD34" s="2098" t="str">
        <f ca="1">IF($A34="","",IF(EF34=0,"",'23 LF individuell'!$AH32*Z34))</f>
        <v/>
      </c>
      <c r="AE34" s="2099" t="str">
        <f ca="1">IF($A34="","",IF(EF34=0,"",'23 LF individuell'!$AI32*Z34))</f>
        <v/>
      </c>
      <c r="AF34" s="2003"/>
      <c r="AG34" s="2021"/>
      <c r="AH34" s="2005"/>
      <c r="AI34" s="2006" t="str">
        <f ca="1">IF($A34="","",IF(EG34=0,"",'23 LF individuell'!$AG32*AF34))</f>
        <v/>
      </c>
      <c r="AJ34" s="2007" t="str">
        <f ca="1">IF($A34="","",IF(EG34=0,"",'23 LF individuell'!$AH32*AF34))</f>
        <v/>
      </c>
      <c r="AK34" s="2008" t="str">
        <f ca="1">IF($A34="","",IF(EG34=0,"",'23 LF individuell'!$AI32*AF34))</f>
        <v/>
      </c>
      <c r="AL34" s="2003"/>
      <c r="AM34" s="2021"/>
      <c r="AN34" s="2005"/>
      <c r="AO34" s="2097" t="str">
        <f ca="1">IF($A34="","",IF(EH34=0,"",'23 LF individuell'!$AG32*AL34))</f>
        <v/>
      </c>
      <c r="AP34" s="2098" t="str">
        <f ca="1">IF($A34="","",IF(EH34=0,"",'23 LF individuell'!$AH32*AL34))</f>
        <v/>
      </c>
      <c r="AQ34" s="2099" t="str">
        <f ca="1">IF($A34="","",IF(EH34=0,"",'23 LF individuell'!$AI32*AL34))</f>
        <v/>
      </c>
      <c r="AR34" s="2003"/>
      <c r="AS34" s="2021"/>
      <c r="AT34" s="2005"/>
      <c r="AU34" s="2006" t="str">
        <f ca="1">IF($A34="","",IF(EI34=0,"",'23 LF individuell'!$AG32*AR34))</f>
        <v/>
      </c>
      <c r="AV34" s="2007" t="str">
        <f ca="1">IF($A34="","",IF(EI34=0,"",'23 LF individuell'!$AH32*AR34))</f>
        <v/>
      </c>
      <c r="AW34" s="2008" t="str">
        <f ca="1">IF($A34="","",IF(EI34=0,"",'23 LF individuell'!$AI32*AR34))</f>
        <v/>
      </c>
      <c r="AX34" s="2003"/>
      <c r="AY34" s="2021"/>
      <c r="AZ34" s="2005"/>
      <c r="BA34" s="2097" t="str">
        <f ca="1">IF($A34="","",IF(EJ34=0,"",'23 LF individuell'!$AG32*AX34))</f>
        <v/>
      </c>
      <c r="BB34" s="2098" t="str">
        <f ca="1">IF($A34="","",IF(EJ34=0,"",'23 LF individuell'!$AH32*AX34))</f>
        <v/>
      </c>
      <c r="BC34" s="2099" t="str">
        <f ca="1">IF($A34="","",IF(EJ34=0,"",'23 LF individuell'!$AI32*AX34))</f>
        <v/>
      </c>
      <c r="BD34" s="2003"/>
      <c r="BE34" s="2021"/>
      <c r="BF34" s="2005"/>
      <c r="BG34" s="2006" t="str">
        <f ca="1">IF($A34="","",IF(EK34=0,"",'23 LF individuell'!$AG32*BD34))</f>
        <v/>
      </c>
      <c r="BH34" s="2007" t="str">
        <f ca="1">IF($A34="","",IF(EK34=0,"",'23 LF individuell'!$AH32*BD34))</f>
        <v/>
      </c>
      <c r="BI34" s="2008" t="str">
        <f ca="1">IF($A34="","",IF(EK34=0,"",'23 LF individuell'!$AI32*BD34))</f>
        <v/>
      </c>
      <c r="BJ34" s="2003"/>
      <c r="BK34" s="2021"/>
      <c r="BL34" s="2005"/>
      <c r="BM34" s="2097" t="str">
        <f ca="1">IF($A34="","",IF(EL34=0,"",'23 LF individuell'!$AG32*BJ34))</f>
        <v/>
      </c>
      <c r="BN34" s="2098" t="str">
        <f ca="1">IF($A34="","",IF(EL34=0,"",'23 LF individuell'!$AH32*BJ34))</f>
        <v/>
      </c>
      <c r="BO34" s="2099" t="str">
        <f ca="1">IF($A34="","",IF(EL34=0,"",'23 LF individuell'!$AI32*BJ34))</f>
        <v/>
      </c>
      <c r="BP34" s="2003"/>
      <c r="BQ34" s="2021"/>
      <c r="BR34" s="2005"/>
      <c r="BS34" s="2006" t="str">
        <f ca="1">IF($A34="","",IF(EM34=0,"",'23 LF individuell'!$AG32*BP34))</f>
        <v/>
      </c>
      <c r="BT34" s="2007" t="str">
        <f ca="1">IF($A34="","",IF(EM34=0,"",'23 LF individuell'!$AH32*BP34))</f>
        <v/>
      </c>
      <c r="BU34" s="2008" t="str">
        <f ca="1">IF($A34="","",IF(EM34=0,"",'23 LF individuell'!$AI32*BP34))</f>
        <v/>
      </c>
      <c r="BV34" s="2044" t="str">
        <f t="shared" ca="1" si="85"/>
        <v/>
      </c>
      <c r="BW34" s="2044" t="str">
        <f t="shared" ca="1" si="86"/>
        <v/>
      </c>
      <c r="BX34" s="2044" t="str">
        <f t="shared" ca="1" si="87"/>
        <v/>
      </c>
      <c r="BY34" s="2049" t="str">
        <f t="shared" ca="1" si="57"/>
        <v/>
      </c>
      <c r="BZ34" s="2049" t="str">
        <f t="shared" ca="1" si="58"/>
        <v/>
      </c>
      <c r="CA34" s="2049" t="str">
        <f t="shared" ca="1" si="59"/>
        <v/>
      </c>
      <c r="CB34" s="2116" t="str">
        <f t="shared" ca="1" si="88"/>
        <v/>
      </c>
      <c r="CC34" s="1163" t="str">
        <f t="shared" si="61"/>
        <v>Januar</v>
      </c>
      <c r="CD34" s="1163">
        <f t="shared" si="62"/>
        <v>0</v>
      </c>
      <c r="CE34" s="1163">
        <f t="shared" si="63"/>
        <v>0</v>
      </c>
      <c r="CF34" s="1163">
        <f t="shared" si="64"/>
        <v>0</v>
      </c>
      <c r="CG34" s="1163">
        <f>IF($CD$10="Januar",'25a Soll-Ist Vergl. + Provision'!D31,IF($CD$10="Februar",'25a Soll-Ist Vergl. + Provision'!O31,IF($CD$10="März",'25a Soll-Ist Vergl. + Provision'!Z31,'25a Soll-Ist Vergl. + Provision'!AK31)))</f>
        <v>0</v>
      </c>
      <c r="CH34" s="1163" t="str">
        <f ca="1">IF($CD$10="Januar",'25a Soll-Ist Vergl. + Provision'!E31,IF($CD$10="Februar",'25a Soll-Ist Vergl. + Provision'!P31,IF($CD$10="März",'25a Soll-Ist Vergl. + Provision'!AA31,'25a Soll-Ist Vergl. + Provision'!AL31)))</f>
        <v/>
      </c>
      <c r="CI34" s="1163" t="str">
        <f ca="1">IF($CD$10="Januar",'25a Soll-Ist Vergl. + Provision'!F31,IF($CD$10="Februar",'25a Soll-Ist Vergl. + Provision'!Q31,IF($CD$10="März",'25a Soll-Ist Vergl. + Provision'!AB31,'25a Soll-Ist Vergl. + Provision'!AM31)))</f>
        <v/>
      </c>
      <c r="CJ34" s="1163" t="str">
        <f ca="1">IF($CD$10="Januar",'25a Soll-Ist Vergl. + Provision'!G31,IF($CD$10="Februar",'25a Soll-Ist Vergl. + Provision'!R31,IF($CD$10="März",'25a Soll-Ist Vergl. + Provision'!AC31,'25a Soll-Ist Vergl. + Provision'!AN31)))</f>
        <v/>
      </c>
      <c r="CK34" s="1163">
        <f>IF($CD$10="Januar",'25a Soll-Ist Vergl. + Provision'!H31,IF($CD$10="Februar",'25a Soll-Ist Vergl. + Provision'!S31,IF($CD$10="März",'25a Soll-Ist Vergl. + Provision'!AD31,'25a Soll-Ist Vergl. + Provision'!AO31)))</f>
        <v>0</v>
      </c>
      <c r="CL34" s="1163" t="str">
        <f ca="1">IF($CD$10="Januar",'25a Soll-Ist Vergl. + Provision'!I31,IF($CD$10="Februar",'25a Soll-Ist Vergl. + Provision'!T31,IF($CD$10="März",'25a Soll-Ist Vergl. + Provision'!AE31,'25a Soll-Ist Vergl. + Provision'!AP31)))</f>
        <v/>
      </c>
      <c r="CM34" s="1163" t="str">
        <f ca="1">IF($CD$10="Januar",'25a Soll-Ist Vergl. + Provision'!J31,IF($CD$10="Februar",'25a Soll-Ist Vergl. + Provision'!U31,IF($CD$10="März",'25a Soll-Ist Vergl. + Provision'!AF31,'25a Soll-Ist Vergl. + Provision'!AQ31)))</f>
        <v/>
      </c>
      <c r="CN34" s="1163" t="str">
        <f ca="1">IF($CD$10="Januar",'25a Soll-Ist Vergl. + Provision'!K31,IF($CD$10="Februar",'25a Soll-Ist Vergl. + Provision'!V31,IF($CD$10="März",'25a Soll-Ist Vergl. + Provision'!AG31,'25a Soll-Ist Vergl. + Provision'!AR31)))</f>
        <v/>
      </c>
      <c r="CO34" s="1163" t="str">
        <f t="shared" si="65"/>
        <v>August</v>
      </c>
      <c r="CP34" s="1163">
        <f t="shared" si="66"/>
        <v>0</v>
      </c>
      <c r="CQ34" s="1163">
        <f t="shared" si="67"/>
        <v>0</v>
      </c>
      <c r="CR34" s="1163">
        <f t="shared" si="68"/>
        <v>0</v>
      </c>
      <c r="CS34" s="1163">
        <f>IF($CP$10="Mai",'25a Soll-Ist Vergl. + Provision'!AV31,IF($CP$10="Juni",'25a Soll-Ist Vergl. + Provision'!BG31,IF($CP$10="Juli",'25a Soll-Ist Vergl. + Provision'!BR31,'25a Soll-Ist Vergl. + Provision'!CC31)))</f>
        <v>0</v>
      </c>
      <c r="CT34" s="1163" t="str">
        <f ca="1">IF($CP$10="Mai",'25a Soll-Ist Vergl. + Provision'!AW31,IF($CP$10="Juni",'25a Soll-Ist Vergl. + Provision'!BH31,IF($CP$10="Juli",'25a Soll-Ist Vergl. + Provision'!BS31,'25a Soll-Ist Vergl. + Provision'!CD31)))</f>
        <v/>
      </c>
      <c r="CU34" s="1163" t="str">
        <f ca="1">IF($CP$10="Mai",'25a Soll-Ist Vergl. + Provision'!AX31,IF($CP$10="Juni",'25a Soll-Ist Vergl. + Provision'!BI31,IF($CP$10="Juli",'25a Soll-Ist Vergl. + Provision'!BT31,'25a Soll-Ist Vergl. + Provision'!CE31)))</f>
        <v/>
      </c>
      <c r="CV34" s="1163" t="str">
        <f ca="1">IF($CP$10="Mai",'25a Soll-Ist Vergl. + Provision'!AY31,IF($CP$10="Juni",'25a Soll-Ist Vergl. + Provision'!BJ31,IF($CP$10="Juli",'25a Soll-Ist Vergl. + Provision'!BU31,'25a Soll-Ist Vergl. + Provision'!CF31)))</f>
        <v/>
      </c>
      <c r="CW34" s="1163">
        <f>IF($CP$10="Mai",'25a Soll-Ist Vergl. + Provision'!AZ31,IF($CP$10="Juni",'25a Soll-Ist Vergl. + Provision'!BK31,IF($CP$10="Juli",'25a Soll-Ist Vergl. + Provision'!BV31,'25a Soll-Ist Vergl. + Provision'!CG31)))</f>
        <v>0</v>
      </c>
      <c r="CX34" s="1163" t="str">
        <f ca="1">IF($CP$10="Mai",'25a Soll-Ist Vergl. + Provision'!BA31,IF($CP$10="Juni",'25a Soll-Ist Vergl. + Provision'!BL31,IF($CP$10="Juli",'25a Soll-Ist Vergl. + Provision'!BW31,'25a Soll-Ist Vergl. + Provision'!CH31)))</f>
        <v/>
      </c>
      <c r="CY34" s="1163" t="str">
        <f ca="1">IF($CP$10="Mai",'25a Soll-Ist Vergl. + Provision'!BB31,IF($CP$10="Juni",'25a Soll-Ist Vergl. + Provision'!BM31,IF($CP$10="Juli",'25a Soll-Ist Vergl. + Provision'!BX31,'25a Soll-Ist Vergl. + Provision'!CI31)))</f>
        <v/>
      </c>
      <c r="CZ34" s="1163" t="str">
        <f ca="1">IF($CP$10="Mai",'25a Soll-Ist Vergl. + Provision'!BC31,IF($CP$10="Juni",'25a Soll-Ist Vergl. + Provision'!BN31,IF($CP$10="Juli",'25a Soll-Ist Vergl. + Provision'!BY31,'25a Soll-Ist Vergl. + Provision'!CJ31)))</f>
        <v/>
      </c>
      <c r="DA34" s="1163" t="str">
        <f t="shared" si="69"/>
        <v>Dezember</v>
      </c>
      <c r="DB34" s="1163">
        <f t="shared" si="70"/>
        <v>0</v>
      </c>
      <c r="DC34" s="1163">
        <f t="shared" si="71"/>
        <v>0</v>
      </c>
      <c r="DD34" s="1163">
        <f t="shared" si="72"/>
        <v>0</v>
      </c>
      <c r="DE34" s="1163">
        <f>IF($DB$10="September",'25a Soll-Ist Vergl. + Provision'!CN31,IF($DB$10="Oktober",'25a Soll-Ist Vergl. + Provision'!CY31,IF($DB$10="November",'25a Soll-Ist Vergl. + Provision'!DJ31,'25a Soll-Ist Vergl. + Provision'!DU31)))</f>
        <v>0</v>
      </c>
      <c r="DF34" s="1163" t="str">
        <f ca="1">IF($DB$10="September",'25a Soll-Ist Vergl. + Provision'!CO31,IF($DB$10="Oktober",'25a Soll-Ist Vergl. + Provision'!CZ31,IF($DB$10="November",'25a Soll-Ist Vergl. + Provision'!DK31,'25a Soll-Ist Vergl. + Provision'!DV31)))</f>
        <v/>
      </c>
      <c r="DG34" s="1163" t="str">
        <f ca="1">IF($DB$10="September",'25a Soll-Ist Vergl. + Provision'!CP31,IF($DB$10="Oktober",'25a Soll-Ist Vergl. + Provision'!DA31,IF($DB$10="November",'25a Soll-Ist Vergl. + Provision'!DL31,'25a Soll-Ist Vergl. + Provision'!DW31)))</f>
        <v/>
      </c>
      <c r="DH34" s="1163" t="str">
        <f ca="1">IF($DB$10="September",'25a Soll-Ist Vergl. + Provision'!CQ31,IF($DB$10="Oktober",'25a Soll-Ist Vergl. + Provision'!DB31,IF($DB$10="November",'25a Soll-Ist Vergl. + Provision'!DM31,'25a Soll-Ist Vergl. + Provision'!DX31)))</f>
        <v/>
      </c>
      <c r="DI34" s="1163">
        <f>IF($DB$10="September",'25a Soll-Ist Vergl. + Provision'!CR31,IF($DB$10="Oktober",'25a Soll-Ist Vergl. + Provision'!DC31,IF($DB$10="November",'25a Soll-Ist Vergl. + Provision'!DN31,'25a Soll-Ist Vergl. + Provision'!DY31)))</f>
        <v>0</v>
      </c>
      <c r="DJ34" s="1163" t="str">
        <f ca="1">IF($DB$10="September",'25a Soll-Ist Vergl. + Provision'!CS31,IF($DB$10="Oktober",'25a Soll-Ist Vergl. + Provision'!DD31,IF($DB$10="November",'25a Soll-Ist Vergl. + Provision'!DO31,'25a Soll-Ist Vergl. + Provision'!DZ31)))</f>
        <v/>
      </c>
      <c r="DK34" s="1163" t="str">
        <f ca="1">IF($DB$10="September",'25a Soll-Ist Vergl. + Provision'!CT31,IF($DB$10="Oktober",'25a Soll-Ist Vergl. + Provision'!DE31,IF($DB$10="November",'25a Soll-Ist Vergl. + Provision'!DP31,'25a Soll-Ist Vergl. + Provision'!EA31)))</f>
        <v/>
      </c>
      <c r="DL34" s="1163" t="str">
        <f ca="1">IF($DB$10="September",'25a Soll-Ist Vergl. + Provision'!CU31,IF($DB$10="Oktober",'25a Soll-Ist Vergl. + Provision'!DF31,IF($DB$10="November",'25a Soll-Ist Vergl. + Provision'!DQ31,'25a Soll-Ist Vergl. + Provision'!EB31)))</f>
        <v/>
      </c>
      <c r="DM34" s="1163" t="str">
        <f t="shared" si="73"/>
        <v>Januar</v>
      </c>
      <c r="DN34" s="1163">
        <f t="shared" si="74"/>
        <v>0</v>
      </c>
      <c r="DO34" s="1163">
        <f t="shared" si="75"/>
        <v>0</v>
      </c>
      <c r="DP34" s="1163">
        <f t="shared" si="76"/>
        <v>0</v>
      </c>
      <c r="DQ34" s="1163">
        <f t="shared" si="77"/>
        <v>0</v>
      </c>
      <c r="DR34" s="1163" t="str">
        <f t="shared" ca="1" si="78"/>
        <v/>
      </c>
      <c r="DS34" s="1163" t="str">
        <f t="shared" ca="1" si="79"/>
        <v/>
      </c>
      <c r="DT34" s="1163" t="str">
        <f t="shared" ca="1" si="80"/>
        <v/>
      </c>
      <c r="DU34" s="1163">
        <f t="shared" si="81"/>
        <v>0</v>
      </c>
      <c r="DV34" s="1163" t="str">
        <f t="shared" ca="1" si="82"/>
        <v/>
      </c>
      <c r="DW34" s="1163" t="str">
        <f t="shared" ca="1" si="83"/>
        <v/>
      </c>
      <c r="DX34" s="1163" t="str">
        <f t="shared" ca="1" si="84"/>
        <v/>
      </c>
      <c r="DY34" s="267"/>
      <c r="DZ34" s="3239">
        <f>'4 Eingabe Friseure'!L31</f>
        <v>0</v>
      </c>
      <c r="EA34" s="3239"/>
      <c r="EB34" s="3239">
        <f>IF($DZ34=12,1,'4 Eingabe Friseure'!N31)</f>
        <v>0</v>
      </c>
      <c r="EC34" s="3239">
        <f>IF($DZ34=12,1,'4 Eingabe Friseure'!O31)</f>
        <v>0</v>
      </c>
      <c r="ED34" s="3239">
        <f>IF($DZ34=12,1,'4 Eingabe Friseure'!P31)</f>
        <v>0</v>
      </c>
      <c r="EE34" s="3239">
        <f>IF($DZ34=12,1,'4 Eingabe Friseure'!Q31)</f>
        <v>0</v>
      </c>
      <c r="EF34" s="3239">
        <f>IF($DZ34=12,1,'4 Eingabe Friseure'!R31)</f>
        <v>0</v>
      </c>
      <c r="EG34" s="3239">
        <f>IF($DZ34=12,1,'4 Eingabe Friseure'!S31)</f>
        <v>0</v>
      </c>
      <c r="EH34" s="3239">
        <f>IF($DZ34=12,1,'4 Eingabe Friseure'!T31)</f>
        <v>0</v>
      </c>
      <c r="EI34" s="3239">
        <f>IF($DZ34=12,1,'4 Eingabe Friseure'!U31)</f>
        <v>0</v>
      </c>
      <c r="EJ34" s="3239">
        <f>IF($DZ34=12,1,'4 Eingabe Friseure'!V31)</f>
        <v>0</v>
      </c>
      <c r="EK34" s="3239">
        <f>IF($DZ34=12,1,'4 Eingabe Friseure'!W31)</f>
        <v>0</v>
      </c>
      <c r="EL34" s="3239">
        <f>IF($DZ34=12,1,'4 Eingabe Friseure'!X31)</f>
        <v>0</v>
      </c>
      <c r="EM34" s="3239">
        <f>IF($DZ34=12,1,'4 Eingabe Friseure'!Y31)</f>
        <v>0</v>
      </c>
    </row>
    <row r="35" spans="1:143" ht="18" customHeight="1">
      <c r="A35" s="2740" t="str">
        <f ca="1">IF('22 Sollumsatz pro MA '!A35="","",'22 Sollumsatz pro MA '!A35)</f>
        <v/>
      </c>
      <c r="B35" s="1945"/>
      <c r="C35" s="1984"/>
      <c r="D35" s="1957"/>
      <c r="E35" s="2097" t="str">
        <f ca="1">IF($A35="","",IF(EB35=0,"",'23 LF individuell'!$AG33*$B35))</f>
        <v/>
      </c>
      <c r="F35" s="2100" t="str">
        <f ca="1">IF($A35="","",IF(EB35=0,"",'23 LF individuell'!$AH33*$B35))</f>
        <v/>
      </c>
      <c r="G35" s="2101" t="str">
        <f ca="1">IF($A35="","",IF(EB35=0,"",'23 LF individuell'!$AI33*$B35))</f>
        <v/>
      </c>
      <c r="H35" s="2003"/>
      <c r="I35" s="2021"/>
      <c r="J35" s="2005"/>
      <c r="K35" s="2006" t="str">
        <f ca="1">IF($A35="","",IF(EC35=0,"",'23 LF individuell'!$AG33*H35))</f>
        <v/>
      </c>
      <c r="L35" s="2007" t="str">
        <f ca="1">IF($A35="","",IF(EC35=0,"",'23 LF individuell'!$AH33*H35))</f>
        <v/>
      </c>
      <c r="M35" s="2008" t="str">
        <f ca="1">IF($A35="","",IF(EC35=0,"",'23 LF individuell'!$AI33*H35))</f>
        <v/>
      </c>
      <c r="N35" s="2003"/>
      <c r="O35" s="2021"/>
      <c r="P35" s="2005"/>
      <c r="Q35" s="2097" t="str">
        <f ca="1">IF($A35="","",IF(ED35=0,"",'23 LF individuell'!$AG33*N35))</f>
        <v/>
      </c>
      <c r="R35" s="2098" t="str">
        <f ca="1">IF($A35="","",IF(ED35=0,"",'23 LF individuell'!$AH33*N35))</f>
        <v/>
      </c>
      <c r="S35" s="2099" t="str">
        <f ca="1">IF($A35="","",IF(ED35=0,"",'23 LF individuell'!$AI33*N35))</f>
        <v/>
      </c>
      <c r="T35" s="2003"/>
      <c r="U35" s="2021"/>
      <c r="V35" s="2005"/>
      <c r="W35" s="2006" t="str">
        <f ca="1">IF($A35="","",IF(EE35=0,"",'23 LF individuell'!$AG33*T35))</f>
        <v/>
      </c>
      <c r="X35" s="2007" t="str">
        <f ca="1">IF($A35="","",IF(EE35=0,"",'23 LF individuell'!$AH33*T35))</f>
        <v/>
      </c>
      <c r="Y35" s="2008" t="str">
        <f ca="1">IF($A35="","",IF(EE35=0,"",'23 LF individuell'!$AI33*T35))</f>
        <v/>
      </c>
      <c r="Z35" s="2003"/>
      <c r="AA35" s="2021"/>
      <c r="AB35" s="2005"/>
      <c r="AC35" s="2097" t="str">
        <f ca="1">IF($A35="","",IF(EF35=0,"",'23 LF individuell'!$AG33*Z35))</f>
        <v/>
      </c>
      <c r="AD35" s="2098" t="str">
        <f ca="1">IF($A35="","",IF(EF35=0,"",'23 LF individuell'!$AH33*Z35))</f>
        <v/>
      </c>
      <c r="AE35" s="2099" t="str">
        <f ca="1">IF($A35="","",IF(EF35=0,"",'23 LF individuell'!$AI33*Z35))</f>
        <v/>
      </c>
      <c r="AF35" s="2003"/>
      <c r="AG35" s="2021"/>
      <c r="AH35" s="2005"/>
      <c r="AI35" s="2006" t="str">
        <f ca="1">IF($A35="","",IF(EG35=0,"",'23 LF individuell'!$AG33*AF35))</f>
        <v/>
      </c>
      <c r="AJ35" s="2007" t="str">
        <f ca="1">IF($A35="","",IF(EG35=0,"",'23 LF individuell'!$AH33*AF35))</f>
        <v/>
      </c>
      <c r="AK35" s="2008" t="str">
        <f ca="1">IF($A35="","",IF(EG35=0,"",'23 LF individuell'!$AI33*AF35))</f>
        <v/>
      </c>
      <c r="AL35" s="2003"/>
      <c r="AM35" s="2021"/>
      <c r="AN35" s="2005"/>
      <c r="AO35" s="2097" t="str">
        <f ca="1">IF($A35="","",IF(EH35=0,"",'23 LF individuell'!$AG33*AL35))</f>
        <v/>
      </c>
      <c r="AP35" s="2098" t="str">
        <f ca="1">IF($A35="","",IF(EH35=0,"",'23 LF individuell'!$AH33*AL35))</f>
        <v/>
      </c>
      <c r="AQ35" s="2099" t="str">
        <f ca="1">IF($A35="","",IF(EH35=0,"",'23 LF individuell'!$AI33*AL35))</f>
        <v/>
      </c>
      <c r="AR35" s="2003"/>
      <c r="AS35" s="2021"/>
      <c r="AT35" s="2005"/>
      <c r="AU35" s="2006" t="str">
        <f ca="1">IF($A35="","",IF(EI35=0,"",'23 LF individuell'!$AG33*AR35))</f>
        <v/>
      </c>
      <c r="AV35" s="2007" t="str">
        <f ca="1">IF($A35="","",IF(EI35=0,"",'23 LF individuell'!$AH33*AR35))</f>
        <v/>
      </c>
      <c r="AW35" s="2008" t="str">
        <f ca="1">IF($A35="","",IF(EI35=0,"",'23 LF individuell'!$AI33*AR35))</f>
        <v/>
      </c>
      <c r="AX35" s="2003"/>
      <c r="AY35" s="2021"/>
      <c r="AZ35" s="2005"/>
      <c r="BA35" s="2097" t="str">
        <f ca="1">IF($A35="","",IF(EJ35=0,"",'23 LF individuell'!$AG33*AX35))</f>
        <v/>
      </c>
      <c r="BB35" s="2098" t="str">
        <f ca="1">IF($A35="","",IF(EJ35=0,"",'23 LF individuell'!$AH33*AX35))</f>
        <v/>
      </c>
      <c r="BC35" s="2099" t="str">
        <f ca="1">IF($A35="","",IF(EJ35=0,"",'23 LF individuell'!$AI33*AX35))</f>
        <v/>
      </c>
      <c r="BD35" s="2003"/>
      <c r="BE35" s="2021"/>
      <c r="BF35" s="2005"/>
      <c r="BG35" s="2006" t="str">
        <f ca="1">IF($A35="","",IF(EK35=0,"",'23 LF individuell'!$AG33*BD35))</f>
        <v/>
      </c>
      <c r="BH35" s="2007" t="str">
        <f ca="1">IF($A35="","",IF(EK35=0,"",'23 LF individuell'!$AH33*BD35))</f>
        <v/>
      </c>
      <c r="BI35" s="2008" t="str">
        <f ca="1">IF($A35="","",IF(EK35=0,"",'23 LF individuell'!$AI33*BD35))</f>
        <v/>
      </c>
      <c r="BJ35" s="2003"/>
      <c r="BK35" s="2021"/>
      <c r="BL35" s="2005"/>
      <c r="BM35" s="2097" t="str">
        <f ca="1">IF($A35="","",IF(EL35=0,"",'23 LF individuell'!$AG33*BJ35))</f>
        <v/>
      </c>
      <c r="BN35" s="2098" t="str">
        <f ca="1">IF($A35="","",IF(EL35=0,"",'23 LF individuell'!$AH33*BJ35))</f>
        <v/>
      </c>
      <c r="BO35" s="2099" t="str">
        <f ca="1">IF($A35="","",IF(EL35=0,"",'23 LF individuell'!$AI33*BJ35))</f>
        <v/>
      </c>
      <c r="BP35" s="2003"/>
      <c r="BQ35" s="2021"/>
      <c r="BR35" s="2005"/>
      <c r="BS35" s="2006" t="str">
        <f ca="1">IF($A35="","",IF(EM35=0,"",'23 LF individuell'!$AG33*BP35))</f>
        <v/>
      </c>
      <c r="BT35" s="2007" t="str">
        <f ca="1">IF($A35="","",IF(EM35=0,"",'23 LF individuell'!$AH33*BP35))</f>
        <v/>
      </c>
      <c r="BU35" s="2008" t="str">
        <f ca="1">IF($A35="","",IF(EM35=0,"",'23 LF individuell'!$AI33*BP35))</f>
        <v/>
      </c>
      <c r="BV35" s="2044" t="str">
        <f t="shared" ca="1" si="85"/>
        <v/>
      </c>
      <c r="BW35" s="2044" t="str">
        <f t="shared" ca="1" si="86"/>
        <v/>
      </c>
      <c r="BX35" s="2044" t="str">
        <f t="shared" ca="1" si="87"/>
        <v/>
      </c>
      <c r="BY35" s="2049" t="str">
        <f t="shared" ca="1" si="57"/>
        <v/>
      </c>
      <c r="BZ35" s="2049" t="str">
        <f t="shared" ca="1" si="58"/>
        <v/>
      </c>
      <c r="CA35" s="2049" t="str">
        <f t="shared" ca="1" si="59"/>
        <v/>
      </c>
      <c r="CB35" s="2116" t="str">
        <f t="shared" ca="1" si="88"/>
        <v/>
      </c>
      <c r="CC35" s="1163" t="str">
        <f t="shared" si="61"/>
        <v>Januar</v>
      </c>
      <c r="CD35" s="1163">
        <f t="shared" si="62"/>
        <v>0</v>
      </c>
      <c r="CE35" s="1163">
        <f t="shared" si="63"/>
        <v>0</v>
      </c>
      <c r="CF35" s="1163">
        <f t="shared" si="64"/>
        <v>0</v>
      </c>
      <c r="CG35" s="1163">
        <f>IF($CD$10="Januar",'25a Soll-Ist Vergl. + Provision'!D32,IF($CD$10="Februar",'25a Soll-Ist Vergl. + Provision'!O32,IF($CD$10="März",'25a Soll-Ist Vergl. + Provision'!Z32,'25a Soll-Ist Vergl. + Provision'!AK32)))</f>
        <v>0</v>
      </c>
      <c r="CH35" s="1163" t="str">
        <f ca="1">IF($CD$10="Januar",'25a Soll-Ist Vergl. + Provision'!E32,IF($CD$10="Februar",'25a Soll-Ist Vergl. + Provision'!P32,IF($CD$10="März",'25a Soll-Ist Vergl. + Provision'!AA32,'25a Soll-Ist Vergl. + Provision'!AL32)))</f>
        <v/>
      </c>
      <c r="CI35" s="1163" t="str">
        <f ca="1">IF($CD$10="Januar",'25a Soll-Ist Vergl. + Provision'!F32,IF($CD$10="Februar",'25a Soll-Ist Vergl. + Provision'!Q32,IF($CD$10="März",'25a Soll-Ist Vergl. + Provision'!AB32,'25a Soll-Ist Vergl. + Provision'!AM32)))</f>
        <v/>
      </c>
      <c r="CJ35" s="1163" t="str">
        <f ca="1">IF($CD$10="Januar",'25a Soll-Ist Vergl. + Provision'!G32,IF($CD$10="Februar",'25a Soll-Ist Vergl. + Provision'!R32,IF($CD$10="März",'25a Soll-Ist Vergl. + Provision'!AC32,'25a Soll-Ist Vergl. + Provision'!AN32)))</f>
        <v/>
      </c>
      <c r="CK35" s="1163">
        <f>IF($CD$10="Januar",'25a Soll-Ist Vergl. + Provision'!H32,IF($CD$10="Februar",'25a Soll-Ist Vergl. + Provision'!S32,IF($CD$10="März",'25a Soll-Ist Vergl. + Provision'!AD32,'25a Soll-Ist Vergl. + Provision'!AO32)))</f>
        <v>0</v>
      </c>
      <c r="CL35" s="1163" t="str">
        <f ca="1">IF($CD$10="Januar",'25a Soll-Ist Vergl. + Provision'!I32,IF($CD$10="Februar",'25a Soll-Ist Vergl. + Provision'!T32,IF($CD$10="März",'25a Soll-Ist Vergl. + Provision'!AE32,'25a Soll-Ist Vergl. + Provision'!AP32)))</f>
        <v/>
      </c>
      <c r="CM35" s="1163" t="str">
        <f ca="1">IF($CD$10="Januar",'25a Soll-Ist Vergl. + Provision'!J32,IF($CD$10="Februar",'25a Soll-Ist Vergl. + Provision'!U32,IF($CD$10="März",'25a Soll-Ist Vergl. + Provision'!AF32,'25a Soll-Ist Vergl. + Provision'!AQ32)))</f>
        <v/>
      </c>
      <c r="CN35" s="1163" t="str">
        <f ca="1">IF($CD$10="Januar",'25a Soll-Ist Vergl. + Provision'!K32,IF($CD$10="Februar",'25a Soll-Ist Vergl. + Provision'!V32,IF($CD$10="März",'25a Soll-Ist Vergl. + Provision'!AG32,'25a Soll-Ist Vergl. + Provision'!AR32)))</f>
        <v/>
      </c>
      <c r="CO35" s="1163" t="str">
        <f t="shared" si="65"/>
        <v>August</v>
      </c>
      <c r="CP35" s="1163">
        <f t="shared" si="66"/>
        <v>0</v>
      </c>
      <c r="CQ35" s="1163">
        <f t="shared" si="67"/>
        <v>0</v>
      </c>
      <c r="CR35" s="1163">
        <f t="shared" si="68"/>
        <v>0</v>
      </c>
      <c r="CS35" s="1163">
        <f>IF($CP$10="Mai",'25a Soll-Ist Vergl. + Provision'!AV32,IF($CP$10="Juni",'25a Soll-Ist Vergl. + Provision'!BG32,IF($CP$10="Juli",'25a Soll-Ist Vergl. + Provision'!BR32,'25a Soll-Ist Vergl. + Provision'!CC32)))</f>
        <v>0</v>
      </c>
      <c r="CT35" s="1163" t="str">
        <f ca="1">IF($CP$10="Mai",'25a Soll-Ist Vergl. + Provision'!AW32,IF($CP$10="Juni",'25a Soll-Ist Vergl. + Provision'!BH32,IF($CP$10="Juli",'25a Soll-Ist Vergl. + Provision'!BS32,'25a Soll-Ist Vergl. + Provision'!CD32)))</f>
        <v/>
      </c>
      <c r="CU35" s="1163" t="str">
        <f ca="1">IF($CP$10="Mai",'25a Soll-Ist Vergl. + Provision'!AX32,IF($CP$10="Juni",'25a Soll-Ist Vergl. + Provision'!BI32,IF($CP$10="Juli",'25a Soll-Ist Vergl. + Provision'!BT32,'25a Soll-Ist Vergl. + Provision'!CE32)))</f>
        <v/>
      </c>
      <c r="CV35" s="1163" t="str">
        <f ca="1">IF($CP$10="Mai",'25a Soll-Ist Vergl. + Provision'!AY32,IF($CP$10="Juni",'25a Soll-Ist Vergl. + Provision'!BJ32,IF($CP$10="Juli",'25a Soll-Ist Vergl. + Provision'!BU32,'25a Soll-Ist Vergl. + Provision'!CF32)))</f>
        <v/>
      </c>
      <c r="CW35" s="1163">
        <f>IF($CP$10="Mai",'25a Soll-Ist Vergl. + Provision'!AZ32,IF($CP$10="Juni",'25a Soll-Ist Vergl. + Provision'!BK32,IF($CP$10="Juli",'25a Soll-Ist Vergl. + Provision'!BV32,'25a Soll-Ist Vergl. + Provision'!CG32)))</f>
        <v>0</v>
      </c>
      <c r="CX35" s="1163" t="str">
        <f ca="1">IF($CP$10="Mai",'25a Soll-Ist Vergl. + Provision'!BA32,IF($CP$10="Juni",'25a Soll-Ist Vergl. + Provision'!BL32,IF($CP$10="Juli",'25a Soll-Ist Vergl. + Provision'!BW32,'25a Soll-Ist Vergl. + Provision'!CH32)))</f>
        <v/>
      </c>
      <c r="CY35" s="1163" t="str">
        <f ca="1">IF($CP$10="Mai",'25a Soll-Ist Vergl. + Provision'!BB32,IF($CP$10="Juni",'25a Soll-Ist Vergl. + Provision'!BM32,IF($CP$10="Juli",'25a Soll-Ist Vergl. + Provision'!BX32,'25a Soll-Ist Vergl. + Provision'!CI32)))</f>
        <v/>
      </c>
      <c r="CZ35" s="1163" t="str">
        <f ca="1">IF($CP$10="Mai",'25a Soll-Ist Vergl. + Provision'!BC32,IF($CP$10="Juni",'25a Soll-Ist Vergl. + Provision'!BN32,IF($CP$10="Juli",'25a Soll-Ist Vergl. + Provision'!BY32,'25a Soll-Ist Vergl. + Provision'!CJ32)))</f>
        <v/>
      </c>
      <c r="DA35" s="1163" t="str">
        <f t="shared" si="69"/>
        <v>Dezember</v>
      </c>
      <c r="DB35" s="1163">
        <f t="shared" si="70"/>
        <v>0</v>
      </c>
      <c r="DC35" s="1163">
        <f t="shared" si="71"/>
        <v>0</v>
      </c>
      <c r="DD35" s="1163">
        <f t="shared" si="72"/>
        <v>0</v>
      </c>
      <c r="DE35" s="1163">
        <f>IF($DB$10="September",'25a Soll-Ist Vergl. + Provision'!CN32,IF($DB$10="Oktober",'25a Soll-Ist Vergl. + Provision'!CY32,IF($DB$10="November",'25a Soll-Ist Vergl. + Provision'!DJ32,'25a Soll-Ist Vergl. + Provision'!DU32)))</f>
        <v>0</v>
      </c>
      <c r="DF35" s="1163" t="str">
        <f ca="1">IF($DB$10="September",'25a Soll-Ist Vergl. + Provision'!CO32,IF($DB$10="Oktober",'25a Soll-Ist Vergl. + Provision'!CZ32,IF($DB$10="November",'25a Soll-Ist Vergl. + Provision'!DK32,'25a Soll-Ist Vergl. + Provision'!DV32)))</f>
        <v/>
      </c>
      <c r="DG35" s="1163" t="str">
        <f ca="1">IF($DB$10="September",'25a Soll-Ist Vergl. + Provision'!CP32,IF($DB$10="Oktober",'25a Soll-Ist Vergl. + Provision'!DA32,IF($DB$10="November",'25a Soll-Ist Vergl. + Provision'!DL32,'25a Soll-Ist Vergl. + Provision'!DW32)))</f>
        <v/>
      </c>
      <c r="DH35" s="1163" t="str">
        <f ca="1">IF($DB$10="September",'25a Soll-Ist Vergl. + Provision'!CQ32,IF($DB$10="Oktober",'25a Soll-Ist Vergl. + Provision'!DB32,IF($DB$10="November",'25a Soll-Ist Vergl. + Provision'!DM32,'25a Soll-Ist Vergl. + Provision'!DX32)))</f>
        <v/>
      </c>
      <c r="DI35" s="1163">
        <f>IF($DB$10="September",'25a Soll-Ist Vergl. + Provision'!CR32,IF($DB$10="Oktober",'25a Soll-Ist Vergl. + Provision'!DC32,IF($DB$10="November",'25a Soll-Ist Vergl. + Provision'!DN32,'25a Soll-Ist Vergl. + Provision'!DY32)))</f>
        <v>0</v>
      </c>
      <c r="DJ35" s="1163" t="str">
        <f ca="1">IF($DB$10="September",'25a Soll-Ist Vergl. + Provision'!CS32,IF($DB$10="Oktober",'25a Soll-Ist Vergl. + Provision'!DD32,IF($DB$10="November",'25a Soll-Ist Vergl. + Provision'!DO32,'25a Soll-Ist Vergl. + Provision'!DZ32)))</f>
        <v/>
      </c>
      <c r="DK35" s="1163" t="str">
        <f ca="1">IF($DB$10="September",'25a Soll-Ist Vergl. + Provision'!CT32,IF($DB$10="Oktober",'25a Soll-Ist Vergl. + Provision'!DE32,IF($DB$10="November",'25a Soll-Ist Vergl. + Provision'!DP32,'25a Soll-Ist Vergl. + Provision'!EA32)))</f>
        <v/>
      </c>
      <c r="DL35" s="1163" t="str">
        <f ca="1">IF($DB$10="September",'25a Soll-Ist Vergl. + Provision'!CU32,IF($DB$10="Oktober",'25a Soll-Ist Vergl. + Provision'!DF32,IF($DB$10="November",'25a Soll-Ist Vergl. + Provision'!DQ32,'25a Soll-Ist Vergl. + Provision'!EB32)))</f>
        <v/>
      </c>
      <c r="DM35" s="1163" t="str">
        <f t="shared" si="73"/>
        <v>Januar</v>
      </c>
      <c r="DN35" s="1163">
        <f t="shared" si="74"/>
        <v>0</v>
      </c>
      <c r="DO35" s="1163">
        <f t="shared" si="75"/>
        <v>0</v>
      </c>
      <c r="DP35" s="1163">
        <f t="shared" si="76"/>
        <v>0</v>
      </c>
      <c r="DQ35" s="1163">
        <f t="shared" si="77"/>
        <v>0</v>
      </c>
      <c r="DR35" s="1163" t="str">
        <f t="shared" ca="1" si="78"/>
        <v/>
      </c>
      <c r="DS35" s="1163" t="str">
        <f t="shared" ca="1" si="79"/>
        <v/>
      </c>
      <c r="DT35" s="1163" t="str">
        <f t="shared" ca="1" si="80"/>
        <v/>
      </c>
      <c r="DU35" s="1163">
        <f t="shared" si="81"/>
        <v>0</v>
      </c>
      <c r="DV35" s="1163" t="str">
        <f t="shared" ca="1" si="82"/>
        <v/>
      </c>
      <c r="DW35" s="1163" t="str">
        <f t="shared" ca="1" si="83"/>
        <v/>
      </c>
      <c r="DX35" s="1163" t="str">
        <f t="shared" ca="1" si="84"/>
        <v/>
      </c>
      <c r="DY35" s="267"/>
      <c r="DZ35" s="3239">
        <f>'4 Eingabe Friseure'!L32</f>
        <v>0</v>
      </c>
      <c r="EA35" s="3239"/>
      <c r="EB35" s="3239">
        <f>IF($DZ35=12,1,'4 Eingabe Friseure'!N32)</f>
        <v>0</v>
      </c>
      <c r="EC35" s="3239">
        <f>IF($DZ35=12,1,'4 Eingabe Friseure'!O32)</f>
        <v>0</v>
      </c>
      <c r="ED35" s="3239">
        <f>IF($DZ35=12,1,'4 Eingabe Friseure'!P32)</f>
        <v>0</v>
      </c>
      <c r="EE35" s="3239">
        <f>IF($DZ35=12,1,'4 Eingabe Friseure'!Q32)</f>
        <v>0</v>
      </c>
      <c r="EF35" s="3239">
        <f>IF($DZ35=12,1,'4 Eingabe Friseure'!R32)</f>
        <v>0</v>
      </c>
      <c r="EG35" s="3239">
        <f>IF($DZ35=12,1,'4 Eingabe Friseure'!S32)</f>
        <v>0</v>
      </c>
      <c r="EH35" s="3239">
        <f>IF($DZ35=12,1,'4 Eingabe Friseure'!T32)</f>
        <v>0</v>
      </c>
      <c r="EI35" s="3239">
        <f>IF($DZ35=12,1,'4 Eingabe Friseure'!U32)</f>
        <v>0</v>
      </c>
      <c r="EJ35" s="3239">
        <f>IF($DZ35=12,1,'4 Eingabe Friseure'!V32)</f>
        <v>0</v>
      </c>
      <c r="EK35" s="3239">
        <f>IF($DZ35=12,1,'4 Eingabe Friseure'!W32)</f>
        <v>0</v>
      </c>
      <c r="EL35" s="3239">
        <f>IF($DZ35=12,1,'4 Eingabe Friseure'!X32)</f>
        <v>0</v>
      </c>
      <c r="EM35" s="3239">
        <f>IF($DZ35=12,1,'4 Eingabe Friseure'!Y32)</f>
        <v>0</v>
      </c>
    </row>
    <row r="36" spans="1:143" ht="18" customHeight="1">
      <c r="A36" s="2740" t="str">
        <f ca="1">IF('22 Sollumsatz pro MA '!A36="","",'22 Sollumsatz pro MA '!A36)</f>
        <v/>
      </c>
      <c r="B36" s="1945"/>
      <c r="C36" s="1984"/>
      <c r="D36" s="1957"/>
      <c r="E36" s="2097" t="str">
        <f ca="1">IF($A36="","",IF(EB36=0,"",'23 LF individuell'!$AG34*$B36))</f>
        <v/>
      </c>
      <c r="F36" s="2100" t="str">
        <f ca="1">IF($A36="","",IF(EB36=0,"",'23 LF individuell'!$AH34*$B36))</f>
        <v/>
      </c>
      <c r="G36" s="2101" t="str">
        <f ca="1">IF($A36="","",IF(EB36=0,"",'23 LF individuell'!$AI34*$B36))</f>
        <v/>
      </c>
      <c r="H36" s="2003"/>
      <c r="I36" s="2021"/>
      <c r="J36" s="2005"/>
      <c r="K36" s="2006" t="str">
        <f ca="1">IF($A36="","",IF(EC36=0,"",'23 LF individuell'!$AG34*H36))</f>
        <v/>
      </c>
      <c r="L36" s="2007" t="str">
        <f ca="1">IF($A36="","",IF(EC36=0,"",'23 LF individuell'!$AH34*H36))</f>
        <v/>
      </c>
      <c r="M36" s="2008" t="str">
        <f ca="1">IF($A36="","",IF(EC36=0,"",'23 LF individuell'!$AI34*H36))</f>
        <v/>
      </c>
      <c r="N36" s="2003"/>
      <c r="O36" s="2021"/>
      <c r="P36" s="2005"/>
      <c r="Q36" s="2097" t="str">
        <f ca="1">IF($A36="","",IF(ED36=0,"",'23 LF individuell'!$AG34*N36))</f>
        <v/>
      </c>
      <c r="R36" s="2098" t="str">
        <f ca="1">IF($A36="","",IF(ED36=0,"",'23 LF individuell'!$AH34*N36))</f>
        <v/>
      </c>
      <c r="S36" s="2099" t="str">
        <f ca="1">IF($A36="","",IF(ED36=0,"",'23 LF individuell'!$AI34*N36))</f>
        <v/>
      </c>
      <c r="T36" s="2003"/>
      <c r="U36" s="2021"/>
      <c r="V36" s="2005"/>
      <c r="W36" s="2006" t="str">
        <f ca="1">IF($A36="","",IF(EE36=0,"",'23 LF individuell'!$AG34*T36))</f>
        <v/>
      </c>
      <c r="X36" s="2007" t="str">
        <f ca="1">IF($A36="","",IF(EE36=0,"",'23 LF individuell'!$AH34*T36))</f>
        <v/>
      </c>
      <c r="Y36" s="2008" t="str">
        <f ca="1">IF($A36="","",IF(EE36=0,"",'23 LF individuell'!$AI34*T36))</f>
        <v/>
      </c>
      <c r="Z36" s="2003"/>
      <c r="AA36" s="2021"/>
      <c r="AB36" s="2005"/>
      <c r="AC36" s="2097" t="str">
        <f ca="1">IF($A36="","",IF(EF36=0,"",'23 LF individuell'!$AG34*Z36))</f>
        <v/>
      </c>
      <c r="AD36" s="2098" t="str">
        <f ca="1">IF($A36="","",IF(EF36=0,"",'23 LF individuell'!$AH34*Z36))</f>
        <v/>
      </c>
      <c r="AE36" s="2099" t="str">
        <f ca="1">IF($A36="","",IF(EF36=0,"",'23 LF individuell'!$AI34*Z36))</f>
        <v/>
      </c>
      <c r="AF36" s="2003"/>
      <c r="AG36" s="2021"/>
      <c r="AH36" s="2005"/>
      <c r="AI36" s="2006" t="str">
        <f ca="1">IF($A36="","",IF(EG36=0,"",'23 LF individuell'!$AG34*AF36))</f>
        <v/>
      </c>
      <c r="AJ36" s="2007" t="str">
        <f ca="1">IF($A36="","",IF(EG36=0,"",'23 LF individuell'!$AH34*AF36))</f>
        <v/>
      </c>
      <c r="AK36" s="2008" t="str">
        <f ca="1">IF($A36="","",IF(EG36=0,"",'23 LF individuell'!$AI34*AF36))</f>
        <v/>
      </c>
      <c r="AL36" s="2003"/>
      <c r="AM36" s="2021"/>
      <c r="AN36" s="2005"/>
      <c r="AO36" s="2097" t="str">
        <f ca="1">IF($A36="","",IF(EH36=0,"",'23 LF individuell'!$AG34*AL36))</f>
        <v/>
      </c>
      <c r="AP36" s="2098" t="str">
        <f ca="1">IF($A36="","",IF(EH36=0,"",'23 LF individuell'!$AH34*AL36))</f>
        <v/>
      </c>
      <c r="AQ36" s="2099" t="str">
        <f ca="1">IF($A36="","",IF(EH36=0,"",'23 LF individuell'!$AI34*AL36))</f>
        <v/>
      </c>
      <c r="AR36" s="2003"/>
      <c r="AS36" s="2021"/>
      <c r="AT36" s="2005"/>
      <c r="AU36" s="2006" t="str">
        <f ca="1">IF($A36="","",IF(EI36=0,"",'23 LF individuell'!$AG34*AR36))</f>
        <v/>
      </c>
      <c r="AV36" s="2007" t="str">
        <f ca="1">IF($A36="","",IF(EI36=0,"",'23 LF individuell'!$AH34*AR36))</f>
        <v/>
      </c>
      <c r="AW36" s="2008" t="str">
        <f ca="1">IF($A36="","",IF(EI36=0,"",'23 LF individuell'!$AI34*AR36))</f>
        <v/>
      </c>
      <c r="AX36" s="2003"/>
      <c r="AY36" s="2021"/>
      <c r="AZ36" s="2005"/>
      <c r="BA36" s="2097" t="str">
        <f ca="1">IF($A36="","",IF(EJ36=0,"",'23 LF individuell'!$AG34*AX36))</f>
        <v/>
      </c>
      <c r="BB36" s="2098" t="str">
        <f ca="1">IF($A36="","",IF(EJ36=0,"",'23 LF individuell'!$AH34*AX36))</f>
        <v/>
      </c>
      <c r="BC36" s="2099" t="str">
        <f ca="1">IF($A36="","",IF(EJ36=0,"",'23 LF individuell'!$AI34*AX36))</f>
        <v/>
      </c>
      <c r="BD36" s="2003"/>
      <c r="BE36" s="2021"/>
      <c r="BF36" s="2005"/>
      <c r="BG36" s="2006" t="str">
        <f ca="1">IF($A36="","",IF(EK36=0,"",'23 LF individuell'!$AG34*BD36))</f>
        <v/>
      </c>
      <c r="BH36" s="2007" t="str">
        <f ca="1">IF($A36="","",IF(EK36=0,"",'23 LF individuell'!$AH34*BD36))</f>
        <v/>
      </c>
      <c r="BI36" s="2008" t="str">
        <f ca="1">IF($A36="","",IF(EK36=0,"",'23 LF individuell'!$AI34*BD36))</f>
        <v/>
      </c>
      <c r="BJ36" s="2003"/>
      <c r="BK36" s="2021"/>
      <c r="BL36" s="2005"/>
      <c r="BM36" s="2097" t="str">
        <f ca="1">IF($A36="","",IF(EL36=0,"",'23 LF individuell'!$AG34*BJ36))</f>
        <v/>
      </c>
      <c r="BN36" s="2098" t="str">
        <f ca="1">IF($A36="","",IF(EL36=0,"",'23 LF individuell'!$AH34*BJ36))</f>
        <v/>
      </c>
      <c r="BO36" s="2099" t="str">
        <f ca="1">IF($A36="","",IF(EL36=0,"",'23 LF individuell'!$AI34*BJ36))</f>
        <v/>
      </c>
      <c r="BP36" s="2003"/>
      <c r="BQ36" s="2021"/>
      <c r="BR36" s="2005"/>
      <c r="BS36" s="2006" t="str">
        <f ca="1">IF($A36="","",IF(EM36=0,"",'23 LF individuell'!$AG34*BP36))</f>
        <v/>
      </c>
      <c r="BT36" s="2007" t="str">
        <f ca="1">IF($A36="","",IF(EM36=0,"",'23 LF individuell'!$AH34*BP36))</f>
        <v/>
      </c>
      <c r="BU36" s="2008" t="str">
        <f ca="1">IF($A36="","",IF(EM36=0,"",'23 LF individuell'!$AI34*BP36))</f>
        <v/>
      </c>
      <c r="BV36" s="2044" t="str">
        <f t="shared" ca="1" si="85"/>
        <v/>
      </c>
      <c r="BW36" s="2044" t="str">
        <f t="shared" ca="1" si="86"/>
        <v/>
      </c>
      <c r="BX36" s="2044" t="str">
        <f t="shared" ca="1" si="87"/>
        <v/>
      </c>
      <c r="BY36" s="2049" t="str">
        <f t="shared" ca="1" si="57"/>
        <v/>
      </c>
      <c r="BZ36" s="2049" t="str">
        <f t="shared" ca="1" si="58"/>
        <v/>
      </c>
      <c r="CA36" s="2049" t="str">
        <f t="shared" ca="1" si="59"/>
        <v/>
      </c>
      <c r="CB36" s="2116" t="str">
        <f t="shared" ca="1" si="88"/>
        <v/>
      </c>
      <c r="CC36" s="1163" t="str">
        <f t="shared" si="61"/>
        <v>Januar</v>
      </c>
      <c r="CD36" s="1163">
        <f t="shared" si="62"/>
        <v>0</v>
      </c>
      <c r="CE36" s="1163">
        <f t="shared" si="63"/>
        <v>0</v>
      </c>
      <c r="CF36" s="1163">
        <f t="shared" si="64"/>
        <v>0</v>
      </c>
      <c r="CG36" s="1163">
        <f>IF($CD$10="Januar",'25a Soll-Ist Vergl. + Provision'!D33,IF($CD$10="Februar",'25a Soll-Ist Vergl. + Provision'!O33,IF($CD$10="März",'25a Soll-Ist Vergl. + Provision'!Z33,'25a Soll-Ist Vergl. + Provision'!AK33)))</f>
        <v>0</v>
      </c>
      <c r="CH36" s="1163" t="str">
        <f ca="1">IF($CD$10="Januar",'25a Soll-Ist Vergl. + Provision'!E33,IF($CD$10="Februar",'25a Soll-Ist Vergl. + Provision'!P33,IF($CD$10="März",'25a Soll-Ist Vergl. + Provision'!AA33,'25a Soll-Ist Vergl. + Provision'!AL33)))</f>
        <v/>
      </c>
      <c r="CI36" s="1163" t="str">
        <f ca="1">IF($CD$10="Januar",'25a Soll-Ist Vergl. + Provision'!F33,IF($CD$10="Februar",'25a Soll-Ist Vergl. + Provision'!Q33,IF($CD$10="März",'25a Soll-Ist Vergl. + Provision'!AB33,'25a Soll-Ist Vergl. + Provision'!AM33)))</f>
        <v/>
      </c>
      <c r="CJ36" s="1163" t="str">
        <f ca="1">IF($CD$10="Januar",'25a Soll-Ist Vergl. + Provision'!G33,IF($CD$10="Februar",'25a Soll-Ist Vergl. + Provision'!R33,IF($CD$10="März",'25a Soll-Ist Vergl. + Provision'!AC33,'25a Soll-Ist Vergl. + Provision'!AN33)))</f>
        <v/>
      </c>
      <c r="CK36" s="1163">
        <f>IF($CD$10="Januar",'25a Soll-Ist Vergl. + Provision'!H33,IF($CD$10="Februar",'25a Soll-Ist Vergl. + Provision'!S33,IF($CD$10="März",'25a Soll-Ist Vergl. + Provision'!AD33,'25a Soll-Ist Vergl. + Provision'!AO33)))</f>
        <v>0</v>
      </c>
      <c r="CL36" s="1163" t="str">
        <f ca="1">IF($CD$10="Januar",'25a Soll-Ist Vergl. + Provision'!I33,IF($CD$10="Februar",'25a Soll-Ist Vergl. + Provision'!T33,IF($CD$10="März",'25a Soll-Ist Vergl. + Provision'!AE33,'25a Soll-Ist Vergl. + Provision'!AP33)))</f>
        <v/>
      </c>
      <c r="CM36" s="1163" t="str">
        <f ca="1">IF($CD$10="Januar",'25a Soll-Ist Vergl. + Provision'!J33,IF($CD$10="Februar",'25a Soll-Ist Vergl. + Provision'!U33,IF($CD$10="März",'25a Soll-Ist Vergl. + Provision'!AF33,'25a Soll-Ist Vergl. + Provision'!AQ33)))</f>
        <v/>
      </c>
      <c r="CN36" s="1163" t="str">
        <f ca="1">IF($CD$10="Januar",'25a Soll-Ist Vergl. + Provision'!K33,IF($CD$10="Februar",'25a Soll-Ist Vergl. + Provision'!V33,IF($CD$10="März",'25a Soll-Ist Vergl. + Provision'!AG33,'25a Soll-Ist Vergl. + Provision'!AR33)))</f>
        <v/>
      </c>
      <c r="CO36" s="1163" t="str">
        <f t="shared" si="65"/>
        <v>August</v>
      </c>
      <c r="CP36" s="1163">
        <f t="shared" si="66"/>
        <v>0</v>
      </c>
      <c r="CQ36" s="1163">
        <f t="shared" si="67"/>
        <v>0</v>
      </c>
      <c r="CR36" s="1163">
        <f t="shared" si="68"/>
        <v>0</v>
      </c>
      <c r="CS36" s="1163">
        <f>IF($CP$10="Mai",'25a Soll-Ist Vergl. + Provision'!AV33,IF($CP$10="Juni",'25a Soll-Ist Vergl. + Provision'!BG33,IF($CP$10="Juli",'25a Soll-Ist Vergl. + Provision'!BR33,'25a Soll-Ist Vergl. + Provision'!CC33)))</f>
        <v>0</v>
      </c>
      <c r="CT36" s="1163" t="str">
        <f ca="1">IF($CP$10="Mai",'25a Soll-Ist Vergl. + Provision'!AW33,IF($CP$10="Juni",'25a Soll-Ist Vergl. + Provision'!BH33,IF($CP$10="Juli",'25a Soll-Ist Vergl. + Provision'!BS33,'25a Soll-Ist Vergl. + Provision'!CD33)))</f>
        <v/>
      </c>
      <c r="CU36" s="1163" t="str">
        <f ca="1">IF($CP$10="Mai",'25a Soll-Ist Vergl. + Provision'!AX33,IF($CP$10="Juni",'25a Soll-Ist Vergl. + Provision'!BI33,IF($CP$10="Juli",'25a Soll-Ist Vergl. + Provision'!BT33,'25a Soll-Ist Vergl. + Provision'!CE33)))</f>
        <v/>
      </c>
      <c r="CV36" s="1163" t="str">
        <f ca="1">IF($CP$10="Mai",'25a Soll-Ist Vergl. + Provision'!AY33,IF($CP$10="Juni",'25a Soll-Ist Vergl. + Provision'!BJ33,IF($CP$10="Juli",'25a Soll-Ist Vergl. + Provision'!BU33,'25a Soll-Ist Vergl. + Provision'!CF33)))</f>
        <v/>
      </c>
      <c r="CW36" s="1163">
        <f>IF($CP$10="Mai",'25a Soll-Ist Vergl. + Provision'!AZ33,IF($CP$10="Juni",'25a Soll-Ist Vergl. + Provision'!BK33,IF($CP$10="Juli",'25a Soll-Ist Vergl. + Provision'!BV33,'25a Soll-Ist Vergl. + Provision'!CG33)))</f>
        <v>0</v>
      </c>
      <c r="CX36" s="1163" t="str">
        <f ca="1">IF($CP$10="Mai",'25a Soll-Ist Vergl. + Provision'!BA33,IF($CP$10="Juni",'25a Soll-Ist Vergl. + Provision'!BL33,IF($CP$10="Juli",'25a Soll-Ist Vergl. + Provision'!BW33,'25a Soll-Ist Vergl. + Provision'!CH33)))</f>
        <v/>
      </c>
      <c r="CY36" s="1163" t="str">
        <f ca="1">IF($CP$10="Mai",'25a Soll-Ist Vergl. + Provision'!BB33,IF($CP$10="Juni",'25a Soll-Ist Vergl. + Provision'!BM33,IF($CP$10="Juli",'25a Soll-Ist Vergl. + Provision'!BX33,'25a Soll-Ist Vergl. + Provision'!CI33)))</f>
        <v/>
      </c>
      <c r="CZ36" s="1163" t="str">
        <f ca="1">IF($CP$10="Mai",'25a Soll-Ist Vergl. + Provision'!BC33,IF($CP$10="Juni",'25a Soll-Ist Vergl. + Provision'!BN33,IF($CP$10="Juli",'25a Soll-Ist Vergl. + Provision'!BY33,'25a Soll-Ist Vergl. + Provision'!CJ33)))</f>
        <v/>
      </c>
      <c r="DA36" s="1163" t="str">
        <f t="shared" si="69"/>
        <v>Dezember</v>
      </c>
      <c r="DB36" s="1163">
        <f t="shared" si="70"/>
        <v>0</v>
      </c>
      <c r="DC36" s="1163">
        <f t="shared" si="71"/>
        <v>0</v>
      </c>
      <c r="DD36" s="1163">
        <f t="shared" si="72"/>
        <v>0</v>
      </c>
      <c r="DE36" s="1163">
        <f>IF($DB$10="September",'25a Soll-Ist Vergl. + Provision'!CN33,IF($DB$10="Oktober",'25a Soll-Ist Vergl. + Provision'!CY33,IF($DB$10="November",'25a Soll-Ist Vergl. + Provision'!DJ33,'25a Soll-Ist Vergl. + Provision'!DU33)))</f>
        <v>0</v>
      </c>
      <c r="DF36" s="1163" t="str">
        <f ca="1">IF($DB$10="September",'25a Soll-Ist Vergl. + Provision'!CO33,IF($DB$10="Oktober",'25a Soll-Ist Vergl. + Provision'!CZ33,IF($DB$10="November",'25a Soll-Ist Vergl. + Provision'!DK33,'25a Soll-Ist Vergl. + Provision'!DV33)))</f>
        <v/>
      </c>
      <c r="DG36" s="1163" t="str">
        <f ca="1">IF($DB$10="September",'25a Soll-Ist Vergl. + Provision'!CP33,IF($DB$10="Oktober",'25a Soll-Ist Vergl. + Provision'!DA33,IF($DB$10="November",'25a Soll-Ist Vergl. + Provision'!DL33,'25a Soll-Ist Vergl. + Provision'!DW33)))</f>
        <v/>
      </c>
      <c r="DH36" s="1163" t="str">
        <f ca="1">IF($DB$10="September",'25a Soll-Ist Vergl. + Provision'!CQ33,IF($DB$10="Oktober",'25a Soll-Ist Vergl. + Provision'!DB33,IF($DB$10="November",'25a Soll-Ist Vergl. + Provision'!DM33,'25a Soll-Ist Vergl. + Provision'!DX33)))</f>
        <v/>
      </c>
      <c r="DI36" s="1163">
        <f>IF($DB$10="September",'25a Soll-Ist Vergl. + Provision'!CR33,IF($DB$10="Oktober",'25a Soll-Ist Vergl. + Provision'!DC33,IF($DB$10="November",'25a Soll-Ist Vergl. + Provision'!DN33,'25a Soll-Ist Vergl. + Provision'!DY33)))</f>
        <v>0</v>
      </c>
      <c r="DJ36" s="1163" t="str">
        <f ca="1">IF($DB$10="September",'25a Soll-Ist Vergl. + Provision'!CS33,IF($DB$10="Oktober",'25a Soll-Ist Vergl. + Provision'!DD33,IF($DB$10="November",'25a Soll-Ist Vergl. + Provision'!DO33,'25a Soll-Ist Vergl. + Provision'!DZ33)))</f>
        <v/>
      </c>
      <c r="DK36" s="1163" t="str">
        <f ca="1">IF($DB$10="September",'25a Soll-Ist Vergl. + Provision'!CT33,IF($DB$10="Oktober",'25a Soll-Ist Vergl. + Provision'!DE33,IF($DB$10="November",'25a Soll-Ist Vergl. + Provision'!DP33,'25a Soll-Ist Vergl. + Provision'!EA33)))</f>
        <v/>
      </c>
      <c r="DL36" s="1163" t="str">
        <f ca="1">IF($DB$10="September",'25a Soll-Ist Vergl. + Provision'!CU33,IF($DB$10="Oktober",'25a Soll-Ist Vergl. + Provision'!DF33,IF($DB$10="November",'25a Soll-Ist Vergl. + Provision'!DQ33,'25a Soll-Ist Vergl. + Provision'!EB33)))</f>
        <v/>
      </c>
      <c r="DM36" s="1163" t="str">
        <f t="shared" si="73"/>
        <v>Januar</v>
      </c>
      <c r="DN36" s="1163">
        <f t="shared" si="74"/>
        <v>0</v>
      </c>
      <c r="DO36" s="1163">
        <f t="shared" si="75"/>
        <v>0</v>
      </c>
      <c r="DP36" s="1163">
        <f t="shared" si="76"/>
        <v>0</v>
      </c>
      <c r="DQ36" s="1163">
        <f t="shared" si="77"/>
        <v>0</v>
      </c>
      <c r="DR36" s="1163" t="str">
        <f t="shared" ca="1" si="78"/>
        <v/>
      </c>
      <c r="DS36" s="1163" t="str">
        <f t="shared" ca="1" si="79"/>
        <v/>
      </c>
      <c r="DT36" s="1163" t="str">
        <f t="shared" ca="1" si="80"/>
        <v/>
      </c>
      <c r="DU36" s="1163">
        <f t="shared" si="81"/>
        <v>0</v>
      </c>
      <c r="DV36" s="1163" t="str">
        <f t="shared" ca="1" si="82"/>
        <v/>
      </c>
      <c r="DW36" s="1163" t="str">
        <f t="shared" ca="1" si="83"/>
        <v/>
      </c>
      <c r="DX36" s="1163" t="str">
        <f t="shared" ca="1" si="84"/>
        <v/>
      </c>
      <c r="DY36" s="267"/>
      <c r="DZ36" s="3239">
        <f>'4 Eingabe Friseure'!L33</f>
        <v>0</v>
      </c>
      <c r="EA36" s="3239"/>
      <c r="EB36" s="3239">
        <f>IF($DZ36=12,1,'4 Eingabe Friseure'!N33)</f>
        <v>0</v>
      </c>
      <c r="EC36" s="3239">
        <f>IF($DZ36=12,1,'4 Eingabe Friseure'!O33)</f>
        <v>0</v>
      </c>
      <c r="ED36" s="3239">
        <f>IF($DZ36=12,1,'4 Eingabe Friseure'!P33)</f>
        <v>0</v>
      </c>
      <c r="EE36" s="3239">
        <f>IF($DZ36=12,1,'4 Eingabe Friseure'!Q33)</f>
        <v>0</v>
      </c>
      <c r="EF36" s="3239">
        <f>IF($DZ36=12,1,'4 Eingabe Friseure'!R33)</f>
        <v>0</v>
      </c>
      <c r="EG36" s="3239">
        <f>IF($DZ36=12,1,'4 Eingabe Friseure'!S33)</f>
        <v>0</v>
      </c>
      <c r="EH36" s="3239">
        <f>IF($DZ36=12,1,'4 Eingabe Friseure'!T33)</f>
        <v>0</v>
      </c>
      <c r="EI36" s="3239">
        <f>IF($DZ36=12,1,'4 Eingabe Friseure'!U33)</f>
        <v>0</v>
      </c>
      <c r="EJ36" s="3239">
        <f>IF($DZ36=12,1,'4 Eingabe Friseure'!V33)</f>
        <v>0</v>
      </c>
      <c r="EK36" s="3239">
        <f>IF($DZ36=12,1,'4 Eingabe Friseure'!W33)</f>
        <v>0</v>
      </c>
      <c r="EL36" s="3239">
        <f>IF($DZ36=12,1,'4 Eingabe Friseure'!X33)</f>
        <v>0</v>
      </c>
      <c r="EM36" s="3239">
        <f>IF($DZ36=12,1,'4 Eingabe Friseure'!Y33)</f>
        <v>0</v>
      </c>
    </row>
    <row r="37" spans="1:143" ht="18" customHeight="1">
      <c r="A37" s="2740" t="str">
        <f ca="1">IF('22 Sollumsatz pro MA '!A37="","",'22 Sollumsatz pro MA '!A37)</f>
        <v/>
      </c>
      <c r="B37" s="1945"/>
      <c r="C37" s="1984"/>
      <c r="D37" s="1957"/>
      <c r="E37" s="2097" t="str">
        <f ca="1">IF($A37="","",IF(EB37=0,"",'23 LF individuell'!$AG35*$B37))</f>
        <v/>
      </c>
      <c r="F37" s="2100" t="str">
        <f ca="1">IF($A37="","",IF(EB37=0,"",'23 LF individuell'!$AH35*$B37))</f>
        <v/>
      </c>
      <c r="G37" s="2101" t="str">
        <f ca="1">IF($A37="","",IF(EB37=0,"",'23 LF individuell'!$AI35*$B37))</f>
        <v/>
      </c>
      <c r="H37" s="2003"/>
      <c r="I37" s="2021"/>
      <c r="J37" s="2005"/>
      <c r="K37" s="2006" t="str">
        <f ca="1">IF($A37="","",IF(EC37=0,"",'23 LF individuell'!$AG35*H37))</f>
        <v/>
      </c>
      <c r="L37" s="2007" t="str">
        <f ca="1">IF($A37="","",IF(EC37=0,"",'23 LF individuell'!$AH35*H37))</f>
        <v/>
      </c>
      <c r="M37" s="2008" t="str">
        <f ca="1">IF($A37="","",IF(EC37=0,"",'23 LF individuell'!$AI35*H37))</f>
        <v/>
      </c>
      <c r="N37" s="2003"/>
      <c r="O37" s="2021"/>
      <c r="P37" s="2005"/>
      <c r="Q37" s="2097" t="str">
        <f ca="1">IF($A37="","",IF(ED37=0,"",'23 LF individuell'!$AG35*N37))</f>
        <v/>
      </c>
      <c r="R37" s="2098" t="str">
        <f ca="1">IF($A37="","",IF(ED37=0,"",'23 LF individuell'!$AH35*N37))</f>
        <v/>
      </c>
      <c r="S37" s="2099" t="str">
        <f ca="1">IF($A37="","",IF(ED37=0,"",'23 LF individuell'!$AI35*N37))</f>
        <v/>
      </c>
      <c r="T37" s="2003"/>
      <c r="U37" s="2021"/>
      <c r="V37" s="2005"/>
      <c r="W37" s="2006" t="str">
        <f ca="1">IF($A37="","",IF(EE37=0,"",'23 LF individuell'!$AG35*T37))</f>
        <v/>
      </c>
      <c r="X37" s="2007" t="str">
        <f ca="1">IF($A37="","",IF(EE37=0,"",'23 LF individuell'!$AH35*T37))</f>
        <v/>
      </c>
      <c r="Y37" s="2008" t="str">
        <f ca="1">IF($A37="","",IF(EE37=0,"",'23 LF individuell'!$AI35*T37))</f>
        <v/>
      </c>
      <c r="Z37" s="2003"/>
      <c r="AA37" s="2021"/>
      <c r="AB37" s="2005"/>
      <c r="AC37" s="2097" t="str">
        <f ca="1">IF($A37="","",IF(EF37=0,"",'23 LF individuell'!$AG35*Z37))</f>
        <v/>
      </c>
      <c r="AD37" s="2098" t="str">
        <f ca="1">IF($A37="","",IF(EF37=0,"",'23 LF individuell'!$AH35*Z37))</f>
        <v/>
      </c>
      <c r="AE37" s="2099" t="str">
        <f ca="1">IF($A37="","",IF(EF37=0,"",'23 LF individuell'!$AI35*Z37))</f>
        <v/>
      </c>
      <c r="AF37" s="2003"/>
      <c r="AG37" s="2021"/>
      <c r="AH37" s="2005"/>
      <c r="AI37" s="2006" t="str">
        <f ca="1">IF($A37="","",IF(EG37=0,"",'23 LF individuell'!$AG35*AF37))</f>
        <v/>
      </c>
      <c r="AJ37" s="2007" t="str">
        <f ca="1">IF($A37="","",IF(EG37=0,"",'23 LF individuell'!$AH35*AF37))</f>
        <v/>
      </c>
      <c r="AK37" s="2008" t="str">
        <f ca="1">IF($A37="","",IF(EG37=0,"",'23 LF individuell'!$AI35*AF37))</f>
        <v/>
      </c>
      <c r="AL37" s="2003"/>
      <c r="AM37" s="2021"/>
      <c r="AN37" s="2005"/>
      <c r="AO37" s="2097" t="str">
        <f ca="1">IF($A37="","",IF(EH37=0,"",'23 LF individuell'!$AG35*AL37))</f>
        <v/>
      </c>
      <c r="AP37" s="2098" t="str">
        <f ca="1">IF($A37="","",IF(EH37=0,"",'23 LF individuell'!$AH35*AL37))</f>
        <v/>
      </c>
      <c r="AQ37" s="2099" t="str">
        <f ca="1">IF($A37="","",IF(EH37=0,"",'23 LF individuell'!$AI35*AL37))</f>
        <v/>
      </c>
      <c r="AR37" s="2003"/>
      <c r="AS37" s="2021"/>
      <c r="AT37" s="2005"/>
      <c r="AU37" s="2006" t="str">
        <f ca="1">IF($A37="","",IF(EI37=0,"",'23 LF individuell'!$AG35*AR37))</f>
        <v/>
      </c>
      <c r="AV37" s="2007" t="str">
        <f ca="1">IF($A37="","",IF(EI37=0,"",'23 LF individuell'!$AH35*AR37))</f>
        <v/>
      </c>
      <c r="AW37" s="2008" t="str">
        <f ca="1">IF($A37="","",IF(EI37=0,"",'23 LF individuell'!$AI35*AR37))</f>
        <v/>
      </c>
      <c r="AX37" s="2003"/>
      <c r="AY37" s="2021"/>
      <c r="AZ37" s="2005"/>
      <c r="BA37" s="2097" t="str">
        <f ca="1">IF($A37="","",IF(EJ37=0,"",'23 LF individuell'!$AG35*AX37))</f>
        <v/>
      </c>
      <c r="BB37" s="2098" t="str">
        <f ca="1">IF($A37="","",IF(EJ37=0,"",'23 LF individuell'!$AH35*AX37))</f>
        <v/>
      </c>
      <c r="BC37" s="2099" t="str">
        <f ca="1">IF($A37="","",IF(EJ37=0,"",'23 LF individuell'!$AI35*AX37))</f>
        <v/>
      </c>
      <c r="BD37" s="2003"/>
      <c r="BE37" s="2021"/>
      <c r="BF37" s="2005"/>
      <c r="BG37" s="2006" t="str">
        <f ca="1">IF($A37="","",IF(EK37=0,"",'23 LF individuell'!$AG35*BD37))</f>
        <v/>
      </c>
      <c r="BH37" s="2007" t="str">
        <f ca="1">IF($A37="","",IF(EK37=0,"",'23 LF individuell'!$AH35*BD37))</f>
        <v/>
      </c>
      <c r="BI37" s="2008" t="str">
        <f ca="1">IF($A37="","",IF(EK37=0,"",'23 LF individuell'!$AI35*BD37))</f>
        <v/>
      </c>
      <c r="BJ37" s="2003"/>
      <c r="BK37" s="2021"/>
      <c r="BL37" s="2005"/>
      <c r="BM37" s="2097" t="str">
        <f ca="1">IF($A37="","",IF(EL37=0,"",'23 LF individuell'!$AG35*BJ37))</f>
        <v/>
      </c>
      <c r="BN37" s="2098" t="str">
        <f ca="1">IF($A37="","",IF(EL37=0,"",'23 LF individuell'!$AH35*BJ37))</f>
        <v/>
      </c>
      <c r="BO37" s="2099" t="str">
        <f ca="1">IF($A37="","",IF(EL37=0,"",'23 LF individuell'!$AI35*BJ37))</f>
        <v/>
      </c>
      <c r="BP37" s="2003"/>
      <c r="BQ37" s="2021"/>
      <c r="BR37" s="2005"/>
      <c r="BS37" s="2006" t="str">
        <f ca="1">IF($A37="","",IF(EM37=0,"",'23 LF individuell'!$AG35*BP37))</f>
        <v/>
      </c>
      <c r="BT37" s="2007" t="str">
        <f ca="1">IF($A37="","",IF(EM37=0,"",'23 LF individuell'!$AH35*BP37))</f>
        <v/>
      </c>
      <c r="BU37" s="2008" t="str">
        <f ca="1">IF($A37="","",IF(EM37=0,"",'23 LF individuell'!$AI35*BP37))</f>
        <v/>
      </c>
      <c r="BV37" s="2044" t="str">
        <f t="shared" ca="1" si="85"/>
        <v/>
      </c>
      <c r="BW37" s="2044" t="str">
        <f t="shared" ca="1" si="86"/>
        <v/>
      </c>
      <c r="BX37" s="2044" t="str">
        <f t="shared" ca="1" si="87"/>
        <v/>
      </c>
      <c r="BY37" s="2049" t="str">
        <f t="shared" ca="1" si="57"/>
        <v/>
      </c>
      <c r="BZ37" s="2049" t="str">
        <f t="shared" ca="1" si="58"/>
        <v/>
      </c>
      <c r="CA37" s="2049" t="str">
        <f t="shared" ca="1" si="59"/>
        <v/>
      </c>
      <c r="CB37" s="2116" t="str">
        <f t="shared" ca="1" si="88"/>
        <v/>
      </c>
      <c r="CC37" s="1163" t="str">
        <f t="shared" si="61"/>
        <v>Januar</v>
      </c>
      <c r="CD37" s="1163">
        <f t="shared" si="62"/>
        <v>0</v>
      </c>
      <c r="CE37" s="1163">
        <f t="shared" si="63"/>
        <v>0</v>
      </c>
      <c r="CF37" s="1163">
        <f t="shared" si="64"/>
        <v>0</v>
      </c>
      <c r="CG37" s="1163">
        <f>IF($CD$10="Januar",'25a Soll-Ist Vergl. + Provision'!D34,IF($CD$10="Februar",'25a Soll-Ist Vergl. + Provision'!O34,IF($CD$10="März",'25a Soll-Ist Vergl. + Provision'!Z34,'25a Soll-Ist Vergl. + Provision'!AK34)))</f>
        <v>0</v>
      </c>
      <c r="CH37" s="1163" t="str">
        <f ca="1">IF($CD$10="Januar",'25a Soll-Ist Vergl. + Provision'!E34,IF($CD$10="Februar",'25a Soll-Ist Vergl. + Provision'!P34,IF($CD$10="März",'25a Soll-Ist Vergl. + Provision'!AA34,'25a Soll-Ist Vergl. + Provision'!AL34)))</f>
        <v/>
      </c>
      <c r="CI37" s="1163" t="str">
        <f ca="1">IF($CD$10="Januar",'25a Soll-Ist Vergl. + Provision'!F34,IF($CD$10="Februar",'25a Soll-Ist Vergl. + Provision'!Q34,IF($CD$10="März",'25a Soll-Ist Vergl. + Provision'!AB34,'25a Soll-Ist Vergl. + Provision'!AM34)))</f>
        <v/>
      </c>
      <c r="CJ37" s="1163" t="str">
        <f ca="1">IF($CD$10="Januar",'25a Soll-Ist Vergl. + Provision'!G34,IF($CD$10="Februar",'25a Soll-Ist Vergl. + Provision'!R34,IF($CD$10="März",'25a Soll-Ist Vergl. + Provision'!AC34,'25a Soll-Ist Vergl. + Provision'!AN34)))</f>
        <v/>
      </c>
      <c r="CK37" s="1163">
        <f>IF($CD$10="Januar",'25a Soll-Ist Vergl. + Provision'!H34,IF($CD$10="Februar",'25a Soll-Ist Vergl. + Provision'!S34,IF($CD$10="März",'25a Soll-Ist Vergl. + Provision'!AD34,'25a Soll-Ist Vergl. + Provision'!AO34)))</f>
        <v>0</v>
      </c>
      <c r="CL37" s="1163" t="str">
        <f ca="1">IF($CD$10="Januar",'25a Soll-Ist Vergl. + Provision'!I34,IF($CD$10="Februar",'25a Soll-Ist Vergl. + Provision'!T34,IF($CD$10="März",'25a Soll-Ist Vergl. + Provision'!AE34,'25a Soll-Ist Vergl. + Provision'!AP34)))</f>
        <v/>
      </c>
      <c r="CM37" s="1163" t="str">
        <f ca="1">IF($CD$10="Januar",'25a Soll-Ist Vergl. + Provision'!J34,IF($CD$10="Februar",'25a Soll-Ist Vergl. + Provision'!U34,IF($CD$10="März",'25a Soll-Ist Vergl. + Provision'!AF34,'25a Soll-Ist Vergl. + Provision'!AQ34)))</f>
        <v/>
      </c>
      <c r="CN37" s="1163" t="str">
        <f ca="1">IF($CD$10="Januar",'25a Soll-Ist Vergl. + Provision'!K34,IF($CD$10="Februar",'25a Soll-Ist Vergl. + Provision'!V34,IF($CD$10="März",'25a Soll-Ist Vergl. + Provision'!AG34,'25a Soll-Ist Vergl. + Provision'!AR34)))</f>
        <v/>
      </c>
      <c r="CO37" s="1163" t="str">
        <f t="shared" si="65"/>
        <v>August</v>
      </c>
      <c r="CP37" s="1163">
        <f t="shared" si="66"/>
        <v>0</v>
      </c>
      <c r="CQ37" s="1163">
        <f t="shared" si="67"/>
        <v>0</v>
      </c>
      <c r="CR37" s="1163">
        <f t="shared" si="68"/>
        <v>0</v>
      </c>
      <c r="CS37" s="1163">
        <f>IF($CP$10="Mai",'25a Soll-Ist Vergl. + Provision'!AV34,IF($CP$10="Juni",'25a Soll-Ist Vergl. + Provision'!BG34,IF($CP$10="Juli",'25a Soll-Ist Vergl. + Provision'!BR34,'25a Soll-Ist Vergl. + Provision'!CC34)))</f>
        <v>0</v>
      </c>
      <c r="CT37" s="1163" t="str">
        <f ca="1">IF($CP$10="Mai",'25a Soll-Ist Vergl. + Provision'!AW34,IF($CP$10="Juni",'25a Soll-Ist Vergl. + Provision'!BH34,IF($CP$10="Juli",'25a Soll-Ist Vergl. + Provision'!BS34,'25a Soll-Ist Vergl. + Provision'!CD34)))</f>
        <v/>
      </c>
      <c r="CU37" s="1163" t="str">
        <f ca="1">IF($CP$10="Mai",'25a Soll-Ist Vergl. + Provision'!AX34,IF($CP$10="Juni",'25a Soll-Ist Vergl. + Provision'!BI34,IF($CP$10="Juli",'25a Soll-Ist Vergl. + Provision'!BT34,'25a Soll-Ist Vergl. + Provision'!CE34)))</f>
        <v/>
      </c>
      <c r="CV37" s="1163" t="str">
        <f ca="1">IF($CP$10="Mai",'25a Soll-Ist Vergl. + Provision'!AY34,IF($CP$10="Juni",'25a Soll-Ist Vergl. + Provision'!BJ34,IF($CP$10="Juli",'25a Soll-Ist Vergl. + Provision'!BU34,'25a Soll-Ist Vergl. + Provision'!CF34)))</f>
        <v/>
      </c>
      <c r="CW37" s="1163">
        <f>IF($CP$10="Mai",'25a Soll-Ist Vergl. + Provision'!AZ34,IF($CP$10="Juni",'25a Soll-Ist Vergl. + Provision'!BK34,IF($CP$10="Juli",'25a Soll-Ist Vergl. + Provision'!BV34,'25a Soll-Ist Vergl. + Provision'!CG34)))</f>
        <v>0</v>
      </c>
      <c r="CX37" s="1163" t="str">
        <f ca="1">IF($CP$10="Mai",'25a Soll-Ist Vergl. + Provision'!BA34,IF($CP$10="Juni",'25a Soll-Ist Vergl. + Provision'!BL34,IF($CP$10="Juli",'25a Soll-Ist Vergl. + Provision'!BW34,'25a Soll-Ist Vergl. + Provision'!CH34)))</f>
        <v/>
      </c>
      <c r="CY37" s="1163" t="str">
        <f ca="1">IF($CP$10="Mai",'25a Soll-Ist Vergl. + Provision'!BB34,IF($CP$10="Juni",'25a Soll-Ist Vergl. + Provision'!BM34,IF($CP$10="Juli",'25a Soll-Ist Vergl. + Provision'!BX34,'25a Soll-Ist Vergl. + Provision'!CI34)))</f>
        <v/>
      </c>
      <c r="CZ37" s="1163" t="str">
        <f ca="1">IF($CP$10="Mai",'25a Soll-Ist Vergl. + Provision'!BC34,IF($CP$10="Juni",'25a Soll-Ist Vergl. + Provision'!BN34,IF($CP$10="Juli",'25a Soll-Ist Vergl. + Provision'!BY34,'25a Soll-Ist Vergl. + Provision'!CJ34)))</f>
        <v/>
      </c>
      <c r="DA37" s="1163" t="str">
        <f t="shared" si="69"/>
        <v>Dezember</v>
      </c>
      <c r="DB37" s="1163">
        <f t="shared" si="70"/>
        <v>0</v>
      </c>
      <c r="DC37" s="1163">
        <f t="shared" si="71"/>
        <v>0</v>
      </c>
      <c r="DD37" s="1163">
        <f t="shared" si="72"/>
        <v>0</v>
      </c>
      <c r="DE37" s="1163">
        <f>IF($DB$10="September",'25a Soll-Ist Vergl. + Provision'!CN34,IF($DB$10="Oktober",'25a Soll-Ist Vergl. + Provision'!CY34,IF($DB$10="November",'25a Soll-Ist Vergl. + Provision'!DJ34,'25a Soll-Ist Vergl. + Provision'!DU34)))</f>
        <v>0</v>
      </c>
      <c r="DF37" s="1163" t="str">
        <f ca="1">IF($DB$10="September",'25a Soll-Ist Vergl. + Provision'!CO34,IF($DB$10="Oktober",'25a Soll-Ist Vergl. + Provision'!CZ34,IF($DB$10="November",'25a Soll-Ist Vergl. + Provision'!DK34,'25a Soll-Ist Vergl. + Provision'!DV34)))</f>
        <v/>
      </c>
      <c r="DG37" s="1163" t="str">
        <f ca="1">IF($DB$10="September",'25a Soll-Ist Vergl. + Provision'!CP34,IF($DB$10="Oktober",'25a Soll-Ist Vergl. + Provision'!DA34,IF($DB$10="November",'25a Soll-Ist Vergl. + Provision'!DL34,'25a Soll-Ist Vergl. + Provision'!DW34)))</f>
        <v/>
      </c>
      <c r="DH37" s="1163" t="str">
        <f ca="1">IF($DB$10="September",'25a Soll-Ist Vergl. + Provision'!CQ34,IF($DB$10="Oktober",'25a Soll-Ist Vergl. + Provision'!DB34,IF($DB$10="November",'25a Soll-Ist Vergl. + Provision'!DM34,'25a Soll-Ist Vergl. + Provision'!DX34)))</f>
        <v/>
      </c>
      <c r="DI37" s="1163">
        <f>IF($DB$10="September",'25a Soll-Ist Vergl. + Provision'!CR34,IF($DB$10="Oktober",'25a Soll-Ist Vergl. + Provision'!DC34,IF($DB$10="November",'25a Soll-Ist Vergl. + Provision'!DN34,'25a Soll-Ist Vergl. + Provision'!DY34)))</f>
        <v>0</v>
      </c>
      <c r="DJ37" s="1163" t="str">
        <f ca="1">IF($DB$10="September",'25a Soll-Ist Vergl. + Provision'!CS34,IF($DB$10="Oktober",'25a Soll-Ist Vergl. + Provision'!DD34,IF($DB$10="November",'25a Soll-Ist Vergl. + Provision'!DO34,'25a Soll-Ist Vergl. + Provision'!DZ34)))</f>
        <v/>
      </c>
      <c r="DK37" s="1163" t="str">
        <f ca="1">IF($DB$10="September",'25a Soll-Ist Vergl. + Provision'!CT34,IF($DB$10="Oktober",'25a Soll-Ist Vergl. + Provision'!DE34,IF($DB$10="November",'25a Soll-Ist Vergl. + Provision'!DP34,'25a Soll-Ist Vergl. + Provision'!EA34)))</f>
        <v/>
      </c>
      <c r="DL37" s="1163" t="str">
        <f ca="1">IF($DB$10="September",'25a Soll-Ist Vergl. + Provision'!CU34,IF($DB$10="Oktober",'25a Soll-Ist Vergl. + Provision'!DF34,IF($DB$10="November",'25a Soll-Ist Vergl. + Provision'!DQ34,'25a Soll-Ist Vergl. + Provision'!EB34)))</f>
        <v/>
      </c>
      <c r="DM37" s="1163" t="str">
        <f t="shared" si="73"/>
        <v>Januar</v>
      </c>
      <c r="DN37" s="1163">
        <f t="shared" si="74"/>
        <v>0</v>
      </c>
      <c r="DO37" s="1163">
        <f t="shared" si="75"/>
        <v>0</v>
      </c>
      <c r="DP37" s="1163">
        <f t="shared" si="76"/>
        <v>0</v>
      </c>
      <c r="DQ37" s="1163">
        <f t="shared" si="77"/>
        <v>0</v>
      </c>
      <c r="DR37" s="1163" t="str">
        <f t="shared" ca="1" si="78"/>
        <v/>
      </c>
      <c r="DS37" s="1163" t="str">
        <f t="shared" ca="1" si="79"/>
        <v/>
      </c>
      <c r="DT37" s="1163" t="str">
        <f t="shared" ca="1" si="80"/>
        <v/>
      </c>
      <c r="DU37" s="1163">
        <f t="shared" si="81"/>
        <v>0</v>
      </c>
      <c r="DV37" s="1163" t="str">
        <f t="shared" ca="1" si="82"/>
        <v/>
      </c>
      <c r="DW37" s="1163" t="str">
        <f t="shared" ca="1" si="83"/>
        <v/>
      </c>
      <c r="DX37" s="1163" t="str">
        <f t="shared" ca="1" si="84"/>
        <v/>
      </c>
      <c r="DY37" s="267"/>
      <c r="DZ37" s="3239">
        <f>'4 Eingabe Friseure'!L34</f>
        <v>0</v>
      </c>
      <c r="EA37" s="3239"/>
      <c r="EB37" s="3239">
        <f>IF($DZ37=12,1,'4 Eingabe Friseure'!N34)</f>
        <v>0</v>
      </c>
      <c r="EC37" s="3239">
        <f>IF($DZ37=12,1,'4 Eingabe Friseure'!O34)</f>
        <v>0</v>
      </c>
      <c r="ED37" s="3239">
        <f>IF($DZ37=12,1,'4 Eingabe Friseure'!P34)</f>
        <v>0</v>
      </c>
      <c r="EE37" s="3239">
        <f>IF($DZ37=12,1,'4 Eingabe Friseure'!Q34)</f>
        <v>0</v>
      </c>
      <c r="EF37" s="3239">
        <f>IF($DZ37=12,1,'4 Eingabe Friseure'!R34)</f>
        <v>0</v>
      </c>
      <c r="EG37" s="3239">
        <f>IF($DZ37=12,1,'4 Eingabe Friseure'!S34)</f>
        <v>0</v>
      </c>
      <c r="EH37" s="3239">
        <f>IF($DZ37=12,1,'4 Eingabe Friseure'!T34)</f>
        <v>0</v>
      </c>
      <c r="EI37" s="3239">
        <f>IF($DZ37=12,1,'4 Eingabe Friseure'!U34)</f>
        <v>0</v>
      </c>
      <c r="EJ37" s="3239">
        <f>IF($DZ37=12,1,'4 Eingabe Friseure'!V34)</f>
        <v>0</v>
      </c>
      <c r="EK37" s="3239">
        <f>IF($DZ37=12,1,'4 Eingabe Friseure'!W34)</f>
        <v>0</v>
      </c>
      <c r="EL37" s="3239">
        <f>IF($DZ37=12,1,'4 Eingabe Friseure'!X34)</f>
        <v>0</v>
      </c>
      <c r="EM37" s="3239">
        <f>IF($DZ37=12,1,'4 Eingabe Friseure'!Y34)</f>
        <v>0</v>
      </c>
    </row>
    <row r="38" spans="1:143" ht="18" customHeight="1">
      <c r="A38" s="2740" t="str">
        <f ca="1">IF('22 Sollumsatz pro MA '!A38="","",'22 Sollumsatz pro MA '!A38)</f>
        <v/>
      </c>
      <c r="B38" s="1945"/>
      <c r="C38" s="1984"/>
      <c r="D38" s="1957"/>
      <c r="E38" s="2097" t="str">
        <f ca="1">IF($A38="","",IF(EB38=0,"",'23 LF individuell'!$AG36*$B38))</f>
        <v/>
      </c>
      <c r="F38" s="2100" t="str">
        <f ca="1">IF($A38="","",IF(EB38=0,"",'23 LF individuell'!$AH36*$B38))</f>
        <v/>
      </c>
      <c r="G38" s="2101" t="str">
        <f ca="1">IF($A38="","",IF(EB38=0,"",'23 LF individuell'!$AI36*$B38))</f>
        <v/>
      </c>
      <c r="H38" s="2003"/>
      <c r="I38" s="2021"/>
      <c r="J38" s="2005"/>
      <c r="K38" s="2006" t="str">
        <f ca="1">IF($A38="","",IF(EC38=0,"",'23 LF individuell'!$AG36*H38))</f>
        <v/>
      </c>
      <c r="L38" s="2007" t="str">
        <f ca="1">IF($A38="","",IF(EC38=0,"",'23 LF individuell'!$AH36*H38))</f>
        <v/>
      </c>
      <c r="M38" s="2008" t="str">
        <f ca="1">IF($A38="","",IF(EC38=0,"",'23 LF individuell'!$AI36*H38))</f>
        <v/>
      </c>
      <c r="N38" s="2003"/>
      <c r="O38" s="2021"/>
      <c r="P38" s="2005"/>
      <c r="Q38" s="2097" t="str">
        <f ca="1">IF($A38="","",IF(ED38=0,"",'23 LF individuell'!$AG36*N38))</f>
        <v/>
      </c>
      <c r="R38" s="2098" t="str">
        <f ca="1">IF($A38="","",IF(ED38=0,"",'23 LF individuell'!$AH36*N38))</f>
        <v/>
      </c>
      <c r="S38" s="2099" t="str">
        <f ca="1">IF($A38="","",IF(ED38=0,"",'23 LF individuell'!$AI36*N38))</f>
        <v/>
      </c>
      <c r="T38" s="2003"/>
      <c r="U38" s="2021"/>
      <c r="V38" s="2005"/>
      <c r="W38" s="2006" t="str">
        <f ca="1">IF($A38="","",IF(EE38=0,"",'23 LF individuell'!$AG36*T38))</f>
        <v/>
      </c>
      <c r="X38" s="2007" t="str">
        <f ca="1">IF($A38="","",IF(EE38=0,"",'23 LF individuell'!$AH36*T38))</f>
        <v/>
      </c>
      <c r="Y38" s="2008" t="str">
        <f ca="1">IF($A38="","",IF(EE38=0,"",'23 LF individuell'!$AI36*T38))</f>
        <v/>
      </c>
      <c r="Z38" s="2003"/>
      <c r="AA38" s="2021"/>
      <c r="AB38" s="2005"/>
      <c r="AC38" s="2097" t="str">
        <f ca="1">IF($A38="","",IF(EF38=0,"",'23 LF individuell'!$AG36*Z38))</f>
        <v/>
      </c>
      <c r="AD38" s="2098" t="str">
        <f ca="1">IF($A38="","",IF(EF38=0,"",'23 LF individuell'!$AH36*Z38))</f>
        <v/>
      </c>
      <c r="AE38" s="2099" t="str">
        <f ca="1">IF($A38="","",IF(EF38=0,"",'23 LF individuell'!$AI36*Z38))</f>
        <v/>
      </c>
      <c r="AF38" s="2003"/>
      <c r="AG38" s="2021"/>
      <c r="AH38" s="2005"/>
      <c r="AI38" s="2006" t="str">
        <f ca="1">IF($A38="","",IF(EG38=0,"",'23 LF individuell'!$AG36*AF38))</f>
        <v/>
      </c>
      <c r="AJ38" s="2007" t="str">
        <f ca="1">IF($A38="","",IF(EG38=0,"",'23 LF individuell'!$AH36*AF38))</f>
        <v/>
      </c>
      <c r="AK38" s="2008" t="str">
        <f ca="1">IF($A38="","",IF(EG38=0,"",'23 LF individuell'!$AI36*AF38))</f>
        <v/>
      </c>
      <c r="AL38" s="2003"/>
      <c r="AM38" s="2021"/>
      <c r="AN38" s="2005"/>
      <c r="AO38" s="2097" t="str">
        <f ca="1">IF($A38="","",IF(EH38=0,"",'23 LF individuell'!$AG36*AL38))</f>
        <v/>
      </c>
      <c r="AP38" s="2098" t="str">
        <f ca="1">IF($A38="","",IF(EH38=0,"",'23 LF individuell'!$AH36*AL38))</f>
        <v/>
      </c>
      <c r="AQ38" s="2099" t="str">
        <f ca="1">IF($A38="","",IF(EH38=0,"",'23 LF individuell'!$AI36*AL38))</f>
        <v/>
      </c>
      <c r="AR38" s="2003"/>
      <c r="AS38" s="2021"/>
      <c r="AT38" s="2005"/>
      <c r="AU38" s="2006" t="str">
        <f ca="1">IF($A38="","",IF(EI38=0,"",'23 LF individuell'!$AG36*AR38))</f>
        <v/>
      </c>
      <c r="AV38" s="2007" t="str">
        <f ca="1">IF($A38="","",IF(EI38=0,"",'23 LF individuell'!$AH36*AR38))</f>
        <v/>
      </c>
      <c r="AW38" s="2008" t="str">
        <f ca="1">IF($A38="","",IF(EI38=0,"",'23 LF individuell'!$AI36*AR38))</f>
        <v/>
      </c>
      <c r="AX38" s="2003"/>
      <c r="AY38" s="2021"/>
      <c r="AZ38" s="2005"/>
      <c r="BA38" s="2097" t="str">
        <f ca="1">IF($A38="","",IF(EJ38=0,"",'23 LF individuell'!$AG36*AX38))</f>
        <v/>
      </c>
      <c r="BB38" s="2098" t="str">
        <f ca="1">IF($A38="","",IF(EJ38=0,"",'23 LF individuell'!$AH36*AX38))</f>
        <v/>
      </c>
      <c r="BC38" s="2099" t="str">
        <f ca="1">IF($A38="","",IF(EJ38=0,"",'23 LF individuell'!$AI36*AX38))</f>
        <v/>
      </c>
      <c r="BD38" s="2003"/>
      <c r="BE38" s="2021"/>
      <c r="BF38" s="2005"/>
      <c r="BG38" s="2006" t="str">
        <f ca="1">IF($A38="","",IF(EK38=0,"",'23 LF individuell'!$AG36*BD38))</f>
        <v/>
      </c>
      <c r="BH38" s="2007" t="str">
        <f ca="1">IF($A38="","",IF(EK38=0,"",'23 LF individuell'!$AH36*BD38))</f>
        <v/>
      </c>
      <c r="BI38" s="2008" t="str">
        <f ca="1">IF($A38="","",IF(EK38=0,"",'23 LF individuell'!$AI36*BD38))</f>
        <v/>
      </c>
      <c r="BJ38" s="2003"/>
      <c r="BK38" s="2021"/>
      <c r="BL38" s="2005"/>
      <c r="BM38" s="2097" t="str">
        <f ca="1">IF($A38="","",IF(EL38=0,"",'23 LF individuell'!$AG36*BJ38))</f>
        <v/>
      </c>
      <c r="BN38" s="2098" t="str">
        <f ca="1">IF($A38="","",IF(EL38=0,"",'23 LF individuell'!$AH36*BJ38))</f>
        <v/>
      </c>
      <c r="BO38" s="2099" t="str">
        <f ca="1">IF($A38="","",IF(EL38=0,"",'23 LF individuell'!$AI36*BJ38))</f>
        <v/>
      </c>
      <c r="BP38" s="2003"/>
      <c r="BQ38" s="2021"/>
      <c r="BR38" s="2005"/>
      <c r="BS38" s="2006" t="str">
        <f ca="1">IF($A38="","",IF(EM38=0,"",'23 LF individuell'!$AG36*BP38))</f>
        <v/>
      </c>
      <c r="BT38" s="2007" t="str">
        <f ca="1">IF($A38="","",IF(EM38=0,"",'23 LF individuell'!$AH36*BP38))</f>
        <v/>
      </c>
      <c r="BU38" s="2008" t="str">
        <f ca="1">IF($A38="","",IF(EM38=0,"",'23 LF individuell'!$AI36*BP38))</f>
        <v/>
      </c>
      <c r="BV38" s="2044" t="str">
        <f t="shared" ca="1" si="85"/>
        <v/>
      </c>
      <c r="BW38" s="2044" t="str">
        <f t="shared" ca="1" si="86"/>
        <v/>
      </c>
      <c r="BX38" s="2044" t="str">
        <f t="shared" ca="1" si="87"/>
        <v/>
      </c>
      <c r="BY38" s="2049" t="str">
        <f t="shared" ca="1" si="57"/>
        <v/>
      </c>
      <c r="BZ38" s="2049" t="str">
        <f t="shared" ca="1" si="58"/>
        <v/>
      </c>
      <c r="CA38" s="2049" t="str">
        <f t="shared" ca="1" si="59"/>
        <v/>
      </c>
      <c r="CB38" s="2116" t="str">
        <f t="shared" ca="1" si="88"/>
        <v/>
      </c>
      <c r="CC38" s="1163" t="str">
        <f t="shared" si="61"/>
        <v>Januar</v>
      </c>
      <c r="CD38" s="1163">
        <f t="shared" si="62"/>
        <v>0</v>
      </c>
      <c r="CE38" s="1163">
        <f t="shared" si="63"/>
        <v>0</v>
      </c>
      <c r="CF38" s="1163">
        <f t="shared" si="64"/>
        <v>0</v>
      </c>
      <c r="CG38" s="1163">
        <f>IF($CD$10="Januar",'25a Soll-Ist Vergl. + Provision'!D35,IF($CD$10="Februar",'25a Soll-Ist Vergl. + Provision'!O35,IF($CD$10="März",'25a Soll-Ist Vergl. + Provision'!Z35,'25a Soll-Ist Vergl. + Provision'!AK35)))</f>
        <v>0</v>
      </c>
      <c r="CH38" s="1163" t="str">
        <f ca="1">IF($CD$10="Januar",'25a Soll-Ist Vergl. + Provision'!E35,IF($CD$10="Februar",'25a Soll-Ist Vergl. + Provision'!P35,IF($CD$10="März",'25a Soll-Ist Vergl. + Provision'!AA35,'25a Soll-Ist Vergl. + Provision'!AL35)))</f>
        <v/>
      </c>
      <c r="CI38" s="1163" t="str">
        <f ca="1">IF($CD$10="Januar",'25a Soll-Ist Vergl. + Provision'!F35,IF($CD$10="Februar",'25a Soll-Ist Vergl. + Provision'!Q35,IF($CD$10="März",'25a Soll-Ist Vergl. + Provision'!AB35,'25a Soll-Ist Vergl. + Provision'!AM35)))</f>
        <v/>
      </c>
      <c r="CJ38" s="1163" t="str">
        <f ca="1">IF($CD$10="Januar",'25a Soll-Ist Vergl. + Provision'!G35,IF($CD$10="Februar",'25a Soll-Ist Vergl. + Provision'!R35,IF($CD$10="März",'25a Soll-Ist Vergl. + Provision'!AC35,'25a Soll-Ist Vergl. + Provision'!AN35)))</f>
        <v/>
      </c>
      <c r="CK38" s="1163">
        <f>IF($CD$10="Januar",'25a Soll-Ist Vergl. + Provision'!H35,IF($CD$10="Februar",'25a Soll-Ist Vergl. + Provision'!S35,IF($CD$10="März",'25a Soll-Ist Vergl. + Provision'!AD35,'25a Soll-Ist Vergl. + Provision'!AO35)))</f>
        <v>0</v>
      </c>
      <c r="CL38" s="1163" t="str">
        <f ca="1">IF($CD$10="Januar",'25a Soll-Ist Vergl. + Provision'!I35,IF($CD$10="Februar",'25a Soll-Ist Vergl. + Provision'!T35,IF($CD$10="März",'25a Soll-Ist Vergl. + Provision'!AE35,'25a Soll-Ist Vergl. + Provision'!AP35)))</f>
        <v/>
      </c>
      <c r="CM38" s="1163" t="str">
        <f ca="1">IF($CD$10="Januar",'25a Soll-Ist Vergl. + Provision'!J35,IF($CD$10="Februar",'25a Soll-Ist Vergl. + Provision'!U35,IF($CD$10="März",'25a Soll-Ist Vergl. + Provision'!AF35,'25a Soll-Ist Vergl. + Provision'!AQ35)))</f>
        <v/>
      </c>
      <c r="CN38" s="1163" t="str">
        <f ca="1">IF($CD$10="Januar",'25a Soll-Ist Vergl. + Provision'!K35,IF($CD$10="Februar",'25a Soll-Ist Vergl. + Provision'!V35,IF($CD$10="März",'25a Soll-Ist Vergl. + Provision'!AG35,'25a Soll-Ist Vergl. + Provision'!AR35)))</f>
        <v/>
      </c>
      <c r="CO38" s="1163" t="str">
        <f t="shared" si="65"/>
        <v>August</v>
      </c>
      <c r="CP38" s="1163">
        <f t="shared" si="66"/>
        <v>0</v>
      </c>
      <c r="CQ38" s="1163">
        <f t="shared" si="67"/>
        <v>0</v>
      </c>
      <c r="CR38" s="1163">
        <f t="shared" si="68"/>
        <v>0</v>
      </c>
      <c r="CS38" s="1163">
        <f>IF($CP$10="Mai",'25a Soll-Ist Vergl. + Provision'!AV35,IF($CP$10="Juni",'25a Soll-Ist Vergl. + Provision'!BG35,IF($CP$10="Juli",'25a Soll-Ist Vergl. + Provision'!BR35,'25a Soll-Ist Vergl. + Provision'!CC35)))</f>
        <v>0</v>
      </c>
      <c r="CT38" s="1163" t="str">
        <f ca="1">IF($CP$10="Mai",'25a Soll-Ist Vergl. + Provision'!AW35,IF($CP$10="Juni",'25a Soll-Ist Vergl. + Provision'!BH35,IF($CP$10="Juli",'25a Soll-Ist Vergl. + Provision'!BS35,'25a Soll-Ist Vergl. + Provision'!CD35)))</f>
        <v/>
      </c>
      <c r="CU38" s="1163" t="str">
        <f ca="1">IF($CP$10="Mai",'25a Soll-Ist Vergl. + Provision'!AX35,IF($CP$10="Juni",'25a Soll-Ist Vergl. + Provision'!BI35,IF($CP$10="Juli",'25a Soll-Ist Vergl. + Provision'!BT35,'25a Soll-Ist Vergl. + Provision'!CE35)))</f>
        <v/>
      </c>
      <c r="CV38" s="1163" t="str">
        <f ca="1">IF($CP$10="Mai",'25a Soll-Ist Vergl. + Provision'!AY35,IF($CP$10="Juni",'25a Soll-Ist Vergl. + Provision'!BJ35,IF($CP$10="Juli",'25a Soll-Ist Vergl. + Provision'!BU35,'25a Soll-Ist Vergl. + Provision'!CF35)))</f>
        <v/>
      </c>
      <c r="CW38" s="1163">
        <f>IF($CP$10="Mai",'25a Soll-Ist Vergl. + Provision'!AZ35,IF($CP$10="Juni",'25a Soll-Ist Vergl. + Provision'!BK35,IF($CP$10="Juli",'25a Soll-Ist Vergl. + Provision'!BV35,'25a Soll-Ist Vergl. + Provision'!CG35)))</f>
        <v>0</v>
      </c>
      <c r="CX38" s="1163" t="str">
        <f ca="1">IF($CP$10="Mai",'25a Soll-Ist Vergl. + Provision'!BA35,IF($CP$10="Juni",'25a Soll-Ist Vergl. + Provision'!BL35,IF($CP$10="Juli",'25a Soll-Ist Vergl. + Provision'!BW35,'25a Soll-Ist Vergl. + Provision'!CH35)))</f>
        <v/>
      </c>
      <c r="CY38" s="1163" t="str">
        <f ca="1">IF($CP$10="Mai",'25a Soll-Ist Vergl. + Provision'!BB35,IF($CP$10="Juni",'25a Soll-Ist Vergl. + Provision'!BM35,IF($CP$10="Juli",'25a Soll-Ist Vergl. + Provision'!BX35,'25a Soll-Ist Vergl. + Provision'!CI35)))</f>
        <v/>
      </c>
      <c r="CZ38" s="1163" t="str">
        <f ca="1">IF($CP$10="Mai",'25a Soll-Ist Vergl. + Provision'!BC35,IF($CP$10="Juni",'25a Soll-Ist Vergl. + Provision'!BN35,IF($CP$10="Juli",'25a Soll-Ist Vergl. + Provision'!BY35,'25a Soll-Ist Vergl. + Provision'!CJ35)))</f>
        <v/>
      </c>
      <c r="DA38" s="1163" t="str">
        <f t="shared" si="69"/>
        <v>Dezember</v>
      </c>
      <c r="DB38" s="1163">
        <f t="shared" si="70"/>
        <v>0</v>
      </c>
      <c r="DC38" s="1163">
        <f t="shared" si="71"/>
        <v>0</v>
      </c>
      <c r="DD38" s="1163">
        <f t="shared" si="72"/>
        <v>0</v>
      </c>
      <c r="DE38" s="1163">
        <f>IF($DB$10="September",'25a Soll-Ist Vergl. + Provision'!CN35,IF($DB$10="Oktober",'25a Soll-Ist Vergl. + Provision'!CY35,IF($DB$10="November",'25a Soll-Ist Vergl. + Provision'!DJ35,'25a Soll-Ist Vergl. + Provision'!DU35)))</f>
        <v>0</v>
      </c>
      <c r="DF38" s="1163" t="str">
        <f ca="1">IF($DB$10="September",'25a Soll-Ist Vergl. + Provision'!CO35,IF($DB$10="Oktober",'25a Soll-Ist Vergl. + Provision'!CZ35,IF($DB$10="November",'25a Soll-Ist Vergl. + Provision'!DK35,'25a Soll-Ist Vergl. + Provision'!DV35)))</f>
        <v/>
      </c>
      <c r="DG38" s="1163" t="str">
        <f ca="1">IF($DB$10="September",'25a Soll-Ist Vergl. + Provision'!CP35,IF($DB$10="Oktober",'25a Soll-Ist Vergl. + Provision'!DA35,IF($DB$10="November",'25a Soll-Ist Vergl. + Provision'!DL35,'25a Soll-Ist Vergl. + Provision'!DW35)))</f>
        <v/>
      </c>
      <c r="DH38" s="1163" t="str">
        <f ca="1">IF($DB$10="September",'25a Soll-Ist Vergl. + Provision'!CQ35,IF($DB$10="Oktober",'25a Soll-Ist Vergl. + Provision'!DB35,IF($DB$10="November",'25a Soll-Ist Vergl. + Provision'!DM35,'25a Soll-Ist Vergl. + Provision'!DX35)))</f>
        <v/>
      </c>
      <c r="DI38" s="1163">
        <f>IF($DB$10="September",'25a Soll-Ist Vergl. + Provision'!CR35,IF($DB$10="Oktober",'25a Soll-Ist Vergl. + Provision'!DC35,IF($DB$10="November",'25a Soll-Ist Vergl. + Provision'!DN35,'25a Soll-Ist Vergl. + Provision'!DY35)))</f>
        <v>0</v>
      </c>
      <c r="DJ38" s="1163" t="str">
        <f ca="1">IF($DB$10="September",'25a Soll-Ist Vergl. + Provision'!CS35,IF($DB$10="Oktober",'25a Soll-Ist Vergl. + Provision'!DD35,IF($DB$10="November",'25a Soll-Ist Vergl. + Provision'!DO35,'25a Soll-Ist Vergl. + Provision'!DZ35)))</f>
        <v/>
      </c>
      <c r="DK38" s="1163" t="str">
        <f ca="1">IF($DB$10="September",'25a Soll-Ist Vergl. + Provision'!CT35,IF($DB$10="Oktober",'25a Soll-Ist Vergl. + Provision'!DE35,IF($DB$10="November",'25a Soll-Ist Vergl. + Provision'!DP35,'25a Soll-Ist Vergl. + Provision'!EA35)))</f>
        <v/>
      </c>
      <c r="DL38" s="1163" t="str">
        <f ca="1">IF($DB$10="September",'25a Soll-Ist Vergl. + Provision'!CU35,IF($DB$10="Oktober",'25a Soll-Ist Vergl. + Provision'!DF35,IF($DB$10="November",'25a Soll-Ist Vergl. + Provision'!DQ35,'25a Soll-Ist Vergl. + Provision'!EB35)))</f>
        <v/>
      </c>
      <c r="DM38" s="1163" t="str">
        <f t="shared" si="73"/>
        <v>Januar</v>
      </c>
      <c r="DN38" s="1163">
        <f t="shared" si="74"/>
        <v>0</v>
      </c>
      <c r="DO38" s="1163">
        <f t="shared" si="75"/>
        <v>0</v>
      </c>
      <c r="DP38" s="1163">
        <f t="shared" si="76"/>
        <v>0</v>
      </c>
      <c r="DQ38" s="1163">
        <f t="shared" si="77"/>
        <v>0</v>
      </c>
      <c r="DR38" s="1163" t="str">
        <f t="shared" ca="1" si="78"/>
        <v/>
      </c>
      <c r="DS38" s="1163" t="str">
        <f t="shared" ca="1" si="79"/>
        <v/>
      </c>
      <c r="DT38" s="1163" t="str">
        <f t="shared" ca="1" si="80"/>
        <v/>
      </c>
      <c r="DU38" s="1163">
        <f t="shared" si="81"/>
        <v>0</v>
      </c>
      <c r="DV38" s="1163" t="str">
        <f t="shared" ca="1" si="82"/>
        <v/>
      </c>
      <c r="DW38" s="1163" t="str">
        <f t="shared" ca="1" si="83"/>
        <v/>
      </c>
      <c r="DX38" s="1163" t="str">
        <f t="shared" ca="1" si="84"/>
        <v/>
      </c>
      <c r="DY38" s="267"/>
      <c r="DZ38" s="3239">
        <f>'4 Eingabe Friseure'!L35</f>
        <v>0</v>
      </c>
      <c r="EA38" s="3239"/>
      <c r="EB38" s="3239">
        <f>IF($DZ38=12,1,'4 Eingabe Friseure'!N35)</f>
        <v>0</v>
      </c>
      <c r="EC38" s="3239">
        <f>IF($DZ38=12,1,'4 Eingabe Friseure'!O35)</f>
        <v>0</v>
      </c>
      <c r="ED38" s="3239">
        <f>IF($DZ38=12,1,'4 Eingabe Friseure'!P35)</f>
        <v>0</v>
      </c>
      <c r="EE38" s="3239">
        <f>IF($DZ38=12,1,'4 Eingabe Friseure'!Q35)</f>
        <v>0</v>
      </c>
      <c r="EF38" s="3239">
        <f>IF($DZ38=12,1,'4 Eingabe Friseure'!R35)</f>
        <v>0</v>
      </c>
      <c r="EG38" s="3239">
        <f>IF($DZ38=12,1,'4 Eingabe Friseure'!S35)</f>
        <v>0</v>
      </c>
      <c r="EH38" s="3239">
        <f>IF($DZ38=12,1,'4 Eingabe Friseure'!T35)</f>
        <v>0</v>
      </c>
      <c r="EI38" s="3239">
        <f>IF($DZ38=12,1,'4 Eingabe Friseure'!U35)</f>
        <v>0</v>
      </c>
      <c r="EJ38" s="3239">
        <f>IF($DZ38=12,1,'4 Eingabe Friseure'!V35)</f>
        <v>0</v>
      </c>
      <c r="EK38" s="3239">
        <f>IF($DZ38=12,1,'4 Eingabe Friseure'!W35)</f>
        <v>0</v>
      </c>
      <c r="EL38" s="3239">
        <f>IF($DZ38=12,1,'4 Eingabe Friseure'!X35)</f>
        <v>0</v>
      </c>
      <c r="EM38" s="3239">
        <f>IF($DZ38=12,1,'4 Eingabe Friseure'!Y35)</f>
        <v>0</v>
      </c>
    </row>
    <row r="39" spans="1:143" ht="18" customHeight="1">
      <c r="A39" s="2740" t="str">
        <f ca="1">IF('22 Sollumsatz pro MA '!A39="","",'22 Sollumsatz pro MA '!A39)</f>
        <v/>
      </c>
      <c r="B39" s="1945"/>
      <c r="C39" s="1984"/>
      <c r="D39" s="1957"/>
      <c r="E39" s="2097" t="str">
        <f ca="1">IF($A39="","",IF(EB39=0,"",'23 LF individuell'!$AG37*$B39))</f>
        <v/>
      </c>
      <c r="F39" s="2100" t="str">
        <f ca="1">IF($A39="","",IF(EB39=0,"",'23 LF individuell'!$AH37*$B39))</f>
        <v/>
      </c>
      <c r="G39" s="2101" t="str">
        <f ca="1">IF($A39="","",IF(EB39=0,"",'23 LF individuell'!$AI37*$B39))</f>
        <v/>
      </c>
      <c r="H39" s="2003"/>
      <c r="I39" s="2021"/>
      <c r="J39" s="2005"/>
      <c r="K39" s="2006" t="str">
        <f ca="1">IF($A39="","",IF(EC39=0,"",'23 LF individuell'!$AG37*H39))</f>
        <v/>
      </c>
      <c r="L39" s="2007" t="str">
        <f ca="1">IF($A39="","",IF(EC39=0,"",'23 LF individuell'!$AH37*H39))</f>
        <v/>
      </c>
      <c r="M39" s="2008" t="str">
        <f ca="1">IF($A39="","",IF(EC39=0,"",'23 LF individuell'!$AI37*H39))</f>
        <v/>
      </c>
      <c r="N39" s="2003"/>
      <c r="O39" s="2021"/>
      <c r="P39" s="2005"/>
      <c r="Q39" s="2097" t="str">
        <f ca="1">IF($A39="","",IF(ED39=0,"",'23 LF individuell'!$AG37*N39))</f>
        <v/>
      </c>
      <c r="R39" s="2098" t="str">
        <f ca="1">IF($A39="","",IF(ED39=0,"",'23 LF individuell'!$AH37*N39))</f>
        <v/>
      </c>
      <c r="S39" s="2099" t="str">
        <f ca="1">IF($A39="","",IF(ED39=0,"",'23 LF individuell'!$AI37*N39))</f>
        <v/>
      </c>
      <c r="T39" s="2003"/>
      <c r="U39" s="2021"/>
      <c r="V39" s="2005"/>
      <c r="W39" s="2006" t="str">
        <f ca="1">IF($A39="","",IF(EE39=0,"",'23 LF individuell'!$AG37*T39))</f>
        <v/>
      </c>
      <c r="X39" s="2007" t="str">
        <f ca="1">IF($A39="","",IF(EE39=0,"",'23 LF individuell'!$AH37*T39))</f>
        <v/>
      </c>
      <c r="Y39" s="2008" t="str">
        <f ca="1">IF($A39="","",IF(EE39=0,"",'23 LF individuell'!$AI37*T39))</f>
        <v/>
      </c>
      <c r="Z39" s="2003"/>
      <c r="AA39" s="2021"/>
      <c r="AB39" s="2005"/>
      <c r="AC39" s="2097" t="str">
        <f ca="1">IF($A39="","",IF(EF39=0,"",'23 LF individuell'!$AG37*Z39))</f>
        <v/>
      </c>
      <c r="AD39" s="2098" t="str">
        <f ca="1">IF($A39="","",IF(EF39=0,"",'23 LF individuell'!$AH37*Z39))</f>
        <v/>
      </c>
      <c r="AE39" s="2099" t="str">
        <f ca="1">IF($A39="","",IF(EF39=0,"",'23 LF individuell'!$AI37*Z39))</f>
        <v/>
      </c>
      <c r="AF39" s="2003"/>
      <c r="AG39" s="2021"/>
      <c r="AH39" s="2005"/>
      <c r="AI39" s="2006" t="str">
        <f ca="1">IF($A39="","",IF(EG39=0,"",'23 LF individuell'!$AG37*AF39))</f>
        <v/>
      </c>
      <c r="AJ39" s="2007" t="str">
        <f ca="1">IF($A39="","",IF(EG39=0,"",'23 LF individuell'!$AH37*AF39))</f>
        <v/>
      </c>
      <c r="AK39" s="2008" t="str">
        <f ca="1">IF($A39="","",IF(EG39=0,"",'23 LF individuell'!$AI37*AF39))</f>
        <v/>
      </c>
      <c r="AL39" s="2003"/>
      <c r="AM39" s="2021"/>
      <c r="AN39" s="2005"/>
      <c r="AO39" s="2097" t="str">
        <f ca="1">IF($A39="","",IF(EH39=0,"",'23 LF individuell'!$AG37*AL39))</f>
        <v/>
      </c>
      <c r="AP39" s="2098" t="str">
        <f ca="1">IF($A39="","",IF(EH39=0,"",'23 LF individuell'!$AH37*AL39))</f>
        <v/>
      </c>
      <c r="AQ39" s="2099" t="str">
        <f ca="1">IF($A39="","",IF(EH39=0,"",'23 LF individuell'!$AI37*AL39))</f>
        <v/>
      </c>
      <c r="AR39" s="2003"/>
      <c r="AS39" s="2021"/>
      <c r="AT39" s="2005"/>
      <c r="AU39" s="2006" t="str">
        <f ca="1">IF($A39="","",IF(EI39=0,"",'23 LF individuell'!$AG37*AR39))</f>
        <v/>
      </c>
      <c r="AV39" s="2007" t="str">
        <f ca="1">IF($A39="","",IF(EI39=0,"",'23 LF individuell'!$AH37*AR39))</f>
        <v/>
      </c>
      <c r="AW39" s="2008" t="str">
        <f ca="1">IF($A39="","",IF(EI39=0,"",'23 LF individuell'!$AI37*AR39))</f>
        <v/>
      </c>
      <c r="AX39" s="2003"/>
      <c r="AY39" s="2021"/>
      <c r="AZ39" s="2005"/>
      <c r="BA39" s="2097" t="str">
        <f ca="1">IF($A39="","",IF(EJ39=0,"",'23 LF individuell'!$AG37*AX39))</f>
        <v/>
      </c>
      <c r="BB39" s="2098" t="str">
        <f ca="1">IF($A39="","",IF(EJ39=0,"",'23 LF individuell'!$AH37*AX39))</f>
        <v/>
      </c>
      <c r="BC39" s="2099" t="str">
        <f ca="1">IF($A39="","",IF(EJ39=0,"",'23 LF individuell'!$AI37*AX39))</f>
        <v/>
      </c>
      <c r="BD39" s="2003"/>
      <c r="BE39" s="2021"/>
      <c r="BF39" s="2005"/>
      <c r="BG39" s="2006" t="str">
        <f ca="1">IF($A39="","",IF(EK39=0,"",'23 LF individuell'!$AG37*BD39))</f>
        <v/>
      </c>
      <c r="BH39" s="2007" t="str">
        <f ca="1">IF($A39="","",IF(EK39=0,"",'23 LF individuell'!$AH37*BD39))</f>
        <v/>
      </c>
      <c r="BI39" s="2008" t="str">
        <f ca="1">IF($A39="","",IF(EK39=0,"",'23 LF individuell'!$AI37*BD39))</f>
        <v/>
      </c>
      <c r="BJ39" s="2003"/>
      <c r="BK39" s="2021"/>
      <c r="BL39" s="2005"/>
      <c r="BM39" s="2097" t="str">
        <f ca="1">IF($A39="","",IF(EL39=0,"",'23 LF individuell'!$AG37*BJ39))</f>
        <v/>
      </c>
      <c r="BN39" s="2098" t="str">
        <f ca="1">IF($A39="","",IF(EL39=0,"",'23 LF individuell'!$AH37*BJ39))</f>
        <v/>
      </c>
      <c r="BO39" s="2099" t="str">
        <f ca="1">IF($A39="","",IF(EL39=0,"",'23 LF individuell'!$AI37*BJ39))</f>
        <v/>
      </c>
      <c r="BP39" s="2003"/>
      <c r="BQ39" s="2021"/>
      <c r="BR39" s="2005"/>
      <c r="BS39" s="2006" t="str">
        <f ca="1">IF($A39="","",IF(EM39=0,"",'23 LF individuell'!$AG37*BP39))</f>
        <v/>
      </c>
      <c r="BT39" s="2007" t="str">
        <f ca="1">IF($A39="","",IF(EM39=0,"",'23 LF individuell'!$AH37*BP39))</f>
        <v/>
      </c>
      <c r="BU39" s="2008" t="str">
        <f ca="1">IF($A39="","",IF(EM39=0,"",'23 LF individuell'!$AI37*BP39))</f>
        <v/>
      </c>
      <c r="BV39" s="2044" t="str">
        <f t="shared" ca="1" si="85"/>
        <v/>
      </c>
      <c r="BW39" s="2044" t="str">
        <f t="shared" ca="1" si="86"/>
        <v/>
      </c>
      <c r="BX39" s="2044" t="str">
        <f t="shared" ca="1" si="87"/>
        <v/>
      </c>
      <c r="BY39" s="2049" t="str">
        <f t="shared" ca="1" si="57"/>
        <v/>
      </c>
      <c r="BZ39" s="2049" t="str">
        <f t="shared" ca="1" si="58"/>
        <v/>
      </c>
      <c r="CA39" s="2049" t="str">
        <f t="shared" ca="1" si="59"/>
        <v/>
      </c>
      <c r="CB39" s="2116" t="str">
        <f t="shared" ca="1" si="88"/>
        <v/>
      </c>
      <c r="CC39" s="1163" t="str">
        <f t="shared" si="61"/>
        <v>Januar</v>
      </c>
      <c r="CD39" s="1163">
        <f t="shared" si="62"/>
        <v>0</v>
      </c>
      <c r="CE39" s="1163">
        <f t="shared" si="63"/>
        <v>0</v>
      </c>
      <c r="CF39" s="1163">
        <f t="shared" si="64"/>
        <v>0</v>
      </c>
      <c r="CG39" s="1163">
        <f>IF($CD$10="Januar",'25a Soll-Ist Vergl. + Provision'!D36,IF($CD$10="Februar",'25a Soll-Ist Vergl. + Provision'!O36,IF($CD$10="März",'25a Soll-Ist Vergl. + Provision'!Z36,'25a Soll-Ist Vergl. + Provision'!AK36)))</f>
        <v>0</v>
      </c>
      <c r="CH39" s="1163" t="str">
        <f ca="1">IF($CD$10="Januar",'25a Soll-Ist Vergl. + Provision'!E36,IF($CD$10="Februar",'25a Soll-Ist Vergl. + Provision'!P36,IF($CD$10="März",'25a Soll-Ist Vergl. + Provision'!AA36,'25a Soll-Ist Vergl. + Provision'!AL36)))</f>
        <v/>
      </c>
      <c r="CI39" s="1163" t="str">
        <f ca="1">IF($CD$10="Januar",'25a Soll-Ist Vergl. + Provision'!F36,IF($CD$10="Februar",'25a Soll-Ist Vergl. + Provision'!Q36,IF($CD$10="März",'25a Soll-Ist Vergl. + Provision'!AB36,'25a Soll-Ist Vergl. + Provision'!AM36)))</f>
        <v/>
      </c>
      <c r="CJ39" s="1163" t="str">
        <f ca="1">IF($CD$10="Januar",'25a Soll-Ist Vergl. + Provision'!G36,IF($CD$10="Februar",'25a Soll-Ist Vergl. + Provision'!R36,IF($CD$10="März",'25a Soll-Ist Vergl. + Provision'!AC36,'25a Soll-Ist Vergl. + Provision'!AN36)))</f>
        <v/>
      </c>
      <c r="CK39" s="1163">
        <f>IF($CD$10="Januar",'25a Soll-Ist Vergl. + Provision'!H36,IF($CD$10="Februar",'25a Soll-Ist Vergl. + Provision'!S36,IF($CD$10="März",'25a Soll-Ist Vergl. + Provision'!AD36,'25a Soll-Ist Vergl. + Provision'!AO36)))</f>
        <v>0</v>
      </c>
      <c r="CL39" s="1163" t="str">
        <f ca="1">IF($CD$10="Januar",'25a Soll-Ist Vergl. + Provision'!I36,IF($CD$10="Februar",'25a Soll-Ist Vergl. + Provision'!T36,IF($CD$10="März",'25a Soll-Ist Vergl. + Provision'!AE36,'25a Soll-Ist Vergl. + Provision'!AP36)))</f>
        <v/>
      </c>
      <c r="CM39" s="1163" t="str">
        <f ca="1">IF($CD$10="Januar",'25a Soll-Ist Vergl. + Provision'!J36,IF($CD$10="Februar",'25a Soll-Ist Vergl. + Provision'!U36,IF($CD$10="März",'25a Soll-Ist Vergl. + Provision'!AF36,'25a Soll-Ist Vergl. + Provision'!AQ36)))</f>
        <v/>
      </c>
      <c r="CN39" s="1163" t="str">
        <f ca="1">IF($CD$10="Januar",'25a Soll-Ist Vergl. + Provision'!K36,IF($CD$10="Februar",'25a Soll-Ist Vergl. + Provision'!V36,IF($CD$10="März",'25a Soll-Ist Vergl. + Provision'!AG36,'25a Soll-Ist Vergl. + Provision'!AR36)))</f>
        <v/>
      </c>
      <c r="CO39" s="1163" t="str">
        <f t="shared" si="65"/>
        <v>August</v>
      </c>
      <c r="CP39" s="1163">
        <f t="shared" si="66"/>
        <v>0</v>
      </c>
      <c r="CQ39" s="1163">
        <f t="shared" si="67"/>
        <v>0</v>
      </c>
      <c r="CR39" s="1163">
        <f t="shared" si="68"/>
        <v>0</v>
      </c>
      <c r="CS39" s="1163">
        <f>IF($CP$10="Mai",'25a Soll-Ist Vergl. + Provision'!AV36,IF($CP$10="Juni",'25a Soll-Ist Vergl. + Provision'!BG36,IF($CP$10="Juli",'25a Soll-Ist Vergl. + Provision'!BR36,'25a Soll-Ist Vergl. + Provision'!CC36)))</f>
        <v>0</v>
      </c>
      <c r="CT39" s="1163" t="str">
        <f ca="1">IF($CP$10="Mai",'25a Soll-Ist Vergl. + Provision'!AW36,IF($CP$10="Juni",'25a Soll-Ist Vergl. + Provision'!BH36,IF($CP$10="Juli",'25a Soll-Ist Vergl. + Provision'!BS36,'25a Soll-Ist Vergl. + Provision'!CD36)))</f>
        <v/>
      </c>
      <c r="CU39" s="1163" t="str">
        <f ca="1">IF($CP$10="Mai",'25a Soll-Ist Vergl. + Provision'!AX36,IF($CP$10="Juni",'25a Soll-Ist Vergl. + Provision'!BI36,IF($CP$10="Juli",'25a Soll-Ist Vergl. + Provision'!BT36,'25a Soll-Ist Vergl. + Provision'!CE36)))</f>
        <v/>
      </c>
      <c r="CV39" s="1163" t="str">
        <f ca="1">IF($CP$10="Mai",'25a Soll-Ist Vergl. + Provision'!AY36,IF($CP$10="Juni",'25a Soll-Ist Vergl. + Provision'!BJ36,IF($CP$10="Juli",'25a Soll-Ist Vergl. + Provision'!BU36,'25a Soll-Ist Vergl. + Provision'!CF36)))</f>
        <v/>
      </c>
      <c r="CW39" s="1163">
        <f>IF($CP$10="Mai",'25a Soll-Ist Vergl. + Provision'!AZ36,IF($CP$10="Juni",'25a Soll-Ist Vergl. + Provision'!BK36,IF($CP$10="Juli",'25a Soll-Ist Vergl. + Provision'!BV36,'25a Soll-Ist Vergl. + Provision'!CG36)))</f>
        <v>0</v>
      </c>
      <c r="CX39" s="1163" t="str">
        <f ca="1">IF($CP$10="Mai",'25a Soll-Ist Vergl. + Provision'!BA36,IF($CP$10="Juni",'25a Soll-Ist Vergl. + Provision'!BL36,IF($CP$10="Juli",'25a Soll-Ist Vergl. + Provision'!BW36,'25a Soll-Ist Vergl. + Provision'!CH36)))</f>
        <v/>
      </c>
      <c r="CY39" s="1163" t="str">
        <f ca="1">IF($CP$10="Mai",'25a Soll-Ist Vergl. + Provision'!BB36,IF($CP$10="Juni",'25a Soll-Ist Vergl. + Provision'!BM36,IF($CP$10="Juli",'25a Soll-Ist Vergl. + Provision'!BX36,'25a Soll-Ist Vergl. + Provision'!CI36)))</f>
        <v/>
      </c>
      <c r="CZ39" s="1163" t="str">
        <f ca="1">IF($CP$10="Mai",'25a Soll-Ist Vergl. + Provision'!BC36,IF($CP$10="Juni",'25a Soll-Ist Vergl. + Provision'!BN36,IF($CP$10="Juli",'25a Soll-Ist Vergl. + Provision'!BY36,'25a Soll-Ist Vergl. + Provision'!CJ36)))</f>
        <v/>
      </c>
      <c r="DA39" s="1163" t="str">
        <f t="shared" si="69"/>
        <v>Dezember</v>
      </c>
      <c r="DB39" s="1163">
        <f t="shared" si="70"/>
        <v>0</v>
      </c>
      <c r="DC39" s="1163">
        <f t="shared" si="71"/>
        <v>0</v>
      </c>
      <c r="DD39" s="1163">
        <f t="shared" si="72"/>
        <v>0</v>
      </c>
      <c r="DE39" s="1163">
        <f>IF($DB$10="September",'25a Soll-Ist Vergl. + Provision'!CN36,IF($DB$10="Oktober",'25a Soll-Ist Vergl. + Provision'!CY36,IF($DB$10="November",'25a Soll-Ist Vergl. + Provision'!DJ36,'25a Soll-Ist Vergl. + Provision'!DU36)))</f>
        <v>0</v>
      </c>
      <c r="DF39" s="1163" t="str">
        <f ca="1">IF($DB$10="September",'25a Soll-Ist Vergl. + Provision'!CO36,IF($DB$10="Oktober",'25a Soll-Ist Vergl. + Provision'!CZ36,IF($DB$10="November",'25a Soll-Ist Vergl. + Provision'!DK36,'25a Soll-Ist Vergl. + Provision'!DV36)))</f>
        <v/>
      </c>
      <c r="DG39" s="1163" t="str">
        <f ca="1">IF($DB$10="September",'25a Soll-Ist Vergl. + Provision'!CP36,IF($DB$10="Oktober",'25a Soll-Ist Vergl. + Provision'!DA36,IF($DB$10="November",'25a Soll-Ist Vergl. + Provision'!DL36,'25a Soll-Ist Vergl. + Provision'!DW36)))</f>
        <v/>
      </c>
      <c r="DH39" s="1163" t="str">
        <f ca="1">IF($DB$10="September",'25a Soll-Ist Vergl. + Provision'!CQ36,IF($DB$10="Oktober",'25a Soll-Ist Vergl. + Provision'!DB36,IF($DB$10="November",'25a Soll-Ist Vergl. + Provision'!DM36,'25a Soll-Ist Vergl. + Provision'!DX36)))</f>
        <v/>
      </c>
      <c r="DI39" s="1163">
        <f>IF($DB$10="September",'25a Soll-Ist Vergl. + Provision'!CR36,IF($DB$10="Oktober",'25a Soll-Ist Vergl. + Provision'!DC36,IF($DB$10="November",'25a Soll-Ist Vergl. + Provision'!DN36,'25a Soll-Ist Vergl. + Provision'!DY36)))</f>
        <v>0</v>
      </c>
      <c r="DJ39" s="1163" t="str">
        <f ca="1">IF($DB$10="September",'25a Soll-Ist Vergl. + Provision'!CS36,IF($DB$10="Oktober",'25a Soll-Ist Vergl. + Provision'!DD36,IF($DB$10="November",'25a Soll-Ist Vergl. + Provision'!DO36,'25a Soll-Ist Vergl. + Provision'!DZ36)))</f>
        <v/>
      </c>
      <c r="DK39" s="1163" t="str">
        <f ca="1">IF($DB$10="September",'25a Soll-Ist Vergl. + Provision'!CT36,IF($DB$10="Oktober",'25a Soll-Ist Vergl. + Provision'!DE36,IF($DB$10="November",'25a Soll-Ist Vergl. + Provision'!DP36,'25a Soll-Ist Vergl. + Provision'!EA36)))</f>
        <v/>
      </c>
      <c r="DL39" s="1163" t="str">
        <f ca="1">IF($DB$10="September",'25a Soll-Ist Vergl. + Provision'!CU36,IF($DB$10="Oktober",'25a Soll-Ist Vergl. + Provision'!DF36,IF($DB$10="November",'25a Soll-Ist Vergl. + Provision'!DQ36,'25a Soll-Ist Vergl. + Provision'!EB36)))</f>
        <v/>
      </c>
      <c r="DM39" s="1163" t="str">
        <f t="shared" si="73"/>
        <v>Januar</v>
      </c>
      <c r="DN39" s="1163">
        <f t="shared" si="74"/>
        <v>0</v>
      </c>
      <c r="DO39" s="1163">
        <f t="shared" si="75"/>
        <v>0</v>
      </c>
      <c r="DP39" s="1163">
        <f t="shared" si="76"/>
        <v>0</v>
      </c>
      <c r="DQ39" s="1163">
        <f t="shared" si="77"/>
        <v>0</v>
      </c>
      <c r="DR39" s="1163" t="str">
        <f t="shared" ca="1" si="78"/>
        <v/>
      </c>
      <c r="DS39" s="1163" t="str">
        <f t="shared" ca="1" si="79"/>
        <v/>
      </c>
      <c r="DT39" s="1163" t="str">
        <f t="shared" ca="1" si="80"/>
        <v/>
      </c>
      <c r="DU39" s="1163">
        <f t="shared" si="81"/>
        <v>0</v>
      </c>
      <c r="DV39" s="1163" t="str">
        <f t="shared" ca="1" si="82"/>
        <v/>
      </c>
      <c r="DW39" s="1163" t="str">
        <f t="shared" ca="1" si="83"/>
        <v/>
      </c>
      <c r="DX39" s="1163" t="str">
        <f t="shared" ca="1" si="84"/>
        <v/>
      </c>
      <c r="DY39" s="267"/>
      <c r="DZ39" s="3239">
        <f>'4 Eingabe Friseure'!L36</f>
        <v>0</v>
      </c>
      <c r="EA39" s="3239"/>
      <c r="EB39" s="3239">
        <f>IF($DZ39=12,1,'4 Eingabe Friseure'!N36)</f>
        <v>0</v>
      </c>
      <c r="EC39" s="3239">
        <f>IF($DZ39=12,1,'4 Eingabe Friseure'!O36)</f>
        <v>0</v>
      </c>
      <c r="ED39" s="3239">
        <f>IF($DZ39=12,1,'4 Eingabe Friseure'!P36)</f>
        <v>0</v>
      </c>
      <c r="EE39" s="3239">
        <f>IF($DZ39=12,1,'4 Eingabe Friseure'!Q36)</f>
        <v>0</v>
      </c>
      <c r="EF39" s="3239">
        <f>IF($DZ39=12,1,'4 Eingabe Friseure'!R36)</f>
        <v>0</v>
      </c>
      <c r="EG39" s="3239">
        <f>IF($DZ39=12,1,'4 Eingabe Friseure'!S36)</f>
        <v>0</v>
      </c>
      <c r="EH39" s="3239">
        <f>IF($DZ39=12,1,'4 Eingabe Friseure'!T36)</f>
        <v>0</v>
      </c>
      <c r="EI39" s="3239">
        <f>IF($DZ39=12,1,'4 Eingabe Friseure'!U36)</f>
        <v>0</v>
      </c>
      <c r="EJ39" s="3239">
        <f>IF($DZ39=12,1,'4 Eingabe Friseure'!V36)</f>
        <v>0</v>
      </c>
      <c r="EK39" s="3239">
        <f>IF($DZ39=12,1,'4 Eingabe Friseure'!W36)</f>
        <v>0</v>
      </c>
      <c r="EL39" s="3239">
        <f>IF($DZ39=12,1,'4 Eingabe Friseure'!X36)</f>
        <v>0</v>
      </c>
      <c r="EM39" s="3239">
        <f>IF($DZ39=12,1,'4 Eingabe Friseure'!Y36)</f>
        <v>0</v>
      </c>
    </row>
    <row r="40" spans="1:143" ht="18" customHeight="1">
      <c r="A40" s="2740" t="str">
        <f ca="1">IF('22 Sollumsatz pro MA '!A40="","",'22 Sollumsatz pro MA '!A40)</f>
        <v/>
      </c>
      <c r="B40" s="1945"/>
      <c r="C40" s="1984"/>
      <c r="D40" s="1957"/>
      <c r="E40" s="2097" t="str">
        <f ca="1">IF($A40="","",IF(EB40=0,"",'23 LF individuell'!$AG38*$B40))</f>
        <v/>
      </c>
      <c r="F40" s="2100" t="str">
        <f ca="1">IF($A40="","",IF(EB40=0,"",'23 LF individuell'!$AH38*$B40))</f>
        <v/>
      </c>
      <c r="G40" s="2101" t="str">
        <f ca="1">IF($A40="","",IF(EB40=0,"",'23 LF individuell'!$AI38*$B40))</f>
        <v/>
      </c>
      <c r="H40" s="2003"/>
      <c r="I40" s="2021"/>
      <c r="J40" s="2005"/>
      <c r="K40" s="2006" t="str">
        <f ca="1">IF($A40="","",IF(EC40=0,"",'23 LF individuell'!$AG38*H40))</f>
        <v/>
      </c>
      <c r="L40" s="2007" t="str">
        <f ca="1">IF($A40="","",IF(EC40=0,"",'23 LF individuell'!$AH38*H40))</f>
        <v/>
      </c>
      <c r="M40" s="2008" t="str">
        <f ca="1">IF($A40="","",IF(EC40=0,"",'23 LF individuell'!$AI38*H40))</f>
        <v/>
      </c>
      <c r="N40" s="2003"/>
      <c r="O40" s="2021"/>
      <c r="P40" s="2005"/>
      <c r="Q40" s="2097" t="str">
        <f ca="1">IF($A40="","",IF(ED40=0,"",'23 LF individuell'!$AG38*N40))</f>
        <v/>
      </c>
      <c r="R40" s="2098" t="str">
        <f ca="1">IF($A40="","",IF(ED40=0,"",'23 LF individuell'!$AH38*N40))</f>
        <v/>
      </c>
      <c r="S40" s="2099" t="str">
        <f ca="1">IF($A40="","",IF(ED40=0,"",'23 LF individuell'!$AI38*N40))</f>
        <v/>
      </c>
      <c r="T40" s="2003"/>
      <c r="U40" s="2021"/>
      <c r="V40" s="2005"/>
      <c r="W40" s="2006" t="str">
        <f ca="1">IF($A40="","",IF(EE40=0,"",'23 LF individuell'!$AG38*T40))</f>
        <v/>
      </c>
      <c r="X40" s="2007" t="str">
        <f ca="1">IF($A40="","",IF(EE40=0,"",'23 LF individuell'!$AH38*T40))</f>
        <v/>
      </c>
      <c r="Y40" s="2008" t="str">
        <f ca="1">IF($A40="","",IF(EE40=0,"",'23 LF individuell'!$AI38*T40))</f>
        <v/>
      </c>
      <c r="Z40" s="2003"/>
      <c r="AA40" s="2021"/>
      <c r="AB40" s="2005"/>
      <c r="AC40" s="2097" t="str">
        <f ca="1">IF($A40="","",IF(EF40=0,"",'23 LF individuell'!$AG38*Z40))</f>
        <v/>
      </c>
      <c r="AD40" s="2098" t="str">
        <f ca="1">IF($A40="","",IF(EF40=0,"",'23 LF individuell'!$AH38*Z40))</f>
        <v/>
      </c>
      <c r="AE40" s="2099" t="str">
        <f ca="1">IF($A40="","",IF(EF40=0,"",'23 LF individuell'!$AI38*Z40))</f>
        <v/>
      </c>
      <c r="AF40" s="2003"/>
      <c r="AG40" s="2021"/>
      <c r="AH40" s="2005"/>
      <c r="AI40" s="2006" t="str">
        <f ca="1">IF($A40="","",IF(EG40=0,"",'23 LF individuell'!$AG38*AF40))</f>
        <v/>
      </c>
      <c r="AJ40" s="2007" t="str">
        <f ca="1">IF($A40="","",IF(EG40=0,"",'23 LF individuell'!$AH38*AF40))</f>
        <v/>
      </c>
      <c r="AK40" s="2008" t="str">
        <f ca="1">IF($A40="","",IF(EG40=0,"",'23 LF individuell'!$AI38*AF40))</f>
        <v/>
      </c>
      <c r="AL40" s="2003"/>
      <c r="AM40" s="2021"/>
      <c r="AN40" s="2005"/>
      <c r="AO40" s="2097" t="str">
        <f ca="1">IF($A40="","",IF(EH40=0,"",'23 LF individuell'!$AG38*AL40))</f>
        <v/>
      </c>
      <c r="AP40" s="2098" t="str">
        <f ca="1">IF($A40="","",IF(EH40=0,"",'23 LF individuell'!$AH38*AL40))</f>
        <v/>
      </c>
      <c r="AQ40" s="2099" t="str">
        <f ca="1">IF($A40="","",IF(EH40=0,"",'23 LF individuell'!$AI38*AL40))</f>
        <v/>
      </c>
      <c r="AR40" s="2003"/>
      <c r="AS40" s="2021"/>
      <c r="AT40" s="2005"/>
      <c r="AU40" s="2006" t="str">
        <f ca="1">IF($A40="","",IF(EI40=0,"",'23 LF individuell'!$AG38*AR40))</f>
        <v/>
      </c>
      <c r="AV40" s="2007" t="str">
        <f ca="1">IF($A40="","",IF(EI40=0,"",'23 LF individuell'!$AH38*AR40))</f>
        <v/>
      </c>
      <c r="AW40" s="2008" t="str">
        <f ca="1">IF($A40="","",IF(EI40=0,"",'23 LF individuell'!$AI38*AR40))</f>
        <v/>
      </c>
      <c r="AX40" s="2003"/>
      <c r="AY40" s="2021"/>
      <c r="AZ40" s="2005"/>
      <c r="BA40" s="2097" t="str">
        <f ca="1">IF($A40="","",IF(EJ40=0,"",'23 LF individuell'!$AG38*AX40))</f>
        <v/>
      </c>
      <c r="BB40" s="2098" t="str">
        <f ca="1">IF($A40="","",IF(EJ40=0,"",'23 LF individuell'!$AH38*AX40))</f>
        <v/>
      </c>
      <c r="BC40" s="2099" t="str">
        <f ca="1">IF($A40="","",IF(EJ40=0,"",'23 LF individuell'!$AI38*AX40))</f>
        <v/>
      </c>
      <c r="BD40" s="2003"/>
      <c r="BE40" s="2021"/>
      <c r="BF40" s="2005"/>
      <c r="BG40" s="2006" t="str">
        <f ca="1">IF($A40="","",IF(EK40=0,"",'23 LF individuell'!$AG38*BD40))</f>
        <v/>
      </c>
      <c r="BH40" s="2007" t="str">
        <f ca="1">IF($A40="","",IF(EK40=0,"",'23 LF individuell'!$AH38*BD40))</f>
        <v/>
      </c>
      <c r="BI40" s="2008" t="str">
        <f ca="1">IF($A40="","",IF(EK40=0,"",'23 LF individuell'!$AI38*BD40))</f>
        <v/>
      </c>
      <c r="BJ40" s="2003"/>
      <c r="BK40" s="2021"/>
      <c r="BL40" s="2005"/>
      <c r="BM40" s="2097" t="str">
        <f ca="1">IF($A40="","",IF(EL40=0,"",'23 LF individuell'!$AG38*BJ40))</f>
        <v/>
      </c>
      <c r="BN40" s="2098" t="str">
        <f ca="1">IF($A40="","",IF(EL40=0,"",'23 LF individuell'!$AH38*BJ40))</f>
        <v/>
      </c>
      <c r="BO40" s="2099" t="str">
        <f ca="1">IF($A40="","",IF(EL40=0,"",'23 LF individuell'!$AI38*BJ40))</f>
        <v/>
      </c>
      <c r="BP40" s="2003"/>
      <c r="BQ40" s="2021"/>
      <c r="BR40" s="2005"/>
      <c r="BS40" s="2006" t="str">
        <f ca="1">IF($A40="","",IF(EM40=0,"",'23 LF individuell'!$AG38*BP40))</f>
        <v/>
      </c>
      <c r="BT40" s="2007" t="str">
        <f ca="1">IF($A40="","",IF(EM40=0,"",'23 LF individuell'!$AH38*BP40))</f>
        <v/>
      </c>
      <c r="BU40" s="2008" t="str">
        <f ca="1">IF($A40="","",IF(EM40=0,"",'23 LF individuell'!$AI38*BP40))</f>
        <v/>
      </c>
      <c r="BV40" s="2044" t="str">
        <f t="shared" ca="1" si="85"/>
        <v/>
      </c>
      <c r="BW40" s="2044" t="str">
        <f t="shared" ca="1" si="86"/>
        <v/>
      </c>
      <c r="BX40" s="2044" t="str">
        <f t="shared" ca="1" si="87"/>
        <v/>
      </c>
      <c r="BY40" s="2049" t="str">
        <f t="shared" ca="1" si="57"/>
        <v/>
      </c>
      <c r="BZ40" s="2049" t="str">
        <f t="shared" ca="1" si="58"/>
        <v/>
      </c>
      <c r="CA40" s="2049" t="str">
        <f t="shared" ca="1" si="59"/>
        <v/>
      </c>
      <c r="CB40" s="2116" t="str">
        <f t="shared" ca="1" si="88"/>
        <v/>
      </c>
      <c r="CC40" s="1163" t="str">
        <f t="shared" si="61"/>
        <v>Januar</v>
      </c>
      <c r="CD40" s="1163">
        <f t="shared" si="62"/>
        <v>0</v>
      </c>
      <c r="CE40" s="1163">
        <f t="shared" si="63"/>
        <v>0</v>
      </c>
      <c r="CF40" s="1163">
        <f t="shared" si="64"/>
        <v>0</v>
      </c>
      <c r="CG40" s="1163">
        <f>IF($CD$10="Januar",'25a Soll-Ist Vergl. + Provision'!D37,IF($CD$10="Februar",'25a Soll-Ist Vergl. + Provision'!O37,IF($CD$10="März",'25a Soll-Ist Vergl. + Provision'!Z37,'25a Soll-Ist Vergl. + Provision'!AK37)))</f>
        <v>0</v>
      </c>
      <c r="CH40" s="1163" t="str">
        <f ca="1">IF($CD$10="Januar",'25a Soll-Ist Vergl. + Provision'!E37,IF($CD$10="Februar",'25a Soll-Ist Vergl. + Provision'!P37,IF($CD$10="März",'25a Soll-Ist Vergl. + Provision'!AA37,'25a Soll-Ist Vergl. + Provision'!AL37)))</f>
        <v/>
      </c>
      <c r="CI40" s="1163" t="str">
        <f ca="1">IF($CD$10="Januar",'25a Soll-Ist Vergl. + Provision'!F37,IF($CD$10="Februar",'25a Soll-Ist Vergl. + Provision'!Q37,IF($CD$10="März",'25a Soll-Ist Vergl. + Provision'!AB37,'25a Soll-Ist Vergl. + Provision'!AM37)))</f>
        <v/>
      </c>
      <c r="CJ40" s="1163" t="str">
        <f ca="1">IF($CD$10="Januar",'25a Soll-Ist Vergl. + Provision'!G37,IF($CD$10="Februar",'25a Soll-Ist Vergl. + Provision'!R37,IF($CD$10="März",'25a Soll-Ist Vergl. + Provision'!AC37,'25a Soll-Ist Vergl. + Provision'!AN37)))</f>
        <v/>
      </c>
      <c r="CK40" s="1163">
        <f>IF($CD$10="Januar",'25a Soll-Ist Vergl. + Provision'!H37,IF($CD$10="Februar",'25a Soll-Ist Vergl. + Provision'!S37,IF($CD$10="März",'25a Soll-Ist Vergl. + Provision'!AD37,'25a Soll-Ist Vergl. + Provision'!AO37)))</f>
        <v>0</v>
      </c>
      <c r="CL40" s="1163" t="str">
        <f ca="1">IF($CD$10="Januar",'25a Soll-Ist Vergl. + Provision'!I37,IF($CD$10="Februar",'25a Soll-Ist Vergl. + Provision'!T37,IF($CD$10="März",'25a Soll-Ist Vergl. + Provision'!AE37,'25a Soll-Ist Vergl. + Provision'!AP37)))</f>
        <v/>
      </c>
      <c r="CM40" s="1163" t="str">
        <f ca="1">IF($CD$10="Januar",'25a Soll-Ist Vergl. + Provision'!J37,IF($CD$10="Februar",'25a Soll-Ist Vergl. + Provision'!U37,IF($CD$10="März",'25a Soll-Ist Vergl. + Provision'!AF37,'25a Soll-Ist Vergl. + Provision'!AQ37)))</f>
        <v/>
      </c>
      <c r="CN40" s="1163" t="str">
        <f ca="1">IF($CD$10="Januar",'25a Soll-Ist Vergl. + Provision'!K37,IF($CD$10="Februar",'25a Soll-Ist Vergl. + Provision'!V37,IF($CD$10="März",'25a Soll-Ist Vergl. + Provision'!AG37,'25a Soll-Ist Vergl. + Provision'!AR37)))</f>
        <v/>
      </c>
      <c r="CO40" s="1163" t="str">
        <f t="shared" si="65"/>
        <v>August</v>
      </c>
      <c r="CP40" s="1163">
        <f t="shared" si="66"/>
        <v>0</v>
      </c>
      <c r="CQ40" s="1163">
        <f t="shared" si="67"/>
        <v>0</v>
      </c>
      <c r="CR40" s="1163">
        <f t="shared" si="68"/>
        <v>0</v>
      </c>
      <c r="CS40" s="1163">
        <f>IF($CP$10="Mai",'25a Soll-Ist Vergl. + Provision'!AV37,IF($CP$10="Juni",'25a Soll-Ist Vergl. + Provision'!BG37,IF($CP$10="Juli",'25a Soll-Ist Vergl. + Provision'!BR37,'25a Soll-Ist Vergl. + Provision'!CC37)))</f>
        <v>0</v>
      </c>
      <c r="CT40" s="1163" t="str">
        <f ca="1">IF($CP$10="Mai",'25a Soll-Ist Vergl. + Provision'!AW37,IF($CP$10="Juni",'25a Soll-Ist Vergl. + Provision'!BH37,IF($CP$10="Juli",'25a Soll-Ist Vergl. + Provision'!BS37,'25a Soll-Ist Vergl. + Provision'!CD37)))</f>
        <v/>
      </c>
      <c r="CU40" s="1163" t="str">
        <f ca="1">IF($CP$10="Mai",'25a Soll-Ist Vergl. + Provision'!AX37,IF($CP$10="Juni",'25a Soll-Ist Vergl. + Provision'!BI37,IF($CP$10="Juli",'25a Soll-Ist Vergl. + Provision'!BT37,'25a Soll-Ist Vergl. + Provision'!CE37)))</f>
        <v/>
      </c>
      <c r="CV40" s="1163" t="str">
        <f ca="1">IF($CP$10="Mai",'25a Soll-Ist Vergl. + Provision'!AY37,IF($CP$10="Juni",'25a Soll-Ist Vergl. + Provision'!BJ37,IF($CP$10="Juli",'25a Soll-Ist Vergl. + Provision'!BU37,'25a Soll-Ist Vergl. + Provision'!CF37)))</f>
        <v/>
      </c>
      <c r="CW40" s="1163">
        <f>IF($CP$10="Mai",'25a Soll-Ist Vergl. + Provision'!AZ37,IF($CP$10="Juni",'25a Soll-Ist Vergl. + Provision'!BK37,IF($CP$10="Juli",'25a Soll-Ist Vergl. + Provision'!BV37,'25a Soll-Ist Vergl. + Provision'!CG37)))</f>
        <v>0</v>
      </c>
      <c r="CX40" s="1163" t="str">
        <f ca="1">IF($CP$10="Mai",'25a Soll-Ist Vergl. + Provision'!BA37,IF($CP$10="Juni",'25a Soll-Ist Vergl. + Provision'!BL37,IF($CP$10="Juli",'25a Soll-Ist Vergl. + Provision'!BW37,'25a Soll-Ist Vergl. + Provision'!CH37)))</f>
        <v/>
      </c>
      <c r="CY40" s="1163" t="str">
        <f ca="1">IF($CP$10="Mai",'25a Soll-Ist Vergl. + Provision'!BB37,IF($CP$10="Juni",'25a Soll-Ist Vergl. + Provision'!BM37,IF($CP$10="Juli",'25a Soll-Ist Vergl. + Provision'!BX37,'25a Soll-Ist Vergl. + Provision'!CI37)))</f>
        <v/>
      </c>
      <c r="CZ40" s="1163" t="str">
        <f ca="1">IF($CP$10="Mai",'25a Soll-Ist Vergl. + Provision'!BC37,IF($CP$10="Juni",'25a Soll-Ist Vergl. + Provision'!BN37,IF($CP$10="Juli",'25a Soll-Ist Vergl. + Provision'!BY37,'25a Soll-Ist Vergl. + Provision'!CJ37)))</f>
        <v/>
      </c>
      <c r="DA40" s="1163" t="str">
        <f t="shared" si="69"/>
        <v>Dezember</v>
      </c>
      <c r="DB40" s="1163">
        <f t="shared" si="70"/>
        <v>0</v>
      </c>
      <c r="DC40" s="1163">
        <f t="shared" si="71"/>
        <v>0</v>
      </c>
      <c r="DD40" s="1163">
        <f t="shared" si="72"/>
        <v>0</v>
      </c>
      <c r="DE40" s="1163">
        <f>IF($DB$10="September",'25a Soll-Ist Vergl. + Provision'!CN37,IF($DB$10="Oktober",'25a Soll-Ist Vergl. + Provision'!CY37,IF($DB$10="November",'25a Soll-Ist Vergl. + Provision'!DJ37,'25a Soll-Ist Vergl. + Provision'!DU37)))</f>
        <v>0</v>
      </c>
      <c r="DF40" s="1163" t="str">
        <f ca="1">IF($DB$10="September",'25a Soll-Ist Vergl. + Provision'!CO37,IF($DB$10="Oktober",'25a Soll-Ist Vergl. + Provision'!CZ37,IF($DB$10="November",'25a Soll-Ist Vergl. + Provision'!DK37,'25a Soll-Ist Vergl. + Provision'!DV37)))</f>
        <v/>
      </c>
      <c r="DG40" s="1163" t="str">
        <f ca="1">IF($DB$10="September",'25a Soll-Ist Vergl. + Provision'!CP37,IF($DB$10="Oktober",'25a Soll-Ist Vergl. + Provision'!DA37,IF($DB$10="November",'25a Soll-Ist Vergl. + Provision'!DL37,'25a Soll-Ist Vergl. + Provision'!DW37)))</f>
        <v/>
      </c>
      <c r="DH40" s="1163" t="str">
        <f ca="1">IF($DB$10="September",'25a Soll-Ist Vergl. + Provision'!CQ37,IF($DB$10="Oktober",'25a Soll-Ist Vergl. + Provision'!DB37,IF($DB$10="November",'25a Soll-Ist Vergl. + Provision'!DM37,'25a Soll-Ist Vergl. + Provision'!DX37)))</f>
        <v/>
      </c>
      <c r="DI40" s="1163">
        <f>IF($DB$10="September",'25a Soll-Ist Vergl. + Provision'!CR37,IF($DB$10="Oktober",'25a Soll-Ist Vergl. + Provision'!DC37,IF($DB$10="November",'25a Soll-Ist Vergl. + Provision'!DN37,'25a Soll-Ist Vergl. + Provision'!DY37)))</f>
        <v>0</v>
      </c>
      <c r="DJ40" s="1163" t="str">
        <f ca="1">IF($DB$10="September",'25a Soll-Ist Vergl. + Provision'!CS37,IF($DB$10="Oktober",'25a Soll-Ist Vergl. + Provision'!DD37,IF($DB$10="November",'25a Soll-Ist Vergl. + Provision'!DO37,'25a Soll-Ist Vergl. + Provision'!DZ37)))</f>
        <v/>
      </c>
      <c r="DK40" s="1163" t="str">
        <f ca="1">IF($DB$10="September",'25a Soll-Ist Vergl. + Provision'!CT37,IF($DB$10="Oktober",'25a Soll-Ist Vergl. + Provision'!DE37,IF($DB$10="November",'25a Soll-Ist Vergl. + Provision'!DP37,'25a Soll-Ist Vergl. + Provision'!EA37)))</f>
        <v/>
      </c>
      <c r="DL40" s="1163" t="str">
        <f ca="1">IF($DB$10="September",'25a Soll-Ist Vergl. + Provision'!CU37,IF($DB$10="Oktober",'25a Soll-Ist Vergl. + Provision'!DF37,IF($DB$10="November",'25a Soll-Ist Vergl. + Provision'!DQ37,'25a Soll-Ist Vergl. + Provision'!EB37)))</f>
        <v/>
      </c>
      <c r="DM40" s="1163" t="str">
        <f t="shared" si="73"/>
        <v>Januar</v>
      </c>
      <c r="DN40" s="1163">
        <f t="shared" si="74"/>
        <v>0</v>
      </c>
      <c r="DO40" s="1163">
        <f t="shared" si="75"/>
        <v>0</v>
      </c>
      <c r="DP40" s="1163">
        <f t="shared" si="76"/>
        <v>0</v>
      </c>
      <c r="DQ40" s="1163">
        <f t="shared" si="77"/>
        <v>0</v>
      </c>
      <c r="DR40" s="1163" t="str">
        <f t="shared" ca="1" si="78"/>
        <v/>
      </c>
      <c r="DS40" s="1163" t="str">
        <f t="shared" ca="1" si="79"/>
        <v/>
      </c>
      <c r="DT40" s="1163" t="str">
        <f t="shared" ca="1" si="80"/>
        <v/>
      </c>
      <c r="DU40" s="1163">
        <f t="shared" si="81"/>
        <v>0</v>
      </c>
      <c r="DV40" s="1163" t="str">
        <f t="shared" ca="1" si="82"/>
        <v/>
      </c>
      <c r="DW40" s="1163" t="str">
        <f t="shared" ca="1" si="83"/>
        <v/>
      </c>
      <c r="DX40" s="1163" t="str">
        <f t="shared" ca="1" si="84"/>
        <v/>
      </c>
      <c r="DY40" s="267"/>
      <c r="DZ40" s="3239">
        <f>'4 Eingabe Friseure'!L37</f>
        <v>0</v>
      </c>
      <c r="EA40" s="3239"/>
      <c r="EB40" s="3239">
        <f>IF($DZ40=12,1,'4 Eingabe Friseure'!N37)</f>
        <v>0</v>
      </c>
      <c r="EC40" s="3239">
        <f>IF($DZ40=12,1,'4 Eingabe Friseure'!O37)</f>
        <v>0</v>
      </c>
      <c r="ED40" s="3239">
        <f>IF($DZ40=12,1,'4 Eingabe Friseure'!P37)</f>
        <v>0</v>
      </c>
      <c r="EE40" s="3239">
        <f>IF($DZ40=12,1,'4 Eingabe Friseure'!Q37)</f>
        <v>0</v>
      </c>
      <c r="EF40" s="3239">
        <f>IF($DZ40=12,1,'4 Eingabe Friseure'!R37)</f>
        <v>0</v>
      </c>
      <c r="EG40" s="3239">
        <f>IF($DZ40=12,1,'4 Eingabe Friseure'!S37)</f>
        <v>0</v>
      </c>
      <c r="EH40" s="3239">
        <f>IF($DZ40=12,1,'4 Eingabe Friseure'!T37)</f>
        <v>0</v>
      </c>
      <c r="EI40" s="3239">
        <f>IF($DZ40=12,1,'4 Eingabe Friseure'!U37)</f>
        <v>0</v>
      </c>
      <c r="EJ40" s="3239">
        <f>IF($DZ40=12,1,'4 Eingabe Friseure'!V37)</f>
        <v>0</v>
      </c>
      <c r="EK40" s="3239">
        <f>IF($DZ40=12,1,'4 Eingabe Friseure'!W37)</f>
        <v>0</v>
      </c>
      <c r="EL40" s="3239">
        <f>IF($DZ40=12,1,'4 Eingabe Friseure'!X37)</f>
        <v>0</v>
      </c>
      <c r="EM40" s="3239">
        <f>IF($DZ40=12,1,'4 Eingabe Friseure'!Y37)</f>
        <v>0</v>
      </c>
    </row>
    <row r="41" spans="1:143" ht="18" customHeight="1">
      <c r="A41" s="2740" t="str">
        <f ca="1">IF('22 Sollumsatz pro MA '!A41="","",'22 Sollumsatz pro MA '!A41)</f>
        <v/>
      </c>
      <c r="B41" s="1945"/>
      <c r="C41" s="1984"/>
      <c r="D41" s="1957"/>
      <c r="E41" s="2097" t="str">
        <f ca="1">IF($A41="","",IF(EB41=0,"",'23 LF individuell'!$AG39*$B41))</f>
        <v/>
      </c>
      <c r="F41" s="2100" t="str">
        <f ca="1">IF($A41="","",IF(EB41=0,"",'23 LF individuell'!$AH39*$B41))</f>
        <v/>
      </c>
      <c r="G41" s="2101" t="str">
        <f ca="1">IF($A41="","",IF(EB41=0,"",'23 LF individuell'!$AI39*$B41))</f>
        <v/>
      </c>
      <c r="H41" s="2003"/>
      <c r="I41" s="2021"/>
      <c r="J41" s="2005"/>
      <c r="K41" s="2006" t="str">
        <f ca="1">IF($A41="","",IF(EC41=0,"",'23 LF individuell'!$AG39*H41))</f>
        <v/>
      </c>
      <c r="L41" s="2007" t="str">
        <f ca="1">IF($A41="","",IF(EC41=0,"",'23 LF individuell'!$AH39*H41))</f>
        <v/>
      </c>
      <c r="M41" s="2008" t="str">
        <f ca="1">IF($A41="","",IF(EC41=0,"",'23 LF individuell'!$AI39*H41))</f>
        <v/>
      </c>
      <c r="N41" s="2003"/>
      <c r="O41" s="2021"/>
      <c r="P41" s="2005"/>
      <c r="Q41" s="2097" t="str">
        <f ca="1">IF($A41="","",IF(ED41=0,"",'23 LF individuell'!$AG39*N41))</f>
        <v/>
      </c>
      <c r="R41" s="2098" t="str">
        <f ca="1">IF($A41="","",IF(ED41=0,"",'23 LF individuell'!$AH39*N41))</f>
        <v/>
      </c>
      <c r="S41" s="2099" t="str">
        <f ca="1">IF($A41="","",IF(ED41=0,"",'23 LF individuell'!$AI39*N41))</f>
        <v/>
      </c>
      <c r="T41" s="2003"/>
      <c r="U41" s="2021"/>
      <c r="V41" s="2005"/>
      <c r="W41" s="2006" t="str">
        <f ca="1">IF($A41="","",IF(EE41=0,"",'23 LF individuell'!$AG39*T41))</f>
        <v/>
      </c>
      <c r="X41" s="2007" t="str">
        <f ca="1">IF($A41="","",IF(EE41=0,"",'23 LF individuell'!$AH39*T41))</f>
        <v/>
      </c>
      <c r="Y41" s="2008" t="str">
        <f ca="1">IF($A41="","",IF(EE41=0,"",'23 LF individuell'!$AI39*T41))</f>
        <v/>
      </c>
      <c r="Z41" s="2003"/>
      <c r="AA41" s="2021"/>
      <c r="AB41" s="2005"/>
      <c r="AC41" s="2097" t="str">
        <f ca="1">IF($A41="","",IF(EF41=0,"",'23 LF individuell'!$AG39*Z41))</f>
        <v/>
      </c>
      <c r="AD41" s="2098" t="str">
        <f ca="1">IF($A41="","",IF(EF41=0,"",'23 LF individuell'!$AH39*Z41))</f>
        <v/>
      </c>
      <c r="AE41" s="2099" t="str">
        <f ca="1">IF($A41="","",IF(EF41=0,"",'23 LF individuell'!$AI39*Z41))</f>
        <v/>
      </c>
      <c r="AF41" s="2003"/>
      <c r="AG41" s="2021"/>
      <c r="AH41" s="2005"/>
      <c r="AI41" s="2006" t="str">
        <f ca="1">IF($A41="","",IF(EG41=0,"",'23 LF individuell'!$AG39*AF41))</f>
        <v/>
      </c>
      <c r="AJ41" s="2007" t="str">
        <f ca="1">IF($A41="","",IF(EG41=0,"",'23 LF individuell'!$AH39*AF41))</f>
        <v/>
      </c>
      <c r="AK41" s="2008" t="str">
        <f ca="1">IF($A41="","",IF(EG41=0,"",'23 LF individuell'!$AI39*AF41))</f>
        <v/>
      </c>
      <c r="AL41" s="2003"/>
      <c r="AM41" s="2021"/>
      <c r="AN41" s="2005"/>
      <c r="AO41" s="2097" t="str">
        <f ca="1">IF($A41="","",IF(EH41=0,"",'23 LF individuell'!$AG39*AL41))</f>
        <v/>
      </c>
      <c r="AP41" s="2098" t="str">
        <f ca="1">IF($A41="","",IF(EH41=0,"",'23 LF individuell'!$AH39*AL41))</f>
        <v/>
      </c>
      <c r="AQ41" s="2099" t="str">
        <f ca="1">IF($A41="","",IF(EH41=0,"",'23 LF individuell'!$AI39*AL41))</f>
        <v/>
      </c>
      <c r="AR41" s="2003"/>
      <c r="AS41" s="2021"/>
      <c r="AT41" s="2005"/>
      <c r="AU41" s="2006" t="str">
        <f ca="1">IF($A41="","",IF(EI41=0,"",'23 LF individuell'!$AG39*AR41))</f>
        <v/>
      </c>
      <c r="AV41" s="2007" t="str">
        <f ca="1">IF($A41="","",IF(EI41=0,"",'23 LF individuell'!$AH39*AR41))</f>
        <v/>
      </c>
      <c r="AW41" s="2008" t="str">
        <f ca="1">IF($A41="","",IF(EI41=0,"",'23 LF individuell'!$AI39*AR41))</f>
        <v/>
      </c>
      <c r="AX41" s="2003"/>
      <c r="AY41" s="2021"/>
      <c r="AZ41" s="2005"/>
      <c r="BA41" s="2097" t="str">
        <f ca="1">IF($A41="","",IF(EJ41=0,"",'23 LF individuell'!$AG39*AX41))</f>
        <v/>
      </c>
      <c r="BB41" s="2098" t="str">
        <f ca="1">IF($A41="","",IF(EJ41=0,"",'23 LF individuell'!$AH39*AX41))</f>
        <v/>
      </c>
      <c r="BC41" s="2099" t="str">
        <f ca="1">IF($A41="","",IF(EJ41=0,"",'23 LF individuell'!$AI39*AX41))</f>
        <v/>
      </c>
      <c r="BD41" s="2003"/>
      <c r="BE41" s="2021"/>
      <c r="BF41" s="2005"/>
      <c r="BG41" s="2006" t="str">
        <f ca="1">IF($A41="","",IF(EK41=0,"",'23 LF individuell'!$AG39*BD41))</f>
        <v/>
      </c>
      <c r="BH41" s="2007" t="str">
        <f ca="1">IF($A41="","",IF(EK41=0,"",'23 LF individuell'!$AH39*BD41))</f>
        <v/>
      </c>
      <c r="BI41" s="2008" t="str">
        <f ca="1">IF($A41="","",IF(EK41=0,"",'23 LF individuell'!$AI39*BD41))</f>
        <v/>
      </c>
      <c r="BJ41" s="2003"/>
      <c r="BK41" s="2021"/>
      <c r="BL41" s="2005"/>
      <c r="BM41" s="2097" t="str">
        <f ca="1">IF($A41="","",IF(EL41=0,"",'23 LF individuell'!$AG39*BJ41))</f>
        <v/>
      </c>
      <c r="BN41" s="2098" t="str">
        <f ca="1">IF($A41="","",IF(EL41=0,"",'23 LF individuell'!$AH39*BJ41))</f>
        <v/>
      </c>
      <c r="BO41" s="2099" t="str">
        <f ca="1">IF($A41="","",IF(EL41=0,"",'23 LF individuell'!$AI39*BJ41))</f>
        <v/>
      </c>
      <c r="BP41" s="2003"/>
      <c r="BQ41" s="2021"/>
      <c r="BR41" s="2005"/>
      <c r="BS41" s="2006" t="str">
        <f ca="1">IF($A41="","",IF(EM41=0,"",'23 LF individuell'!$AG39*BP41))</f>
        <v/>
      </c>
      <c r="BT41" s="2007" t="str">
        <f ca="1">IF($A41="","",IF(EM41=0,"",'23 LF individuell'!$AH39*BP41))</f>
        <v/>
      </c>
      <c r="BU41" s="2008" t="str">
        <f ca="1">IF($A41="","",IF(EM41=0,"",'23 LF individuell'!$AI39*BP41))</f>
        <v/>
      </c>
      <c r="BV41" s="2044" t="str">
        <f t="shared" ca="1" si="85"/>
        <v/>
      </c>
      <c r="BW41" s="2044" t="str">
        <f t="shared" ca="1" si="86"/>
        <v/>
      </c>
      <c r="BX41" s="2044" t="str">
        <f t="shared" ca="1" si="87"/>
        <v/>
      </c>
      <c r="BY41" s="2049" t="str">
        <f t="shared" ca="1" si="57"/>
        <v/>
      </c>
      <c r="BZ41" s="2049" t="str">
        <f t="shared" ca="1" si="58"/>
        <v/>
      </c>
      <c r="CA41" s="2049" t="str">
        <f t="shared" ca="1" si="59"/>
        <v/>
      </c>
      <c r="CB41" s="2116" t="str">
        <f t="shared" ca="1" si="88"/>
        <v/>
      </c>
      <c r="CC41" s="1163" t="str">
        <f t="shared" si="61"/>
        <v>Januar</v>
      </c>
      <c r="CD41" s="1163">
        <f t="shared" si="62"/>
        <v>0</v>
      </c>
      <c r="CE41" s="1163">
        <f t="shared" si="63"/>
        <v>0</v>
      </c>
      <c r="CF41" s="1163">
        <f t="shared" si="64"/>
        <v>0</v>
      </c>
      <c r="CG41" s="1163">
        <f>IF($CD$10="Januar",'25a Soll-Ist Vergl. + Provision'!D38,IF($CD$10="Februar",'25a Soll-Ist Vergl. + Provision'!O38,IF($CD$10="März",'25a Soll-Ist Vergl. + Provision'!Z38,'25a Soll-Ist Vergl. + Provision'!AK38)))</f>
        <v>0</v>
      </c>
      <c r="CH41" s="1163" t="str">
        <f ca="1">IF($CD$10="Januar",'25a Soll-Ist Vergl. + Provision'!E38,IF($CD$10="Februar",'25a Soll-Ist Vergl. + Provision'!P38,IF($CD$10="März",'25a Soll-Ist Vergl. + Provision'!AA38,'25a Soll-Ist Vergl. + Provision'!AL38)))</f>
        <v/>
      </c>
      <c r="CI41" s="1163" t="str">
        <f ca="1">IF($CD$10="Januar",'25a Soll-Ist Vergl. + Provision'!F38,IF($CD$10="Februar",'25a Soll-Ist Vergl. + Provision'!Q38,IF($CD$10="März",'25a Soll-Ist Vergl. + Provision'!AB38,'25a Soll-Ist Vergl. + Provision'!AM38)))</f>
        <v/>
      </c>
      <c r="CJ41" s="1163" t="str">
        <f ca="1">IF($CD$10="Januar",'25a Soll-Ist Vergl. + Provision'!G38,IF($CD$10="Februar",'25a Soll-Ist Vergl. + Provision'!R38,IF($CD$10="März",'25a Soll-Ist Vergl. + Provision'!AC38,'25a Soll-Ist Vergl. + Provision'!AN38)))</f>
        <v/>
      </c>
      <c r="CK41" s="1163">
        <f>IF($CD$10="Januar",'25a Soll-Ist Vergl. + Provision'!H38,IF($CD$10="Februar",'25a Soll-Ist Vergl. + Provision'!S38,IF($CD$10="März",'25a Soll-Ist Vergl. + Provision'!AD38,'25a Soll-Ist Vergl. + Provision'!AO38)))</f>
        <v>0</v>
      </c>
      <c r="CL41" s="1163" t="str">
        <f ca="1">IF($CD$10="Januar",'25a Soll-Ist Vergl. + Provision'!I38,IF($CD$10="Februar",'25a Soll-Ist Vergl. + Provision'!T38,IF($CD$10="März",'25a Soll-Ist Vergl. + Provision'!AE38,'25a Soll-Ist Vergl. + Provision'!AP38)))</f>
        <v/>
      </c>
      <c r="CM41" s="1163" t="str">
        <f ca="1">IF($CD$10="Januar",'25a Soll-Ist Vergl. + Provision'!J38,IF($CD$10="Februar",'25a Soll-Ist Vergl. + Provision'!U38,IF($CD$10="März",'25a Soll-Ist Vergl. + Provision'!AF38,'25a Soll-Ist Vergl. + Provision'!AQ38)))</f>
        <v/>
      </c>
      <c r="CN41" s="1163" t="str">
        <f ca="1">IF($CD$10="Januar",'25a Soll-Ist Vergl. + Provision'!K38,IF($CD$10="Februar",'25a Soll-Ist Vergl. + Provision'!V38,IF($CD$10="März",'25a Soll-Ist Vergl. + Provision'!AG38,'25a Soll-Ist Vergl. + Provision'!AR38)))</f>
        <v/>
      </c>
      <c r="CO41" s="1163" t="str">
        <f t="shared" si="65"/>
        <v>August</v>
      </c>
      <c r="CP41" s="1163">
        <f t="shared" si="66"/>
        <v>0</v>
      </c>
      <c r="CQ41" s="1163">
        <f t="shared" si="67"/>
        <v>0</v>
      </c>
      <c r="CR41" s="1163">
        <f t="shared" si="68"/>
        <v>0</v>
      </c>
      <c r="CS41" s="1163">
        <f>IF($CP$10="Mai",'25a Soll-Ist Vergl. + Provision'!AV38,IF($CP$10="Juni",'25a Soll-Ist Vergl. + Provision'!BG38,IF($CP$10="Juli",'25a Soll-Ist Vergl. + Provision'!BR38,'25a Soll-Ist Vergl. + Provision'!CC38)))</f>
        <v>0</v>
      </c>
      <c r="CT41" s="1163" t="str">
        <f ca="1">IF($CP$10="Mai",'25a Soll-Ist Vergl. + Provision'!AW38,IF($CP$10="Juni",'25a Soll-Ist Vergl. + Provision'!BH38,IF($CP$10="Juli",'25a Soll-Ist Vergl. + Provision'!BS38,'25a Soll-Ist Vergl. + Provision'!CD38)))</f>
        <v/>
      </c>
      <c r="CU41" s="1163" t="str">
        <f ca="1">IF($CP$10="Mai",'25a Soll-Ist Vergl. + Provision'!AX38,IF($CP$10="Juni",'25a Soll-Ist Vergl. + Provision'!BI38,IF($CP$10="Juli",'25a Soll-Ist Vergl. + Provision'!BT38,'25a Soll-Ist Vergl. + Provision'!CE38)))</f>
        <v/>
      </c>
      <c r="CV41" s="1163" t="str">
        <f ca="1">IF($CP$10="Mai",'25a Soll-Ist Vergl. + Provision'!AY38,IF($CP$10="Juni",'25a Soll-Ist Vergl. + Provision'!BJ38,IF($CP$10="Juli",'25a Soll-Ist Vergl. + Provision'!BU38,'25a Soll-Ist Vergl. + Provision'!CF38)))</f>
        <v/>
      </c>
      <c r="CW41" s="1163">
        <f>IF($CP$10="Mai",'25a Soll-Ist Vergl. + Provision'!AZ38,IF($CP$10="Juni",'25a Soll-Ist Vergl. + Provision'!BK38,IF($CP$10="Juli",'25a Soll-Ist Vergl. + Provision'!BV38,'25a Soll-Ist Vergl. + Provision'!CG38)))</f>
        <v>0</v>
      </c>
      <c r="CX41" s="1163" t="str">
        <f ca="1">IF($CP$10="Mai",'25a Soll-Ist Vergl. + Provision'!BA38,IF($CP$10="Juni",'25a Soll-Ist Vergl. + Provision'!BL38,IF($CP$10="Juli",'25a Soll-Ist Vergl. + Provision'!BW38,'25a Soll-Ist Vergl. + Provision'!CH38)))</f>
        <v/>
      </c>
      <c r="CY41" s="1163" t="str">
        <f ca="1">IF($CP$10="Mai",'25a Soll-Ist Vergl. + Provision'!BB38,IF($CP$10="Juni",'25a Soll-Ist Vergl. + Provision'!BM38,IF($CP$10="Juli",'25a Soll-Ist Vergl. + Provision'!BX38,'25a Soll-Ist Vergl. + Provision'!CI38)))</f>
        <v/>
      </c>
      <c r="CZ41" s="1163" t="str">
        <f ca="1">IF($CP$10="Mai",'25a Soll-Ist Vergl. + Provision'!BC38,IF($CP$10="Juni",'25a Soll-Ist Vergl. + Provision'!BN38,IF($CP$10="Juli",'25a Soll-Ist Vergl. + Provision'!BY38,'25a Soll-Ist Vergl. + Provision'!CJ38)))</f>
        <v/>
      </c>
      <c r="DA41" s="1163" t="str">
        <f t="shared" si="69"/>
        <v>Dezember</v>
      </c>
      <c r="DB41" s="1163">
        <f t="shared" si="70"/>
        <v>0</v>
      </c>
      <c r="DC41" s="1163">
        <f t="shared" si="71"/>
        <v>0</v>
      </c>
      <c r="DD41" s="1163">
        <f t="shared" si="72"/>
        <v>0</v>
      </c>
      <c r="DE41" s="1163">
        <f>IF($DB$10="September",'25a Soll-Ist Vergl. + Provision'!CN38,IF($DB$10="Oktober",'25a Soll-Ist Vergl. + Provision'!CY38,IF($DB$10="November",'25a Soll-Ist Vergl. + Provision'!DJ38,'25a Soll-Ist Vergl. + Provision'!DU38)))</f>
        <v>0</v>
      </c>
      <c r="DF41" s="1163" t="str">
        <f ca="1">IF($DB$10="September",'25a Soll-Ist Vergl. + Provision'!CO38,IF($DB$10="Oktober",'25a Soll-Ist Vergl. + Provision'!CZ38,IF($DB$10="November",'25a Soll-Ist Vergl. + Provision'!DK38,'25a Soll-Ist Vergl. + Provision'!DV38)))</f>
        <v/>
      </c>
      <c r="DG41" s="1163" t="str">
        <f ca="1">IF($DB$10="September",'25a Soll-Ist Vergl. + Provision'!CP38,IF($DB$10="Oktober",'25a Soll-Ist Vergl. + Provision'!DA38,IF($DB$10="November",'25a Soll-Ist Vergl. + Provision'!DL38,'25a Soll-Ist Vergl. + Provision'!DW38)))</f>
        <v/>
      </c>
      <c r="DH41" s="1163" t="str">
        <f ca="1">IF($DB$10="September",'25a Soll-Ist Vergl. + Provision'!CQ38,IF($DB$10="Oktober",'25a Soll-Ist Vergl. + Provision'!DB38,IF($DB$10="November",'25a Soll-Ist Vergl. + Provision'!DM38,'25a Soll-Ist Vergl. + Provision'!DX38)))</f>
        <v/>
      </c>
      <c r="DI41" s="1163">
        <f>IF($DB$10="September",'25a Soll-Ist Vergl. + Provision'!CR38,IF($DB$10="Oktober",'25a Soll-Ist Vergl. + Provision'!DC38,IF($DB$10="November",'25a Soll-Ist Vergl. + Provision'!DN38,'25a Soll-Ist Vergl. + Provision'!DY38)))</f>
        <v>0</v>
      </c>
      <c r="DJ41" s="1163" t="str">
        <f ca="1">IF($DB$10="September",'25a Soll-Ist Vergl. + Provision'!CS38,IF($DB$10="Oktober",'25a Soll-Ist Vergl. + Provision'!DD38,IF($DB$10="November",'25a Soll-Ist Vergl. + Provision'!DO38,'25a Soll-Ist Vergl. + Provision'!DZ38)))</f>
        <v/>
      </c>
      <c r="DK41" s="1163" t="str">
        <f ca="1">IF($DB$10="September",'25a Soll-Ist Vergl. + Provision'!CT38,IF($DB$10="Oktober",'25a Soll-Ist Vergl. + Provision'!DE38,IF($DB$10="November",'25a Soll-Ist Vergl. + Provision'!DP38,'25a Soll-Ist Vergl. + Provision'!EA38)))</f>
        <v/>
      </c>
      <c r="DL41" s="1163" t="str">
        <f ca="1">IF($DB$10="September",'25a Soll-Ist Vergl. + Provision'!CU38,IF($DB$10="Oktober",'25a Soll-Ist Vergl. + Provision'!DF38,IF($DB$10="November",'25a Soll-Ist Vergl. + Provision'!DQ38,'25a Soll-Ist Vergl. + Provision'!EB38)))</f>
        <v/>
      </c>
      <c r="DM41" s="1163" t="str">
        <f t="shared" si="73"/>
        <v>Januar</v>
      </c>
      <c r="DN41" s="1163">
        <f t="shared" si="74"/>
        <v>0</v>
      </c>
      <c r="DO41" s="1163">
        <f t="shared" si="75"/>
        <v>0</v>
      </c>
      <c r="DP41" s="1163">
        <f t="shared" si="76"/>
        <v>0</v>
      </c>
      <c r="DQ41" s="1163">
        <f t="shared" si="77"/>
        <v>0</v>
      </c>
      <c r="DR41" s="1163" t="str">
        <f t="shared" ca="1" si="78"/>
        <v/>
      </c>
      <c r="DS41" s="1163" t="str">
        <f t="shared" ca="1" si="79"/>
        <v/>
      </c>
      <c r="DT41" s="1163" t="str">
        <f t="shared" ca="1" si="80"/>
        <v/>
      </c>
      <c r="DU41" s="1163">
        <f t="shared" si="81"/>
        <v>0</v>
      </c>
      <c r="DV41" s="1163" t="str">
        <f t="shared" ca="1" si="82"/>
        <v/>
      </c>
      <c r="DW41" s="1163" t="str">
        <f t="shared" ca="1" si="83"/>
        <v/>
      </c>
      <c r="DX41" s="1163" t="str">
        <f t="shared" ca="1" si="84"/>
        <v/>
      </c>
      <c r="DY41" s="267"/>
      <c r="DZ41" s="3239">
        <f>'4 Eingabe Friseure'!L38</f>
        <v>0</v>
      </c>
      <c r="EA41" s="3239"/>
      <c r="EB41" s="3239">
        <f>IF($DZ41=12,1,'4 Eingabe Friseure'!N38)</f>
        <v>0</v>
      </c>
      <c r="EC41" s="3239">
        <f>IF($DZ41=12,1,'4 Eingabe Friseure'!O38)</f>
        <v>0</v>
      </c>
      <c r="ED41" s="3239">
        <f>IF($DZ41=12,1,'4 Eingabe Friseure'!P38)</f>
        <v>0</v>
      </c>
      <c r="EE41" s="3239">
        <f>IF($DZ41=12,1,'4 Eingabe Friseure'!Q38)</f>
        <v>0</v>
      </c>
      <c r="EF41" s="3239">
        <f>IF($DZ41=12,1,'4 Eingabe Friseure'!R38)</f>
        <v>0</v>
      </c>
      <c r="EG41" s="3239">
        <f>IF($DZ41=12,1,'4 Eingabe Friseure'!S38)</f>
        <v>0</v>
      </c>
      <c r="EH41" s="3239">
        <f>IF($DZ41=12,1,'4 Eingabe Friseure'!T38)</f>
        <v>0</v>
      </c>
      <c r="EI41" s="3239">
        <f>IF($DZ41=12,1,'4 Eingabe Friseure'!U38)</f>
        <v>0</v>
      </c>
      <c r="EJ41" s="3239">
        <f>IF($DZ41=12,1,'4 Eingabe Friseure'!V38)</f>
        <v>0</v>
      </c>
      <c r="EK41" s="3239">
        <f>IF($DZ41=12,1,'4 Eingabe Friseure'!W38)</f>
        <v>0</v>
      </c>
      <c r="EL41" s="3239">
        <f>IF($DZ41=12,1,'4 Eingabe Friseure'!X38)</f>
        <v>0</v>
      </c>
      <c r="EM41" s="3239">
        <f>IF($DZ41=12,1,'4 Eingabe Friseure'!Y38)</f>
        <v>0</v>
      </c>
    </row>
    <row r="42" spans="1:143" ht="18" customHeight="1">
      <c r="A42" s="2740" t="str">
        <f ca="1">IF('22 Sollumsatz pro MA '!A42="","",'22 Sollumsatz pro MA '!A42)</f>
        <v/>
      </c>
      <c r="B42" s="1945"/>
      <c r="C42" s="1984"/>
      <c r="D42" s="1957"/>
      <c r="E42" s="2097" t="str">
        <f ca="1">IF($A42="","",IF(EB42=0,"",'23 LF individuell'!$AG40*$B42))</f>
        <v/>
      </c>
      <c r="F42" s="2100" t="str">
        <f ca="1">IF($A42="","",IF(EB42=0,"",'23 LF individuell'!$AH40*$B42))</f>
        <v/>
      </c>
      <c r="G42" s="2101" t="str">
        <f ca="1">IF($A42="","",IF(EB42=0,"",'23 LF individuell'!$AI40*$B42))</f>
        <v/>
      </c>
      <c r="H42" s="2003"/>
      <c r="I42" s="2021"/>
      <c r="J42" s="2005"/>
      <c r="K42" s="2006" t="str">
        <f ca="1">IF($A42="","",IF(EC42=0,"",'23 LF individuell'!$AG40*H42))</f>
        <v/>
      </c>
      <c r="L42" s="2007" t="str">
        <f ca="1">IF($A42="","",IF(EC42=0,"",'23 LF individuell'!$AH40*H42))</f>
        <v/>
      </c>
      <c r="M42" s="2008" t="str">
        <f ca="1">IF($A42="","",IF(EC42=0,"",'23 LF individuell'!$AI40*H42))</f>
        <v/>
      </c>
      <c r="N42" s="2003"/>
      <c r="O42" s="2021"/>
      <c r="P42" s="2005"/>
      <c r="Q42" s="2097" t="str">
        <f ca="1">IF($A42="","",IF(ED42=0,"",'23 LF individuell'!$AG40*N42))</f>
        <v/>
      </c>
      <c r="R42" s="2098" t="str">
        <f ca="1">IF($A42="","",IF(ED42=0,"",'23 LF individuell'!$AH40*N42))</f>
        <v/>
      </c>
      <c r="S42" s="2099" t="str">
        <f ca="1">IF($A42="","",IF(ED42=0,"",'23 LF individuell'!$AI40*N42))</f>
        <v/>
      </c>
      <c r="T42" s="2003"/>
      <c r="U42" s="2021"/>
      <c r="V42" s="2005"/>
      <c r="W42" s="2006" t="str">
        <f ca="1">IF($A42="","",IF(EE42=0,"",'23 LF individuell'!$AG40*T42))</f>
        <v/>
      </c>
      <c r="X42" s="2007" t="str">
        <f ca="1">IF($A42="","",IF(EE42=0,"",'23 LF individuell'!$AH40*T42))</f>
        <v/>
      </c>
      <c r="Y42" s="2008" t="str">
        <f ca="1">IF($A42="","",IF(EE42=0,"",'23 LF individuell'!$AI40*T42))</f>
        <v/>
      </c>
      <c r="Z42" s="2003"/>
      <c r="AA42" s="2021"/>
      <c r="AB42" s="2005"/>
      <c r="AC42" s="2097" t="str">
        <f ca="1">IF($A42="","",IF(EF42=0,"",'23 LF individuell'!$AG40*Z42))</f>
        <v/>
      </c>
      <c r="AD42" s="2098" t="str">
        <f ca="1">IF($A42="","",IF(EF42=0,"",'23 LF individuell'!$AH40*Z42))</f>
        <v/>
      </c>
      <c r="AE42" s="2099" t="str">
        <f ca="1">IF($A42="","",IF(EF42=0,"",'23 LF individuell'!$AI40*Z42))</f>
        <v/>
      </c>
      <c r="AF42" s="2003"/>
      <c r="AG42" s="2021"/>
      <c r="AH42" s="2005"/>
      <c r="AI42" s="2006" t="str">
        <f ca="1">IF($A42="","",IF(EG42=0,"",'23 LF individuell'!$AG40*AF42))</f>
        <v/>
      </c>
      <c r="AJ42" s="2007" t="str">
        <f ca="1">IF($A42="","",IF(EG42=0,"",'23 LF individuell'!$AH40*AF42))</f>
        <v/>
      </c>
      <c r="AK42" s="2008" t="str">
        <f ca="1">IF($A42="","",IF(EG42=0,"",'23 LF individuell'!$AI40*AF42))</f>
        <v/>
      </c>
      <c r="AL42" s="2003"/>
      <c r="AM42" s="2021"/>
      <c r="AN42" s="2005"/>
      <c r="AO42" s="2097" t="str">
        <f ca="1">IF($A42="","",IF(EH42=0,"",'23 LF individuell'!$AG40*AL42))</f>
        <v/>
      </c>
      <c r="AP42" s="2098" t="str">
        <f ca="1">IF($A42="","",IF(EH42=0,"",'23 LF individuell'!$AH40*AL42))</f>
        <v/>
      </c>
      <c r="AQ42" s="2099" t="str">
        <f ca="1">IF($A42="","",IF(EH42=0,"",'23 LF individuell'!$AI40*AL42))</f>
        <v/>
      </c>
      <c r="AR42" s="2003"/>
      <c r="AS42" s="2021"/>
      <c r="AT42" s="2005"/>
      <c r="AU42" s="2006" t="str">
        <f ca="1">IF($A42="","",IF(EI42=0,"",'23 LF individuell'!$AG40*AR42))</f>
        <v/>
      </c>
      <c r="AV42" s="2007" t="str">
        <f ca="1">IF($A42="","",IF(EI42=0,"",'23 LF individuell'!$AH40*AR42))</f>
        <v/>
      </c>
      <c r="AW42" s="2008" t="str">
        <f ca="1">IF($A42="","",IF(EI42=0,"",'23 LF individuell'!$AI40*AR42))</f>
        <v/>
      </c>
      <c r="AX42" s="2003"/>
      <c r="AY42" s="2021"/>
      <c r="AZ42" s="2005"/>
      <c r="BA42" s="2097" t="str">
        <f ca="1">IF($A42="","",IF(EJ42=0,"",'23 LF individuell'!$AG40*AX42))</f>
        <v/>
      </c>
      <c r="BB42" s="2098" t="str">
        <f ca="1">IF($A42="","",IF(EJ42=0,"",'23 LF individuell'!$AH40*AX42))</f>
        <v/>
      </c>
      <c r="BC42" s="2099" t="str">
        <f ca="1">IF($A42="","",IF(EJ42=0,"",'23 LF individuell'!$AI40*AX42))</f>
        <v/>
      </c>
      <c r="BD42" s="2003"/>
      <c r="BE42" s="2021"/>
      <c r="BF42" s="2005"/>
      <c r="BG42" s="2006" t="str">
        <f ca="1">IF($A42="","",IF(EK42=0,"",'23 LF individuell'!$AG40*BD42))</f>
        <v/>
      </c>
      <c r="BH42" s="2007" t="str">
        <f ca="1">IF($A42="","",IF(EK42=0,"",'23 LF individuell'!$AH40*BD42))</f>
        <v/>
      </c>
      <c r="BI42" s="2008" t="str">
        <f ca="1">IF($A42="","",IF(EK42=0,"",'23 LF individuell'!$AI40*BD42))</f>
        <v/>
      </c>
      <c r="BJ42" s="2003"/>
      <c r="BK42" s="2021"/>
      <c r="BL42" s="2005"/>
      <c r="BM42" s="2097" t="str">
        <f ca="1">IF($A42="","",IF(EL42=0,"",'23 LF individuell'!$AG40*BJ42))</f>
        <v/>
      </c>
      <c r="BN42" s="2098" t="str">
        <f ca="1">IF($A42="","",IF(EL42=0,"",'23 LF individuell'!$AH40*BJ42))</f>
        <v/>
      </c>
      <c r="BO42" s="2099" t="str">
        <f ca="1">IF($A42="","",IF(EL42=0,"",'23 LF individuell'!$AI40*BJ42))</f>
        <v/>
      </c>
      <c r="BP42" s="2003"/>
      <c r="BQ42" s="2021"/>
      <c r="BR42" s="2005"/>
      <c r="BS42" s="2006" t="str">
        <f ca="1">IF($A42="","",IF(EM42=0,"",'23 LF individuell'!$AG40*BP42))</f>
        <v/>
      </c>
      <c r="BT42" s="2007" t="str">
        <f ca="1">IF($A42="","",IF(EM42=0,"",'23 LF individuell'!$AH40*BP42))</f>
        <v/>
      </c>
      <c r="BU42" s="2008" t="str">
        <f ca="1">IF($A42="","",IF(EM42=0,"",'23 LF individuell'!$AI40*BP42))</f>
        <v/>
      </c>
      <c r="BV42" s="2044" t="str">
        <f t="shared" ca="1" si="85"/>
        <v/>
      </c>
      <c r="BW42" s="2044" t="str">
        <f t="shared" ca="1" si="86"/>
        <v/>
      </c>
      <c r="BX42" s="2044" t="str">
        <f t="shared" ca="1" si="87"/>
        <v/>
      </c>
      <c r="BY42" s="2049" t="str">
        <f t="shared" ca="1" si="57"/>
        <v/>
      </c>
      <c r="BZ42" s="2049" t="str">
        <f t="shared" ca="1" si="58"/>
        <v/>
      </c>
      <c r="CA42" s="2049" t="str">
        <f t="shared" ca="1" si="59"/>
        <v/>
      </c>
      <c r="CB42" s="2116" t="str">
        <f t="shared" ca="1" si="88"/>
        <v/>
      </c>
      <c r="CC42" s="1163" t="str">
        <f t="shared" si="61"/>
        <v>Januar</v>
      </c>
      <c r="CD42" s="1163">
        <f t="shared" si="62"/>
        <v>0</v>
      </c>
      <c r="CE42" s="1163">
        <f t="shared" si="63"/>
        <v>0</v>
      </c>
      <c r="CF42" s="1163">
        <f t="shared" si="64"/>
        <v>0</v>
      </c>
      <c r="CG42" s="1163">
        <f>IF($CD$10="Januar",'25a Soll-Ist Vergl. + Provision'!D39,IF($CD$10="Februar",'25a Soll-Ist Vergl. + Provision'!O39,IF($CD$10="März",'25a Soll-Ist Vergl. + Provision'!Z39,'25a Soll-Ist Vergl. + Provision'!AK39)))</f>
        <v>0</v>
      </c>
      <c r="CH42" s="1163" t="str">
        <f ca="1">IF($CD$10="Januar",'25a Soll-Ist Vergl. + Provision'!E39,IF($CD$10="Februar",'25a Soll-Ist Vergl. + Provision'!P39,IF($CD$10="März",'25a Soll-Ist Vergl. + Provision'!AA39,'25a Soll-Ist Vergl. + Provision'!AL39)))</f>
        <v/>
      </c>
      <c r="CI42" s="1163" t="str">
        <f ca="1">IF($CD$10="Januar",'25a Soll-Ist Vergl. + Provision'!F39,IF($CD$10="Februar",'25a Soll-Ist Vergl. + Provision'!Q39,IF($CD$10="März",'25a Soll-Ist Vergl. + Provision'!AB39,'25a Soll-Ist Vergl. + Provision'!AM39)))</f>
        <v/>
      </c>
      <c r="CJ42" s="1163" t="str">
        <f ca="1">IF($CD$10="Januar",'25a Soll-Ist Vergl. + Provision'!G39,IF($CD$10="Februar",'25a Soll-Ist Vergl. + Provision'!R39,IF($CD$10="März",'25a Soll-Ist Vergl. + Provision'!AC39,'25a Soll-Ist Vergl. + Provision'!AN39)))</f>
        <v/>
      </c>
      <c r="CK42" s="1163">
        <f>IF($CD$10="Januar",'25a Soll-Ist Vergl. + Provision'!H39,IF($CD$10="Februar",'25a Soll-Ist Vergl. + Provision'!S39,IF($CD$10="März",'25a Soll-Ist Vergl. + Provision'!AD39,'25a Soll-Ist Vergl. + Provision'!AO39)))</f>
        <v>0</v>
      </c>
      <c r="CL42" s="1163" t="str">
        <f ca="1">IF($CD$10="Januar",'25a Soll-Ist Vergl. + Provision'!I39,IF($CD$10="Februar",'25a Soll-Ist Vergl. + Provision'!T39,IF($CD$10="März",'25a Soll-Ist Vergl. + Provision'!AE39,'25a Soll-Ist Vergl. + Provision'!AP39)))</f>
        <v/>
      </c>
      <c r="CM42" s="1163" t="str">
        <f ca="1">IF($CD$10="Januar",'25a Soll-Ist Vergl. + Provision'!J39,IF($CD$10="Februar",'25a Soll-Ist Vergl. + Provision'!U39,IF($CD$10="März",'25a Soll-Ist Vergl. + Provision'!AF39,'25a Soll-Ist Vergl. + Provision'!AQ39)))</f>
        <v/>
      </c>
      <c r="CN42" s="1163" t="str">
        <f ca="1">IF($CD$10="Januar",'25a Soll-Ist Vergl. + Provision'!K39,IF($CD$10="Februar",'25a Soll-Ist Vergl. + Provision'!V39,IF($CD$10="März",'25a Soll-Ist Vergl. + Provision'!AG39,'25a Soll-Ist Vergl. + Provision'!AR39)))</f>
        <v/>
      </c>
      <c r="CO42" s="1163" t="str">
        <f t="shared" si="65"/>
        <v>August</v>
      </c>
      <c r="CP42" s="1163">
        <f t="shared" si="66"/>
        <v>0</v>
      </c>
      <c r="CQ42" s="1163">
        <f t="shared" si="67"/>
        <v>0</v>
      </c>
      <c r="CR42" s="1163">
        <f t="shared" si="68"/>
        <v>0</v>
      </c>
      <c r="CS42" s="1163">
        <f>IF($CP$10="Mai",'25a Soll-Ist Vergl. + Provision'!AV39,IF($CP$10="Juni",'25a Soll-Ist Vergl. + Provision'!BG39,IF($CP$10="Juli",'25a Soll-Ist Vergl. + Provision'!BR39,'25a Soll-Ist Vergl. + Provision'!CC39)))</f>
        <v>0</v>
      </c>
      <c r="CT42" s="1163" t="str">
        <f ca="1">IF($CP$10="Mai",'25a Soll-Ist Vergl. + Provision'!AW39,IF($CP$10="Juni",'25a Soll-Ist Vergl. + Provision'!BH39,IF($CP$10="Juli",'25a Soll-Ist Vergl. + Provision'!BS39,'25a Soll-Ist Vergl. + Provision'!CD39)))</f>
        <v/>
      </c>
      <c r="CU42" s="1163" t="str">
        <f ca="1">IF($CP$10="Mai",'25a Soll-Ist Vergl. + Provision'!AX39,IF($CP$10="Juni",'25a Soll-Ist Vergl. + Provision'!BI39,IF($CP$10="Juli",'25a Soll-Ist Vergl. + Provision'!BT39,'25a Soll-Ist Vergl. + Provision'!CE39)))</f>
        <v/>
      </c>
      <c r="CV42" s="1163" t="str">
        <f ca="1">IF($CP$10="Mai",'25a Soll-Ist Vergl. + Provision'!AY39,IF($CP$10="Juni",'25a Soll-Ist Vergl. + Provision'!BJ39,IF($CP$10="Juli",'25a Soll-Ist Vergl. + Provision'!BU39,'25a Soll-Ist Vergl. + Provision'!CF39)))</f>
        <v/>
      </c>
      <c r="CW42" s="1163">
        <f>IF($CP$10="Mai",'25a Soll-Ist Vergl. + Provision'!AZ39,IF($CP$10="Juni",'25a Soll-Ist Vergl. + Provision'!BK39,IF($CP$10="Juli",'25a Soll-Ist Vergl. + Provision'!BV39,'25a Soll-Ist Vergl. + Provision'!CG39)))</f>
        <v>0</v>
      </c>
      <c r="CX42" s="1163" t="str">
        <f ca="1">IF($CP$10="Mai",'25a Soll-Ist Vergl. + Provision'!BA39,IF($CP$10="Juni",'25a Soll-Ist Vergl. + Provision'!BL39,IF($CP$10="Juli",'25a Soll-Ist Vergl. + Provision'!BW39,'25a Soll-Ist Vergl. + Provision'!CH39)))</f>
        <v/>
      </c>
      <c r="CY42" s="1163" t="str">
        <f ca="1">IF($CP$10="Mai",'25a Soll-Ist Vergl. + Provision'!BB39,IF($CP$10="Juni",'25a Soll-Ist Vergl. + Provision'!BM39,IF($CP$10="Juli",'25a Soll-Ist Vergl. + Provision'!BX39,'25a Soll-Ist Vergl. + Provision'!CI39)))</f>
        <v/>
      </c>
      <c r="CZ42" s="1163" t="str">
        <f ca="1">IF($CP$10="Mai",'25a Soll-Ist Vergl. + Provision'!BC39,IF($CP$10="Juni",'25a Soll-Ist Vergl. + Provision'!BN39,IF($CP$10="Juli",'25a Soll-Ist Vergl. + Provision'!BY39,'25a Soll-Ist Vergl. + Provision'!CJ39)))</f>
        <v/>
      </c>
      <c r="DA42" s="1163" t="str">
        <f t="shared" si="69"/>
        <v>Dezember</v>
      </c>
      <c r="DB42" s="1163">
        <f t="shared" si="70"/>
        <v>0</v>
      </c>
      <c r="DC42" s="1163">
        <f t="shared" si="71"/>
        <v>0</v>
      </c>
      <c r="DD42" s="1163">
        <f t="shared" si="72"/>
        <v>0</v>
      </c>
      <c r="DE42" s="1163">
        <f>IF($DB$10="September",'25a Soll-Ist Vergl. + Provision'!CN39,IF($DB$10="Oktober",'25a Soll-Ist Vergl. + Provision'!CY39,IF($DB$10="November",'25a Soll-Ist Vergl. + Provision'!DJ39,'25a Soll-Ist Vergl. + Provision'!DU39)))</f>
        <v>0</v>
      </c>
      <c r="DF42" s="1163" t="str">
        <f ca="1">IF($DB$10="September",'25a Soll-Ist Vergl. + Provision'!CO39,IF($DB$10="Oktober",'25a Soll-Ist Vergl. + Provision'!CZ39,IF($DB$10="November",'25a Soll-Ist Vergl. + Provision'!DK39,'25a Soll-Ist Vergl. + Provision'!DV39)))</f>
        <v/>
      </c>
      <c r="DG42" s="1163" t="str">
        <f ca="1">IF($DB$10="September",'25a Soll-Ist Vergl. + Provision'!CP39,IF($DB$10="Oktober",'25a Soll-Ist Vergl. + Provision'!DA39,IF($DB$10="November",'25a Soll-Ist Vergl. + Provision'!DL39,'25a Soll-Ist Vergl. + Provision'!DW39)))</f>
        <v/>
      </c>
      <c r="DH42" s="1163" t="str">
        <f ca="1">IF($DB$10="September",'25a Soll-Ist Vergl. + Provision'!CQ39,IF($DB$10="Oktober",'25a Soll-Ist Vergl. + Provision'!DB39,IF($DB$10="November",'25a Soll-Ist Vergl. + Provision'!DM39,'25a Soll-Ist Vergl. + Provision'!DX39)))</f>
        <v/>
      </c>
      <c r="DI42" s="1163">
        <f>IF($DB$10="September",'25a Soll-Ist Vergl. + Provision'!CR39,IF($DB$10="Oktober",'25a Soll-Ist Vergl. + Provision'!DC39,IF($DB$10="November",'25a Soll-Ist Vergl. + Provision'!DN39,'25a Soll-Ist Vergl. + Provision'!DY39)))</f>
        <v>0</v>
      </c>
      <c r="DJ42" s="1163" t="str">
        <f ca="1">IF($DB$10="September",'25a Soll-Ist Vergl. + Provision'!CS39,IF($DB$10="Oktober",'25a Soll-Ist Vergl. + Provision'!DD39,IF($DB$10="November",'25a Soll-Ist Vergl. + Provision'!DO39,'25a Soll-Ist Vergl. + Provision'!DZ39)))</f>
        <v/>
      </c>
      <c r="DK42" s="1163" t="str">
        <f ca="1">IF($DB$10="September",'25a Soll-Ist Vergl. + Provision'!CT39,IF($DB$10="Oktober",'25a Soll-Ist Vergl. + Provision'!DE39,IF($DB$10="November",'25a Soll-Ist Vergl. + Provision'!DP39,'25a Soll-Ist Vergl. + Provision'!EA39)))</f>
        <v/>
      </c>
      <c r="DL42" s="1163" t="str">
        <f ca="1">IF($DB$10="September",'25a Soll-Ist Vergl. + Provision'!CU39,IF($DB$10="Oktober",'25a Soll-Ist Vergl. + Provision'!DF39,IF($DB$10="November",'25a Soll-Ist Vergl. + Provision'!DQ39,'25a Soll-Ist Vergl. + Provision'!EB39)))</f>
        <v/>
      </c>
      <c r="DM42" s="1163" t="str">
        <f t="shared" si="73"/>
        <v>Januar</v>
      </c>
      <c r="DN42" s="1163">
        <f t="shared" si="74"/>
        <v>0</v>
      </c>
      <c r="DO42" s="1163">
        <f t="shared" si="75"/>
        <v>0</v>
      </c>
      <c r="DP42" s="1163">
        <f t="shared" si="76"/>
        <v>0</v>
      </c>
      <c r="DQ42" s="1163">
        <f t="shared" si="77"/>
        <v>0</v>
      </c>
      <c r="DR42" s="1163" t="str">
        <f t="shared" ca="1" si="78"/>
        <v/>
      </c>
      <c r="DS42" s="1163" t="str">
        <f t="shared" ca="1" si="79"/>
        <v/>
      </c>
      <c r="DT42" s="1163" t="str">
        <f t="shared" ca="1" si="80"/>
        <v/>
      </c>
      <c r="DU42" s="1163">
        <f t="shared" si="81"/>
        <v>0</v>
      </c>
      <c r="DV42" s="1163" t="str">
        <f t="shared" ca="1" si="82"/>
        <v/>
      </c>
      <c r="DW42" s="1163" t="str">
        <f t="shared" ca="1" si="83"/>
        <v/>
      </c>
      <c r="DX42" s="1163" t="str">
        <f t="shared" ca="1" si="84"/>
        <v/>
      </c>
      <c r="DY42" s="267"/>
      <c r="DZ42" s="3239">
        <f>'4 Eingabe Friseure'!L39</f>
        <v>0</v>
      </c>
      <c r="EA42" s="3239"/>
      <c r="EB42" s="3239">
        <f>IF($DZ42=12,1,'4 Eingabe Friseure'!N39)</f>
        <v>0</v>
      </c>
      <c r="EC42" s="3239">
        <f>IF($DZ42=12,1,'4 Eingabe Friseure'!O39)</f>
        <v>0</v>
      </c>
      <c r="ED42" s="3239">
        <f>IF($DZ42=12,1,'4 Eingabe Friseure'!P39)</f>
        <v>0</v>
      </c>
      <c r="EE42" s="3239">
        <f>IF($DZ42=12,1,'4 Eingabe Friseure'!Q39)</f>
        <v>0</v>
      </c>
      <c r="EF42" s="3239">
        <f>IF($DZ42=12,1,'4 Eingabe Friseure'!R39)</f>
        <v>0</v>
      </c>
      <c r="EG42" s="3239">
        <f>IF($DZ42=12,1,'4 Eingabe Friseure'!S39)</f>
        <v>0</v>
      </c>
      <c r="EH42" s="3239">
        <f>IF($DZ42=12,1,'4 Eingabe Friseure'!T39)</f>
        <v>0</v>
      </c>
      <c r="EI42" s="3239">
        <f>IF($DZ42=12,1,'4 Eingabe Friseure'!U39)</f>
        <v>0</v>
      </c>
      <c r="EJ42" s="3239">
        <f>IF($DZ42=12,1,'4 Eingabe Friseure'!V39)</f>
        <v>0</v>
      </c>
      <c r="EK42" s="3239">
        <f>IF($DZ42=12,1,'4 Eingabe Friseure'!W39)</f>
        <v>0</v>
      </c>
      <c r="EL42" s="3239">
        <f>IF($DZ42=12,1,'4 Eingabe Friseure'!X39)</f>
        <v>0</v>
      </c>
      <c r="EM42" s="3239">
        <f>IF($DZ42=12,1,'4 Eingabe Friseure'!Y39)</f>
        <v>0</v>
      </c>
    </row>
    <row r="43" spans="1:143" ht="18" customHeight="1">
      <c r="A43" s="2740" t="str">
        <f ca="1">IF('22 Sollumsatz pro MA '!A43="","",'22 Sollumsatz pro MA '!A43)</f>
        <v/>
      </c>
      <c r="B43" s="1945"/>
      <c r="C43" s="1984"/>
      <c r="D43" s="1957"/>
      <c r="E43" s="2097" t="str">
        <f ca="1">IF($A43="","",IF(EB43=0,"",'23 LF individuell'!$AG41*$B43))</f>
        <v/>
      </c>
      <c r="F43" s="2100" t="str">
        <f ca="1">IF($A43="","",IF(EB43=0,"",'23 LF individuell'!$AH41*$B43))</f>
        <v/>
      </c>
      <c r="G43" s="2101" t="str">
        <f ca="1">IF($A43="","",IF(EB43=0,"",'23 LF individuell'!$AI41*$B43))</f>
        <v/>
      </c>
      <c r="H43" s="2003"/>
      <c r="I43" s="2021"/>
      <c r="J43" s="2005"/>
      <c r="K43" s="2006" t="str">
        <f ca="1">IF($A43="","",IF(EC43=0,"",'23 LF individuell'!$AG41*H43))</f>
        <v/>
      </c>
      <c r="L43" s="2007" t="str">
        <f ca="1">IF($A43="","",IF(EC43=0,"",'23 LF individuell'!$AH41*H43))</f>
        <v/>
      </c>
      <c r="M43" s="2008" t="str">
        <f ca="1">IF($A43="","",IF(EC43=0,"",'23 LF individuell'!$AI41*H43))</f>
        <v/>
      </c>
      <c r="N43" s="2003"/>
      <c r="O43" s="2021"/>
      <c r="P43" s="2005"/>
      <c r="Q43" s="2097" t="str">
        <f ca="1">IF($A43="","",IF(ED43=0,"",'23 LF individuell'!$AG41*N43))</f>
        <v/>
      </c>
      <c r="R43" s="2098" t="str">
        <f ca="1">IF($A43="","",IF(ED43=0,"",'23 LF individuell'!$AH41*N43))</f>
        <v/>
      </c>
      <c r="S43" s="2099" t="str">
        <f ca="1">IF($A43="","",IF(ED43=0,"",'23 LF individuell'!$AI41*N43))</f>
        <v/>
      </c>
      <c r="T43" s="2003"/>
      <c r="U43" s="2021"/>
      <c r="V43" s="2005"/>
      <c r="W43" s="2006" t="str">
        <f ca="1">IF($A43="","",IF(EE43=0,"",'23 LF individuell'!$AG41*T43))</f>
        <v/>
      </c>
      <c r="X43" s="2007" t="str">
        <f ca="1">IF($A43="","",IF(EE43=0,"",'23 LF individuell'!$AH41*T43))</f>
        <v/>
      </c>
      <c r="Y43" s="2008" t="str">
        <f ca="1">IF($A43="","",IF(EE43=0,"",'23 LF individuell'!$AI41*T43))</f>
        <v/>
      </c>
      <c r="Z43" s="2003"/>
      <c r="AA43" s="2021"/>
      <c r="AB43" s="2005"/>
      <c r="AC43" s="2097" t="str">
        <f ca="1">IF($A43="","",IF(EF43=0,"",'23 LF individuell'!$AG41*Z43))</f>
        <v/>
      </c>
      <c r="AD43" s="2098" t="str">
        <f ca="1">IF($A43="","",IF(EF43=0,"",'23 LF individuell'!$AH41*Z43))</f>
        <v/>
      </c>
      <c r="AE43" s="2099" t="str">
        <f ca="1">IF($A43="","",IF(EF43=0,"",'23 LF individuell'!$AI41*Z43))</f>
        <v/>
      </c>
      <c r="AF43" s="2003"/>
      <c r="AG43" s="2021"/>
      <c r="AH43" s="2005"/>
      <c r="AI43" s="2006" t="str">
        <f ca="1">IF($A43="","",IF(EG43=0,"",'23 LF individuell'!$AG41*AF43))</f>
        <v/>
      </c>
      <c r="AJ43" s="2007" t="str">
        <f ca="1">IF($A43="","",IF(EG43=0,"",'23 LF individuell'!$AH41*AF43))</f>
        <v/>
      </c>
      <c r="AK43" s="2008" t="str">
        <f ca="1">IF($A43="","",IF(EG43=0,"",'23 LF individuell'!$AI41*AF43))</f>
        <v/>
      </c>
      <c r="AL43" s="2003"/>
      <c r="AM43" s="2021"/>
      <c r="AN43" s="2005"/>
      <c r="AO43" s="2097" t="str">
        <f ca="1">IF($A43="","",IF(EH43=0,"",'23 LF individuell'!$AG41*AL43))</f>
        <v/>
      </c>
      <c r="AP43" s="2098" t="str">
        <f ca="1">IF($A43="","",IF(EH43=0,"",'23 LF individuell'!$AH41*AL43))</f>
        <v/>
      </c>
      <c r="AQ43" s="2099" t="str">
        <f ca="1">IF($A43="","",IF(EH43=0,"",'23 LF individuell'!$AI41*AL43))</f>
        <v/>
      </c>
      <c r="AR43" s="2003"/>
      <c r="AS43" s="2021"/>
      <c r="AT43" s="2005"/>
      <c r="AU43" s="2006" t="str">
        <f ca="1">IF($A43="","",IF(EI43=0,"",'23 LF individuell'!$AG41*AR43))</f>
        <v/>
      </c>
      <c r="AV43" s="2007" t="str">
        <f ca="1">IF($A43="","",IF(EI43=0,"",'23 LF individuell'!$AH41*AR43))</f>
        <v/>
      </c>
      <c r="AW43" s="2008" t="str">
        <f ca="1">IF($A43="","",IF(EI43=0,"",'23 LF individuell'!$AI41*AR43))</f>
        <v/>
      </c>
      <c r="AX43" s="2003"/>
      <c r="AY43" s="2021"/>
      <c r="AZ43" s="2005"/>
      <c r="BA43" s="2097" t="str">
        <f ca="1">IF($A43="","",IF(EJ43=0,"",'23 LF individuell'!$AG41*AX43))</f>
        <v/>
      </c>
      <c r="BB43" s="2098" t="str">
        <f ca="1">IF($A43="","",IF(EJ43=0,"",'23 LF individuell'!$AH41*AX43))</f>
        <v/>
      </c>
      <c r="BC43" s="2099" t="str">
        <f ca="1">IF($A43="","",IF(EJ43=0,"",'23 LF individuell'!$AI41*AX43))</f>
        <v/>
      </c>
      <c r="BD43" s="2003"/>
      <c r="BE43" s="2021"/>
      <c r="BF43" s="2005"/>
      <c r="BG43" s="2006" t="str">
        <f ca="1">IF($A43="","",IF(EK43=0,"",'23 LF individuell'!$AG41*BD43))</f>
        <v/>
      </c>
      <c r="BH43" s="2007" t="str">
        <f ca="1">IF($A43="","",IF(EK43=0,"",'23 LF individuell'!$AH41*BD43))</f>
        <v/>
      </c>
      <c r="BI43" s="2008" t="str">
        <f ca="1">IF($A43="","",IF(EK43=0,"",'23 LF individuell'!$AI41*BD43))</f>
        <v/>
      </c>
      <c r="BJ43" s="2003"/>
      <c r="BK43" s="2021"/>
      <c r="BL43" s="2005"/>
      <c r="BM43" s="2097" t="str">
        <f ca="1">IF($A43="","",IF(EL43=0,"",'23 LF individuell'!$AG41*BJ43))</f>
        <v/>
      </c>
      <c r="BN43" s="2098" t="str">
        <f ca="1">IF($A43="","",IF(EL43=0,"",'23 LF individuell'!$AH41*BJ43))</f>
        <v/>
      </c>
      <c r="BO43" s="2099" t="str">
        <f ca="1">IF($A43="","",IF(EL43=0,"",'23 LF individuell'!$AI41*BJ43))</f>
        <v/>
      </c>
      <c r="BP43" s="2003"/>
      <c r="BQ43" s="2021"/>
      <c r="BR43" s="2005"/>
      <c r="BS43" s="2006" t="str">
        <f ca="1">IF($A43="","",IF(EM43=0,"",'23 LF individuell'!$AG41*BP43))</f>
        <v/>
      </c>
      <c r="BT43" s="2007" t="str">
        <f ca="1">IF($A43="","",IF(EM43=0,"",'23 LF individuell'!$AH41*BP43))</f>
        <v/>
      </c>
      <c r="BU43" s="2008" t="str">
        <f ca="1">IF($A43="","",IF(EM43=0,"",'23 LF individuell'!$AI41*BP43))</f>
        <v/>
      </c>
      <c r="BV43" s="2044" t="str">
        <f t="shared" ca="1" si="85"/>
        <v/>
      </c>
      <c r="BW43" s="2044" t="str">
        <f t="shared" ca="1" si="86"/>
        <v/>
      </c>
      <c r="BX43" s="2044" t="str">
        <f t="shared" ca="1" si="87"/>
        <v/>
      </c>
      <c r="BY43" s="2049" t="str">
        <f t="shared" ca="1" si="57"/>
        <v/>
      </c>
      <c r="BZ43" s="2049" t="str">
        <f t="shared" ca="1" si="58"/>
        <v/>
      </c>
      <c r="CA43" s="2049" t="str">
        <f t="shared" ca="1" si="59"/>
        <v/>
      </c>
      <c r="CB43" s="2116" t="str">
        <f t="shared" ca="1" si="88"/>
        <v/>
      </c>
      <c r="CC43" s="1163" t="str">
        <f t="shared" si="61"/>
        <v>Januar</v>
      </c>
      <c r="CD43" s="1163">
        <f t="shared" si="62"/>
        <v>0</v>
      </c>
      <c r="CE43" s="1163">
        <f t="shared" si="63"/>
        <v>0</v>
      </c>
      <c r="CF43" s="1163">
        <f t="shared" si="64"/>
        <v>0</v>
      </c>
      <c r="CG43" s="1163">
        <f>IF($CD$10="Januar",'25a Soll-Ist Vergl. + Provision'!D40,IF($CD$10="Februar",'25a Soll-Ist Vergl. + Provision'!O40,IF($CD$10="März",'25a Soll-Ist Vergl. + Provision'!Z40,'25a Soll-Ist Vergl. + Provision'!AK40)))</f>
        <v>0</v>
      </c>
      <c r="CH43" s="1163" t="str">
        <f ca="1">IF($CD$10="Januar",'25a Soll-Ist Vergl. + Provision'!E40,IF($CD$10="Februar",'25a Soll-Ist Vergl. + Provision'!P40,IF($CD$10="März",'25a Soll-Ist Vergl. + Provision'!AA40,'25a Soll-Ist Vergl. + Provision'!AL40)))</f>
        <v/>
      </c>
      <c r="CI43" s="1163" t="str">
        <f ca="1">IF($CD$10="Januar",'25a Soll-Ist Vergl. + Provision'!F40,IF($CD$10="Februar",'25a Soll-Ist Vergl. + Provision'!Q40,IF($CD$10="März",'25a Soll-Ist Vergl. + Provision'!AB40,'25a Soll-Ist Vergl. + Provision'!AM40)))</f>
        <v/>
      </c>
      <c r="CJ43" s="1163" t="str">
        <f ca="1">IF($CD$10="Januar",'25a Soll-Ist Vergl. + Provision'!G40,IF($CD$10="Februar",'25a Soll-Ist Vergl. + Provision'!R40,IF($CD$10="März",'25a Soll-Ist Vergl. + Provision'!AC40,'25a Soll-Ist Vergl. + Provision'!AN40)))</f>
        <v/>
      </c>
      <c r="CK43" s="1163">
        <f>IF($CD$10="Januar",'25a Soll-Ist Vergl. + Provision'!H40,IF($CD$10="Februar",'25a Soll-Ist Vergl. + Provision'!S40,IF($CD$10="März",'25a Soll-Ist Vergl. + Provision'!AD40,'25a Soll-Ist Vergl. + Provision'!AO40)))</f>
        <v>0</v>
      </c>
      <c r="CL43" s="1163" t="str">
        <f ca="1">IF($CD$10="Januar",'25a Soll-Ist Vergl. + Provision'!I40,IF($CD$10="Februar",'25a Soll-Ist Vergl. + Provision'!T40,IF($CD$10="März",'25a Soll-Ist Vergl. + Provision'!AE40,'25a Soll-Ist Vergl. + Provision'!AP40)))</f>
        <v/>
      </c>
      <c r="CM43" s="1163" t="str">
        <f ca="1">IF($CD$10="Januar",'25a Soll-Ist Vergl. + Provision'!J40,IF($CD$10="Februar",'25a Soll-Ist Vergl. + Provision'!U40,IF($CD$10="März",'25a Soll-Ist Vergl. + Provision'!AF40,'25a Soll-Ist Vergl. + Provision'!AQ40)))</f>
        <v/>
      </c>
      <c r="CN43" s="1163" t="str">
        <f ca="1">IF($CD$10="Januar",'25a Soll-Ist Vergl. + Provision'!K40,IF($CD$10="Februar",'25a Soll-Ist Vergl. + Provision'!V40,IF($CD$10="März",'25a Soll-Ist Vergl. + Provision'!AG40,'25a Soll-Ist Vergl. + Provision'!AR40)))</f>
        <v/>
      </c>
      <c r="CO43" s="1163" t="str">
        <f t="shared" si="65"/>
        <v>August</v>
      </c>
      <c r="CP43" s="1163">
        <f t="shared" si="66"/>
        <v>0</v>
      </c>
      <c r="CQ43" s="1163">
        <f t="shared" si="67"/>
        <v>0</v>
      </c>
      <c r="CR43" s="1163">
        <f t="shared" si="68"/>
        <v>0</v>
      </c>
      <c r="CS43" s="1163">
        <f>IF($CP$10="Mai",'25a Soll-Ist Vergl. + Provision'!AV40,IF($CP$10="Juni",'25a Soll-Ist Vergl. + Provision'!BG40,IF($CP$10="Juli",'25a Soll-Ist Vergl. + Provision'!BR40,'25a Soll-Ist Vergl. + Provision'!CC40)))</f>
        <v>0</v>
      </c>
      <c r="CT43" s="1163" t="str">
        <f ca="1">IF($CP$10="Mai",'25a Soll-Ist Vergl. + Provision'!AW40,IF($CP$10="Juni",'25a Soll-Ist Vergl. + Provision'!BH40,IF($CP$10="Juli",'25a Soll-Ist Vergl. + Provision'!BS40,'25a Soll-Ist Vergl. + Provision'!CD40)))</f>
        <v/>
      </c>
      <c r="CU43" s="1163" t="str">
        <f ca="1">IF($CP$10="Mai",'25a Soll-Ist Vergl. + Provision'!AX40,IF($CP$10="Juni",'25a Soll-Ist Vergl. + Provision'!BI40,IF($CP$10="Juli",'25a Soll-Ist Vergl. + Provision'!BT40,'25a Soll-Ist Vergl. + Provision'!CE40)))</f>
        <v/>
      </c>
      <c r="CV43" s="1163" t="str">
        <f ca="1">IF($CP$10="Mai",'25a Soll-Ist Vergl. + Provision'!AY40,IF($CP$10="Juni",'25a Soll-Ist Vergl. + Provision'!BJ40,IF($CP$10="Juli",'25a Soll-Ist Vergl. + Provision'!BU40,'25a Soll-Ist Vergl. + Provision'!CF40)))</f>
        <v/>
      </c>
      <c r="CW43" s="1163">
        <f>IF($CP$10="Mai",'25a Soll-Ist Vergl. + Provision'!AZ40,IF($CP$10="Juni",'25a Soll-Ist Vergl. + Provision'!BK40,IF($CP$10="Juli",'25a Soll-Ist Vergl. + Provision'!BV40,'25a Soll-Ist Vergl. + Provision'!CG40)))</f>
        <v>0</v>
      </c>
      <c r="CX43" s="1163" t="str">
        <f ca="1">IF($CP$10="Mai",'25a Soll-Ist Vergl. + Provision'!BA40,IF($CP$10="Juni",'25a Soll-Ist Vergl. + Provision'!BL40,IF($CP$10="Juli",'25a Soll-Ist Vergl. + Provision'!BW40,'25a Soll-Ist Vergl. + Provision'!CH40)))</f>
        <v/>
      </c>
      <c r="CY43" s="1163" t="str">
        <f ca="1">IF($CP$10="Mai",'25a Soll-Ist Vergl. + Provision'!BB40,IF($CP$10="Juni",'25a Soll-Ist Vergl. + Provision'!BM40,IF($CP$10="Juli",'25a Soll-Ist Vergl. + Provision'!BX40,'25a Soll-Ist Vergl. + Provision'!CI40)))</f>
        <v/>
      </c>
      <c r="CZ43" s="1163" t="str">
        <f ca="1">IF($CP$10="Mai",'25a Soll-Ist Vergl. + Provision'!BC40,IF($CP$10="Juni",'25a Soll-Ist Vergl. + Provision'!BN40,IF($CP$10="Juli",'25a Soll-Ist Vergl. + Provision'!BY40,'25a Soll-Ist Vergl. + Provision'!CJ40)))</f>
        <v/>
      </c>
      <c r="DA43" s="1163" t="str">
        <f t="shared" si="69"/>
        <v>Dezember</v>
      </c>
      <c r="DB43" s="1163">
        <f t="shared" si="70"/>
        <v>0</v>
      </c>
      <c r="DC43" s="1163">
        <f t="shared" si="71"/>
        <v>0</v>
      </c>
      <c r="DD43" s="1163">
        <f t="shared" si="72"/>
        <v>0</v>
      </c>
      <c r="DE43" s="1163">
        <f>IF($DB$10="September",'25a Soll-Ist Vergl. + Provision'!CN40,IF($DB$10="Oktober",'25a Soll-Ist Vergl. + Provision'!CY40,IF($DB$10="November",'25a Soll-Ist Vergl. + Provision'!DJ40,'25a Soll-Ist Vergl. + Provision'!DU40)))</f>
        <v>0</v>
      </c>
      <c r="DF43" s="1163" t="str">
        <f ca="1">IF($DB$10="September",'25a Soll-Ist Vergl. + Provision'!CO40,IF($DB$10="Oktober",'25a Soll-Ist Vergl. + Provision'!CZ40,IF($DB$10="November",'25a Soll-Ist Vergl. + Provision'!DK40,'25a Soll-Ist Vergl. + Provision'!DV40)))</f>
        <v/>
      </c>
      <c r="DG43" s="1163" t="str">
        <f ca="1">IF($DB$10="September",'25a Soll-Ist Vergl. + Provision'!CP40,IF($DB$10="Oktober",'25a Soll-Ist Vergl. + Provision'!DA40,IF($DB$10="November",'25a Soll-Ist Vergl. + Provision'!DL40,'25a Soll-Ist Vergl. + Provision'!DW40)))</f>
        <v/>
      </c>
      <c r="DH43" s="1163" t="str">
        <f ca="1">IF($DB$10="September",'25a Soll-Ist Vergl. + Provision'!CQ40,IF($DB$10="Oktober",'25a Soll-Ist Vergl. + Provision'!DB40,IF($DB$10="November",'25a Soll-Ist Vergl. + Provision'!DM40,'25a Soll-Ist Vergl. + Provision'!DX40)))</f>
        <v/>
      </c>
      <c r="DI43" s="1163">
        <f>IF($DB$10="September",'25a Soll-Ist Vergl. + Provision'!CR40,IF($DB$10="Oktober",'25a Soll-Ist Vergl. + Provision'!DC40,IF($DB$10="November",'25a Soll-Ist Vergl. + Provision'!DN40,'25a Soll-Ist Vergl. + Provision'!DY40)))</f>
        <v>0</v>
      </c>
      <c r="DJ43" s="1163" t="str">
        <f ca="1">IF($DB$10="September",'25a Soll-Ist Vergl. + Provision'!CS40,IF($DB$10="Oktober",'25a Soll-Ist Vergl. + Provision'!DD40,IF($DB$10="November",'25a Soll-Ist Vergl. + Provision'!DO40,'25a Soll-Ist Vergl. + Provision'!DZ40)))</f>
        <v/>
      </c>
      <c r="DK43" s="1163" t="str">
        <f ca="1">IF($DB$10="September",'25a Soll-Ist Vergl. + Provision'!CT40,IF($DB$10="Oktober",'25a Soll-Ist Vergl. + Provision'!DE40,IF($DB$10="November",'25a Soll-Ist Vergl. + Provision'!DP40,'25a Soll-Ist Vergl. + Provision'!EA40)))</f>
        <v/>
      </c>
      <c r="DL43" s="1163" t="str">
        <f ca="1">IF($DB$10="September",'25a Soll-Ist Vergl. + Provision'!CU40,IF($DB$10="Oktober",'25a Soll-Ist Vergl. + Provision'!DF40,IF($DB$10="November",'25a Soll-Ist Vergl. + Provision'!DQ40,'25a Soll-Ist Vergl. + Provision'!EB40)))</f>
        <v/>
      </c>
      <c r="DM43" s="1163" t="str">
        <f t="shared" si="73"/>
        <v>Januar</v>
      </c>
      <c r="DN43" s="1163">
        <f t="shared" si="74"/>
        <v>0</v>
      </c>
      <c r="DO43" s="1163">
        <f t="shared" si="75"/>
        <v>0</v>
      </c>
      <c r="DP43" s="1163">
        <f t="shared" si="76"/>
        <v>0</v>
      </c>
      <c r="DQ43" s="1163">
        <f t="shared" si="77"/>
        <v>0</v>
      </c>
      <c r="DR43" s="1163" t="str">
        <f t="shared" ca="1" si="78"/>
        <v/>
      </c>
      <c r="DS43" s="1163" t="str">
        <f t="shared" ca="1" si="79"/>
        <v/>
      </c>
      <c r="DT43" s="1163" t="str">
        <f t="shared" ca="1" si="80"/>
        <v/>
      </c>
      <c r="DU43" s="1163">
        <f t="shared" si="81"/>
        <v>0</v>
      </c>
      <c r="DV43" s="1163" t="str">
        <f t="shared" ca="1" si="82"/>
        <v/>
      </c>
      <c r="DW43" s="1163" t="str">
        <f t="shared" ca="1" si="83"/>
        <v/>
      </c>
      <c r="DX43" s="1163" t="str">
        <f t="shared" ca="1" si="84"/>
        <v/>
      </c>
      <c r="DY43" s="267"/>
      <c r="DZ43" s="3239">
        <f>'4 Eingabe Friseure'!L40</f>
        <v>0</v>
      </c>
      <c r="EA43" s="3239"/>
      <c r="EB43" s="3239">
        <f>IF($DZ43=12,1,'4 Eingabe Friseure'!N40)</f>
        <v>0</v>
      </c>
      <c r="EC43" s="3239">
        <f>IF($DZ43=12,1,'4 Eingabe Friseure'!O40)</f>
        <v>0</v>
      </c>
      <c r="ED43" s="3239">
        <f>IF($DZ43=12,1,'4 Eingabe Friseure'!P40)</f>
        <v>0</v>
      </c>
      <c r="EE43" s="3239">
        <f>IF($DZ43=12,1,'4 Eingabe Friseure'!Q40)</f>
        <v>0</v>
      </c>
      <c r="EF43" s="3239">
        <f>IF($DZ43=12,1,'4 Eingabe Friseure'!R40)</f>
        <v>0</v>
      </c>
      <c r="EG43" s="3239">
        <f>IF($DZ43=12,1,'4 Eingabe Friseure'!S40)</f>
        <v>0</v>
      </c>
      <c r="EH43" s="3239">
        <f>IF($DZ43=12,1,'4 Eingabe Friseure'!T40)</f>
        <v>0</v>
      </c>
      <c r="EI43" s="3239">
        <f>IF($DZ43=12,1,'4 Eingabe Friseure'!U40)</f>
        <v>0</v>
      </c>
      <c r="EJ43" s="3239">
        <f>IF($DZ43=12,1,'4 Eingabe Friseure'!V40)</f>
        <v>0</v>
      </c>
      <c r="EK43" s="3239">
        <f>IF($DZ43=12,1,'4 Eingabe Friseure'!W40)</f>
        <v>0</v>
      </c>
      <c r="EL43" s="3239">
        <f>IF($DZ43=12,1,'4 Eingabe Friseure'!X40)</f>
        <v>0</v>
      </c>
      <c r="EM43" s="3239">
        <f>IF($DZ43=12,1,'4 Eingabe Friseure'!Y40)</f>
        <v>0</v>
      </c>
    </row>
    <row r="44" spans="1:143" ht="18" customHeight="1">
      <c r="A44" s="2740" t="str">
        <f ca="1">IF('22 Sollumsatz pro MA '!A44="","",'22 Sollumsatz pro MA '!A44)</f>
        <v/>
      </c>
      <c r="B44" s="1945"/>
      <c r="C44" s="1984"/>
      <c r="D44" s="1957"/>
      <c r="E44" s="2097" t="str">
        <f ca="1">IF($A44="","",IF(EB44=0,"",'23 LF individuell'!$AG42*$B44))</f>
        <v/>
      </c>
      <c r="F44" s="2100" t="str">
        <f ca="1">IF($A44="","",IF(EB44=0,"",'23 LF individuell'!$AH42*$B44))</f>
        <v/>
      </c>
      <c r="G44" s="2101" t="str">
        <f ca="1">IF($A44="","",IF(EB44=0,"",'23 LF individuell'!$AI42*$B44))</f>
        <v/>
      </c>
      <c r="H44" s="2003"/>
      <c r="I44" s="2021"/>
      <c r="J44" s="2005"/>
      <c r="K44" s="2006" t="str">
        <f ca="1">IF($A44="","",IF(EC44=0,"",'23 LF individuell'!$AG42*H44))</f>
        <v/>
      </c>
      <c r="L44" s="2007" t="str">
        <f ca="1">IF($A44="","",IF(EC44=0,"",'23 LF individuell'!$AH42*H44))</f>
        <v/>
      </c>
      <c r="M44" s="2008" t="str">
        <f ca="1">IF($A44="","",IF(EC44=0,"",'23 LF individuell'!$AI42*H44))</f>
        <v/>
      </c>
      <c r="N44" s="2003"/>
      <c r="O44" s="2021"/>
      <c r="P44" s="2005"/>
      <c r="Q44" s="2097" t="str">
        <f ca="1">IF($A44="","",IF(ED44=0,"",'23 LF individuell'!$AG42*N44))</f>
        <v/>
      </c>
      <c r="R44" s="2098" t="str">
        <f ca="1">IF($A44="","",IF(ED44=0,"",'23 LF individuell'!$AH42*N44))</f>
        <v/>
      </c>
      <c r="S44" s="2099" t="str">
        <f ca="1">IF($A44="","",IF(ED44=0,"",'23 LF individuell'!$AI42*N44))</f>
        <v/>
      </c>
      <c r="T44" s="2003"/>
      <c r="U44" s="2021"/>
      <c r="V44" s="2005"/>
      <c r="W44" s="2006" t="str">
        <f ca="1">IF($A44="","",IF(EE44=0,"",'23 LF individuell'!$AG42*T44))</f>
        <v/>
      </c>
      <c r="X44" s="2007" t="str">
        <f ca="1">IF($A44="","",IF(EE44=0,"",'23 LF individuell'!$AH42*T44))</f>
        <v/>
      </c>
      <c r="Y44" s="2008" t="str">
        <f ca="1">IF($A44="","",IF(EE44=0,"",'23 LF individuell'!$AI42*T44))</f>
        <v/>
      </c>
      <c r="Z44" s="2003"/>
      <c r="AA44" s="2021"/>
      <c r="AB44" s="2005"/>
      <c r="AC44" s="2097" t="str">
        <f ca="1">IF($A44="","",IF(EF44=0,"",'23 LF individuell'!$AG42*Z44))</f>
        <v/>
      </c>
      <c r="AD44" s="2098" t="str">
        <f ca="1">IF($A44="","",IF(EF44=0,"",'23 LF individuell'!$AH42*Z44))</f>
        <v/>
      </c>
      <c r="AE44" s="2099" t="str">
        <f ca="1">IF($A44="","",IF(EF44=0,"",'23 LF individuell'!$AI42*Z44))</f>
        <v/>
      </c>
      <c r="AF44" s="2003"/>
      <c r="AG44" s="2021"/>
      <c r="AH44" s="2005"/>
      <c r="AI44" s="2006" t="str">
        <f ca="1">IF($A44="","",IF(EG44=0,"",'23 LF individuell'!$AG42*AF44))</f>
        <v/>
      </c>
      <c r="AJ44" s="2007" t="str">
        <f ca="1">IF($A44="","",IF(EG44=0,"",'23 LF individuell'!$AH42*AF44))</f>
        <v/>
      </c>
      <c r="AK44" s="2008" t="str">
        <f ca="1">IF($A44="","",IF(EG44=0,"",'23 LF individuell'!$AI42*AF44))</f>
        <v/>
      </c>
      <c r="AL44" s="2003"/>
      <c r="AM44" s="2021"/>
      <c r="AN44" s="2005"/>
      <c r="AO44" s="2097" t="str">
        <f ca="1">IF($A44="","",IF(EH44=0,"",'23 LF individuell'!$AG42*AL44))</f>
        <v/>
      </c>
      <c r="AP44" s="2098" t="str">
        <f ca="1">IF($A44="","",IF(EH44=0,"",'23 LF individuell'!$AH42*AL44))</f>
        <v/>
      </c>
      <c r="AQ44" s="2099" t="str">
        <f ca="1">IF($A44="","",IF(EH44=0,"",'23 LF individuell'!$AI42*AL44))</f>
        <v/>
      </c>
      <c r="AR44" s="2003"/>
      <c r="AS44" s="2021"/>
      <c r="AT44" s="2005"/>
      <c r="AU44" s="2006" t="str">
        <f ca="1">IF($A44="","",IF(EI44=0,"",'23 LF individuell'!$AG42*AR44))</f>
        <v/>
      </c>
      <c r="AV44" s="2007" t="str">
        <f ca="1">IF($A44="","",IF(EI44=0,"",'23 LF individuell'!$AH42*AR44))</f>
        <v/>
      </c>
      <c r="AW44" s="2008" t="str">
        <f ca="1">IF($A44="","",IF(EI44=0,"",'23 LF individuell'!$AI42*AR44))</f>
        <v/>
      </c>
      <c r="AX44" s="2003"/>
      <c r="AY44" s="2021"/>
      <c r="AZ44" s="2005"/>
      <c r="BA44" s="2097" t="str">
        <f ca="1">IF($A44="","",IF(EJ44=0,"",'23 LF individuell'!$AG42*AX44))</f>
        <v/>
      </c>
      <c r="BB44" s="2098" t="str">
        <f ca="1">IF($A44="","",IF(EJ44=0,"",'23 LF individuell'!$AH42*AX44))</f>
        <v/>
      </c>
      <c r="BC44" s="2099" t="str">
        <f ca="1">IF($A44="","",IF(EJ44=0,"",'23 LF individuell'!$AI42*AX44))</f>
        <v/>
      </c>
      <c r="BD44" s="2003"/>
      <c r="BE44" s="2021"/>
      <c r="BF44" s="2005"/>
      <c r="BG44" s="2006" t="str">
        <f ca="1">IF($A44="","",IF(EK44=0,"",'23 LF individuell'!$AG42*BD44))</f>
        <v/>
      </c>
      <c r="BH44" s="2007" t="str">
        <f ca="1">IF($A44="","",IF(EK44=0,"",'23 LF individuell'!$AH42*BD44))</f>
        <v/>
      </c>
      <c r="BI44" s="2008" t="str">
        <f ca="1">IF($A44="","",IF(EK44=0,"",'23 LF individuell'!$AI42*BD44))</f>
        <v/>
      </c>
      <c r="BJ44" s="2003"/>
      <c r="BK44" s="2021"/>
      <c r="BL44" s="2005"/>
      <c r="BM44" s="2097" t="str">
        <f ca="1">IF($A44="","",IF(EL44=0,"",'23 LF individuell'!$AG42*BJ44))</f>
        <v/>
      </c>
      <c r="BN44" s="2098" t="str">
        <f ca="1">IF($A44="","",IF(EL44=0,"",'23 LF individuell'!$AH42*BJ44))</f>
        <v/>
      </c>
      <c r="BO44" s="2099" t="str">
        <f ca="1">IF($A44="","",IF(EL44=0,"",'23 LF individuell'!$AI42*BJ44))</f>
        <v/>
      </c>
      <c r="BP44" s="2003"/>
      <c r="BQ44" s="2021"/>
      <c r="BR44" s="2005"/>
      <c r="BS44" s="2006" t="str">
        <f ca="1">IF($A44="","",IF(EM44=0,"",'23 LF individuell'!$AG42*BP44))</f>
        <v/>
      </c>
      <c r="BT44" s="2007" t="str">
        <f ca="1">IF($A44="","",IF(EM44=0,"",'23 LF individuell'!$AH42*BP44))</f>
        <v/>
      </c>
      <c r="BU44" s="2008" t="str">
        <f ca="1">IF($A44="","",IF(EM44=0,"",'23 LF individuell'!$AI42*BP44))</f>
        <v/>
      </c>
      <c r="BV44" s="2044" t="str">
        <f t="shared" ca="1" si="85"/>
        <v/>
      </c>
      <c r="BW44" s="2044" t="str">
        <f t="shared" ca="1" si="86"/>
        <v/>
      </c>
      <c r="BX44" s="2044" t="str">
        <f t="shared" ca="1" si="87"/>
        <v/>
      </c>
      <c r="BY44" s="2049" t="str">
        <f t="shared" ca="1" si="57"/>
        <v/>
      </c>
      <c r="BZ44" s="2049" t="str">
        <f t="shared" ca="1" si="58"/>
        <v/>
      </c>
      <c r="CA44" s="2049" t="str">
        <f t="shared" ca="1" si="59"/>
        <v/>
      </c>
      <c r="CB44" s="2116" t="str">
        <f t="shared" ca="1" si="88"/>
        <v/>
      </c>
      <c r="CC44" s="1163" t="str">
        <f t="shared" si="61"/>
        <v>Januar</v>
      </c>
      <c r="CD44" s="1163">
        <f t="shared" si="62"/>
        <v>0</v>
      </c>
      <c r="CE44" s="1163">
        <f t="shared" si="63"/>
        <v>0</v>
      </c>
      <c r="CF44" s="1163">
        <f t="shared" si="64"/>
        <v>0</v>
      </c>
      <c r="CG44" s="1163">
        <f>IF($CD$10="Januar",'25a Soll-Ist Vergl. + Provision'!D41,IF($CD$10="Februar",'25a Soll-Ist Vergl. + Provision'!O41,IF($CD$10="März",'25a Soll-Ist Vergl. + Provision'!Z41,'25a Soll-Ist Vergl. + Provision'!AK41)))</f>
        <v>0</v>
      </c>
      <c r="CH44" s="1163" t="str">
        <f ca="1">IF($CD$10="Januar",'25a Soll-Ist Vergl. + Provision'!E41,IF($CD$10="Februar",'25a Soll-Ist Vergl. + Provision'!P41,IF($CD$10="März",'25a Soll-Ist Vergl. + Provision'!AA41,'25a Soll-Ist Vergl. + Provision'!AL41)))</f>
        <v/>
      </c>
      <c r="CI44" s="1163" t="str">
        <f ca="1">IF($CD$10="Januar",'25a Soll-Ist Vergl. + Provision'!F41,IF($CD$10="Februar",'25a Soll-Ist Vergl. + Provision'!Q41,IF($CD$10="März",'25a Soll-Ist Vergl. + Provision'!AB41,'25a Soll-Ist Vergl. + Provision'!AM41)))</f>
        <v/>
      </c>
      <c r="CJ44" s="1163" t="str">
        <f ca="1">IF($CD$10="Januar",'25a Soll-Ist Vergl. + Provision'!G41,IF($CD$10="Februar",'25a Soll-Ist Vergl. + Provision'!R41,IF($CD$10="März",'25a Soll-Ist Vergl. + Provision'!AC41,'25a Soll-Ist Vergl. + Provision'!AN41)))</f>
        <v/>
      </c>
      <c r="CK44" s="1163">
        <f>IF($CD$10="Januar",'25a Soll-Ist Vergl. + Provision'!H41,IF($CD$10="Februar",'25a Soll-Ist Vergl. + Provision'!S41,IF($CD$10="März",'25a Soll-Ist Vergl. + Provision'!AD41,'25a Soll-Ist Vergl. + Provision'!AO41)))</f>
        <v>0</v>
      </c>
      <c r="CL44" s="1163" t="str">
        <f ca="1">IF($CD$10="Januar",'25a Soll-Ist Vergl. + Provision'!I41,IF($CD$10="Februar",'25a Soll-Ist Vergl. + Provision'!T41,IF($CD$10="März",'25a Soll-Ist Vergl. + Provision'!AE41,'25a Soll-Ist Vergl. + Provision'!AP41)))</f>
        <v/>
      </c>
      <c r="CM44" s="1163" t="str">
        <f ca="1">IF($CD$10="Januar",'25a Soll-Ist Vergl. + Provision'!J41,IF($CD$10="Februar",'25a Soll-Ist Vergl. + Provision'!U41,IF($CD$10="März",'25a Soll-Ist Vergl. + Provision'!AF41,'25a Soll-Ist Vergl. + Provision'!AQ41)))</f>
        <v/>
      </c>
      <c r="CN44" s="1163" t="str">
        <f ca="1">IF($CD$10="Januar",'25a Soll-Ist Vergl. + Provision'!K41,IF($CD$10="Februar",'25a Soll-Ist Vergl. + Provision'!V41,IF($CD$10="März",'25a Soll-Ist Vergl. + Provision'!AG41,'25a Soll-Ist Vergl. + Provision'!AR41)))</f>
        <v/>
      </c>
      <c r="CO44" s="1163" t="str">
        <f t="shared" si="65"/>
        <v>August</v>
      </c>
      <c r="CP44" s="1163">
        <f t="shared" si="66"/>
        <v>0</v>
      </c>
      <c r="CQ44" s="1163">
        <f t="shared" si="67"/>
        <v>0</v>
      </c>
      <c r="CR44" s="1163">
        <f t="shared" si="68"/>
        <v>0</v>
      </c>
      <c r="CS44" s="1163">
        <f>IF($CP$10="Mai",'25a Soll-Ist Vergl. + Provision'!AV41,IF($CP$10="Juni",'25a Soll-Ist Vergl. + Provision'!BG41,IF($CP$10="Juli",'25a Soll-Ist Vergl. + Provision'!BR41,'25a Soll-Ist Vergl. + Provision'!CC41)))</f>
        <v>0</v>
      </c>
      <c r="CT44" s="1163" t="str">
        <f ca="1">IF($CP$10="Mai",'25a Soll-Ist Vergl. + Provision'!AW41,IF($CP$10="Juni",'25a Soll-Ist Vergl. + Provision'!BH41,IF($CP$10="Juli",'25a Soll-Ist Vergl. + Provision'!BS41,'25a Soll-Ist Vergl. + Provision'!CD41)))</f>
        <v/>
      </c>
      <c r="CU44" s="1163" t="str">
        <f ca="1">IF($CP$10="Mai",'25a Soll-Ist Vergl. + Provision'!AX41,IF($CP$10="Juni",'25a Soll-Ist Vergl. + Provision'!BI41,IF($CP$10="Juli",'25a Soll-Ist Vergl. + Provision'!BT41,'25a Soll-Ist Vergl. + Provision'!CE41)))</f>
        <v/>
      </c>
      <c r="CV44" s="1163" t="str">
        <f ca="1">IF($CP$10="Mai",'25a Soll-Ist Vergl. + Provision'!AY41,IF($CP$10="Juni",'25a Soll-Ist Vergl. + Provision'!BJ41,IF($CP$10="Juli",'25a Soll-Ist Vergl. + Provision'!BU41,'25a Soll-Ist Vergl. + Provision'!CF41)))</f>
        <v/>
      </c>
      <c r="CW44" s="1163">
        <f>IF($CP$10="Mai",'25a Soll-Ist Vergl. + Provision'!AZ41,IF($CP$10="Juni",'25a Soll-Ist Vergl. + Provision'!BK41,IF($CP$10="Juli",'25a Soll-Ist Vergl. + Provision'!BV41,'25a Soll-Ist Vergl. + Provision'!CG41)))</f>
        <v>0</v>
      </c>
      <c r="CX44" s="1163" t="str">
        <f ca="1">IF($CP$10="Mai",'25a Soll-Ist Vergl. + Provision'!BA41,IF($CP$10="Juni",'25a Soll-Ist Vergl. + Provision'!BL41,IF($CP$10="Juli",'25a Soll-Ist Vergl. + Provision'!BW41,'25a Soll-Ist Vergl. + Provision'!CH41)))</f>
        <v/>
      </c>
      <c r="CY44" s="1163" t="str">
        <f ca="1">IF($CP$10="Mai",'25a Soll-Ist Vergl. + Provision'!BB41,IF($CP$10="Juni",'25a Soll-Ist Vergl. + Provision'!BM41,IF($CP$10="Juli",'25a Soll-Ist Vergl. + Provision'!BX41,'25a Soll-Ist Vergl. + Provision'!CI41)))</f>
        <v/>
      </c>
      <c r="CZ44" s="1163" t="str">
        <f ca="1">IF($CP$10="Mai",'25a Soll-Ist Vergl. + Provision'!BC41,IF($CP$10="Juni",'25a Soll-Ist Vergl. + Provision'!BN41,IF($CP$10="Juli",'25a Soll-Ist Vergl. + Provision'!BY41,'25a Soll-Ist Vergl. + Provision'!CJ41)))</f>
        <v/>
      </c>
      <c r="DA44" s="1163" t="str">
        <f t="shared" si="69"/>
        <v>Dezember</v>
      </c>
      <c r="DB44" s="1163">
        <f t="shared" si="70"/>
        <v>0</v>
      </c>
      <c r="DC44" s="1163">
        <f t="shared" si="71"/>
        <v>0</v>
      </c>
      <c r="DD44" s="1163">
        <f t="shared" si="72"/>
        <v>0</v>
      </c>
      <c r="DE44" s="1163">
        <f>IF($DB$10="September",'25a Soll-Ist Vergl. + Provision'!CN41,IF($DB$10="Oktober",'25a Soll-Ist Vergl. + Provision'!CY41,IF($DB$10="November",'25a Soll-Ist Vergl. + Provision'!DJ41,'25a Soll-Ist Vergl. + Provision'!DU41)))</f>
        <v>0</v>
      </c>
      <c r="DF44" s="1163" t="str">
        <f ca="1">IF($DB$10="September",'25a Soll-Ist Vergl. + Provision'!CO41,IF($DB$10="Oktober",'25a Soll-Ist Vergl. + Provision'!CZ41,IF($DB$10="November",'25a Soll-Ist Vergl. + Provision'!DK41,'25a Soll-Ist Vergl. + Provision'!DV41)))</f>
        <v/>
      </c>
      <c r="DG44" s="1163" t="str">
        <f ca="1">IF($DB$10="September",'25a Soll-Ist Vergl. + Provision'!CP41,IF($DB$10="Oktober",'25a Soll-Ist Vergl. + Provision'!DA41,IF($DB$10="November",'25a Soll-Ist Vergl. + Provision'!DL41,'25a Soll-Ist Vergl. + Provision'!DW41)))</f>
        <v/>
      </c>
      <c r="DH44" s="1163" t="str">
        <f ca="1">IF($DB$10="September",'25a Soll-Ist Vergl. + Provision'!CQ41,IF($DB$10="Oktober",'25a Soll-Ist Vergl. + Provision'!DB41,IF($DB$10="November",'25a Soll-Ist Vergl. + Provision'!DM41,'25a Soll-Ist Vergl. + Provision'!DX41)))</f>
        <v/>
      </c>
      <c r="DI44" s="1163">
        <f>IF($DB$10="September",'25a Soll-Ist Vergl. + Provision'!CR41,IF($DB$10="Oktober",'25a Soll-Ist Vergl. + Provision'!DC41,IF($DB$10="November",'25a Soll-Ist Vergl. + Provision'!DN41,'25a Soll-Ist Vergl. + Provision'!DY41)))</f>
        <v>0</v>
      </c>
      <c r="DJ44" s="1163" t="str">
        <f ca="1">IF($DB$10="September",'25a Soll-Ist Vergl. + Provision'!CS41,IF($DB$10="Oktober",'25a Soll-Ist Vergl. + Provision'!DD41,IF($DB$10="November",'25a Soll-Ist Vergl. + Provision'!DO41,'25a Soll-Ist Vergl. + Provision'!DZ41)))</f>
        <v/>
      </c>
      <c r="DK44" s="1163" t="str">
        <f ca="1">IF($DB$10="September",'25a Soll-Ist Vergl. + Provision'!CT41,IF($DB$10="Oktober",'25a Soll-Ist Vergl. + Provision'!DE41,IF($DB$10="November",'25a Soll-Ist Vergl. + Provision'!DP41,'25a Soll-Ist Vergl. + Provision'!EA41)))</f>
        <v/>
      </c>
      <c r="DL44" s="1163" t="str">
        <f ca="1">IF($DB$10="September",'25a Soll-Ist Vergl. + Provision'!CU41,IF($DB$10="Oktober",'25a Soll-Ist Vergl. + Provision'!DF41,IF($DB$10="November",'25a Soll-Ist Vergl. + Provision'!DQ41,'25a Soll-Ist Vergl. + Provision'!EB41)))</f>
        <v/>
      </c>
      <c r="DM44" s="1163" t="str">
        <f t="shared" si="73"/>
        <v>Januar</v>
      </c>
      <c r="DN44" s="1163">
        <f t="shared" si="74"/>
        <v>0</v>
      </c>
      <c r="DO44" s="1163">
        <f t="shared" si="75"/>
        <v>0</v>
      </c>
      <c r="DP44" s="1163">
        <f t="shared" si="76"/>
        <v>0</v>
      </c>
      <c r="DQ44" s="1163">
        <f t="shared" si="77"/>
        <v>0</v>
      </c>
      <c r="DR44" s="1163" t="str">
        <f t="shared" ca="1" si="78"/>
        <v/>
      </c>
      <c r="DS44" s="1163" t="str">
        <f t="shared" ca="1" si="79"/>
        <v/>
      </c>
      <c r="DT44" s="1163" t="str">
        <f t="shared" ca="1" si="80"/>
        <v/>
      </c>
      <c r="DU44" s="1163">
        <f t="shared" si="81"/>
        <v>0</v>
      </c>
      <c r="DV44" s="1163" t="str">
        <f t="shared" ca="1" si="82"/>
        <v/>
      </c>
      <c r="DW44" s="1163" t="str">
        <f t="shared" ca="1" si="83"/>
        <v/>
      </c>
      <c r="DX44" s="1163" t="str">
        <f t="shared" ca="1" si="84"/>
        <v/>
      </c>
      <c r="DY44" s="267"/>
      <c r="DZ44" s="3239">
        <f>'4 Eingabe Friseure'!L41</f>
        <v>0</v>
      </c>
      <c r="EA44" s="3239"/>
      <c r="EB44" s="3239">
        <f>IF($DZ44=12,1,'4 Eingabe Friseure'!N41)</f>
        <v>0</v>
      </c>
      <c r="EC44" s="3239">
        <f>IF($DZ44=12,1,'4 Eingabe Friseure'!O41)</f>
        <v>0</v>
      </c>
      <c r="ED44" s="3239">
        <f>IF($DZ44=12,1,'4 Eingabe Friseure'!P41)</f>
        <v>0</v>
      </c>
      <c r="EE44" s="3239">
        <f>IF($DZ44=12,1,'4 Eingabe Friseure'!Q41)</f>
        <v>0</v>
      </c>
      <c r="EF44" s="3239">
        <f>IF($DZ44=12,1,'4 Eingabe Friseure'!R41)</f>
        <v>0</v>
      </c>
      <c r="EG44" s="3239">
        <f>IF($DZ44=12,1,'4 Eingabe Friseure'!S41)</f>
        <v>0</v>
      </c>
      <c r="EH44" s="3239">
        <f>IF($DZ44=12,1,'4 Eingabe Friseure'!T41)</f>
        <v>0</v>
      </c>
      <c r="EI44" s="3239">
        <f>IF($DZ44=12,1,'4 Eingabe Friseure'!U41)</f>
        <v>0</v>
      </c>
      <c r="EJ44" s="3239">
        <f>IF($DZ44=12,1,'4 Eingabe Friseure'!V41)</f>
        <v>0</v>
      </c>
      <c r="EK44" s="3239">
        <f>IF($DZ44=12,1,'4 Eingabe Friseure'!W41)</f>
        <v>0</v>
      </c>
      <c r="EL44" s="3239">
        <f>IF($DZ44=12,1,'4 Eingabe Friseure'!X41)</f>
        <v>0</v>
      </c>
      <c r="EM44" s="3239">
        <f>IF($DZ44=12,1,'4 Eingabe Friseure'!Y41)</f>
        <v>0</v>
      </c>
    </row>
    <row r="45" spans="1:143" ht="18" customHeight="1">
      <c r="A45" s="2740" t="str">
        <f ca="1">IF('22 Sollumsatz pro MA '!A45="","",'22 Sollumsatz pro MA '!A45)</f>
        <v/>
      </c>
      <c r="B45" s="1945"/>
      <c r="C45" s="1984"/>
      <c r="D45" s="1957"/>
      <c r="E45" s="2097" t="str">
        <f ca="1">IF($A45="","",IF(EB45=0,"",'23 LF individuell'!$AG43*$B45))</f>
        <v/>
      </c>
      <c r="F45" s="2100" t="str">
        <f ca="1">IF($A45="","",IF(EB45=0,"",'23 LF individuell'!$AH43*$B45))</f>
        <v/>
      </c>
      <c r="G45" s="2101" t="str">
        <f ca="1">IF($A45="","",IF(EB45=0,"",'23 LF individuell'!$AI43*$B45))</f>
        <v/>
      </c>
      <c r="H45" s="2003"/>
      <c r="I45" s="2021"/>
      <c r="J45" s="2005"/>
      <c r="K45" s="2006" t="str">
        <f ca="1">IF($A45="","",IF(EC45=0,"",'23 LF individuell'!$AG43*H45))</f>
        <v/>
      </c>
      <c r="L45" s="2007" t="str">
        <f ca="1">IF($A45="","",IF(EC45=0,"",'23 LF individuell'!$AH43*H45))</f>
        <v/>
      </c>
      <c r="M45" s="2008" t="str">
        <f ca="1">IF($A45="","",IF(EC45=0,"",'23 LF individuell'!$AI43*H45))</f>
        <v/>
      </c>
      <c r="N45" s="2003"/>
      <c r="O45" s="2021"/>
      <c r="P45" s="2005"/>
      <c r="Q45" s="2097" t="str">
        <f ca="1">IF($A45="","",IF(ED45=0,"",'23 LF individuell'!$AG43*N45))</f>
        <v/>
      </c>
      <c r="R45" s="2098" t="str">
        <f ca="1">IF($A45="","",IF(ED45=0,"",'23 LF individuell'!$AH43*N45))</f>
        <v/>
      </c>
      <c r="S45" s="2099" t="str">
        <f ca="1">IF($A45="","",IF(ED45=0,"",'23 LF individuell'!$AI43*N45))</f>
        <v/>
      </c>
      <c r="T45" s="2003"/>
      <c r="U45" s="2021"/>
      <c r="V45" s="2005"/>
      <c r="W45" s="2006" t="str">
        <f ca="1">IF($A45="","",IF(EE45=0,"",'23 LF individuell'!$AG43*T45))</f>
        <v/>
      </c>
      <c r="X45" s="2007" t="str">
        <f ca="1">IF($A45="","",IF(EE45=0,"",'23 LF individuell'!$AH43*T45))</f>
        <v/>
      </c>
      <c r="Y45" s="2008" t="str">
        <f ca="1">IF($A45="","",IF(EE45=0,"",'23 LF individuell'!$AI43*T45))</f>
        <v/>
      </c>
      <c r="Z45" s="2003"/>
      <c r="AA45" s="2021"/>
      <c r="AB45" s="2005"/>
      <c r="AC45" s="2097" t="str">
        <f ca="1">IF($A45="","",IF(EF45=0,"",'23 LF individuell'!$AG43*Z45))</f>
        <v/>
      </c>
      <c r="AD45" s="2098" t="str">
        <f ca="1">IF($A45="","",IF(EF45=0,"",'23 LF individuell'!$AH43*Z45))</f>
        <v/>
      </c>
      <c r="AE45" s="2099" t="str">
        <f ca="1">IF($A45="","",IF(EF45=0,"",'23 LF individuell'!$AI43*Z45))</f>
        <v/>
      </c>
      <c r="AF45" s="2003"/>
      <c r="AG45" s="2021"/>
      <c r="AH45" s="2005"/>
      <c r="AI45" s="2006" t="str">
        <f ca="1">IF($A45="","",IF(EG45=0,"",'23 LF individuell'!$AG43*AF45))</f>
        <v/>
      </c>
      <c r="AJ45" s="2007" t="str">
        <f ca="1">IF($A45="","",IF(EG45=0,"",'23 LF individuell'!$AH43*AF45))</f>
        <v/>
      </c>
      <c r="AK45" s="2008" t="str">
        <f ca="1">IF($A45="","",IF(EG45=0,"",'23 LF individuell'!$AI43*AF45))</f>
        <v/>
      </c>
      <c r="AL45" s="2003"/>
      <c r="AM45" s="2021"/>
      <c r="AN45" s="2005"/>
      <c r="AO45" s="2097" t="str">
        <f ca="1">IF($A45="","",IF(EH45=0,"",'23 LF individuell'!$AG43*AL45))</f>
        <v/>
      </c>
      <c r="AP45" s="2098" t="str">
        <f ca="1">IF($A45="","",IF(EH45=0,"",'23 LF individuell'!$AH43*AL45))</f>
        <v/>
      </c>
      <c r="AQ45" s="2099" t="str">
        <f ca="1">IF($A45="","",IF(EH45=0,"",'23 LF individuell'!$AI43*AL45))</f>
        <v/>
      </c>
      <c r="AR45" s="2003"/>
      <c r="AS45" s="2021"/>
      <c r="AT45" s="2005"/>
      <c r="AU45" s="2006" t="str">
        <f ca="1">IF($A45="","",IF(EI45=0,"",'23 LF individuell'!$AG43*AR45))</f>
        <v/>
      </c>
      <c r="AV45" s="2007" t="str">
        <f ca="1">IF($A45="","",IF(EI45=0,"",'23 LF individuell'!$AH43*AR45))</f>
        <v/>
      </c>
      <c r="AW45" s="2008" t="str">
        <f ca="1">IF($A45="","",IF(EI45=0,"",'23 LF individuell'!$AI43*AR45))</f>
        <v/>
      </c>
      <c r="AX45" s="2003"/>
      <c r="AY45" s="2021"/>
      <c r="AZ45" s="2005"/>
      <c r="BA45" s="2097" t="str">
        <f ca="1">IF($A45="","",IF(EJ45=0,"",'23 LF individuell'!$AG43*AX45))</f>
        <v/>
      </c>
      <c r="BB45" s="2098" t="str">
        <f ca="1">IF($A45="","",IF(EJ45=0,"",'23 LF individuell'!$AH43*AX45))</f>
        <v/>
      </c>
      <c r="BC45" s="2099" t="str">
        <f ca="1">IF($A45="","",IF(EJ45=0,"",'23 LF individuell'!$AI43*AX45))</f>
        <v/>
      </c>
      <c r="BD45" s="2003"/>
      <c r="BE45" s="2021"/>
      <c r="BF45" s="2005"/>
      <c r="BG45" s="2006" t="str">
        <f ca="1">IF($A45="","",IF(EK45=0,"",'23 LF individuell'!$AG43*BD45))</f>
        <v/>
      </c>
      <c r="BH45" s="2007" t="str">
        <f ca="1">IF($A45="","",IF(EK45=0,"",'23 LF individuell'!$AH43*BD45))</f>
        <v/>
      </c>
      <c r="BI45" s="2008" t="str">
        <f ca="1">IF($A45="","",IF(EK45=0,"",'23 LF individuell'!$AI43*BD45))</f>
        <v/>
      </c>
      <c r="BJ45" s="2003"/>
      <c r="BK45" s="2021"/>
      <c r="BL45" s="2005"/>
      <c r="BM45" s="2097" t="str">
        <f ca="1">IF($A45="","",IF(EL45=0,"",'23 LF individuell'!$AG43*BJ45))</f>
        <v/>
      </c>
      <c r="BN45" s="2098" t="str">
        <f ca="1">IF($A45="","",IF(EL45=0,"",'23 LF individuell'!$AH43*BJ45))</f>
        <v/>
      </c>
      <c r="BO45" s="2099" t="str">
        <f ca="1">IF($A45="","",IF(EL45=0,"",'23 LF individuell'!$AI43*BJ45))</f>
        <v/>
      </c>
      <c r="BP45" s="2003"/>
      <c r="BQ45" s="2021"/>
      <c r="BR45" s="2005"/>
      <c r="BS45" s="2006" t="str">
        <f ca="1">IF($A45="","",IF(EM45=0,"",'23 LF individuell'!$AG43*BP45))</f>
        <v/>
      </c>
      <c r="BT45" s="2007" t="str">
        <f ca="1">IF($A45="","",IF(EM45=0,"",'23 LF individuell'!$AH43*BP45))</f>
        <v/>
      </c>
      <c r="BU45" s="2008" t="str">
        <f ca="1">IF($A45="","",IF(EM45=0,"",'23 LF individuell'!$AI43*BP45))</f>
        <v/>
      </c>
      <c r="BV45" s="2044" t="str">
        <f t="shared" ca="1" si="85"/>
        <v/>
      </c>
      <c r="BW45" s="2044" t="str">
        <f t="shared" ca="1" si="86"/>
        <v/>
      </c>
      <c r="BX45" s="2044" t="str">
        <f t="shared" ca="1" si="87"/>
        <v/>
      </c>
      <c r="BY45" s="2049" t="str">
        <f t="shared" ca="1" si="57"/>
        <v/>
      </c>
      <c r="BZ45" s="2049" t="str">
        <f t="shared" ca="1" si="58"/>
        <v/>
      </c>
      <c r="CA45" s="2049" t="str">
        <f t="shared" ca="1" si="59"/>
        <v/>
      </c>
      <c r="CB45" s="2116" t="str">
        <f t="shared" ca="1" si="88"/>
        <v/>
      </c>
      <c r="CC45" s="1163" t="str">
        <f t="shared" si="61"/>
        <v>Januar</v>
      </c>
      <c r="CD45" s="1163">
        <f t="shared" si="62"/>
        <v>0</v>
      </c>
      <c r="CE45" s="1163">
        <f t="shared" si="63"/>
        <v>0</v>
      </c>
      <c r="CF45" s="1163">
        <f t="shared" si="64"/>
        <v>0</v>
      </c>
      <c r="CG45" s="1163">
        <f>IF($CD$10="Januar",'25a Soll-Ist Vergl. + Provision'!D42,IF($CD$10="Februar",'25a Soll-Ist Vergl. + Provision'!O42,IF($CD$10="März",'25a Soll-Ist Vergl. + Provision'!Z42,'25a Soll-Ist Vergl. + Provision'!AK42)))</f>
        <v>0</v>
      </c>
      <c r="CH45" s="1163" t="str">
        <f ca="1">IF($CD$10="Januar",'25a Soll-Ist Vergl. + Provision'!E42,IF($CD$10="Februar",'25a Soll-Ist Vergl. + Provision'!P42,IF($CD$10="März",'25a Soll-Ist Vergl. + Provision'!AA42,'25a Soll-Ist Vergl. + Provision'!AL42)))</f>
        <v/>
      </c>
      <c r="CI45" s="1163" t="str">
        <f ca="1">IF($CD$10="Januar",'25a Soll-Ist Vergl. + Provision'!F42,IF($CD$10="Februar",'25a Soll-Ist Vergl. + Provision'!Q42,IF($CD$10="März",'25a Soll-Ist Vergl. + Provision'!AB42,'25a Soll-Ist Vergl. + Provision'!AM42)))</f>
        <v/>
      </c>
      <c r="CJ45" s="1163" t="str">
        <f ca="1">IF($CD$10="Januar",'25a Soll-Ist Vergl. + Provision'!G42,IF($CD$10="Februar",'25a Soll-Ist Vergl. + Provision'!R42,IF($CD$10="März",'25a Soll-Ist Vergl. + Provision'!AC42,'25a Soll-Ist Vergl. + Provision'!AN42)))</f>
        <v/>
      </c>
      <c r="CK45" s="1163">
        <f>IF($CD$10="Januar",'25a Soll-Ist Vergl. + Provision'!H42,IF($CD$10="Februar",'25a Soll-Ist Vergl. + Provision'!S42,IF($CD$10="März",'25a Soll-Ist Vergl. + Provision'!AD42,'25a Soll-Ist Vergl. + Provision'!AO42)))</f>
        <v>0</v>
      </c>
      <c r="CL45" s="1163" t="str">
        <f ca="1">IF($CD$10="Januar",'25a Soll-Ist Vergl. + Provision'!I42,IF($CD$10="Februar",'25a Soll-Ist Vergl. + Provision'!T42,IF($CD$10="März",'25a Soll-Ist Vergl. + Provision'!AE42,'25a Soll-Ist Vergl. + Provision'!AP42)))</f>
        <v/>
      </c>
      <c r="CM45" s="1163" t="str">
        <f ca="1">IF($CD$10="Januar",'25a Soll-Ist Vergl. + Provision'!J42,IF($CD$10="Februar",'25a Soll-Ist Vergl. + Provision'!U42,IF($CD$10="März",'25a Soll-Ist Vergl. + Provision'!AF42,'25a Soll-Ist Vergl. + Provision'!AQ42)))</f>
        <v/>
      </c>
      <c r="CN45" s="1163" t="str">
        <f ca="1">IF($CD$10="Januar",'25a Soll-Ist Vergl. + Provision'!K42,IF($CD$10="Februar",'25a Soll-Ist Vergl. + Provision'!V42,IF($CD$10="März",'25a Soll-Ist Vergl. + Provision'!AG42,'25a Soll-Ist Vergl. + Provision'!AR42)))</f>
        <v/>
      </c>
      <c r="CO45" s="1163" t="str">
        <f t="shared" si="65"/>
        <v>August</v>
      </c>
      <c r="CP45" s="1163">
        <f t="shared" si="66"/>
        <v>0</v>
      </c>
      <c r="CQ45" s="1163">
        <f t="shared" si="67"/>
        <v>0</v>
      </c>
      <c r="CR45" s="1163">
        <f t="shared" si="68"/>
        <v>0</v>
      </c>
      <c r="CS45" s="1163">
        <f>IF($CP$10="Mai",'25a Soll-Ist Vergl. + Provision'!AV42,IF($CP$10="Juni",'25a Soll-Ist Vergl. + Provision'!BG42,IF($CP$10="Juli",'25a Soll-Ist Vergl. + Provision'!BR42,'25a Soll-Ist Vergl. + Provision'!CC42)))</f>
        <v>0</v>
      </c>
      <c r="CT45" s="1163" t="str">
        <f ca="1">IF($CP$10="Mai",'25a Soll-Ist Vergl. + Provision'!AW42,IF($CP$10="Juni",'25a Soll-Ist Vergl. + Provision'!BH42,IF($CP$10="Juli",'25a Soll-Ist Vergl. + Provision'!BS42,'25a Soll-Ist Vergl. + Provision'!CD42)))</f>
        <v/>
      </c>
      <c r="CU45" s="1163" t="str">
        <f ca="1">IF($CP$10="Mai",'25a Soll-Ist Vergl. + Provision'!AX42,IF($CP$10="Juni",'25a Soll-Ist Vergl. + Provision'!BI42,IF($CP$10="Juli",'25a Soll-Ist Vergl. + Provision'!BT42,'25a Soll-Ist Vergl. + Provision'!CE42)))</f>
        <v/>
      </c>
      <c r="CV45" s="1163" t="str">
        <f ca="1">IF($CP$10="Mai",'25a Soll-Ist Vergl. + Provision'!AY42,IF($CP$10="Juni",'25a Soll-Ist Vergl. + Provision'!BJ42,IF($CP$10="Juli",'25a Soll-Ist Vergl. + Provision'!BU42,'25a Soll-Ist Vergl. + Provision'!CF42)))</f>
        <v/>
      </c>
      <c r="CW45" s="1163">
        <f>IF($CP$10="Mai",'25a Soll-Ist Vergl. + Provision'!AZ42,IF($CP$10="Juni",'25a Soll-Ist Vergl. + Provision'!BK42,IF($CP$10="Juli",'25a Soll-Ist Vergl. + Provision'!BV42,'25a Soll-Ist Vergl. + Provision'!CG42)))</f>
        <v>0</v>
      </c>
      <c r="CX45" s="1163" t="str">
        <f ca="1">IF($CP$10="Mai",'25a Soll-Ist Vergl. + Provision'!BA42,IF($CP$10="Juni",'25a Soll-Ist Vergl. + Provision'!BL42,IF($CP$10="Juli",'25a Soll-Ist Vergl. + Provision'!BW42,'25a Soll-Ist Vergl. + Provision'!CH42)))</f>
        <v/>
      </c>
      <c r="CY45" s="1163" t="str">
        <f ca="1">IF($CP$10="Mai",'25a Soll-Ist Vergl. + Provision'!BB42,IF($CP$10="Juni",'25a Soll-Ist Vergl. + Provision'!BM42,IF($CP$10="Juli",'25a Soll-Ist Vergl. + Provision'!BX42,'25a Soll-Ist Vergl. + Provision'!CI42)))</f>
        <v/>
      </c>
      <c r="CZ45" s="1163" t="str">
        <f ca="1">IF($CP$10="Mai",'25a Soll-Ist Vergl. + Provision'!BC42,IF($CP$10="Juni",'25a Soll-Ist Vergl. + Provision'!BN42,IF($CP$10="Juli",'25a Soll-Ist Vergl. + Provision'!BY42,'25a Soll-Ist Vergl. + Provision'!CJ42)))</f>
        <v/>
      </c>
      <c r="DA45" s="1163" t="str">
        <f t="shared" si="69"/>
        <v>Dezember</v>
      </c>
      <c r="DB45" s="1163">
        <f t="shared" si="70"/>
        <v>0</v>
      </c>
      <c r="DC45" s="1163">
        <f t="shared" si="71"/>
        <v>0</v>
      </c>
      <c r="DD45" s="1163">
        <f t="shared" si="72"/>
        <v>0</v>
      </c>
      <c r="DE45" s="1163">
        <f>IF($DB$10="September",'25a Soll-Ist Vergl. + Provision'!CN42,IF($DB$10="Oktober",'25a Soll-Ist Vergl. + Provision'!CY42,IF($DB$10="November",'25a Soll-Ist Vergl. + Provision'!DJ42,'25a Soll-Ist Vergl. + Provision'!DU42)))</f>
        <v>0</v>
      </c>
      <c r="DF45" s="1163" t="str">
        <f ca="1">IF($DB$10="September",'25a Soll-Ist Vergl. + Provision'!CO42,IF($DB$10="Oktober",'25a Soll-Ist Vergl. + Provision'!CZ42,IF($DB$10="November",'25a Soll-Ist Vergl. + Provision'!DK42,'25a Soll-Ist Vergl. + Provision'!DV42)))</f>
        <v/>
      </c>
      <c r="DG45" s="1163" t="str">
        <f ca="1">IF($DB$10="September",'25a Soll-Ist Vergl. + Provision'!CP42,IF($DB$10="Oktober",'25a Soll-Ist Vergl. + Provision'!DA42,IF($DB$10="November",'25a Soll-Ist Vergl. + Provision'!DL42,'25a Soll-Ist Vergl. + Provision'!DW42)))</f>
        <v/>
      </c>
      <c r="DH45" s="1163" t="str">
        <f ca="1">IF($DB$10="September",'25a Soll-Ist Vergl. + Provision'!CQ42,IF($DB$10="Oktober",'25a Soll-Ist Vergl. + Provision'!DB42,IF($DB$10="November",'25a Soll-Ist Vergl. + Provision'!DM42,'25a Soll-Ist Vergl. + Provision'!DX42)))</f>
        <v/>
      </c>
      <c r="DI45" s="1163">
        <f>IF($DB$10="September",'25a Soll-Ist Vergl. + Provision'!CR42,IF($DB$10="Oktober",'25a Soll-Ist Vergl. + Provision'!DC42,IF($DB$10="November",'25a Soll-Ist Vergl. + Provision'!DN42,'25a Soll-Ist Vergl. + Provision'!DY42)))</f>
        <v>0</v>
      </c>
      <c r="DJ45" s="1163" t="str">
        <f ca="1">IF($DB$10="September",'25a Soll-Ist Vergl. + Provision'!CS42,IF($DB$10="Oktober",'25a Soll-Ist Vergl. + Provision'!DD42,IF($DB$10="November",'25a Soll-Ist Vergl. + Provision'!DO42,'25a Soll-Ist Vergl. + Provision'!DZ42)))</f>
        <v/>
      </c>
      <c r="DK45" s="1163" t="str">
        <f ca="1">IF($DB$10="September",'25a Soll-Ist Vergl. + Provision'!CT42,IF($DB$10="Oktober",'25a Soll-Ist Vergl. + Provision'!DE42,IF($DB$10="November",'25a Soll-Ist Vergl. + Provision'!DP42,'25a Soll-Ist Vergl. + Provision'!EA42)))</f>
        <v/>
      </c>
      <c r="DL45" s="1163" t="str">
        <f ca="1">IF($DB$10="September",'25a Soll-Ist Vergl. + Provision'!CU42,IF($DB$10="Oktober",'25a Soll-Ist Vergl. + Provision'!DF42,IF($DB$10="November",'25a Soll-Ist Vergl. + Provision'!DQ42,'25a Soll-Ist Vergl. + Provision'!EB42)))</f>
        <v/>
      </c>
      <c r="DM45" s="1163" t="str">
        <f t="shared" si="73"/>
        <v>Januar</v>
      </c>
      <c r="DN45" s="1163">
        <f t="shared" si="74"/>
        <v>0</v>
      </c>
      <c r="DO45" s="1163">
        <f t="shared" si="75"/>
        <v>0</v>
      </c>
      <c r="DP45" s="1163">
        <f t="shared" si="76"/>
        <v>0</v>
      </c>
      <c r="DQ45" s="1163">
        <f t="shared" si="77"/>
        <v>0</v>
      </c>
      <c r="DR45" s="1163" t="str">
        <f t="shared" ca="1" si="78"/>
        <v/>
      </c>
      <c r="DS45" s="1163" t="str">
        <f t="shared" ca="1" si="79"/>
        <v/>
      </c>
      <c r="DT45" s="1163" t="str">
        <f t="shared" ca="1" si="80"/>
        <v/>
      </c>
      <c r="DU45" s="1163">
        <f t="shared" si="81"/>
        <v>0</v>
      </c>
      <c r="DV45" s="1163" t="str">
        <f t="shared" ca="1" si="82"/>
        <v/>
      </c>
      <c r="DW45" s="1163" t="str">
        <f t="shared" ca="1" si="83"/>
        <v/>
      </c>
      <c r="DX45" s="1163" t="str">
        <f t="shared" ca="1" si="84"/>
        <v/>
      </c>
      <c r="DY45" s="267"/>
      <c r="DZ45" s="3239">
        <f>'4 Eingabe Friseure'!L42</f>
        <v>0</v>
      </c>
      <c r="EA45" s="3239"/>
      <c r="EB45" s="3239">
        <f>IF($DZ45=12,1,'4 Eingabe Friseure'!N42)</f>
        <v>0</v>
      </c>
      <c r="EC45" s="3239">
        <f>IF($DZ45=12,1,'4 Eingabe Friseure'!O42)</f>
        <v>0</v>
      </c>
      <c r="ED45" s="3239">
        <f>IF($DZ45=12,1,'4 Eingabe Friseure'!P42)</f>
        <v>0</v>
      </c>
      <c r="EE45" s="3239">
        <f>IF($DZ45=12,1,'4 Eingabe Friseure'!Q42)</f>
        <v>0</v>
      </c>
      <c r="EF45" s="3239">
        <f>IF($DZ45=12,1,'4 Eingabe Friseure'!R42)</f>
        <v>0</v>
      </c>
      <c r="EG45" s="3239">
        <f>IF($DZ45=12,1,'4 Eingabe Friseure'!S42)</f>
        <v>0</v>
      </c>
      <c r="EH45" s="3239">
        <f>IF($DZ45=12,1,'4 Eingabe Friseure'!T42)</f>
        <v>0</v>
      </c>
      <c r="EI45" s="3239">
        <f>IF($DZ45=12,1,'4 Eingabe Friseure'!U42)</f>
        <v>0</v>
      </c>
      <c r="EJ45" s="3239">
        <f>IF($DZ45=12,1,'4 Eingabe Friseure'!V42)</f>
        <v>0</v>
      </c>
      <c r="EK45" s="3239">
        <f>IF($DZ45=12,1,'4 Eingabe Friseure'!W42)</f>
        <v>0</v>
      </c>
      <c r="EL45" s="3239">
        <f>IF($DZ45=12,1,'4 Eingabe Friseure'!X42)</f>
        <v>0</v>
      </c>
      <c r="EM45" s="3239">
        <f>IF($DZ45=12,1,'4 Eingabe Friseure'!Y42)</f>
        <v>0</v>
      </c>
    </row>
    <row r="46" spans="1:143" ht="18" customHeight="1">
      <c r="A46" s="2740" t="str">
        <f ca="1">IF('22 Sollumsatz pro MA '!A46="","",'22 Sollumsatz pro MA '!A46)</f>
        <v/>
      </c>
      <c r="B46" s="1945"/>
      <c r="C46" s="1984"/>
      <c r="D46" s="1957"/>
      <c r="E46" s="2097" t="str">
        <f ca="1">IF($A46="","",IF(EB46=0,"",'23 LF individuell'!$AG44*$B46))</f>
        <v/>
      </c>
      <c r="F46" s="2100" t="str">
        <f ca="1">IF($A46="","",IF(EB46=0,"",'23 LF individuell'!$AH44*$B46))</f>
        <v/>
      </c>
      <c r="G46" s="2101" t="str">
        <f ca="1">IF($A46="","",IF(EB46=0,"",'23 LF individuell'!$AI44*$B46))</f>
        <v/>
      </c>
      <c r="H46" s="2003"/>
      <c r="I46" s="2021"/>
      <c r="J46" s="2005"/>
      <c r="K46" s="2006" t="str">
        <f ca="1">IF($A46="","",IF(EC46=0,"",'23 LF individuell'!$AG44*H46))</f>
        <v/>
      </c>
      <c r="L46" s="2007" t="str">
        <f ca="1">IF($A46="","",IF(EC46=0,"",'23 LF individuell'!$AH44*H46))</f>
        <v/>
      </c>
      <c r="M46" s="2008" t="str">
        <f ca="1">IF($A46="","",IF(EC46=0,"",'23 LF individuell'!$AI44*H46))</f>
        <v/>
      </c>
      <c r="N46" s="2003"/>
      <c r="O46" s="2021"/>
      <c r="P46" s="2005"/>
      <c r="Q46" s="2097" t="str">
        <f ca="1">IF($A46="","",IF(ED46=0,"",'23 LF individuell'!$AG44*N46))</f>
        <v/>
      </c>
      <c r="R46" s="2098" t="str">
        <f ca="1">IF($A46="","",IF(ED46=0,"",'23 LF individuell'!$AH44*N46))</f>
        <v/>
      </c>
      <c r="S46" s="2099" t="str">
        <f ca="1">IF($A46="","",IF(ED46=0,"",'23 LF individuell'!$AI44*N46))</f>
        <v/>
      </c>
      <c r="T46" s="2003"/>
      <c r="U46" s="2021"/>
      <c r="V46" s="2005"/>
      <c r="W46" s="2006" t="str">
        <f ca="1">IF($A46="","",IF(EE46=0,"",'23 LF individuell'!$AG44*T46))</f>
        <v/>
      </c>
      <c r="X46" s="2007" t="str">
        <f ca="1">IF($A46="","",IF(EE46=0,"",'23 LF individuell'!$AH44*T46))</f>
        <v/>
      </c>
      <c r="Y46" s="2008" t="str">
        <f ca="1">IF($A46="","",IF(EE46=0,"",'23 LF individuell'!$AI44*T46))</f>
        <v/>
      </c>
      <c r="Z46" s="2003"/>
      <c r="AA46" s="2021"/>
      <c r="AB46" s="2005"/>
      <c r="AC46" s="2097" t="str">
        <f ca="1">IF($A46="","",IF(EF46=0,"",'23 LF individuell'!$AG44*Z46))</f>
        <v/>
      </c>
      <c r="AD46" s="2098" t="str">
        <f ca="1">IF($A46="","",IF(EF46=0,"",'23 LF individuell'!$AH44*Z46))</f>
        <v/>
      </c>
      <c r="AE46" s="2099" t="str">
        <f ca="1">IF($A46="","",IF(EF46=0,"",'23 LF individuell'!$AI44*Z46))</f>
        <v/>
      </c>
      <c r="AF46" s="2003"/>
      <c r="AG46" s="2021"/>
      <c r="AH46" s="2005"/>
      <c r="AI46" s="2006" t="str">
        <f ca="1">IF($A46="","",IF(EG46=0,"",'23 LF individuell'!$AG44*AF46))</f>
        <v/>
      </c>
      <c r="AJ46" s="2007" t="str">
        <f ca="1">IF($A46="","",IF(EG46=0,"",'23 LF individuell'!$AH44*AF46))</f>
        <v/>
      </c>
      <c r="AK46" s="2008" t="str">
        <f ca="1">IF($A46="","",IF(EG46=0,"",'23 LF individuell'!$AI44*AF46))</f>
        <v/>
      </c>
      <c r="AL46" s="2003"/>
      <c r="AM46" s="2021"/>
      <c r="AN46" s="2005"/>
      <c r="AO46" s="2097" t="str">
        <f ca="1">IF($A46="","",IF(EH46=0,"",'23 LF individuell'!$AG44*AL46))</f>
        <v/>
      </c>
      <c r="AP46" s="2098" t="str">
        <f ca="1">IF($A46="","",IF(EH46=0,"",'23 LF individuell'!$AH44*AL46))</f>
        <v/>
      </c>
      <c r="AQ46" s="2099" t="str">
        <f ca="1">IF($A46="","",IF(EH46=0,"",'23 LF individuell'!$AI44*AL46))</f>
        <v/>
      </c>
      <c r="AR46" s="2003"/>
      <c r="AS46" s="2021"/>
      <c r="AT46" s="2005"/>
      <c r="AU46" s="2006" t="str">
        <f ca="1">IF($A46="","",IF(EI46=0,"",'23 LF individuell'!$AG44*AR46))</f>
        <v/>
      </c>
      <c r="AV46" s="2007" t="str">
        <f ca="1">IF($A46="","",IF(EI46=0,"",'23 LF individuell'!$AH44*AR46))</f>
        <v/>
      </c>
      <c r="AW46" s="2008" t="str">
        <f ca="1">IF($A46="","",IF(EI46=0,"",'23 LF individuell'!$AI44*AR46))</f>
        <v/>
      </c>
      <c r="AX46" s="2003"/>
      <c r="AY46" s="2021"/>
      <c r="AZ46" s="2005"/>
      <c r="BA46" s="2097" t="str">
        <f ca="1">IF($A46="","",IF(EJ46=0,"",'23 LF individuell'!$AG44*AX46))</f>
        <v/>
      </c>
      <c r="BB46" s="2098" t="str">
        <f ca="1">IF($A46="","",IF(EJ46=0,"",'23 LF individuell'!$AH44*AX46))</f>
        <v/>
      </c>
      <c r="BC46" s="2099" t="str">
        <f ca="1">IF($A46="","",IF(EJ46=0,"",'23 LF individuell'!$AI44*AX46))</f>
        <v/>
      </c>
      <c r="BD46" s="2003"/>
      <c r="BE46" s="2021"/>
      <c r="BF46" s="2005"/>
      <c r="BG46" s="2006" t="str">
        <f ca="1">IF($A46="","",IF(EK46=0,"",'23 LF individuell'!$AG44*BD46))</f>
        <v/>
      </c>
      <c r="BH46" s="2007" t="str">
        <f ca="1">IF($A46="","",IF(EK46=0,"",'23 LF individuell'!$AH44*BD46))</f>
        <v/>
      </c>
      <c r="BI46" s="2008" t="str">
        <f ca="1">IF($A46="","",IF(EK46=0,"",'23 LF individuell'!$AI44*BD46))</f>
        <v/>
      </c>
      <c r="BJ46" s="2003"/>
      <c r="BK46" s="2021"/>
      <c r="BL46" s="2005"/>
      <c r="BM46" s="2097" t="str">
        <f ca="1">IF($A46="","",IF(EL46=0,"",'23 LF individuell'!$AG44*BJ46))</f>
        <v/>
      </c>
      <c r="BN46" s="2098" t="str">
        <f ca="1">IF($A46="","",IF(EL46=0,"",'23 LF individuell'!$AH44*BJ46))</f>
        <v/>
      </c>
      <c r="BO46" s="2099" t="str">
        <f ca="1">IF($A46="","",IF(EL46=0,"",'23 LF individuell'!$AI44*BJ46))</f>
        <v/>
      </c>
      <c r="BP46" s="2003"/>
      <c r="BQ46" s="2021"/>
      <c r="BR46" s="2005"/>
      <c r="BS46" s="2006" t="str">
        <f ca="1">IF($A46="","",IF(EM46=0,"",'23 LF individuell'!$AG44*BP46))</f>
        <v/>
      </c>
      <c r="BT46" s="2007" t="str">
        <f ca="1">IF($A46="","",IF(EM46=0,"",'23 LF individuell'!$AH44*BP46))</f>
        <v/>
      </c>
      <c r="BU46" s="2008" t="str">
        <f ca="1">IF($A46="","",IF(EM46=0,"",'23 LF individuell'!$AI44*BP46))</f>
        <v/>
      </c>
      <c r="BV46" s="2044" t="str">
        <f t="shared" ca="1" si="85"/>
        <v/>
      </c>
      <c r="BW46" s="2044" t="str">
        <f t="shared" ca="1" si="86"/>
        <v/>
      </c>
      <c r="BX46" s="2044" t="str">
        <f t="shared" ca="1" si="87"/>
        <v/>
      </c>
      <c r="BY46" s="2049" t="str">
        <f t="shared" ca="1" si="57"/>
        <v/>
      </c>
      <c r="BZ46" s="2049" t="str">
        <f t="shared" ca="1" si="58"/>
        <v/>
      </c>
      <c r="CA46" s="2049" t="str">
        <f t="shared" ca="1" si="59"/>
        <v/>
      </c>
      <c r="CB46" s="2116" t="str">
        <f t="shared" ca="1" si="88"/>
        <v/>
      </c>
      <c r="CC46" s="1163" t="str">
        <f t="shared" si="61"/>
        <v>Januar</v>
      </c>
      <c r="CD46" s="1163">
        <f t="shared" si="62"/>
        <v>0</v>
      </c>
      <c r="CE46" s="1163">
        <f t="shared" si="63"/>
        <v>0</v>
      </c>
      <c r="CF46" s="1163">
        <f t="shared" si="64"/>
        <v>0</v>
      </c>
      <c r="CG46" s="1163">
        <f>IF($CD$10="Januar",'25a Soll-Ist Vergl. + Provision'!D43,IF($CD$10="Februar",'25a Soll-Ist Vergl. + Provision'!O43,IF($CD$10="März",'25a Soll-Ist Vergl. + Provision'!Z43,'25a Soll-Ist Vergl. + Provision'!AK43)))</f>
        <v>0</v>
      </c>
      <c r="CH46" s="1163" t="str">
        <f ca="1">IF($CD$10="Januar",'25a Soll-Ist Vergl. + Provision'!E43,IF($CD$10="Februar",'25a Soll-Ist Vergl. + Provision'!P43,IF($CD$10="März",'25a Soll-Ist Vergl. + Provision'!AA43,'25a Soll-Ist Vergl. + Provision'!AL43)))</f>
        <v/>
      </c>
      <c r="CI46" s="1163" t="str">
        <f ca="1">IF($CD$10="Januar",'25a Soll-Ist Vergl. + Provision'!F43,IF($CD$10="Februar",'25a Soll-Ist Vergl. + Provision'!Q43,IF($CD$10="März",'25a Soll-Ist Vergl. + Provision'!AB43,'25a Soll-Ist Vergl. + Provision'!AM43)))</f>
        <v/>
      </c>
      <c r="CJ46" s="1163" t="str">
        <f ca="1">IF($CD$10="Januar",'25a Soll-Ist Vergl. + Provision'!G43,IF($CD$10="Februar",'25a Soll-Ist Vergl. + Provision'!R43,IF($CD$10="März",'25a Soll-Ist Vergl. + Provision'!AC43,'25a Soll-Ist Vergl. + Provision'!AN43)))</f>
        <v/>
      </c>
      <c r="CK46" s="1163">
        <f>IF($CD$10="Januar",'25a Soll-Ist Vergl. + Provision'!H43,IF($CD$10="Februar",'25a Soll-Ist Vergl. + Provision'!S43,IF($CD$10="März",'25a Soll-Ist Vergl. + Provision'!AD43,'25a Soll-Ist Vergl. + Provision'!AO43)))</f>
        <v>0</v>
      </c>
      <c r="CL46" s="1163" t="str">
        <f ca="1">IF($CD$10="Januar",'25a Soll-Ist Vergl. + Provision'!I43,IF($CD$10="Februar",'25a Soll-Ist Vergl. + Provision'!T43,IF($CD$10="März",'25a Soll-Ist Vergl. + Provision'!AE43,'25a Soll-Ist Vergl. + Provision'!AP43)))</f>
        <v/>
      </c>
      <c r="CM46" s="1163" t="str">
        <f ca="1">IF($CD$10="Januar",'25a Soll-Ist Vergl. + Provision'!J43,IF($CD$10="Februar",'25a Soll-Ist Vergl. + Provision'!U43,IF($CD$10="März",'25a Soll-Ist Vergl. + Provision'!AF43,'25a Soll-Ist Vergl. + Provision'!AQ43)))</f>
        <v/>
      </c>
      <c r="CN46" s="1163" t="str">
        <f ca="1">IF($CD$10="Januar",'25a Soll-Ist Vergl. + Provision'!K43,IF($CD$10="Februar",'25a Soll-Ist Vergl. + Provision'!V43,IF($CD$10="März",'25a Soll-Ist Vergl. + Provision'!AG43,'25a Soll-Ist Vergl. + Provision'!AR43)))</f>
        <v/>
      </c>
      <c r="CO46" s="1163" t="str">
        <f t="shared" si="65"/>
        <v>August</v>
      </c>
      <c r="CP46" s="1163">
        <f t="shared" si="66"/>
        <v>0</v>
      </c>
      <c r="CQ46" s="1163">
        <f t="shared" si="67"/>
        <v>0</v>
      </c>
      <c r="CR46" s="1163">
        <f t="shared" si="68"/>
        <v>0</v>
      </c>
      <c r="CS46" s="1163">
        <f>IF($CP$10="Mai",'25a Soll-Ist Vergl. + Provision'!AV43,IF($CP$10="Juni",'25a Soll-Ist Vergl. + Provision'!BG43,IF($CP$10="Juli",'25a Soll-Ist Vergl. + Provision'!BR43,'25a Soll-Ist Vergl. + Provision'!CC43)))</f>
        <v>0</v>
      </c>
      <c r="CT46" s="1163" t="str">
        <f ca="1">IF($CP$10="Mai",'25a Soll-Ist Vergl. + Provision'!AW43,IF($CP$10="Juni",'25a Soll-Ist Vergl. + Provision'!BH43,IF($CP$10="Juli",'25a Soll-Ist Vergl. + Provision'!BS43,'25a Soll-Ist Vergl. + Provision'!CD43)))</f>
        <v/>
      </c>
      <c r="CU46" s="1163" t="str">
        <f ca="1">IF($CP$10="Mai",'25a Soll-Ist Vergl. + Provision'!AX43,IF($CP$10="Juni",'25a Soll-Ist Vergl. + Provision'!BI43,IF($CP$10="Juli",'25a Soll-Ist Vergl. + Provision'!BT43,'25a Soll-Ist Vergl. + Provision'!CE43)))</f>
        <v/>
      </c>
      <c r="CV46" s="1163" t="str">
        <f ca="1">IF($CP$10="Mai",'25a Soll-Ist Vergl. + Provision'!AY43,IF($CP$10="Juni",'25a Soll-Ist Vergl. + Provision'!BJ43,IF($CP$10="Juli",'25a Soll-Ist Vergl. + Provision'!BU43,'25a Soll-Ist Vergl. + Provision'!CF43)))</f>
        <v/>
      </c>
      <c r="CW46" s="1163">
        <f>IF($CP$10="Mai",'25a Soll-Ist Vergl. + Provision'!AZ43,IF($CP$10="Juni",'25a Soll-Ist Vergl. + Provision'!BK43,IF($CP$10="Juli",'25a Soll-Ist Vergl. + Provision'!BV43,'25a Soll-Ist Vergl. + Provision'!CG43)))</f>
        <v>0</v>
      </c>
      <c r="CX46" s="1163" t="str">
        <f ca="1">IF($CP$10="Mai",'25a Soll-Ist Vergl. + Provision'!BA43,IF($CP$10="Juni",'25a Soll-Ist Vergl. + Provision'!BL43,IF($CP$10="Juli",'25a Soll-Ist Vergl. + Provision'!BW43,'25a Soll-Ist Vergl. + Provision'!CH43)))</f>
        <v/>
      </c>
      <c r="CY46" s="1163" t="str">
        <f ca="1">IF($CP$10="Mai",'25a Soll-Ist Vergl. + Provision'!BB43,IF($CP$10="Juni",'25a Soll-Ist Vergl. + Provision'!BM43,IF($CP$10="Juli",'25a Soll-Ist Vergl. + Provision'!BX43,'25a Soll-Ist Vergl. + Provision'!CI43)))</f>
        <v/>
      </c>
      <c r="CZ46" s="1163" t="str">
        <f ca="1">IF($CP$10="Mai",'25a Soll-Ist Vergl. + Provision'!BC43,IF($CP$10="Juni",'25a Soll-Ist Vergl. + Provision'!BN43,IF($CP$10="Juli",'25a Soll-Ist Vergl. + Provision'!BY43,'25a Soll-Ist Vergl. + Provision'!CJ43)))</f>
        <v/>
      </c>
      <c r="DA46" s="1163" t="str">
        <f t="shared" si="69"/>
        <v>Dezember</v>
      </c>
      <c r="DB46" s="1163">
        <f t="shared" si="70"/>
        <v>0</v>
      </c>
      <c r="DC46" s="1163">
        <f t="shared" si="71"/>
        <v>0</v>
      </c>
      <c r="DD46" s="1163">
        <f t="shared" si="72"/>
        <v>0</v>
      </c>
      <c r="DE46" s="1163">
        <f>IF($DB$10="September",'25a Soll-Ist Vergl. + Provision'!CN43,IF($DB$10="Oktober",'25a Soll-Ist Vergl. + Provision'!CY43,IF($DB$10="November",'25a Soll-Ist Vergl. + Provision'!DJ43,'25a Soll-Ist Vergl. + Provision'!DU43)))</f>
        <v>0</v>
      </c>
      <c r="DF46" s="1163" t="str">
        <f ca="1">IF($DB$10="September",'25a Soll-Ist Vergl. + Provision'!CO43,IF($DB$10="Oktober",'25a Soll-Ist Vergl. + Provision'!CZ43,IF($DB$10="November",'25a Soll-Ist Vergl. + Provision'!DK43,'25a Soll-Ist Vergl. + Provision'!DV43)))</f>
        <v/>
      </c>
      <c r="DG46" s="1163" t="str">
        <f ca="1">IF($DB$10="September",'25a Soll-Ist Vergl. + Provision'!CP43,IF($DB$10="Oktober",'25a Soll-Ist Vergl. + Provision'!DA43,IF($DB$10="November",'25a Soll-Ist Vergl. + Provision'!DL43,'25a Soll-Ist Vergl. + Provision'!DW43)))</f>
        <v/>
      </c>
      <c r="DH46" s="1163" t="str">
        <f ca="1">IF($DB$10="September",'25a Soll-Ist Vergl. + Provision'!CQ43,IF($DB$10="Oktober",'25a Soll-Ist Vergl. + Provision'!DB43,IF($DB$10="November",'25a Soll-Ist Vergl. + Provision'!DM43,'25a Soll-Ist Vergl. + Provision'!DX43)))</f>
        <v/>
      </c>
      <c r="DI46" s="1163">
        <f>IF($DB$10="September",'25a Soll-Ist Vergl. + Provision'!CR43,IF($DB$10="Oktober",'25a Soll-Ist Vergl. + Provision'!DC43,IF($DB$10="November",'25a Soll-Ist Vergl. + Provision'!DN43,'25a Soll-Ist Vergl. + Provision'!DY43)))</f>
        <v>0</v>
      </c>
      <c r="DJ46" s="1163" t="str">
        <f ca="1">IF($DB$10="September",'25a Soll-Ist Vergl. + Provision'!CS43,IF($DB$10="Oktober",'25a Soll-Ist Vergl. + Provision'!DD43,IF($DB$10="November",'25a Soll-Ist Vergl. + Provision'!DO43,'25a Soll-Ist Vergl. + Provision'!DZ43)))</f>
        <v/>
      </c>
      <c r="DK46" s="1163" t="str">
        <f ca="1">IF($DB$10="September",'25a Soll-Ist Vergl. + Provision'!CT43,IF($DB$10="Oktober",'25a Soll-Ist Vergl. + Provision'!DE43,IF($DB$10="November",'25a Soll-Ist Vergl. + Provision'!DP43,'25a Soll-Ist Vergl. + Provision'!EA43)))</f>
        <v/>
      </c>
      <c r="DL46" s="1163" t="str">
        <f ca="1">IF($DB$10="September",'25a Soll-Ist Vergl. + Provision'!CU43,IF($DB$10="Oktober",'25a Soll-Ist Vergl. + Provision'!DF43,IF($DB$10="November",'25a Soll-Ist Vergl. + Provision'!DQ43,'25a Soll-Ist Vergl. + Provision'!EB43)))</f>
        <v/>
      </c>
      <c r="DM46" s="1163" t="str">
        <f t="shared" si="73"/>
        <v>Januar</v>
      </c>
      <c r="DN46" s="1163">
        <f t="shared" si="74"/>
        <v>0</v>
      </c>
      <c r="DO46" s="1163">
        <f t="shared" si="75"/>
        <v>0</v>
      </c>
      <c r="DP46" s="1163">
        <f t="shared" si="76"/>
        <v>0</v>
      </c>
      <c r="DQ46" s="1163">
        <f t="shared" si="77"/>
        <v>0</v>
      </c>
      <c r="DR46" s="1163" t="str">
        <f t="shared" ca="1" si="78"/>
        <v/>
      </c>
      <c r="DS46" s="1163" t="str">
        <f t="shared" ca="1" si="79"/>
        <v/>
      </c>
      <c r="DT46" s="1163" t="str">
        <f t="shared" ca="1" si="80"/>
        <v/>
      </c>
      <c r="DU46" s="1163">
        <f t="shared" si="81"/>
        <v>0</v>
      </c>
      <c r="DV46" s="1163" t="str">
        <f t="shared" ca="1" si="82"/>
        <v/>
      </c>
      <c r="DW46" s="1163" t="str">
        <f t="shared" ca="1" si="83"/>
        <v/>
      </c>
      <c r="DX46" s="1163" t="str">
        <f t="shared" ca="1" si="84"/>
        <v/>
      </c>
      <c r="DY46" s="267"/>
      <c r="DZ46" s="3239">
        <f>'4 Eingabe Friseure'!L43</f>
        <v>0</v>
      </c>
      <c r="EA46" s="3239"/>
      <c r="EB46" s="3239">
        <f>IF($DZ46=12,1,'4 Eingabe Friseure'!N43)</f>
        <v>0</v>
      </c>
      <c r="EC46" s="3239">
        <f>IF($DZ46=12,1,'4 Eingabe Friseure'!O43)</f>
        <v>0</v>
      </c>
      <c r="ED46" s="3239">
        <f>IF($DZ46=12,1,'4 Eingabe Friseure'!P43)</f>
        <v>0</v>
      </c>
      <c r="EE46" s="3239">
        <f>IF($DZ46=12,1,'4 Eingabe Friseure'!Q43)</f>
        <v>0</v>
      </c>
      <c r="EF46" s="3239">
        <f>IF($DZ46=12,1,'4 Eingabe Friseure'!R43)</f>
        <v>0</v>
      </c>
      <c r="EG46" s="3239">
        <f>IF($DZ46=12,1,'4 Eingabe Friseure'!S43)</f>
        <v>0</v>
      </c>
      <c r="EH46" s="3239">
        <f>IF($DZ46=12,1,'4 Eingabe Friseure'!T43)</f>
        <v>0</v>
      </c>
      <c r="EI46" s="3239">
        <f>IF($DZ46=12,1,'4 Eingabe Friseure'!U43)</f>
        <v>0</v>
      </c>
      <c r="EJ46" s="3239">
        <f>IF($DZ46=12,1,'4 Eingabe Friseure'!V43)</f>
        <v>0</v>
      </c>
      <c r="EK46" s="3239">
        <f>IF($DZ46=12,1,'4 Eingabe Friseure'!W43)</f>
        <v>0</v>
      </c>
      <c r="EL46" s="3239">
        <f>IF($DZ46=12,1,'4 Eingabe Friseure'!X43)</f>
        <v>0</v>
      </c>
      <c r="EM46" s="3239">
        <f>IF($DZ46=12,1,'4 Eingabe Friseure'!Y43)</f>
        <v>0</v>
      </c>
    </row>
    <row r="47" spans="1:143" ht="10.5" customHeight="1">
      <c r="A47" s="3"/>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152"/>
      <c r="BW47" s="152"/>
      <c r="BX47" s="152"/>
      <c r="BY47" s="152"/>
      <c r="BZ47" s="152"/>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row>
    <row r="48" spans="1:143" ht="13.5" customHeight="1">
      <c r="A48" s="3" t="s">
        <v>3</v>
      </c>
      <c r="B48" s="4303">
        <f>B3</f>
        <v>44927</v>
      </c>
      <c r="C48" s="4304"/>
      <c r="D48" s="4304"/>
      <c r="E48" s="4305" t="s">
        <v>1123</v>
      </c>
      <c r="F48" s="4306"/>
      <c r="G48" s="4307"/>
      <c r="H48" s="4294">
        <f>H3</f>
        <v>44959</v>
      </c>
      <c r="I48" s="4295"/>
      <c r="J48" s="4295"/>
      <c r="K48" s="4296" t="str">
        <f t="shared" ref="K48" si="89">E48</f>
        <v>Geplanter oder tatsächlicher</v>
      </c>
      <c r="L48" s="4297">
        <f t="shared" ref="L48:L49" si="90">F48</f>
        <v>0</v>
      </c>
      <c r="M48" s="4298">
        <f t="shared" ref="M48:M49" si="91">G48</f>
        <v>0</v>
      </c>
      <c r="N48" s="4303">
        <f>N3</f>
        <v>44991</v>
      </c>
      <c r="O48" s="4304"/>
      <c r="P48" s="4304"/>
      <c r="Q48" s="4305" t="str">
        <f t="shared" ref="Q48" si="92">K48</f>
        <v>Geplanter oder tatsächlicher</v>
      </c>
      <c r="R48" s="4306"/>
      <c r="S48" s="4307"/>
      <c r="T48" s="4294">
        <f>T3</f>
        <v>45023</v>
      </c>
      <c r="U48" s="4295"/>
      <c r="V48" s="4295"/>
      <c r="W48" s="4296" t="str">
        <f t="shared" ref="W48" si="93">Q48</f>
        <v>Geplanter oder tatsächlicher</v>
      </c>
      <c r="X48" s="4297">
        <f t="shared" ref="X48:X49" si="94">R48</f>
        <v>0</v>
      </c>
      <c r="Y48" s="4298">
        <f t="shared" ref="Y48:Y49" si="95">S48</f>
        <v>0</v>
      </c>
      <c r="Z48" s="4303">
        <f>Z3</f>
        <v>45055</v>
      </c>
      <c r="AA48" s="4304"/>
      <c r="AB48" s="4304"/>
      <c r="AC48" s="4305" t="str">
        <f t="shared" ref="AC48" si="96">W48</f>
        <v>Geplanter oder tatsächlicher</v>
      </c>
      <c r="AD48" s="4306">
        <f t="shared" ref="AD48:AD49" si="97">X48</f>
        <v>0</v>
      </c>
      <c r="AE48" s="4307">
        <f t="shared" ref="AE48:AE49" si="98">Y48</f>
        <v>0</v>
      </c>
      <c r="AF48" s="4294">
        <f>AF3</f>
        <v>45087</v>
      </c>
      <c r="AG48" s="4295"/>
      <c r="AH48" s="4295"/>
      <c r="AI48" s="4296" t="str">
        <f t="shared" ref="AI48" si="99">AC48</f>
        <v>Geplanter oder tatsächlicher</v>
      </c>
      <c r="AJ48" s="4297">
        <f t="shared" ref="AJ48:AJ49" si="100">AD48</f>
        <v>0</v>
      </c>
      <c r="AK48" s="4298">
        <f t="shared" ref="AK48:AK49" si="101">AE48</f>
        <v>0</v>
      </c>
      <c r="AL48" s="4303">
        <f>AL3</f>
        <v>45119</v>
      </c>
      <c r="AM48" s="4304"/>
      <c r="AN48" s="4304"/>
      <c r="AO48" s="4305" t="str">
        <f t="shared" ref="AO48" si="102">AI48</f>
        <v>Geplanter oder tatsächlicher</v>
      </c>
      <c r="AP48" s="4306">
        <f t="shared" ref="AP48:AP49" si="103">AJ48</f>
        <v>0</v>
      </c>
      <c r="AQ48" s="4307">
        <f t="shared" ref="AQ48:AQ49" si="104">AK48</f>
        <v>0</v>
      </c>
      <c r="AR48" s="4294">
        <f>AR3</f>
        <v>45151</v>
      </c>
      <c r="AS48" s="4295"/>
      <c r="AT48" s="4295"/>
      <c r="AU48" s="4296" t="str">
        <f t="shared" ref="AU48" si="105">AO48</f>
        <v>Geplanter oder tatsächlicher</v>
      </c>
      <c r="AV48" s="4297">
        <f t="shared" ref="AV48:AV49" si="106">AP48</f>
        <v>0</v>
      </c>
      <c r="AW48" s="4298">
        <f t="shared" ref="AW48:AW49" si="107">AQ48</f>
        <v>0</v>
      </c>
      <c r="AX48" s="4303">
        <f>AX3</f>
        <v>45183</v>
      </c>
      <c r="AY48" s="4304"/>
      <c r="AZ48" s="4304"/>
      <c r="BA48" s="4305" t="str">
        <f t="shared" ref="BA48" si="108">AU48</f>
        <v>Geplanter oder tatsächlicher</v>
      </c>
      <c r="BB48" s="4306">
        <f t="shared" ref="BB48:BB49" si="109">AV48</f>
        <v>0</v>
      </c>
      <c r="BC48" s="4307">
        <f t="shared" ref="BC48:BC49" si="110">AW48</f>
        <v>0</v>
      </c>
      <c r="BD48" s="4294">
        <f>BD3</f>
        <v>45215</v>
      </c>
      <c r="BE48" s="4295"/>
      <c r="BF48" s="4295"/>
      <c r="BG48" s="4296" t="str">
        <f t="shared" ref="BG48" si="111">BA48</f>
        <v>Geplanter oder tatsächlicher</v>
      </c>
      <c r="BH48" s="4297">
        <f t="shared" ref="BH48:BH49" si="112">BB48</f>
        <v>0</v>
      </c>
      <c r="BI48" s="4298">
        <f t="shared" ref="BI48:BI49" si="113">BC48</f>
        <v>0</v>
      </c>
      <c r="BJ48" s="4303">
        <f>BJ3</f>
        <v>45247</v>
      </c>
      <c r="BK48" s="4304"/>
      <c r="BL48" s="4304"/>
      <c r="BM48" s="4305" t="str">
        <f t="shared" ref="BM48" si="114">BG48</f>
        <v>Geplanter oder tatsächlicher</v>
      </c>
      <c r="BN48" s="4306">
        <f t="shared" ref="BN48:BN49" si="115">BH48</f>
        <v>0</v>
      </c>
      <c r="BO48" s="4307">
        <f t="shared" ref="BO48:BO49" si="116">BI48</f>
        <v>0</v>
      </c>
      <c r="BP48" s="4294">
        <f>BP3</f>
        <v>45279</v>
      </c>
      <c r="BQ48" s="4295"/>
      <c r="BR48" s="4295"/>
      <c r="BS48" s="4296" t="str">
        <f t="shared" ref="BS48" si="117">BM48</f>
        <v>Geplanter oder tatsächlicher</v>
      </c>
      <c r="BT48" s="4297">
        <f t="shared" ref="BT48:BT49" si="118">BN48</f>
        <v>0</v>
      </c>
      <c r="BU48" s="4298">
        <f t="shared" ref="BU48:BU49" si="119">BO48</f>
        <v>0</v>
      </c>
      <c r="BV48" s="4311"/>
      <c r="BW48" s="4312"/>
      <c r="BX48" s="4312"/>
      <c r="BY48" s="4313"/>
      <c r="BZ48" s="4314"/>
      <c r="CA48" s="4315"/>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row>
    <row r="49" spans="1:131" ht="22.95" customHeight="1">
      <c r="A49" s="3"/>
      <c r="B49" s="2091" t="str">
        <f>B8</f>
        <v>Arbeitstage</v>
      </c>
      <c r="C49" s="2091" t="str">
        <f>C8</f>
        <v>Urlaubstage</v>
      </c>
      <c r="D49" s="2102" t="str">
        <f>D8</f>
        <v>Krankentage</v>
      </c>
      <c r="E49" s="2103" t="s">
        <v>1124</v>
      </c>
      <c r="F49" s="2104" t="s">
        <v>1125</v>
      </c>
      <c r="G49" s="2105" t="s">
        <v>1126</v>
      </c>
      <c r="H49" s="1994" t="str">
        <f>H8</f>
        <v>Arbeitstage</v>
      </c>
      <c r="I49" s="1994" t="str">
        <f>I8</f>
        <v>Urlaubstage</v>
      </c>
      <c r="J49" s="2022" t="str">
        <f>J8</f>
        <v>Krankentage</v>
      </c>
      <c r="K49" s="2023" t="str">
        <f>E49</f>
        <v>Gesamt Umsatz</v>
      </c>
      <c r="L49" s="2024" t="str">
        <f t="shared" si="90"/>
        <v>DL Umsatz</v>
      </c>
      <c r="M49" s="2025" t="str">
        <f t="shared" si="91"/>
        <v>VK Umsatz</v>
      </c>
      <c r="N49" s="2082" t="str">
        <f>N8</f>
        <v>Arbeitstage</v>
      </c>
      <c r="O49" s="2082" t="str">
        <f>O8</f>
        <v>Urlaubstage</v>
      </c>
      <c r="P49" s="2111" t="str">
        <f>P8</f>
        <v>Krankentage</v>
      </c>
      <c r="Q49" s="2103" t="str">
        <f>K49</f>
        <v>Gesamt Umsatz</v>
      </c>
      <c r="R49" s="2104" t="str">
        <f t="shared" ref="R49" si="120">L49</f>
        <v>DL Umsatz</v>
      </c>
      <c r="S49" s="2105" t="str">
        <f t="shared" ref="S49" si="121">M49</f>
        <v>VK Umsatz</v>
      </c>
      <c r="T49" s="1994" t="str">
        <f>T8</f>
        <v>Arbeitstage</v>
      </c>
      <c r="U49" s="1994" t="str">
        <f>U8</f>
        <v>Urlaubstage</v>
      </c>
      <c r="V49" s="2022" t="str">
        <f>V8</f>
        <v>Krankentage</v>
      </c>
      <c r="W49" s="2023" t="str">
        <f>Q49</f>
        <v>Gesamt Umsatz</v>
      </c>
      <c r="X49" s="2024" t="str">
        <f t="shared" si="94"/>
        <v>DL Umsatz</v>
      </c>
      <c r="Y49" s="2025" t="str">
        <f t="shared" si="95"/>
        <v>VK Umsatz</v>
      </c>
      <c r="Z49" s="2082" t="str">
        <f>Z8</f>
        <v>Arbeitstage</v>
      </c>
      <c r="AA49" s="2082" t="str">
        <f>AA8</f>
        <v>Urlaubstage</v>
      </c>
      <c r="AB49" s="2111" t="str">
        <f>AB8</f>
        <v>Krankentage</v>
      </c>
      <c r="AC49" s="2103" t="str">
        <f>W49</f>
        <v>Gesamt Umsatz</v>
      </c>
      <c r="AD49" s="2104" t="str">
        <f t="shared" si="97"/>
        <v>DL Umsatz</v>
      </c>
      <c r="AE49" s="2105" t="str">
        <f t="shared" si="98"/>
        <v>VK Umsatz</v>
      </c>
      <c r="AF49" s="1994" t="str">
        <f>AF8</f>
        <v>Arbeitstage</v>
      </c>
      <c r="AG49" s="1994" t="str">
        <f>AG8</f>
        <v>Urlaubstage</v>
      </c>
      <c r="AH49" s="2022" t="str">
        <f>AH8</f>
        <v>Krankentage</v>
      </c>
      <c r="AI49" s="2023" t="str">
        <f>AC49</f>
        <v>Gesamt Umsatz</v>
      </c>
      <c r="AJ49" s="2024" t="str">
        <f t="shared" si="100"/>
        <v>DL Umsatz</v>
      </c>
      <c r="AK49" s="2025" t="str">
        <f t="shared" si="101"/>
        <v>VK Umsatz</v>
      </c>
      <c r="AL49" s="2082" t="str">
        <f>AL8</f>
        <v>Arbeitstage</v>
      </c>
      <c r="AM49" s="2082" t="str">
        <f>AM8</f>
        <v>Urlaubstage</v>
      </c>
      <c r="AN49" s="2111" t="str">
        <f>AN8</f>
        <v>Krankentage</v>
      </c>
      <c r="AO49" s="2103" t="str">
        <f>AI49</f>
        <v>Gesamt Umsatz</v>
      </c>
      <c r="AP49" s="2104" t="str">
        <f t="shared" si="103"/>
        <v>DL Umsatz</v>
      </c>
      <c r="AQ49" s="2105" t="str">
        <f t="shared" si="104"/>
        <v>VK Umsatz</v>
      </c>
      <c r="AR49" s="1994" t="str">
        <f>AR8</f>
        <v>Arbeitstage</v>
      </c>
      <c r="AS49" s="1994" t="str">
        <f>AS8</f>
        <v>Urlaubstage</v>
      </c>
      <c r="AT49" s="2022" t="str">
        <f>AT8</f>
        <v>Krankentage</v>
      </c>
      <c r="AU49" s="2023" t="str">
        <f>AO49</f>
        <v>Gesamt Umsatz</v>
      </c>
      <c r="AV49" s="2024" t="str">
        <f t="shared" si="106"/>
        <v>DL Umsatz</v>
      </c>
      <c r="AW49" s="2025" t="str">
        <f t="shared" si="107"/>
        <v>VK Umsatz</v>
      </c>
      <c r="AX49" s="2082" t="str">
        <f>AX8</f>
        <v>Arbeitstage</v>
      </c>
      <c r="AY49" s="2082" t="str">
        <f>AY8</f>
        <v>Urlaubstage</v>
      </c>
      <c r="AZ49" s="2111" t="str">
        <f>AZ8</f>
        <v>Krankentage</v>
      </c>
      <c r="BA49" s="2103" t="str">
        <f>AU49</f>
        <v>Gesamt Umsatz</v>
      </c>
      <c r="BB49" s="2104" t="str">
        <f t="shared" si="109"/>
        <v>DL Umsatz</v>
      </c>
      <c r="BC49" s="2105" t="str">
        <f t="shared" si="110"/>
        <v>VK Umsatz</v>
      </c>
      <c r="BD49" s="1994" t="str">
        <f>BD8</f>
        <v>Arbeitstage</v>
      </c>
      <c r="BE49" s="1994" t="str">
        <f>BE8</f>
        <v>Urlaubstage</v>
      </c>
      <c r="BF49" s="2022" t="str">
        <f>BF8</f>
        <v>Krankentage</v>
      </c>
      <c r="BG49" s="2023" t="str">
        <f>BA49</f>
        <v>Gesamt Umsatz</v>
      </c>
      <c r="BH49" s="2024" t="str">
        <f t="shared" si="112"/>
        <v>DL Umsatz</v>
      </c>
      <c r="BI49" s="2025" t="str">
        <f t="shared" si="113"/>
        <v>VK Umsatz</v>
      </c>
      <c r="BJ49" s="2082" t="str">
        <f>BJ8</f>
        <v>Arbeitstage</v>
      </c>
      <c r="BK49" s="2082" t="str">
        <f>BK8</f>
        <v>Urlaubstage</v>
      </c>
      <c r="BL49" s="2111" t="str">
        <f>BL8</f>
        <v>Krankentage</v>
      </c>
      <c r="BM49" s="2103" t="str">
        <f>BG49</f>
        <v>Gesamt Umsatz</v>
      </c>
      <c r="BN49" s="2104" t="str">
        <f t="shared" si="115"/>
        <v>DL Umsatz</v>
      </c>
      <c r="BO49" s="2105" t="str">
        <f t="shared" si="116"/>
        <v>VK Umsatz</v>
      </c>
      <c r="BP49" s="1994" t="str">
        <f>BP8</f>
        <v>Arbeitstage</v>
      </c>
      <c r="BQ49" s="1994" t="str">
        <f>BQ8</f>
        <v>Urlaubstage</v>
      </c>
      <c r="BR49" s="2022" t="str">
        <f>BR8</f>
        <v>Krankentage</v>
      </c>
      <c r="BS49" s="2023" t="str">
        <f>BM49</f>
        <v>Gesamt Umsatz</v>
      </c>
      <c r="BT49" s="2024" t="str">
        <f t="shared" si="118"/>
        <v>DL Umsatz</v>
      </c>
      <c r="BU49" s="2025" t="str">
        <f t="shared" si="119"/>
        <v>VK Umsatz</v>
      </c>
      <c r="BV49" s="2051" t="str">
        <f>BP49</f>
        <v>Arbeitstage</v>
      </c>
      <c r="BW49" s="2051" t="str">
        <f t="shared" ref="BW49:BX49" si="122">BQ49</f>
        <v>Urlaubstage</v>
      </c>
      <c r="BX49" s="2052" t="str">
        <f t="shared" si="122"/>
        <v>Krankentage</v>
      </c>
      <c r="BY49" s="2060" t="str">
        <f>BS49</f>
        <v>Gesamt Umsatz</v>
      </c>
      <c r="BZ49" s="2061" t="str">
        <f t="shared" ref="BZ49" si="123">BT49</f>
        <v>DL Umsatz</v>
      </c>
      <c r="CA49" s="2062" t="str">
        <f t="shared" ref="CA49" si="124">BU49</f>
        <v>VK Umsatz</v>
      </c>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row>
    <row r="50" spans="1:131" ht="13.5" customHeight="1">
      <c r="A50" s="3"/>
      <c r="B50" s="2106">
        <f t="shared" ref="B50:M50" si="125">SUM(B51:B66)</f>
        <v>0</v>
      </c>
      <c r="C50" s="2106">
        <f t="shared" si="125"/>
        <v>0</v>
      </c>
      <c r="D50" s="2107">
        <f t="shared" si="125"/>
        <v>0</v>
      </c>
      <c r="E50" s="2108">
        <f t="shared" si="125"/>
        <v>0</v>
      </c>
      <c r="F50" s="2109">
        <f t="shared" si="125"/>
        <v>0</v>
      </c>
      <c r="G50" s="2110">
        <f t="shared" si="125"/>
        <v>0</v>
      </c>
      <c r="H50" s="1994">
        <f t="shared" si="125"/>
        <v>0</v>
      </c>
      <c r="I50" s="1994">
        <f t="shared" si="125"/>
        <v>0</v>
      </c>
      <c r="J50" s="2022">
        <f t="shared" si="125"/>
        <v>0</v>
      </c>
      <c r="K50" s="2026">
        <f t="shared" si="125"/>
        <v>0</v>
      </c>
      <c r="L50" s="2027">
        <f t="shared" si="125"/>
        <v>0</v>
      </c>
      <c r="M50" s="2028">
        <f t="shared" si="125"/>
        <v>0</v>
      </c>
      <c r="N50" s="2082">
        <f t="shared" ref="N50" si="126">SUM(N51:N66)</f>
        <v>0</v>
      </c>
      <c r="O50" s="2082">
        <f t="shared" ref="O50" si="127">SUM(O51:O66)</f>
        <v>0</v>
      </c>
      <c r="P50" s="2111">
        <f t="shared" ref="P50" si="128">SUM(P51:P66)</f>
        <v>0</v>
      </c>
      <c r="Q50" s="2108">
        <f t="shared" ref="Q50" si="129">SUM(Q51:Q66)</f>
        <v>0</v>
      </c>
      <c r="R50" s="2109">
        <f t="shared" ref="R50" si="130">SUM(R51:R66)</f>
        <v>0</v>
      </c>
      <c r="S50" s="2110">
        <f t="shared" ref="S50" si="131">SUM(S51:S66)</f>
        <v>0</v>
      </c>
      <c r="T50" s="1994">
        <f t="shared" ref="T50" si="132">SUM(T51:T66)</f>
        <v>0</v>
      </c>
      <c r="U50" s="1994">
        <f t="shared" ref="U50" si="133">SUM(U51:U66)</f>
        <v>0</v>
      </c>
      <c r="V50" s="2022">
        <f t="shared" ref="V50" si="134">SUM(V51:V66)</f>
        <v>0</v>
      </c>
      <c r="W50" s="2026">
        <f t="shared" ref="W50" si="135">SUM(W51:W66)</f>
        <v>0</v>
      </c>
      <c r="X50" s="2027">
        <f t="shared" ref="X50" si="136">SUM(X51:X66)</f>
        <v>0</v>
      </c>
      <c r="Y50" s="2028">
        <f t="shared" ref="Y50" si="137">SUM(Y51:Y66)</f>
        <v>0</v>
      </c>
      <c r="Z50" s="2082">
        <f t="shared" ref="Z50" si="138">SUM(Z51:Z66)</f>
        <v>0</v>
      </c>
      <c r="AA50" s="2082">
        <f t="shared" ref="AA50" si="139">SUM(AA51:AA66)</f>
        <v>0</v>
      </c>
      <c r="AB50" s="2111">
        <f t="shared" ref="AB50" si="140">SUM(AB51:AB66)</f>
        <v>0</v>
      </c>
      <c r="AC50" s="2108">
        <f t="shared" ref="AC50" si="141">SUM(AC51:AC66)</f>
        <v>0</v>
      </c>
      <c r="AD50" s="2109">
        <f t="shared" ref="AD50" si="142">SUM(AD51:AD66)</f>
        <v>0</v>
      </c>
      <c r="AE50" s="2110">
        <f t="shared" ref="AE50" si="143">SUM(AE51:AE66)</f>
        <v>0</v>
      </c>
      <c r="AF50" s="1994">
        <f t="shared" ref="AF50" si="144">SUM(AF51:AF66)</f>
        <v>0</v>
      </c>
      <c r="AG50" s="1994">
        <f t="shared" ref="AG50" si="145">SUM(AG51:AG66)</f>
        <v>0</v>
      </c>
      <c r="AH50" s="2022">
        <f t="shared" ref="AH50" si="146">SUM(AH51:AH66)</f>
        <v>0</v>
      </c>
      <c r="AI50" s="2026">
        <f t="shared" ref="AI50" si="147">SUM(AI51:AI66)</f>
        <v>0</v>
      </c>
      <c r="AJ50" s="2027">
        <f t="shared" ref="AJ50" si="148">SUM(AJ51:AJ66)</f>
        <v>0</v>
      </c>
      <c r="AK50" s="2028">
        <f t="shared" ref="AK50" si="149">SUM(AK51:AK66)</f>
        <v>0</v>
      </c>
      <c r="AL50" s="1994">
        <f t="shared" ref="AL50" si="150">SUM(AL51:AL66)</f>
        <v>0</v>
      </c>
      <c r="AM50" s="1994">
        <f t="shared" ref="AM50" si="151">SUM(AM51:AM66)</f>
        <v>0</v>
      </c>
      <c r="AN50" s="2022">
        <f t="shared" ref="AN50" si="152">SUM(AN51:AN66)</f>
        <v>0</v>
      </c>
      <c r="AO50" s="2026">
        <f t="shared" ref="AO50" si="153">SUM(AO51:AO66)</f>
        <v>0</v>
      </c>
      <c r="AP50" s="2027">
        <f t="shared" ref="AP50" si="154">SUM(AP51:AP66)</f>
        <v>0</v>
      </c>
      <c r="AQ50" s="2028">
        <f t="shared" ref="AQ50" si="155">SUM(AQ51:AQ66)</f>
        <v>0</v>
      </c>
      <c r="AR50" s="1994">
        <f t="shared" ref="AR50" si="156">SUM(AR51:AR66)</f>
        <v>0</v>
      </c>
      <c r="AS50" s="1994">
        <f t="shared" ref="AS50" si="157">SUM(AS51:AS66)</f>
        <v>0</v>
      </c>
      <c r="AT50" s="2022">
        <f t="shared" ref="AT50" si="158">SUM(AT51:AT66)</f>
        <v>0</v>
      </c>
      <c r="AU50" s="2026">
        <f t="shared" ref="AU50" si="159">SUM(AU51:AU66)</f>
        <v>0</v>
      </c>
      <c r="AV50" s="2027">
        <f t="shared" ref="AV50" si="160">SUM(AV51:AV66)</f>
        <v>0</v>
      </c>
      <c r="AW50" s="2028">
        <f t="shared" ref="AW50" si="161">SUM(AW51:AW66)</f>
        <v>0</v>
      </c>
      <c r="AX50" s="2082">
        <f t="shared" ref="AX50" si="162">SUM(AX51:AX66)</f>
        <v>0</v>
      </c>
      <c r="AY50" s="2082">
        <f t="shared" ref="AY50" si="163">SUM(AY51:AY66)</f>
        <v>0</v>
      </c>
      <c r="AZ50" s="2111">
        <f t="shared" ref="AZ50" si="164">SUM(AZ51:AZ66)</f>
        <v>0</v>
      </c>
      <c r="BA50" s="2108">
        <f t="shared" ref="BA50" si="165">SUM(BA51:BA66)</f>
        <v>0</v>
      </c>
      <c r="BB50" s="2109">
        <f t="shared" ref="BB50" si="166">SUM(BB51:BB66)</f>
        <v>0</v>
      </c>
      <c r="BC50" s="2110">
        <f t="shared" ref="BC50" si="167">SUM(BC51:BC66)</f>
        <v>0</v>
      </c>
      <c r="BD50" s="1994">
        <f t="shared" ref="BD50" si="168">SUM(BD51:BD66)</f>
        <v>0</v>
      </c>
      <c r="BE50" s="1994">
        <f t="shared" ref="BE50" si="169">SUM(BE51:BE66)</f>
        <v>0</v>
      </c>
      <c r="BF50" s="2022">
        <f t="shared" ref="BF50" si="170">SUM(BF51:BF66)</f>
        <v>0</v>
      </c>
      <c r="BG50" s="2026">
        <f t="shared" ref="BG50" si="171">SUM(BG51:BG66)</f>
        <v>0</v>
      </c>
      <c r="BH50" s="2027">
        <f t="shared" ref="BH50" si="172">SUM(BH51:BH66)</f>
        <v>0</v>
      </c>
      <c r="BI50" s="2028">
        <f t="shared" ref="BI50" si="173">SUM(BI51:BI66)</f>
        <v>0</v>
      </c>
      <c r="BJ50" s="2082">
        <f t="shared" ref="BJ50" si="174">SUM(BJ51:BJ66)</f>
        <v>0</v>
      </c>
      <c r="BK50" s="2082">
        <f t="shared" ref="BK50" si="175">SUM(BK51:BK66)</f>
        <v>0</v>
      </c>
      <c r="BL50" s="2111">
        <f t="shared" ref="BL50" si="176">SUM(BL51:BL66)</f>
        <v>0</v>
      </c>
      <c r="BM50" s="2108">
        <f t="shared" ref="BM50" si="177">SUM(BM51:BM66)</f>
        <v>0</v>
      </c>
      <c r="BN50" s="2109">
        <f t="shared" ref="BN50" si="178">SUM(BN51:BN66)</f>
        <v>0</v>
      </c>
      <c r="BO50" s="2110">
        <f t="shared" ref="BO50" si="179">SUM(BO51:BO66)</f>
        <v>0</v>
      </c>
      <c r="BP50" s="1994">
        <f t="shared" ref="BP50" si="180">SUM(BP51:BP66)</f>
        <v>0</v>
      </c>
      <c r="BQ50" s="1994">
        <f t="shared" ref="BQ50" si="181">SUM(BQ51:BQ66)</f>
        <v>0</v>
      </c>
      <c r="BR50" s="2022">
        <f t="shared" ref="BR50" si="182">SUM(BR51:BR66)</f>
        <v>0</v>
      </c>
      <c r="BS50" s="2026">
        <f t="shared" ref="BS50" si="183">SUM(BS51:BS66)</f>
        <v>0</v>
      </c>
      <c r="BT50" s="2027">
        <f t="shared" ref="BT50" si="184">SUM(BT51:BT66)</f>
        <v>0</v>
      </c>
      <c r="BU50" s="2028">
        <f t="shared" ref="BU50" si="185">SUM(BU51:BU66)</f>
        <v>0</v>
      </c>
      <c r="BV50" s="2053">
        <f t="shared" ref="BV50" si="186">SUM(BV51:BV66)</f>
        <v>0</v>
      </c>
      <c r="BW50" s="2053">
        <f t="shared" ref="BW50" si="187">SUM(BW51:BW66)</f>
        <v>0</v>
      </c>
      <c r="BX50" s="2054">
        <f t="shared" ref="BX50" si="188">SUM(BX51:BX66)</f>
        <v>0</v>
      </c>
      <c r="BY50" s="2063">
        <f t="shared" ref="BY50" si="189">SUM(BY51:BY66)</f>
        <v>0</v>
      </c>
      <c r="BZ50" s="2064">
        <f t="shared" ref="BZ50" si="190">SUM(BZ51:BZ66)</f>
        <v>0</v>
      </c>
      <c r="CA50" s="2065">
        <f t="shared" ref="CA50" si="191">SUM(CA51:CA66)</f>
        <v>0</v>
      </c>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row>
    <row r="51" spans="1:131" ht="17.25" customHeight="1">
      <c r="A51" s="2740" t="str">
        <f>IF('6 Eingabe Azubis'!A7="","",'6 Eingabe Azubis'!A7)</f>
        <v>Lena</v>
      </c>
      <c r="B51" s="1945"/>
      <c r="C51" s="1984"/>
      <c r="D51" s="1957"/>
      <c r="E51" s="2029"/>
      <c r="F51" s="2030"/>
      <c r="G51" s="2031"/>
      <c r="H51" s="2003"/>
      <c r="I51" s="2021"/>
      <c r="J51" s="2005"/>
      <c r="K51" s="2029"/>
      <c r="L51" s="2030"/>
      <c r="M51" s="2031"/>
      <c r="N51" s="1945"/>
      <c r="O51" s="1984"/>
      <c r="P51" s="1957"/>
      <c r="Q51" s="2029"/>
      <c r="R51" s="2030"/>
      <c r="S51" s="2031"/>
      <c r="T51" s="2003"/>
      <c r="U51" s="2021"/>
      <c r="V51" s="2005"/>
      <c r="W51" s="2029"/>
      <c r="X51" s="2030"/>
      <c r="Y51" s="2031"/>
      <c r="Z51" s="2003"/>
      <c r="AA51" s="2021"/>
      <c r="AB51" s="2005"/>
      <c r="AC51" s="2029"/>
      <c r="AD51" s="2030"/>
      <c r="AE51" s="2031"/>
      <c r="AF51" s="2003"/>
      <c r="AG51" s="2021"/>
      <c r="AH51" s="2005"/>
      <c r="AI51" s="2029"/>
      <c r="AJ51" s="2030"/>
      <c r="AK51" s="2031"/>
      <c r="AL51" s="2003"/>
      <c r="AM51" s="2021"/>
      <c r="AN51" s="2005"/>
      <c r="AO51" s="2029"/>
      <c r="AP51" s="2030"/>
      <c r="AQ51" s="2031"/>
      <c r="AR51" s="2003"/>
      <c r="AS51" s="2021"/>
      <c r="AT51" s="2005"/>
      <c r="AU51" s="2029"/>
      <c r="AV51" s="2030"/>
      <c r="AW51" s="2031"/>
      <c r="AX51" s="2003"/>
      <c r="AY51" s="2021"/>
      <c r="AZ51" s="2005"/>
      <c r="BA51" s="2029"/>
      <c r="BB51" s="2030"/>
      <c r="BC51" s="2031"/>
      <c r="BD51" s="2003"/>
      <c r="BE51" s="2021"/>
      <c r="BF51" s="2005"/>
      <c r="BG51" s="2029"/>
      <c r="BH51" s="2030"/>
      <c r="BI51" s="2031"/>
      <c r="BJ51" s="2003"/>
      <c r="BK51" s="2021"/>
      <c r="BL51" s="2005"/>
      <c r="BM51" s="2029"/>
      <c r="BN51" s="2030"/>
      <c r="BO51" s="2031"/>
      <c r="BP51" s="2003"/>
      <c r="BQ51" s="2021"/>
      <c r="BR51" s="2005"/>
      <c r="BS51" s="2029"/>
      <c r="BT51" s="2030"/>
      <c r="BU51" s="2031"/>
      <c r="BV51" s="2044">
        <f t="shared" ref="BV51:BV66" si="192">IF($A51="","",SUM(B51+H51+N51+T51+Z51+AF51+AL51+AR51+AX51+BD51+BJ51+BP51))</f>
        <v>0</v>
      </c>
      <c r="BW51" s="2044">
        <f t="shared" ref="BW51:BW66" si="193">IF($A51="","",SUM(C51+I51+O51+U51+AA51+AG51+AM51+AS51+AY51+BE51+BK51+BQ51))</f>
        <v>0</v>
      </c>
      <c r="BX51" s="2044">
        <f t="shared" ref="BX51:BX66" si="194">IF($A51="","",SUM(D51+J51+P51+V51+AB51+AH51+AN51+AT51+AZ51+BF51+BL51+BR51))</f>
        <v>0</v>
      </c>
      <c r="BY51" s="2049">
        <f t="shared" ref="BY51:BY66" si="195">IF($A51="","",SUM(E51,K51,Q51,W51,AC51,AI51,AO51,AU51,BA51,BG51,BM51,BS51))</f>
        <v>0</v>
      </c>
      <c r="BZ51" s="2049">
        <f t="shared" ref="BZ51:BZ66" si="196">IF($A51="","",SUM(F51,L51,R51,X51,AD51,AJ51,AP51,AV51,BB51,BH51,BN51,BT51))</f>
        <v>0</v>
      </c>
      <c r="CA51" s="2049">
        <f t="shared" ref="CA51:CA66" si="197">IF($A51="","",SUM(G51,M51,S51,Y51,AE51,AK51,AQ51,AW51,BC51,BI51,BO51,BU51))</f>
        <v>0</v>
      </c>
      <c r="CB51" s="2116" t="str">
        <f t="shared" ref="CB51:CB66" si="198">IF(A51="","",A51)</f>
        <v>Lena</v>
      </c>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row>
    <row r="52" spans="1:131" ht="17.25" customHeight="1">
      <c r="A52" s="2740" t="str">
        <f>IF('6 Eingabe Azubis'!A8="","",'6 Eingabe Azubis'!A8)</f>
        <v>Lena</v>
      </c>
      <c r="B52" s="1945"/>
      <c r="C52" s="1984"/>
      <c r="D52" s="1957"/>
      <c r="E52" s="2029"/>
      <c r="F52" s="2030"/>
      <c r="G52" s="2031"/>
      <c r="H52" s="2003"/>
      <c r="I52" s="2021"/>
      <c r="J52" s="2005"/>
      <c r="K52" s="2029"/>
      <c r="L52" s="2030"/>
      <c r="M52" s="2031"/>
      <c r="N52" s="1945"/>
      <c r="O52" s="1984"/>
      <c r="P52" s="1957"/>
      <c r="Q52" s="2029"/>
      <c r="R52" s="2030"/>
      <c r="S52" s="2031"/>
      <c r="T52" s="2003"/>
      <c r="U52" s="2021"/>
      <c r="V52" s="2005"/>
      <c r="W52" s="2029"/>
      <c r="X52" s="2030"/>
      <c r="Y52" s="2031"/>
      <c r="Z52" s="2003"/>
      <c r="AA52" s="2021"/>
      <c r="AB52" s="2005"/>
      <c r="AC52" s="2029"/>
      <c r="AD52" s="2030"/>
      <c r="AE52" s="2031"/>
      <c r="AF52" s="2003"/>
      <c r="AG52" s="2021"/>
      <c r="AH52" s="2005"/>
      <c r="AI52" s="2029"/>
      <c r="AJ52" s="2030"/>
      <c r="AK52" s="2031"/>
      <c r="AL52" s="2003"/>
      <c r="AM52" s="2021"/>
      <c r="AN52" s="2005"/>
      <c r="AO52" s="2029"/>
      <c r="AP52" s="2030"/>
      <c r="AQ52" s="2031"/>
      <c r="AR52" s="2003"/>
      <c r="AS52" s="2021"/>
      <c r="AT52" s="2005"/>
      <c r="AU52" s="2029"/>
      <c r="AV52" s="2030"/>
      <c r="AW52" s="2031"/>
      <c r="AX52" s="2003"/>
      <c r="AY52" s="2021"/>
      <c r="AZ52" s="2005"/>
      <c r="BA52" s="2029"/>
      <c r="BB52" s="2030"/>
      <c r="BC52" s="2031"/>
      <c r="BD52" s="2003"/>
      <c r="BE52" s="2021"/>
      <c r="BF52" s="2005"/>
      <c r="BG52" s="2029"/>
      <c r="BH52" s="2030"/>
      <c r="BI52" s="2031"/>
      <c r="BJ52" s="2003"/>
      <c r="BK52" s="2021"/>
      <c r="BL52" s="2005"/>
      <c r="BM52" s="2029"/>
      <c r="BN52" s="2030"/>
      <c r="BO52" s="2031"/>
      <c r="BP52" s="2003"/>
      <c r="BQ52" s="2021"/>
      <c r="BR52" s="2005"/>
      <c r="BS52" s="2029"/>
      <c r="BT52" s="2030"/>
      <c r="BU52" s="2031"/>
      <c r="BV52" s="2044">
        <f t="shared" si="192"/>
        <v>0</v>
      </c>
      <c r="BW52" s="2044">
        <f t="shared" si="193"/>
        <v>0</v>
      </c>
      <c r="BX52" s="2044">
        <f t="shared" si="194"/>
        <v>0</v>
      </c>
      <c r="BY52" s="2049">
        <f t="shared" si="195"/>
        <v>0</v>
      </c>
      <c r="BZ52" s="2049">
        <f t="shared" si="196"/>
        <v>0</v>
      </c>
      <c r="CA52" s="2049">
        <f t="shared" si="197"/>
        <v>0</v>
      </c>
      <c r="CB52" s="2116" t="str">
        <f t="shared" si="198"/>
        <v>Lena</v>
      </c>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row>
    <row r="53" spans="1:131" ht="17.25" customHeight="1">
      <c r="A53" s="2740" t="str">
        <f>IF('6 Eingabe Azubis'!A9="","",'6 Eingabe Azubis'!A9)</f>
        <v>Sten</v>
      </c>
      <c r="B53" s="1945"/>
      <c r="C53" s="1984"/>
      <c r="D53" s="1957"/>
      <c r="E53" s="2029"/>
      <c r="F53" s="2030"/>
      <c r="G53" s="2031"/>
      <c r="H53" s="2003"/>
      <c r="I53" s="2021"/>
      <c r="J53" s="2005"/>
      <c r="K53" s="2029"/>
      <c r="L53" s="2030"/>
      <c r="M53" s="2031"/>
      <c r="N53" s="2003"/>
      <c r="O53" s="2021"/>
      <c r="P53" s="2005"/>
      <c r="Q53" s="2029"/>
      <c r="R53" s="2030"/>
      <c r="S53" s="2031"/>
      <c r="T53" s="2003"/>
      <c r="U53" s="2021"/>
      <c r="V53" s="2005"/>
      <c r="W53" s="2029"/>
      <c r="X53" s="2030"/>
      <c r="Y53" s="2031"/>
      <c r="Z53" s="2003"/>
      <c r="AA53" s="2021"/>
      <c r="AB53" s="2005"/>
      <c r="AC53" s="2029"/>
      <c r="AD53" s="2030"/>
      <c r="AE53" s="2031"/>
      <c r="AF53" s="2003"/>
      <c r="AG53" s="2021"/>
      <c r="AH53" s="2005"/>
      <c r="AI53" s="2029"/>
      <c r="AJ53" s="2030"/>
      <c r="AK53" s="2031"/>
      <c r="AL53" s="2003"/>
      <c r="AM53" s="2021"/>
      <c r="AN53" s="2005"/>
      <c r="AO53" s="2029"/>
      <c r="AP53" s="2030"/>
      <c r="AQ53" s="2031"/>
      <c r="AR53" s="2003"/>
      <c r="AS53" s="2021"/>
      <c r="AT53" s="2005"/>
      <c r="AU53" s="2029"/>
      <c r="AV53" s="2030"/>
      <c r="AW53" s="2031"/>
      <c r="AX53" s="2003"/>
      <c r="AY53" s="2021"/>
      <c r="AZ53" s="2005"/>
      <c r="BA53" s="2029"/>
      <c r="BB53" s="2030"/>
      <c r="BC53" s="2031"/>
      <c r="BD53" s="2003"/>
      <c r="BE53" s="2021"/>
      <c r="BF53" s="2005"/>
      <c r="BG53" s="2029"/>
      <c r="BH53" s="2030"/>
      <c r="BI53" s="2031"/>
      <c r="BJ53" s="2003"/>
      <c r="BK53" s="2021"/>
      <c r="BL53" s="2005"/>
      <c r="BM53" s="2029"/>
      <c r="BN53" s="2030"/>
      <c r="BO53" s="2031"/>
      <c r="BP53" s="2003"/>
      <c r="BQ53" s="2021"/>
      <c r="BR53" s="2005"/>
      <c r="BS53" s="2029"/>
      <c r="BT53" s="2030"/>
      <c r="BU53" s="2031"/>
      <c r="BV53" s="2044">
        <f t="shared" si="192"/>
        <v>0</v>
      </c>
      <c r="BW53" s="2044">
        <f t="shared" si="193"/>
        <v>0</v>
      </c>
      <c r="BX53" s="2044">
        <f t="shared" si="194"/>
        <v>0</v>
      </c>
      <c r="BY53" s="2049">
        <f t="shared" si="195"/>
        <v>0</v>
      </c>
      <c r="BZ53" s="2049">
        <f t="shared" si="196"/>
        <v>0</v>
      </c>
      <c r="CA53" s="2049">
        <f t="shared" si="197"/>
        <v>0</v>
      </c>
      <c r="CB53" s="2116" t="str">
        <f t="shared" si="198"/>
        <v>Sten</v>
      </c>
    </row>
    <row r="54" spans="1:131" ht="17.25" customHeight="1">
      <c r="A54" s="2740" t="str">
        <f>IF('6 Eingabe Azubis'!A10="","",'6 Eingabe Azubis'!A10)</f>
        <v>Sten</v>
      </c>
      <c r="B54" s="1945"/>
      <c r="C54" s="1984"/>
      <c r="D54" s="1957"/>
      <c r="E54" s="2029"/>
      <c r="F54" s="2030"/>
      <c r="G54" s="2031"/>
      <c r="H54" s="2003"/>
      <c r="I54" s="2021"/>
      <c r="J54" s="2005"/>
      <c r="K54" s="2029"/>
      <c r="L54" s="2030"/>
      <c r="M54" s="2031"/>
      <c r="N54" s="2003"/>
      <c r="O54" s="2021"/>
      <c r="P54" s="2005"/>
      <c r="Q54" s="2029"/>
      <c r="R54" s="2030"/>
      <c r="S54" s="2031"/>
      <c r="T54" s="2003"/>
      <c r="U54" s="2021"/>
      <c r="V54" s="2005"/>
      <c r="W54" s="2029"/>
      <c r="X54" s="2030"/>
      <c r="Y54" s="2031"/>
      <c r="Z54" s="2003"/>
      <c r="AA54" s="2021"/>
      <c r="AB54" s="2005"/>
      <c r="AC54" s="2029"/>
      <c r="AD54" s="2030"/>
      <c r="AE54" s="2031"/>
      <c r="AF54" s="2003"/>
      <c r="AG54" s="2021"/>
      <c r="AH54" s="2005"/>
      <c r="AI54" s="2029"/>
      <c r="AJ54" s="2030"/>
      <c r="AK54" s="2031"/>
      <c r="AL54" s="2003"/>
      <c r="AM54" s="2021"/>
      <c r="AN54" s="2005"/>
      <c r="AO54" s="2029"/>
      <c r="AP54" s="2030"/>
      <c r="AQ54" s="2031"/>
      <c r="AR54" s="2003"/>
      <c r="AS54" s="2021"/>
      <c r="AT54" s="2005"/>
      <c r="AU54" s="2029"/>
      <c r="AV54" s="2030"/>
      <c r="AW54" s="2031"/>
      <c r="AX54" s="2003"/>
      <c r="AY54" s="2021"/>
      <c r="AZ54" s="2005"/>
      <c r="BA54" s="2029"/>
      <c r="BB54" s="2030"/>
      <c r="BC54" s="2031"/>
      <c r="BD54" s="2003"/>
      <c r="BE54" s="2021"/>
      <c r="BF54" s="2005"/>
      <c r="BG54" s="2029"/>
      <c r="BH54" s="2030"/>
      <c r="BI54" s="2031"/>
      <c r="BJ54" s="2003"/>
      <c r="BK54" s="2021"/>
      <c r="BL54" s="2005"/>
      <c r="BM54" s="2029"/>
      <c r="BN54" s="2030"/>
      <c r="BO54" s="2031"/>
      <c r="BP54" s="2003"/>
      <c r="BQ54" s="2021"/>
      <c r="BR54" s="2005"/>
      <c r="BS54" s="2029"/>
      <c r="BT54" s="2030"/>
      <c r="BU54" s="2031"/>
      <c r="BV54" s="2044">
        <f t="shared" si="192"/>
        <v>0</v>
      </c>
      <c r="BW54" s="2044">
        <f t="shared" si="193"/>
        <v>0</v>
      </c>
      <c r="BX54" s="2044">
        <f t="shared" si="194"/>
        <v>0</v>
      </c>
      <c r="BY54" s="2049">
        <f t="shared" si="195"/>
        <v>0</v>
      </c>
      <c r="BZ54" s="2049">
        <f t="shared" si="196"/>
        <v>0</v>
      </c>
      <c r="CA54" s="2049">
        <f t="shared" si="197"/>
        <v>0</v>
      </c>
      <c r="CB54" s="2116" t="str">
        <f t="shared" si="198"/>
        <v>Sten</v>
      </c>
    </row>
    <row r="55" spans="1:131" ht="17.25" customHeight="1">
      <c r="A55" s="2740" t="str">
        <f>IF('6 Eingabe Azubis'!A11="","",'6 Eingabe Azubis'!A11)</f>
        <v/>
      </c>
      <c r="B55" s="1945"/>
      <c r="C55" s="1984"/>
      <c r="D55" s="1957"/>
      <c r="E55" s="2029"/>
      <c r="F55" s="2030"/>
      <c r="G55" s="2031"/>
      <c r="H55" s="2003"/>
      <c r="I55" s="2021"/>
      <c r="J55" s="2005"/>
      <c r="K55" s="2029"/>
      <c r="L55" s="2030"/>
      <c r="M55" s="2031"/>
      <c r="N55" s="2003"/>
      <c r="O55" s="2021"/>
      <c r="P55" s="2005"/>
      <c r="Q55" s="2029"/>
      <c r="R55" s="2030"/>
      <c r="S55" s="2031"/>
      <c r="T55" s="2003"/>
      <c r="U55" s="2021"/>
      <c r="V55" s="2005"/>
      <c r="W55" s="2029"/>
      <c r="X55" s="2030"/>
      <c r="Y55" s="2031"/>
      <c r="Z55" s="2003"/>
      <c r="AA55" s="2021"/>
      <c r="AB55" s="2005"/>
      <c r="AC55" s="2029"/>
      <c r="AD55" s="2030"/>
      <c r="AE55" s="2031"/>
      <c r="AF55" s="2003"/>
      <c r="AG55" s="2021"/>
      <c r="AH55" s="2005"/>
      <c r="AI55" s="2029"/>
      <c r="AJ55" s="2030"/>
      <c r="AK55" s="2031"/>
      <c r="AL55" s="2003"/>
      <c r="AM55" s="2021"/>
      <c r="AN55" s="2005"/>
      <c r="AO55" s="2029"/>
      <c r="AP55" s="2030"/>
      <c r="AQ55" s="2031"/>
      <c r="AR55" s="2003"/>
      <c r="AS55" s="2021"/>
      <c r="AT55" s="2005"/>
      <c r="AU55" s="2029"/>
      <c r="AV55" s="2030"/>
      <c r="AW55" s="2031"/>
      <c r="AX55" s="2003"/>
      <c r="AY55" s="2021"/>
      <c r="AZ55" s="2005"/>
      <c r="BA55" s="2029"/>
      <c r="BB55" s="2030"/>
      <c r="BC55" s="2031"/>
      <c r="BD55" s="2003"/>
      <c r="BE55" s="2021"/>
      <c r="BF55" s="2005"/>
      <c r="BG55" s="2029"/>
      <c r="BH55" s="2030"/>
      <c r="BI55" s="2031"/>
      <c r="BJ55" s="2003"/>
      <c r="BK55" s="2021"/>
      <c r="BL55" s="2005"/>
      <c r="BM55" s="2029"/>
      <c r="BN55" s="2030"/>
      <c r="BO55" s="2031"/>
      <c r="BP55" s="2003"/>
      <c r="BQ55" s="2021"/>
      <c r="BR55" s="2005"/>
      <c r="BS55" s="2029"/>
      <c r="BT55" s="2030"/>
      <c r="BU55" s="2031"/>
      <c r="BV55" s="2044" t="str">
        <f t="shared" si="192"/>
        <v/>
      </c>
      <c r="BW55" s="2044" t="str">
        <f t="shared" si="193"/>
        <v/>
      </c>
      <c r="BX55" s="2044" t="str">
        <f t="shared" si="194"/>
        <v/>
      </c>
      <c r="BY55" s="2049" t="str">
        <f t="shared" si="195"/>
        <v/>
      </c>
      <c r="BZ55" s="2049" t="str">
        <f t="shared" si="196"/>
        <v/>
      </c>
      <c r="CA55" s="2049" t="str">
        <f t="shared" si="197"/>
        <v/>
      </c>
      <c r="CB55" s="2116" t="str">
        <f t="shared" si="198"/>
        <v/>
      </c>
    </row>
    <row r="56" spans="1:131" ht="17.25" customHeight="1">
      <c r="A56" s="2740" t="str">
        <f>IF('6 Eingabe Azubis'!A12="","",'6 Eingabe Azubis'!A12)</f>
        <v/>
      </c>
      <c r="B56" s="1945"/>
      <c r="C56" s="1984"/>
      <c r="D56" s="1957"/>
      <c r="E56" s="2029"/>
      <c r="F56" s="2030"/>
      <c r="G56" s="2031"/>
      <c r="H56" s="2003"/>
      <c r="I56" s="2021"/>
      <c r="J56" s="2005"/>
      <c r="K56" s="2029"/>
      <c r="L56" s="2030"/>
      <c r="M56" s="2031"/>
      <c r="N56" s="2003"/>
      <c r="O56" s="2021"/>
      <c r="P56" s="2005"/>
      <c r="Q56" s="2029"/>
      <c r="R56" s="2030"/>
      <c r="S56" s="2031"/>
      <c r="T56" s="2003"/>
      <c r="U56" s="2021"/>
      <c r="V56" s="2005"/>
      <c r="W56" s="2029"/>
      <c r="X56" s="2030"/>
      <c r="Y56" s="2031"/>
      <c r="Z56" s="2003"/>
      <c r="AA56" s="2021"/>
      <c r="AB56" s="2005"/>
      <c r="AC56" s="2029"/>
      <c r="AD56" s="2030"/>
      <c r="AE56" s="2031"/>
      <c r="AF56" s="2003"/>
      <c r="AG56" s="2021"/>
      <c r="AH56" s="2005"/>
      <c r="AI56" s="2029"/>
      <c r="AJ56" s="2030"/>
      <c r="AK56" s="2031"/>
      <c r="AL56" s="2003"/>
      <c r="AM56" s="2021"/>
      <c r="AN56" s="2005"/>
      <c r="AO56" s="2029"/>
      <c r="AP56" s="2030"/>
      <c r="AQ56" s="2031"/>
      <c r="AR56" s="2003"/>
      <c r="AS56" s="2021"/>
      <c r="AT56" s="2005"/>
      <c r="AU56" s="2029"/>
      <c r="AV56" s="2030"/>
      <c r="AW56" s="2031"/>
      <c r="AX56" s="2003"/>
      <c r="AY56" s="2021"/>
      <c r="AZ56" s="2005"/>
      <c r="BA56" s="2029"/>
      <c r="BB56" s="2030"/>
      <c r="BC56" s="2031"/>
      <c r="BD56" s="2003"/>
      <c r="BE56" s="2021"/>
      <c r="BF56" s="2005"/>
      <c r="BG56" s="2029"/>
      <c r="BH56" s="2030"/>
      <c r="BI56" s="2031"/>
      <c r="BJ56" s="2003"/>
      <c r="BK56" s="2021"/>
      <c r="BL56" s="2005"/>
      <c r="BM56" s="2029"/>
      <c r="BN56" s="2030"/>
      <c r="BO56" s="2031"/>
      <c r="BP56" s="2003"/>
      <c r="BQ56" s="2021"/>
      <c r="BR56" s="2005"/>
      <c r="BS56" s="2029"/>
      <c r="BT56" s="2030"/>
      <c r="BU56" s="2031"/>
      <c r="BV56" s="2044" t="str">
        <f t="shared" si="192"/>
        <v/>
      </c>
      <c r="BW56" s="2044" t="str">
        <f t="shared" si="193"/>
        <v/>
      </c>
      <c r="BX56" s="2044" t="str">
        <f t="shared" si="194"/>
        <v/>
      </c>
      <c r="BY56" s="2049" t="str">
        <f t="shared" si="195"/>
        <v/>
      </c>
      <c r="BZ56" s="2049" t="str">
        <f t="shared" si="196"/>
        <v/>
      </c>
      <c r="CA56" s="2049" t="str">
        <f t="shared" si="197"/>
        <v/>
      </c>
      <c r="CB56" s="2116" t="str">
        <f t="shared" si="198"/>
        <v/>
      </c>
    </row>
    <row r="57" spans="1:131" ht="17.25" customHeight="1">
      <c r="A57" s="2740" t="str">
        <f>IF('6 Eingabe Azubis'!A13="","",'6 Eingabe Azubis'!A13)</f>
        <v/>
      </c>
      <c r="B57" s="1945"/>
      <c r="C57" s="1984"/>
      <c r="D57" s="1957"/>
      <c r="E57" s="2029"/>
      <c r="F57" s="2030"/>
      <c r="G57" s="2031"/>
      <c r="H57" s="2003"/>
      <c r="I57" s="2021"/>
      <c r="J57" s="2005"/>
      <c r="K57" s="2029"/>
      <c r="L57" s="2030"/>
      <c r="M57" s="2031"/>
      <c r="N57" s="2003"/>
      <c r="O57" s="2021"/>
      <c r="P57" s="2005"/>
      <c r="Q57" s="2029"/>
      <c r="R57" s="2030"/>
      <c r="S57" s="2031"/>
      <c r="T57" s="2003"/>
      <c r="U57" s="2021"/>
      <c r="V57" s="2005"/>
      <c r="W57" s="2029"/>
      <c r="X57" s="2030"/>
      <c r="Y57" s="2031"/>
      <c r="Z57" s="2003"/>
      <c r="AA57" s="2021"/>
      <c r="AB57" s="2005"/>
      <c r="AC57" s="2029"/>
      <c r="AD57" s="2030"/>
      <c r="AE57" s="2031"/>
      <c r="AF57" s="2003"/>
      <c r="AG57" s="2021"/>
      <c r="AH57" s="2005"/>
      <c r="AI57" s="2029"/>
      <c r="AJ57" s="2030"/>
      <c r="AK57" s="2031"/>
      <c r="AL57" s="2003"/>
      <c r="AM57" s="2021"/>
      <c r="AN57" s="2005"/>
      <c r="AO57" s="2029"/>
      <c r="AP57" s="2030"/>
      <c r="AQ57" s="2031"/>
      <c r="AR57" s="2003"/>
      <c r="AS57" s="2021"/>
      <c r="AT57" s="2005"/>
      <c r="AU57" s="2029"/>
      <c r="AV57" s="2030"/>
      <c r="AW57" s="2031"/>
      <c r="AX57" s="2003"/>
      <c r="AY57" s="2021"/>
      <c r="AZ57" s="2005"/>
      <c r="BA57" s="2029"/>
      <c r="BB57" s="2030"/>
      <c r="BC57" s="2031"/>
      <c r="BD57" s="2003"/>
      <c r="BE57" s="2021"/>
      <c r="BF57" s="2005"/>
      <c r="BG57" s="2029"/>
      <c r="BH57" s="2030"/>
      <c r="BI57" s="2031"/>
      <c r="BJ57" s="2003"/>
      <c r="BK57" s="2021"/>
      <c r="BL57" s="2005"/>
      <c r="BM57" s="2029"/>
      <c r="BN57" s="2030"/>
      <c r="BO57" s="2031"/>
      <c r="BP57" s="2003"/>
      <c r="BQ57" s="2021"/>
      <c r="BR57" s="2005"/>
      <c r="BS57" s="2029"/>
      <c r="BT57" s="2030"/>
      <c r="BU57" s="2031"/>
      <c r="BV57" s="2044" t="str">
        <f t="shared" si="192"/>
        <v/>
      </c>
      <c r="BW57" s="2044" t="str">
        <f t="shared" si="193"/>
        <v/>
      </c>
      <c r="BX57" s="2044" t="str">
        <f t="shared" si="194"/>
        <v/>
      </c>
      <c r="BY57" s="2049" t="str">
        <f t="shared" si="195"/>
        <v/>
      </c>
      <c r="BZ57" s="2049" t="str">
        <f t="shared" si="196"/>
        <v/>
      </c>
      <c r="CA57" s="2049" t="str">
        <f t="shared" si="197"/>
        <v/>
      </c>
      <c r="CB57" s="2116" t="str">
        <f t="shared" si="198"/>
        <v/>
      </c>
    </row>
    <row r="58" spans="1:131" ht="17.25" customHeight="1">
      <c r="A58" s="2740" t="str">
        <f>IF('6 Eingabe Azubis'!A14="","",'6 Eingabe Azubis'!A14)</f>
        <v/>
      </c>
      <c r="B58" s="1945"/>
      <c r="C58" s="1984"/>
      <c r="D58" s="1957"/>
      <c r="E58" s="2029"/>
      <c r="F58" s="2030"/>
      <c r="G58" s="2031"/>
      <c r="H58" s="2003"/>
      <c r="I58" s="2021"/>
      <c r="J58" s="2005"/>
      <c r="K58" s="2029"/>
      <c r="L58" s="2030"/>
      <c r="M58" s="2031"/>
      <c r="N58" s="2003"/>
      <c r="O58" s="2021"/>
      <c r="P58" s="2005"/>
      <c r="Q58" s="2029"/>
      <c r="R58" s="2030"/>
      <c r="S58" s="2031"/>
      <c r="T58" s="2003"/>
      <c r="U58" s="2021"/>
      <c r="V58" s="2005"/>
      <c r="W58" s="2029"/>
      <c r="X58" s="2030"/>
      <c r="Y58" s="2031"/>
      <c r="Z58" s="2003"/>
      <c r="AA58" s="2021"/>
      <c r="AB58" s="2005"/>
      <c r="AC58" s="2029"/>
      <c r="AD58" s="2030"/>
      <c r="AE58" s="2031"/>
      <c r="AF58" s="2003"/>
      <c r="AG58" s="2021"/>
      <c r="AH58" s="2005"/>
      <c r="AI58" s="2029"/>
      <c r="AJ58" s="2030"/>
      <c r="AK58" s="2031"/>
      <c r="AL58" s="2003"/>
      <c r="AM58" s="2021"/>
      <c r="AN58" s="2005"/>
      <c r="AO58" s="2029"/>
      <c r="AP58" s="2030"/>
      <c r="AQ58" s="2031"/>
      <c r="AR58" s="2003"/>
      <c r="AS58" s="2021"/>
      <c r="AT58" s="2005"/>
      <c r="AU58" s="2029"/>
      <c r="AV58" s="2030"/>
      <c r="AW58" s="2031"/>
      <c r="AX58" s="2003"/>
      <c r="AY58" s="2021"/>
      <c r="AZ58" s="2005"/>
      <c r="BA58" s="2029"/>
      <c r="BB58" s="2030"/>
      <c r="BC58" s="2031"/>
      <c r="BD58" s="2003"/>
      <c r="BE58" s="2021"/>
      <c r="BF58" s="2005"/>
      <c r="BG58" s="2029"/>
      <c r="BH58" s="2030"/>
      <c r="BI58" s="2031"/>
      <c r="BJ58" s="2003"/>
      <c r="BK58" s="2021"/>
      <c r="BL58" s="2005"/>
      <c r="BM58" s="2029"/>
      <c r="BN58" s="2030"/>
      <c r="BO58" s="2031"/>
      <c r="BP58" s="2003"/>
      <c r="BQ58" s="2021"/>
      <c r="BR58" s="2005"/>
      <c r="BS58" s="2029"/>
      <c r="BT58" s="2030"/>
      <c r="BU58" s="2031"/>
      <c r="BV58" s="2044" t="str">
        <f t="shared" si="192"/>
        <v/>
      </c>
      <c r="BW58" s="2044" t="str">
        <f t="shared" si="193"/>
        <v/>
      </c>
      <c r="BX58" s="2044" t="str">
        <f t="shared" si="194"/>
        <v/>
      </c>
      <c r="BY58" s="2049" t="str">
        <f t="shared" si="195"/>
        <v/>
      </c>
      <c r="BZ58" s="2049" t="str">
        <f t="shared" si="196"/>
        <v/>
      </c>
      <c r="CA58" s="2049" t="str">
        <f t="shared" si="197"/>
        <v/>
      </c>
      <c r="CB58" s="2116" t="str">
        <f t="shared" si="198"/>
        <v/>
      </c>
    </row>
    <row r="59" spans="1:131" ht="17.25" customHeight="1">
      <c r="A59" s="2740" t="str">
        <f>IF('6 Eingabe Azubis'!A15="","",'6 Eingabe Azubis'!A15)</f>
        <v/>
      </c>
      <c r="B59" s="1945"/>
      <c r="C59" s="1984"/>
      <c r="D59" s="1957"/>
      <c r="E59" s="2029"/>
      <c r="F59" s="2030"/>
      <c r="G59" s="2031"/>
      <c r="H59" s="2003"/>
      <c r="I59" s="2021"/>
      <c r="J59" s="2005"/>
      <c r="K59" s="2029"/>
      <c r="L59" s="2030"/>
      <c r="M59" s="2031"/>
      <c r="N59" s="2003"/>
      <c r="O59" s="2021"/>
      <c r="P59" s="2005"/>
      <c r="Q59" s="2029"/>
      <c r="R59" s="2030"/>
      <c r="S59" s="2031"/>
      <c r="T59" s="2003"/>
      <c r="U59" s="2021"/>
      <c r="V59" s="2005"/>
      <c r="W59" s="2029"/>
      <c r="X59" s="2030"/>
      <c r="Y59" s="2031"/>
      <c r="Z59" s="2003"/>
      <c r="AA59" s="2021"/>
      <c r="AB59" s="2005"/>
      <c r="AC59" s="2029"/>
      <c r="AD59" s="2030"/>
      <c r="AE59" s="2031"/>
      <c r="AF59" s="2003"/>
      <c r="AG59" s="2021"/>
      <c r="AH59" s="2005"/>
      <c r="AI59" s="2029"/>
      <c r="AJ59" s="2030"/>
      <c r="AK59" s="2031"/>
      <c r="AL59" s="2003"/>
      <c r="AM59" s="2021"/>
      <c r="AN59" s="2005"/>
      <c r="AO59" s="2029"/>
      <c r="AP59" s="2030"/>
      <c r="AQ59" s="2031"/>
      <c r="AR59" s="2003"/>
      <c r="AS59" s="2021"/>
      <c r="AT59" s="2005"/>
      <c r="AU59" s="2029"/>
      <c r="AV59" s="2030"/>
      <c r="AW59" s="2031"/>
      <c r="AX59" s="2003"/>
      <c r="AY59" s="2021"/>
      <c r="AZ59" s="2005"/>
      <c r="BA59" s="2029"/>
      <c r="BB59" s="2030"/>
      <c r="BC59" s="2031"/>
      <c r="BD59" s="2003"/>
      <c r="BE59" s="2021"/>
      <c r="BF59" s="2005"/>
      <c r="BG59" s="2029"/>
      <c r="BH59" s="2030"/>
      <c r="BI59" s="2031"/>
      <c r="BJ59" s="2003"/>
      <c r="BK59" s="2021"/>
      <c r="BL59" s="2005"/>
      <c r="BM59" s="2029"/>
      <c r="BN59" s="2030"/>
      <c r="BO59" s="2031"/>
      <c r="BP59" s="2003"/>
      <c r="BQ59" s="2021"/>
      <c r="BR59" s="2005"/>
      <c r="BS59" s="2029"/>
      <c r="BT59" s="2030"/>
      <c r="BU59" s="2031"/>
      <c r="BV59" s="2044" t="str">
        <f t="shared" si="192"/>
        <v/>
      </c>
      <c r="BW59" s="2044" t="str">
        <f t="shared" si="193"/>
        <v/>
      </c>
      <c r="BX59" s="2044" t="str">
        <f t="shared" si="194"/>
        <v/>
      </c>
      <c r="BY59" s="2049" t="str">
        <f t="shared" si="195"/>
        <v/>
      </c>
      <c r="BZ59" s="2049" t="str">
        <f t="shared" si="196"/>
        <v/>
      </c>
      <c r="CA59" s="2049" t="str">
        <f t="shared" si="197"/>
        <v/>
      </c>
      <c r="CB59" s="2116" t="str">
        <f t="shared" si="198"/>
        <v/>
      </c>
    </row>
    <row r="60" spans="1:131" ht="17.25" customHeight="1">
      <c r="A60" s="2740" t="str">
        <f>IF('6 Eingabe Azubis'!A16="","",'6 Eingabe Azubis'!A16)</f>
        <v/>
      </c>
      <c r="B60" s="1945"/>
      <c r="C60" s="1984"/>
      <c r="D60" s="1957"/>
      <c r="E60" s="2029"/>
      <c r="F60" s="2030"/>
      <c r="G60" s="2031"/>
      <c r="H60" s="2003"/>
      <c r="I60" s="2021"/>
      <c r="J60" s="2005"/>
      <c r="K60" s="2029"/>
      <c r="L60" s="2030"/>
      <c r="M60" s="2031"/>
      <c r="N60" s="2003"/>
      <c r="O60" s="2021"/>
      <c r="P60" s="2005"/>
      <c r="Q60" s="2029"/>
      <c r="R60" s="2030"/>
      <c r="S60" s="2031"/>
      <c r="T60" s="2003"/>
      <c r="U60" s="2021"/>
      <c r="V60" s="2005"/>
      <c r="W60" s="2029"/>
      <c r="X60" s="2030"/>
      <c r="Y60" s="2031"/>
      <c r="Z60" s="2003"/>
      <c r="AA60" s="2021"/>
      <c r="AB60" s="2005"/>
      <c r="AC60" s="2029"/>
      <c r="AD60" s="2030"/>
      <c r="AE60" s="2031"/>
      <c r="AF60" s="2003"/>
      <c r="AG60" s="2021"/>
      <c r="AH60" s="2005"/>
      <c r="AI60" s="2029"/>
      <c r="AJ60" s="2030"/>
      <c r="AK60" s="2031"/>
      <c r="AL60" s="2003"/>
      <c r="AM60" s="2021"/>
      <c r="AN60" s="2005"/>
      <c r="AO60" s="2029"/>
      <c r="AP60" s="2030"/>
      <c r="AQ60" s="2031"/>
      <c r="AR60" s="2003"/>
      <c r="AS60" s="2021"/>
      <c r="AT60" s="2005"/>
      <c r="AU60" s="2029"/>
      <c r="AV60" s="2030"/>
      <c r="AW60" s="2031"/>
      <c r="AX60" s="2003"/>
      <c r="AY60" s="2021"/>
      <c r="AZ60" s="2005"/>
      <c r="BA60" s="2029"/>
      <c r="BB60" s="2030"/>
      <c r="BC60" s="2031"/>
      <c r="BD60" s="2003"/>
      <c r="BE60" s="2021"/>
      <c r="BF60" s="2005"/>
      <c r="BG60" s="2029"/>
      <c r="BH60" s="2030"/>
      <c r="BI60" s="2031"/>
      <c r="BJ60" s="2003"/>
      <c r="BK60" s="2021"/>
      <c r="BL60" s="2005"/>
      <c r="BM60" s="2029"/>
      <c r="BN60" s="2030"/>
      <c r="BO60" s="2031"/>
      <c r="BP60" s="2003"/>
      <c r="BQ60" s="2021"/>
      <c r="BR60" s="2005"/>
      <c r="BS60" s="2029"/>
      <c r="BT60" s="2030"/>
      <c r="BU60" s="2031"/>
      <c r="BV60" s="2044" t="str">
        <f t="shared" si="192"/>
        <v/>
      </c>
      <c r="BW60" s="2044" t="str">
        <f t="shared" si="193"/>
        <v/>
      </c>
      <c r="BX60" s="2044" t="str">
        <f t="shared" si="194"/>
        <v/>
      </c>
      <c r="BY60" s="2049" t="str">
        <f t="shared" si="195"/>
        <v/>
      </c>
      <c r="BZ60" s="2049" t="str">
        <f t="shared" si="196"/>
        <v/>
      </c>
      <c r="CA60" s="2049" t="str">
        <f t="shared" si="197"/>
        <v/>
      </c>
      <c r="CB60" s="2116" t="str">
        <f t="shared" si="198"/>
        <v/>
      </c>
    </row>
    <row r="61" spans="1:131" ht="17.25" customHeight="1">
      <c r="A61" s="2740" t="str">
        <f>IF('6 Eingabe Azubis'!A17="","",'6 Eingabe Azubis'!A17)</f>
        <v/>
      </c>
      <c r="B61" s="1945"/>
      <c r="C61" s="1984"/>
      <c r="D61" s="1957"/>
      <c r="E61" s="2029"/>
      <c r="F61" s="2030"/>
      <c r="G61" s="2031"/>
      <c r="H61" s="2003"/>
      <c r="I61" s="2021"/>
      <c r="J61" s="2005"/>
      <c r="K61" s="2029"/>
      <c r="L61" s="2030"/>
      <c r="M61" s="2031"/>
      <c r="N61" s="2003"/>
      <c r="O61" s="2021"/>
      <c r="P61" s="2005"/>
      <c r="Q61" s="2029"/>
      <c r="R61" s="2030"/>
      <c r="S61" s="2031"/>
      <c r="T61" s="2003"/>
      <c r="U61" s="2021"/>
      <c r="V61" s="2005"/>
      <c r="W61" s="2029"/>
      <c r="X61" s="2030"/>
      <c r="Y61" s="2031"/>
      <c r="Z61" s="2003"/>
      <c r="AA61" s="2021"/>
      <c r="AB61" s="2005"/>
      <c r="AC61" s="2029"/>
      <c r="AD61" s="2030"/>
      <c r="AE61" s="2031"/>
      <c r="AF61" s="2003"/>
      <c r="AG61" s="2021"/>
      <c r="AH61" s="2005"/>
      <c r="AI61" s="2029"/>
      <c r="AJ61" s="2030"/>
      <c r="AK61" s="2031"/>
      <c r="AL61" s="2003"/>
      <c r="AM61" s="2021"/>
      <c r="AN61" s="2005"/>
      <c r="AO61" s="2029"/>
      <c r="AP61" s="2030"/>
      <c r="AQ61" s="2031"/>
      <c r="AR61" s="2003"/>
      <c r="AS61" s="2021"/>
      <c r="AT61" s="2005"/>
      <c r="AU61" s="2029"/>
      <c r="AV61" s="2030"/>
      <c r="AW61" s="2031"/>
      <c r="AX61" s="2003"/>
      <c r="AY61" s="2021"/>
      <c r="AZ61" s="2005"/>
      <c r="BA61" s="2029"/>
      <c r="BB61" s="2030"/>
      <c r="BC61" s="2031"/>
      <c r="BD61" s="2003"/>
      <c r="BE61" s="2021"/>
      <c r="BF61" s="2005"/>
      <c r="BG61" s="2029"/>
      <c r="BH61" s="2030"/>
      <c r="BI61" s="2031"/>
      <c r="BJ61" s="2003"/>
      <c r="BK61" s="2021"/>
      <c r="BL61" s="2005"/>
      <c r="BM61" s="2029"/>
      <c r="BN61" s="2030"/>
      <c r="BO61" s="2031"/>
      <c r="BP61" s="2003"/>
      <c r="BQ61" s="2021"/>
      <c r="BR61" s="2005"/>
      <c r="BS61" s="2029"/>
      <c r="BT61" s="2030"/>
      <c r="BU61" s="2031"/>
      <c r="BV61" s="2044" t="str">
        <f t="shared" si="192"/>
        <v/>
      </c>
      <c r="BW61" s="2044" t="str">
        <f t="shared" si="193"/>
        <v/>
      </c>
      <c r="BX61" s="2044" t="str">
        <f t="shared" si="194"/>
        <v/>
      </c>
      <c r="BY61" s="2049" t="str">
        <f t="shared" si="195"/>
        <v/>
      </c>
      <c r="BZ61" s="2049" t="str">
        <f t="shared" si="196"/>
        <v/>
      </c>
      <c r="CA61" s="2049" t="str">
        <f t="shared" si="197"/>
        <v/>
      </c>
      <c r="CB61" s="2116" t="str">
        <f t="shared" si="198"/>
        <v/>
      </c>
    </row>
    <row r="62" spans="1:131" ht="17.25" customHeight="1">
      <c r="A62" s="2740" t="str">
        <f>IF('6 Eingabe Azubis'!A18="","",'6 Eingabe Azubis'!A18)</f>
        <v/>
      </c>
      <c r="B62" s="1945"/>
      <c r="C62" s="1984"/>
      <c r="D62" s="1957"/>
      <c r="E62" s="2029"/>
      <c r="F62" s="2030"/>
      <c r="G62" s="2031"/>
      <c r="H62" s="2003"/>
      <c r="I62" s="2021"/>
      <c r="J62" s="2005"/>
      <c r="K62" s="2029"/>
      <c r="L62" s="2030"/>
      <c r="M62" s="2031"/>
      <c r="N62" s="2003"/>
      <c r="O62" s="2021"/>
      <c r="P62" s="2005"/>
      <c r="Q62" s="2029"/>
      <c r="R62" s="2030"/>
      <c r="S62" s="2031"/>
      <c r="T62" s="2003"/>
      <c r="U62" s="2021"/>
      <c r="V62" s="2005"/>
      <c r="W62" s="2029"/>
      <c r="X62" s="2030"/>
      <c r="Y62" s="2031"/>
      <c r="Z62" s="2003"/>
      <c r="AA62" s="2021"/>
      <c r="AB62" s="2005"/>
      <c r="AC62" s="2029"/>
      <c r="AD62" s="2030"/>
      <c r="AE62" s="2031"/>
      <c r="AF62" s="2003"/>
      <c r="AG62" s="2021"/>
      <c r="AH62" s="2005"/>
      <c r="AI62" s="2029"/>
      <c r="AJ62" s="2030"/>
      <c r="AK62" s="2031"/>
      <c r="AL62" s="2003"/>
      <c r="AM62" s="2021"/>
      <c r="AN62" s="2005"/>
      <c r="AO62" s="2029"/>
      <c r="AP62" s="2030"/>
      <c r="AQ62" s="2031"/>
      <c r="AR62" s="2003"/>
      <c r="AS62" s="2021"/>
      <c r="AT62" s="2005"/>
      <c r="AU62" s="2029"/>
      <c r="AV62" s="2030"/>
      <c r="AW62" s="2031"/>
      <c r="AX62" s="2003"/>
      <c r="AY62" s="2021"/>
      <c r="AZ62" s="2005"/>
      <c r="BA62" s="2029"/>
      <c r="BB62" s="2030"/>
      <c r="BC62" s="2031"/>
      <c r="BD62" s="2003"/>
      <c r="BE62" s="2021"/>
      <c r="BF62" s="2005"/>
      <c r="BG62" s="2029"/>
      <c r="BH62" s="2030"/>
      <c r="BI62" s="2031"/>
      <c r="BJ62" s="2003"/>
      <c r="BK62" s="2021"/>
      <c r="BL62" s="2005"/>
      <c r="BM62" s="2029"/>
      <c r="BN62" s="2030"/>
      <c r="BO62" s="2031"/>
      <c r="BP62" s="2003"/>
      <c r="BQ62" s="2021"/>
      <c r="BR62" s="2005"/>
      <c r="BS62" s="2029"/>
      <c r="BT62" s="2030"/>
      <c r="BU62" s="2031"/>
      <c r="BV62" s="2044" t="str">
        <f t="shared" si="192"/>
        <v/>
      </c>
      <c r="BW62" s="2044" t="str">
        <f t="shared" si="193"/>
        <v/>
      </c>
      <c r="BX62" s="2044" t="str">
        <f t="shared" si="194"/>
        <v/>
      </c>
      <c r="BY62" s="2049" t="str">
        <f t="shared" si="195"/>
        <v/>
      </c>
      <c r="BZ62" s="2049" t="str">
        <f t="shared" si="196"/>
        <v/>
      </c>
      <c r="CA62" s="2049" t="str">
        <f t="shared" si="197"/>
        <v/>
      </c>
      <c r="CB62" s="2116" t="str">
        <f t="shared" si="198"/>
        <v/>
      </c>
    </row>
    <row r="63" spans="1:131" ht="17.25" customHeight="1">
      <c r="A63" s="2740" t="str">
        <f>IF('6 Eingabe Azubis'!A19="","",'6 Eingabe Azubis'!A19)</f>
        <v/>
      </c>
      <c r="B63" s="1945"/>
      <c r="C63" s="1984"/>
      <c r="D63" s="1957"/>
      <c r="E63" s="2029"/>
      <c r="F63" s="2030"/>
      <c r="G63" s="2031"/>
      <c r="H63" s="2003"/>
      <c r="I63" s="2021"/>
      <c r="J63" s="2005"/>
      <c r="K63" s="2029"/>
      <c r="L63" s="2030"/>
      <c r="M63" s="2031"/>
      <c r="N63" s="2003"/>
      <c r="O63" s="2021"/>
      <c r="P63" s="2005"/>
      <c r="Q63" s="2029"/>
      <c r="R63" s="2030"/>
      <c r="S63" s="2031"/>
      <c r="T63" s="2003"/>
      <c r="U63" s="2021"/>
      <c r="V63" s="2005"/>
      <c r="W63" s="2029"/>
      <c r="X63" s="2030"/>
      <c r="Y63" s="2031"/>
      <c r="Z63" s="2003"/>
      <c r="AA63" s="2021"/>
      <c r="AB63" s="2005"/>
      <c r="AC63" s="2029"/>
      <c r="AD63" s="2030"/>
      <c r="AE63" s="2031"/>
      <c r="AF63" s="2003"/>
      <c r="AG63" s="2021"/>
      <c r="AH63" s="2005"/>
      <c r="AI63" s="2029"/>
      <c r="AJ63" s="2030"/>
      <c r="AK63" s="2031"/>
      <c r="AL63" s="2003"/>
      <c r="AM63" s="2021"/>
      <c r="AN63" s="2005"/>
      <c r="AO63" s="2029"/>
      <c r="AP63" s="2030"/>
      <c r="AQ63" s="2031"/>
      <c r="AR63" s="2003"/>
      <c r="AS63" s="2021"/>
      <c r="AT63" s="2005"/>
      <c r="AU63" s="2029"/>
      <c r="AV63" s="2030"/>
      <c r="AW63" s="2031"/>
      <c r="AX63" s="2003"/>
      <c r="AY63" s="2021"/>
      <c r="AZ63" s="2005"/>
      <c r="BA63" s="2029"/>
      <c r="BB63" s="2030"/>
      <c r="BC63" s="2031"/>
      <c r="BD63" s="2003"/>
      <c r="BE63" s="2021"/>
      <c r="BF63" s="2005"/>
      <c r="BG63" s="2029"/>
      <c r="BH63" s="2030"/>
      <c r="BI63" s="2031"/>
      <c r="BJ63" s="2003"/>
      <c r="BK63" s="2021"/>
      <c r="BL63" s="2005"/>
      <c r="BM63" s="2029"/>
      <c r="BN63" s="2030"/>
      <c r="BO63" s="2031"/>
      <c r="BP63" s="2003"/>
      <c r="BQ63" s="2021"/>
      <c r="BR63" s="2005"/>
      <c r="BS63" s="2029"/>
      <c r="BT63" s="2030"/>
      <c r="BU63" s="2031"/>
      <c r="BV63" s="2044" t="str">
        <f t="shared" si="192"/>
        <v/>
      </c>
      <c r="BW63" s="2044" t="str">
        <f t="shared" si="193"/>
        <v/>
      </c>
      <c r="BX63" s="2044" t="str">
        <f t="shared" si="194"/>
        <v/>
      </c>
      <c r="BY63" s="2049" t="str">
        <f t="shared" si="195"/>
        <v/>
      </c>
      <c r="BZ63" s="2049" t="str">
        <f t="shared" si="196"/>
        <v/>
      </c>
      <c r="CA63" s="2049" t="str">
        <f t="shared" si="197"/>
        <v/>
      </c>
      <c r="CB63" s="2116" t="str">
        <f t="shared" si="198"/>
        <v/>
      </c>
    </row>
    <row r="64" spans="1:131" ht="17.25" customHeight="1">
      <c r="A64" s="2740" t="str">
        <f>IF('6 Eingabe Azubis'!A20="","",'6 Eingabe Azubis'!A20)</f>
        <v/>
      </c>
      <c r="B64" s="1945"/>
      <c r="C64" s="1984"/>
      <c r="D64" s="1957"/>
      <c r="E64" s="2029"/>
      <c r="F64" s="2030"/>
      <c r="G64" s="2031"/>
      <c r="H64" s="2003"/>
      <c r="I64" s="2021"/>
      <c r="J64" s="2005"/>
      <c r="K64" s="2029"/>
      <c r="L64" s="2030"/>
      <c r="M64" s="2031"/>
      <c r="N64" s="2003"/>
      <c r="O64" s="2021"/>
      <c r="P64" s="2005"/>
      <c r="Q64" s="2029"/>
      <c r="R64" s="2030"/>
      <c r="S64" s="2031"/>
      <c r="T64" s="2003"/>
      <c r="U64" s="2021"/>
      <c r="V64" s="2005"/>
      <c r="W64" s="2029"/>
      <c r="X64" s="2030"/>
      <c r="Y64" s="2031"/>
      <c r="Z64" s="2003"/>
      <c r="AA64" s="2021"/>
      <c r="AB64" s="2005"/>
      <c r="AC64" s="2029"/>
      <c r="AD64" s="2030"/>
      <c r="AE64" s="2031"/>
      <c r="AF64" s="2003"/>
      <c r="AG64" s="2021"/>
      <c r="AH64" s="2005"/>
      <c r="AI64" s="2029"/>
      <c r="AJ64" s="2030"/>
      <c r="AK64" s="2031"/>
      <c r="AL64" s="2003"/>
      <c r="AM64" s="2021"/>
      <c r="AN64" s="2005"/>
      <c r="AO64" s="2029"/>
      <c r="AP64" s="2030"/>
      <c r="AQ64" s="2031"/>
      <c r="AR64" s="2003"/>
      <c r="AS64" s="2021"/>
      <c r="AT64" s="2005"/>
      <c r="AU64" s="2029"/>
      <c r="AV64" s="2030"/>
      <c r="AW64" s="2031"/>
      <c r="AX64" s="2003"/>
      <c r="AY64" s="2021"/>
      <c r="AZ64" s="2005"/>
      <c r="BA64" s="2029"/>
      <c r="BB64" s="2030"/>
      <c r="BC64" s="2031"/>
      <c r="BD64" s="2003"/>
      <c r="BE64" s="2021"/>
      <c r="BF64" s="2005"/>
      <c r="BG64" s="2029"/>
      <c r="BH64" s="2030"/>
      <c r="BI64" s="2031"/>
      <c r="BJ64" s="2003"/>
      <c r="BK64" s="2021"/>
      <c r="BL64" s="2005"/>
      <c r="BM64" s="2029"/>
      <c r="BN64" s="2030"/>
      <c r="BO64" s="2031"/>
      <c r="BP64" s="2003"/>
      <c r="BQ64" s="2021"/>
      <c r="BR64" s="2005"/>
      <c r="BS64" s="2029"/>
      <c r="BT64" s="2030"/>
      <c r="BU64" s="2031"/>
      <c r="BV64" s="2044" t="str">
        <f t="shared" si="192"/>
        <v/>
      </c>
      <c r="BW64" s="2044" t="str">
        <f t="shared" si="193"/>
        <v/>
      </c>
      <c r="BX64" s="2044" t="str">
        <f t="shared" si="194"/>
        <v/>
      </c>
      <c r="BY64" s="2049" t="str">
        <f t="shared" si="195"/>
        <v/>
      </c>
      <c r="BZ64" s="2049" t="str">
        <f t="shared" si="196"/>
        <v/>
      </c>
      <c r="CA64" s="2049" t="str">
        <f t="shared" si="197"/>
        <v/>
      </c>
      <c r="CB64" s="2116" t="str">
        <f t="shared" si="198"/>
        <v/>
      </c>
    </row>
    <row r="65" spans="1:80" ht="17.25" customHeight="1">
      <c r="A65" s="2740" t="str">
        <f>IF('6 Eingabe Azubis'!A21="","",'6 Eingabe Azubis'!A21)</f>
        <v/>
      </c>
      <c r="B65" s="1945"/>
      <c r="C65" s="1984"/>
      <c r="D65" s="1957"/>
      <c r="E65" s="2029"/>
      <c r="F65" s="2030"/>
      <c r="G65" s="2031"/>
      <c r="H65" s="2003"/>
      <c r="I65" s="2021"/>
      <c r="J65" s="2005"/>
      <c r="K65" s="2029"/>
      <c r="L65" s="2030"/>
      <c r="M65" s="2031"/>
      <c r="N65" s="2003"/>
      <c r="O65" s="2021"/>
      <c r="P65" s="2005"/>
      <c r="Q65" s="2029"/>
      <c r="R65" s="2030"/>
      <c r="S65" s="2031"/>
      <c r="T65" s="2003"/>
      <c r="U65" s="2021"/>
      <c r="V65" s="2005"/>
      <c r="W65" s="2029"/>
      <c r="X65" s="2030"/>
      <c r="Y65" s="2031"/>
      <c r="Z65" s="2003"/>
      <c r="AA65" s="2021"/>
      <c r="AB65" s="2005"/>
      <c r="AC65" s="2029"/>
      <c r="AD65" s="2030"/>
      <c r="AE65" s="2031"/>
      <c r="AF65" s="2003"/>
      <c r="AG65" s="2021"/>
      <c r="AH65" s="2005"/>
      <c r="AI65" s="2029"/>
      <c r="AJ65" s="2030"/>
      <c r="AK65" s="2031"/>
      <c r="AL65" s="2003"/>
      <c r="AM65" s="2021"/>
      <c r="AN65" s="2005"/>
      <c r="AO65" s="2029"/>
      <c r="AP65" s="2030"/>
      <c r="AQ65" s="2031"/>
      <c r="AR65" s="2003"/>
      <c r="AS65" s="2021"/>
      <c r="AT65" s="2005"/>
      <c r="AU65" s="2029"/>
      <c r="AV65" s="2030"/>
      <c r="AW65" s="2031"/>
      <c r="AX65" s="2003"/>
      <c r="AY65" s="2021"/>
      <c r="AZ65" s="2005"/>
      <c r="BA65" s="2029"/>
      <c r="BB65" s="2030"/>
      <c r="BC65" s="2031"/>
      <c r="BD65" s="2003"/>
      <c r="BE65" s="2021"/>
      <c r="BF65" s="2005"/>
      <c r="BG65" s="2029"/>
      <c r="BH65" s="2030"/>
      <c r="BI65" s="2031"/>
      <c r="BJ65" s="2003"/>
      <c r="BK65" s="2021"/>
      <c r="BL65" s="2005"/>
      <c r="BM65" s="2029"/>
      <c r="BN65" s="2030"/>
      <c r="BO65" s="2031"/>
      <c r="BP65" s="2003"/>
      <c r="BQ65" s="2021"/>
      <c r="BR65" s="2005"/>
      <c r="BS65" s="2029"/>
      <c r="BT65" s="2030"/>
      <c r="BU65" s="2031"/>
      <c r="BV65" s="2044" t="str">
        <f t="shared" si="192"/>
        <v/>
      </c>
      <c r="BW65" s="2044" t="str">
        <f t="shared" si="193"/>
        <v/>
      </c>
      <c r="BX65" s="2044" t="str">
        <f t="shared" si="194"/>
        <v/>
      </c>
      <c r="BY65" s="2049" t="str">
        <f t="shared" si="195"/>
        <v/>
      </c>
      <c r="BZ65" s="2049" t="str">
        <f t="shared" si="196"/>
        <v/>
      </c>
      <c r="CA65" s="2049" t="str">
        <f t="shared" si="197"/>
        <v/>
      </c>
      <c r="CB65" s="2116" t="str">
        <f t="shared" si="198"/>
        <v/>
      </c>
    </row>
    <row r="66" spans="1:80" ht="17.25" customHeight="1">
      <c r="A66" s="2740" t="str">
        <f>IF('6 Eingabe Azubis'!A22="","",'6 Eingabe Azubis'!A22)</f>
        <v/>
      </c>
      <c r="B66" s="1945"/>
      <c r="C66" s="1984"/>
      <c r="D66" s="1957"/>
      <c r="E66" s="2029"/>
      <c r="F66" s="2030"/>
      <c r="G66" s="2031"/>
      <c r="H66" s="2003"/>
      <c r="I66" s="2021"/>
      <c r="J66" s="2005"/>
      <c r="K66" s="2029"/>
      <c r="L66" s="2030"/>
      <c r="M66" s="2031"/>
      <c r="N66" s="2003"/>
      <c r="O66" s="2021"/>
      <c r="P66" s="2005"/>
      <c r="Q66" s="2029"/>
      <c r="R66" s="2030"/>
      <c r="S66" s="2031"/>
      <c r="T66" s="2003"/>
      <c r="U66" s="2021"/>
      <c r="V66" s="2005"/>
      <c r="W66" s="2029"/>
      <c r="X66" s="2030"/>
      <c r="Y66" s="2031"/>
      <c r="Z66" s="2003"/>
      <c r="AA66" s="2021"/>
      <c r="AB66" s="2005"/>
      <c r="AC66" s="2029"/>
      <c r="AD66" s="2030"/>
      <c r="AE66" s="2031"/>
      <c r="AF66" s="2003"/>
      <c r="AG66" s="2021"/>
      <c r="AH66" s="2005"/>
      <c r="AI66" s="2029"/>
      <c r="AJ66" s="2030"/>
      <c r="AK66" s="2031"/>
      <c r="AL66" s="2003"/>
      <c r="AM66" s="2021"/>
      <c r="AN66" s="2005"/>
      <c r="AO66" s="2029"/>
      <c r="AP66" s="2030"/>
      <c r="AQ66" s="2031"/>
      <c r="AR66" s="2003"/>
      <c r="AS66" s="2021"/>
      <c r="AT66" s="2005"/>
      <c r="AU66" s="2029"/>
      <c r="AV66" s="2030"/>
      <c r="AW66" s="2031"/>
      <c r="AX66" s="2003"/>
      <c r="AY66" s="2021"/>
      <c r="AZ66" s="2005"/>
      <c r="BA66" s="2029"/>
      <c r="BB66" s="2030"/>
      <c r="BC66" s="2031"/>
      <c r="BD66" s="2003"/>
      <c r="BE66" s="2021"/>
      <c r="BF66" s="2005"/>
      <c r="BG66" s="2029"/>
      <c r="BH66" s="2030"/>
      <c r="BI66" s="2031"/>
      <c r="BJ66" s="2003"/>
      <c r="BK66" s="2021"/>
      <c r="BL66" s="2005"/>
      <c r="BM66" s="2029"/>
      <c r="BN66" s="2030"/>
      <c r="BO66" s="2031"/>
      <c r="BP66" s="2003"/>
      <c r="BQ66" s="2021"/>
      <c r="BR66" s="2005"/>
      <c r="BS66" s="2029"/>
      <c r="BT66" s="2030"/>
      <c r="BU66" s="2031"/>
      <c r="BV66" s="2044" t="str">
        <f t="shared" si="192"/>
        <v/>
      </c>
      <c r="BW66" s="2044" t="str">
        <f t="shared" si="193"/>
        <v/>
      </c>
      <c r="BX66" s="2044" t="str">
        <f t="shared" si="194"/>
        <v/>
      </c>
      <c r="BY66" s="2049" t="str">
        <f t="shared" si="195"/>
        <v/>
      </c>
      <c r="BZ66" s="2049" t="str">
        <f t="shared" si="196"/>
        <v/>
      </c>
      <c r="CA66" s="2049" t="str">
        <f t="shared" si="197"/>
        <v/>
      </c>
      <c r="CB66" s="2116" t="str">
        <f t="shared" si="198"/>
        <v/>
      </c>
    </row>
    <row r="67" spans="1:80">
      <c r="E67" s="401"/>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row>
    <row r="68" spans="1:80" ht="15" customHeight="1">
      <c r="E68" s="401"/>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row>
  </sheetData>
  <mergeCells count="87">
    <mergeCell ref="BV48:BX48"/>
    <mergeCell ref="BY48:CA48"/>
    <mergeCell ref="BG48:BI48"/>
    <mergeCell ref="BJ48:BL48"/>
    <mergeCell ref="BM48:BO48"/>
    <mergeCell ref="BP48:BR48"/>
    <mergeCell ref="BS48:BU48"/>
    <mergeCell ref="AR48:AT48"/>
    <mergeCell ref="AU48:AW48"/>
    <mergeCell ref="AX48:AZ48"/>
    <mergeCell ref="BA48:BC48"/>
    <mergeCell ref="BD48:BF48"/>
    <mergeCell ref="AC48:AE48"/>
    <mergeCell ref="AF48:AH48"/>
    <mergeCell ref="AI48:AK48"/>
    <mergeCell ref="AL48:AN48"/>
    <mergeCell ref="AO48:AQ48"/>
    <mergeCell ref="N48:P48"/>
    <mergeCell ref="Q48:S48"/>
    <mergeCell ref="T48:V48"/>
    <mergeCell ref="W48:Y48"/>
    <mergeCell ref="Z48:AB48"/>
    <mergeCell ref="A2:K2"/>
    <mergeCell ref="M2:S2"/>
    <mergeCell ref="N3:P3"/>
    <mergeCell ref="Z3:AB3"/>
    <mergeCell ref="AL3:AN3"/>
    <mergeCell ref="H3:J3"/>
    <mergeCell ref="B3:D3"/>
    <mergeCell ref="AF3:AH3"/>
    <mergeCell ref="T3:V3"/>
    <mergeCell ref="B5:D5"/>
    <mergeCell ref="B6:D6"/>
    <mergeCell ref="B48:D48"/>
    <mergeCell ref="E48:G48"/>
    <mergeCell ref="B7:D7"/>
    <mergeCell ref="H48:J48"/>
    <mergeCell ref="K48:M48"/>
    <mergeCell ref="H4:J4"/>
    <mergeCell ref="H5:J5"/>
    <mergeCell ref="H6:J6"/>
    <mergeCell ref="H7:J7"/>
    <mergeCell ref="AF7:AH7"/>
    <mergeCell ref="N4:P4"/>
    <mergeCell ref="N5:P5"/>
    <mergeCell ref="N6:P6"/>
    <mergeCell ref="N7:P7"/>
    <mergeCell ref="T4:V4"/>
    <mergeCell ref="T5:V5"/>
    <mergeCell ref="T6:V6"/>
    <mergeCell ref="T7:V7"/>
    <mergeCell ref="AF5:AH5"/>
    <mergeCell ref="AF6:AH6"/>
    <mergeCell ref="Z4:AB4"/>
    <mergeCell ref="Z5:AB5"/>
    <mergeCell ref="Z6:AB6"/>
    <mergeCell ref="AL7:AN7"/>
    <mergeCell ref="Z7:AB7"/>
    <mergeCell ref="AR3:AT3"/>
    <mergeCell ref="AX3:AZ3"/>
    <mergeCell ref="AR4:AT4"/>
    <mergeCell ref="AX4:AZ4"/>
    <mergeCell ref="AR5:AT5"/>
    <mergeCell ref="AX5:AZ5"/>
    <mergeCell ref="AR6:AT6"/>
    <mergeCell ref="AX6:AZ6"/>
    <mergeCell ref="AR7:AT7"/>
    <mergeCell ref="AX7:AZ7"/>
    <mergeCell ref="AL4:AN4"/>
    <mergeCell ref="AL5:AN5"/>
    <mergeCell ref="AL6:AN6"/>
    <mergeCell ref="AF4:AH4"/>
    <mergeCell ref="BJ7:BL7"/>
    <mergeCell ref="BP7:BR7"/>
    <mergeCell ref="BD3:BF3"/>
    <mergeCell ref="BJ3:BL3"/>
    <mergeCell ref="BP3:BR3"/>
    <mergeCell ref="BD4:BF4"/>
    <mergeCell ref="BJ4:BL4"/>
    <mergeCell ref="BP4:BR4"/>
    <mergeCell ref="BD5:BF5"/>
    <mergeCell ref="BJ5:BL5"/>
    <mergeCell ref="BP5:BR5"/>
    <mergeCell ref="BD6:BF6"/>
    <mergeCell ref="BJ6:BL6"/>
    <mergeCell ref="BP6:BR6"/>
    <mergeCell ref="BD7:BF7"/>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4C511-C933-4286-8CA7-0B77152FDAB6}">
  <dimension ref="A1:AI52"/>
  <sheetViews>
    <sheetView showGridLines="0" zoomScale="90" zoomScaleNormal="90" workbookViewId="0"/>
  </sheetViews>
  <sheetFormatPr baseColWidth="10" defaultColWidth="9.21875" defaultRowHeight="13.2"/>
  <cols>
    <col min="1" max="1" width="9.88671875" style="34" customWidth="1"/>
    <col min="2" max="3" width="10.44140625" style="34" customWidth="1"/>
    <col min="4" max="4" width="12" style="34" customWidth="1"/>
    <col min="5" max="5" width="10.44140625" style="34" customWidth="1"/>
    <col min="6" max="6" width="11.44140625" style="34" customWidth="1"/>
    <col min="7" max="9" width="10.44140625" style="34" customWidth="1"/>
    <col min="10" max="10" width="10.77734375" style="34" customWidth="1"/>
    <col min="11" max="11" width="10.44140625" style="34" customWidth="1"/>
    <col min="12" max="12" width="9.88671875" style="34" customWidth="1"/>
    <col min="13" max="16" width="9.21875" style="34"/>
    <col min="17" max="17" width="9.5546875" style="34" bestFit="1" customWidth="1"/>
    <col min="18" max="16384" width="9.21875" style="34"/>
  </cols>
  <sheetData>
    <row r="1" spans="1:35" ht="20.25" customHeight="1">
      <c r="A1" s="106"/>
      <c r="C1" s="365" t="s">
        <v>412</v>
      </c>
      <c r="D1" s="679">
        <f>Start!N28</f>
        <v>44935</v>
      </c>
      <c r="E1" s="394" t="s">
        <v>413</v>
      </c>
      <c r="G1" s="381" t="s">
        <v>504</v>
      </c>
      <c r="H1" s="960">
        <f ca="1">E50</f>
        <v>45300</v>
      </c>
      <c r="I1" s="960"/>
      <c r="J1" s="960"/>
      <c r="K1" s="960"/>
    </row>
    <row r="2" spans="1:35" ht="15.75" customHeight="1">
      <c r="B2" s="3309" t="str">
        <f>Start!M2</f>
        <v>Demo Version</v>
      </c>
      <c r="C2" s="3309"/>
      <c r="D2" s="3309"/>
      <c r="E2" s="3309"/>
      <c r="F2" s="3309"/>
      <c r="G2" s="3309"/>
      <c r="H2" s="3309"/>
      <c r="I2" s="1614"/>
      <c r="J2" s="1614"/>
      <c r="K2" s="1614"/>
    </row>
    <row r="3" spans="1:35" ht="24" customHeight="1">
      <c r="B3" s="3309"/>
      <c r="C3" s="3309"/>
      <c r="D3" s="3309"/>
      <c r="E3" s="3309"/>
      <c r="F3" s="3309"/>
      <c r="G3" s="3309"/>
      <c r="H3" s="3309"/>
    </row>
    <row r="4" spans="1:35" ht="22.5" customHeight="1">
      <c r="B4" s="3335" t="str">
        <f>IF(SUM(A5:A6)=2,"Bitte nur 1x   ja   eingeben !","")</f>
        <v/>
      </c>
      <c r="C4" s="3335"/>
      <c r="D4" s="3335"/>
      <c r="E4" s="3335"/>
      <c r="F4" s="3335"/>
      <c r="G4" s="3335"/>
      <c r="H4" s="3335"/>
      <c r="J4" s="3343" t="str">
        <f>IF(Start!O20&gt;0,"Solo-Selbstständig","")</f>
        <v/>
      </c>
      <c r="K4" s="3343"/>
      <c r="L4" s="3343"/>
      <c r="M4" s="3343"/>
      <c r="N4" s="3343"/>
      <c r="O4" s="3343"/>
      <c r="P4" s="3343"/>
      <c r="S4" s="615"/>
      <c r="T4" s="615"/>
      <c r="U4" s="615"/>
      <c r="V4" s="615"/>
      <c r="W4" s="615"/>
      <c r="X4" s="615"/>
      <c r="Y4" s="615"/>
      <c r="Z4" s="615"/>
      <c r="AA4" s="615"/>
      <c r="AB4" s="615"/>
      <c r="AC4" s="615"/>
      <c r="AD4" s="615"/>
      <c r="AE4" s="615"/>
      <c r="AF4" s="615"/>
      <c r="AG4" s="615"/>
      <c r="AH4" s="615"/>
      <c r="AI4" s="615"/>
    </row>
    <row r="5" spans="1:35" ht="26.25" customHeight="1">
      <c r="A5" s="615">
        <f>IF(F5="ja",1,0)</f>
        <v>0</v>
      </c>
      <c r="B5" s="3333" t="s">
        <v>467</v>
      </c>
      <c r="C5" s="3334"/>
      <c r="D5" s="3334"/>
      <c r="E5" s="3334"/>
      <c r="F5" s="2635" t="s">
        <v>1057</v>
      </c>
      <c r="G5" s="3336" t="s">
        <v>1291</v>
      </c>
      <c r="H5" s="3337"/>
      <c r="I5" s="2551" t="str">
        <f>IF(F5="ja","GmbH","")</f>
        <v/>
      </c>
      <c r="J5" s="3344" t="str">
        <f>IF(F5="ja","","Bitte tragen Sie die Namen der Chefin oder des Chefs ein.")</f>
        <v>Bitte tragen Sie die Namen der Chefin oder des Chefs ein.</v>
      </c>
      <c r="K5" s="3344"/>
      <c r="L5" s="3344"/>
      <c r="M5" s="3344"/>
      <c r="N5" s="3344"/>
      <c r="O5" s="3344"/>
      <c r="P5" s="3344"/>
      <c r="S5" s="615"/>
      <c r="T5" s="615"/>
      <c r="U5" s="615"/>
      <c r="V5" s="615"/>
      <c r="W5" s="615"/>
      <c r="X5" s="615"/>
      <c r="Y5" s="615"/>
      <c r="Z5" s="615"/>
      <c r="AA5" s="615"/>
      <c r="AB5" s="615"/>
      <c r="AC5" s="615"/>
      <c r="AD5" s="615"/>
      <c r="AE5" s="615"/>
      <c r="AF5" s="615"/>
      <c r="AG5" s="615"/>
      <c r="AH5" s="615"/>
      <c r="AI5" s="615"/>
    </row>
    <row r="6" spans="1:35" ht="26.25" customHeight="1">
      <c r="A6" s="615">
        <f>IF(F6="ja",1,0)</f>
        <v>0</v>
      </c>
      <c r="B6" s="3327" t="s">
        <v>1281</v>
      </c>
      <c r="C6" s="3328"/>
      <c r="D6" s="3328"/>
      <c r="E6" s="3328"/>
      <c r="F6" s="2635" t="s">
        <v>1057</v>
      </c>
      <c r="G6" s="3338"/>
      <c r="H6" s="3339"/>
      <c r="I6" s="2551" t="str">
        <f>IF(F6="ja","GbR","")</f>
        <v/>
      </c>
      <c r="J6" s="3344" t="str">
        <f>IF(Start!O20&gt;0,"",IF(F5="ja","",IF(F6="ja","Bei mehreren Chefinnen oder Chefs bitte alle Namen eintragen","")))</f>
        <v/>
      </c>
      <c r="K6" s="3344"/>
      <c r="L6" s="3344"/>
      <c r="M6" s="3344"/>
      <c r="N6" s="3344"/>
      <c r="O6" s="3344"/>
      <c r="P6" s="3344"/>
      <c r="S6" s="615"/>
      <c r="T6" s="615"/>
      <c r="U6" s="615"/>
      <c r="V6" s="615"/>
      <c r="W6" s="615"/>
      <c r="X6" s="615"/>
      <c r="Y6" s="615"/>
      <c r="Z6" s="615"/>
      <c r="AA6" s="615"/>
      <c r="AB6" s="615"/>
      <c r="AC6" s="615"/>
      <c r="AD6" s="615"/>
      <c r="AE6" s="615"/>
      <c r="AF6" s="615"/>
      <c r="AG6" s="615"/>
      <c r="AH6" s="615"/>
      <c r="AI6" s="615"/>
    </row>
    <row r="7" spans="1:35" ht="27" customHeight="1">
      <c r="H7" s="1217"/>
      <c r="J7" s="1616"/>
      <c r="K7" s="34" t="str">
        <f>IF(F5="ja","unten nichts eintragen","Vorname")</f>
        <v>Vorname</v>
      </c>
      <c r="L7" s="1616"/>
      <c r="M7" s="34" t="str">
        <f>IF(F5="ja","","Nachname")</f>
        <v>Nachname</v>
      </c>
      <c r="N7" s="615"/>
      <c r="S7" s="615"/>
      <c r="T7" s="615"/>
      <c r="U7" s="615"/>
      <c r="V7" s="615"/>
      <c r="W7" s="615"/>
      <c r="X7" s="615"/>
      <c r="Y7" s="615"/>
      <c r="Z7" s="615"/>
      <c r="AA7" s="615"/>
      <c r="AB7" s="615"/>
      <c r="AC7" s="615"/>
      <c r="AD7" s="615"/>
      <c r="AE7" s="615"/>
      <c r="AF7" s="615"/>
      <c r="AG7" s="615"/>
      <c r="AH7" s="615"/>
      <c r="AI7" s="615"/>
    </row>
    <row r="8" spans="1:35" ht="22.2" customHeight="1" thickBot="1">
      <c r="B8" s="3293" t="s">
        <v>484</v>
      </c>
      <c r="C8" s="3294"/>
      <c r="D8" s="3294"/>
      <c r="E8" s="3294"/>
      <c r="F8" s="222"/>
      <c r="G8" s="1363"/>
      <c r="H8" s="1364"/>
      <c r="I8" s="1616"/>
      <c r="J8" s="365" t="str">
        <f>IF(Start!O20&gt;0,"nur hier eingeben",IF(F5="ja","","1."))</f>
        <v>1.</v>
      </c>
      <c r="K8" s="3340" t="s">
        <v>1430</v>
      </c>
      <c r="L8" s="3341"/>
      <c r="M8" s="3340"/>
      <c r="N8" s="3342"/>
      <c r="O8" s="2653" t="str">
        <f>IF(Start!O20&gt;0,"←","")</f>
        <v/>
      </c>
      <c r="P8" s="2734" t="str">
        <f>_xlfn.CONCAT(K8," ",M8)</f>
        <v xml:space="preserve">Linda </v>
      </c>
      <c r="Q8" s="615"/>
      <c r="R8" s="615"/>
      <c r="S8" s="615"/>
      <c r="T8" s="615"/>
      <c r="U8" s="615"/>
      <c r="V8" s="615"/>
      <c r="W8" s="615"/>
      <c r="X8" s="615"/>
      <c r="Y8" s="615"/>
      <c r="Z8" s="615"/>
      <c r="AA8" s="615"/>
      <c r="AB8" s="615"/>
      <c r="AC8" s="615"/>
      <c r="AD8" s="615"/>
      <c r="AE8" s="615"/>
      <c r="AF8" s="615"/>
      <c r="AG8" s="615"/>
      <c r="AH8" s="615"/>
      <c r="AI8" s="615"/>
    </row>
    <row r="9" spans="1:35" ht="22.2" customHeight="1" thickBot="1">
      <c r="B9" s="1836"/>
      <c r="C9" s="1839" t="str">
        <f>IF(F9=F10,"",IF(F9="x","ü",""))</f>
        <v>ü</v>
      </c>
      <c r="D9" s="3312" t="s">
        <v>485</v>
      </c>
      <c r="E9" s="3313"/>
      <c r="F9" s="665" t="s">
        <v>220</v>
      </c>
      <c r="G9" s="3310" t="s">
        <v>1305</v>
      </c>
      <c r="H9" s="3311"/>
      <c r="I9" s="1616"/>
      <c r="J9" s="365" t="str">
        <f>IF(Start!O20&gt;0,"",IF(F5="ja","","2."))</f>
        <v>2.</v>
      </c>
      <c r="K9" s="3340"/>
      <c r="L9" s="3341"/>
      <c r="M9" s="3340"/>
      <c r="N9" s="3342"/>
      <c r="O9" s="2653"/>
      <c r="P9" s="2734" t="str">
        <f>_xlfn.CONCAT(K9," ",M9)</f>
        <v xml:space="preserve"> </v>
      </c>
      <c r="Q9" s="615"/>
      <c r="R9" s="615"/>
      <c r="S9" s="615"/>
      <c r="T9" s="615"/>
      <c r="U9" s="615"/>
      <c r="V9" s="615"/>
      <c r="W9" s="615"/>
      <c r="X9" s="615"/>
      <c r="Y9" s="615"/>
      <c r="Z9" s="615"/>
      <c r="AA9" s="615"/>
      <c r="AB9" s="615"/>
      <c r="AC9" s="615"/>
      <c r="AD9" s="615"/>
      <c r="AE9" s="615"/>
      <c r="AF9" s="615"/>
      <c r="AG9" s="615"/>
      <c r="AH9" s="615"/>
      <c r="AI9" s="615"/>
    </row>
    <row r="10" spans="1:35" ht="22.2" customHeight="1" thickBot="1">
      <c r="B10" s="1836"/>
      <c r="C10" s="1839" t="str">
        <f>IF(F10=F9,"",IF(F10="x","ü",""))</f>
        <v/>
      </c>
      <c r="D10" s="3314" t="s">
        <v>1304</v>
      </c>
      <c r="E10" s="3315"/>
      <c r="F10" s="665"/>
      <c r="G10" s="3310"/>
      <c r="H10" s="3311"/>
      <c r="I10" s="1616"/>
      <c r="J10" s="365" t="str">
        <f>IF(Start!O20&gt;0,"",IF(F5="ja","","3."))</f>
        <v>3.</v>
      </c>
      <c r="K10" s="3340"/>
      <c r="L10" s="3341"/>
      <c r="M10" s="3340"/>
      <c r="N10" s="3342"/>
      <c r="O10" s="2653"/>
      <c r="P10" s="2734" t="str">
        <f>_xlfn.CONCAT(K10," ",M10)</f>
        <v xml:space="preserve"> </v>
      </c>
      <c r="Q10" s="615"/>
      <c r="R10" s="615"/>
      <c r="S10" s="615"/>
      <c r="T10" s="615"/>
      <c r="U10" s="615"/>
      <c r="V10" s="615"/>
      <c r="W10" s="615"/>
      <c r="X10" s="615"/>
      <c r="Y10" s="615"/>
      <c r="Z10" s="615"/>
      <c r="AA10" s="615"/>
      <c r="AB10" s="615"/>
      <c r="AC10" s="615"/>
      <c r="AD10" s="615"/>
      <c r="AE10" s="615"/>
      <c r="AF10" s="615"/>
      <c r="AG10" s="615"/>
      <c r="AH10" s="615"/>
      <c r="AI10" s="615"/>
    </row>
    <row r="11" spans="1:35" ht="12" customHeight="1">
      <c r="B11" s="1837"/>
      <c r="C11" s="1838"/>
      <c r="D11" s="3304" t="str">
        <f>IF(F9=F10,"Bitte nur ein Land ankreuzen!","")</f>
        <v/>
      </c>
      <c r="E11" s="3304"/>
      <c r="F11" s="3304"/>
      <c r="G11" s="3304"/>
      <c r="H11" s="1365"/>
      <c r="I11" s="1616"/>
      <c r="J11" s="1616"/>
      <c r="K11" s="1616"/>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row>
    <row r="12" spans="1:35" ht="26.1" customHeight="1">
      <c r="A12" s="3300" t="s">
        <v>1309</v>
      </c>
      <c r="B12" s="3301"/>
      <c r="C12" s="3299" t="s">
        <v>1306</v>
      </c>
      <c r="D12" s="3299"/>
      <c r="E12" s="3299"/>
      <c r="F12" s="3299"/>
      <c r="G12" s="3299"/>
      <c r="H12" s="2691"/>
      <c r="I12" s="1616"/>
      <c r="J12" s="3346" t="str">
        <f>IF(F6="ja","Ihre Unternehmensform ist eine GbR.","hier nichts eintragen")</f>
        <v>hier nichts eintragen</v>
      </c>
      <c r="K12" s="3347"/>
      <c r="L12" s="3347"/>
      <c r="M12" s="3347"/>
      <c r="N12" s="3348" t="str">
        <f>IF(F6="ja","Bitte beachten !!","")</f>
        <v/>
      </c>
      <c r="O12" s="3348"/>
      <c r="P12" s="3349"/>
      <c r="Q12" s="3185" t="str">
        <f>IF(P13="ja","mit Mitarbeitern","")</f>
        <v/>
      </c>
      <c r="R12" s="2905"/>
      <c r="S12" s="619"/>
      <c r="T12" s="619"/>
      <c r="U12" s="619"/>
      <c r="V12" s="619"/>
      <c r="W12" s="619"/>
      <c r="X12" s="619"/>
      <c r="Y12" s="619"/>
      <c r="Z12" s="619"/>
      <c r="AA12" s="619"/>
      <c r="AB12" s="615"/>
      <c r="AC12" s="615"/>
      <c r="AD12" s="615"/>
      <c r="AE12" s="615"/>
      <c r="AF12" s="615"/>
      <c r="AG12" s="615"/>
      <c r="AH12" s="615"/>
      <c r="AI12" s="615"/>
    </row>
    <row r="13" spans="1:35" ht="29.4" customHeight="1">
      <c r="A13" s="3302"/>
      <c r="B13" s="3303"/>
      <c r="C13" s="1840" t="s">
        <v>883</v>
      </c>
      <c r="D13" s="1627" t="s">
        <v>1042</v>
      </c>
      <c r="E13" s="1840" t="s">
        <v>3</v>
      </c>
      <c r="F13" s="2997" t="s">
        <v>1331</v>
      </c>
      <c r="G13" s="2997" t="s">
        <v>1332</v>
      </c>
      <c r="H13" s="2886"/>
      <c r="I13" s="1616"/>
      <c r="J13" s="3350" t="str">
        <f>IF(F6="ja","Wenn die GbR ausser den Chefs mehrere Mitarbeiter hat, die Umsatz machen, geben Sie bitte     ja    ein   --&gt;    --&gt;","")</f>
        <v/>
      </c>
      <c r="K13" s="3350"/>
      <c r="L13" s="3350"/>
      <c r="M13" s="3350"/>
      <c r="N13" s="3350"/>
      <c r="O13" s="3350"/>
      <c r="P13" s="2917"/>
      <c r="Q13" s="3345" t="str">
        <f>IF(F6="nein","",IF(SUM(T13:T14)&gt;1,"nur  1x   ja  eingeben",IF(SUM(T13:T14)&lt;1,"Tragen Sie bitte oben oder unten ein   ja  ein!",IF(SUM(T13:T14)=1,""))))</f>
        <v/>
      </c>
      <c r="R13" s="3343"/>
      <c r="S13" s="3343"/>
      <c r="T13" s="615">
        <f>IF(P13="",0,1)</f>
        <v>0</v>
      </c>
      <c r="U13" s="615"/>
      <c r="V13" s="615"/>
      <c r="W13" s="615"/>
      <c r="X13" s="615"/>
      <c r="Y13" s="615"/>
      <c r="Z13" s="615"/>
      <c r="AA13" s="615"/>
      <c r="AB13" s="615"/>
      <c r="AC13" s="615"/>
      <c r="AD13" s="615"/>
      <c r="AE13" s="615"/>
      <c r="AF13" s="615"/>
      <c r="AG13" s="615"/>
      <c r="AH13" s="615"/>
      <c r="AI13" s="615"/>
    </row>
    <row r="14" spans="1:35" ht="26.1" customHeight="1">
      <c r="A14" s="1840" t="s">
        <v>1310</v>
      </c>
      <c r="B14" s="2692" t="s">
        <v>486</v>
      </c>
      <c r="C14" s="2689">
        <v>0.2</v>
      </c>
      <c r="D14" s="2690">
        <v>0.30399999999999999</v>
      </c>
      <c r="E14" s="2690">
        <v>0.154</v>
      </c>
      <c r="F14" s="2884">
        <v>488.85</v>
      </c>
      <c r="G14" s="2689">
        <v>0</v>
      </c>
      <c r="H14" s="2887">
        <f>C14+100%</f>
        <v>1.2</v>
      </c>
      <c r="I14" s="1619">
        <f>H14/1</f>
        <v>1.2</v>
      </c>
      <c r="J14" s="3351" t="str">
        <f>IF(F6="ja","Wenn die GbR ausser den Chefs keine weiteren Mitarbeiter hat, die keinen Zielumsätze haben oder Mitarbeiter, die eher helfen und zuarbeiten, geben Sie bitte ein  ja   ein   --&gt;    --&gt;","")</f>
        <v/>
      </c>
      <c r="K14" s="3351"/>
      <c r="L14" s="3351"/>
      <c r="M14" s="3351"/>
      <c r="N14" s="3351"/>
      <c r="O14" s="3351"/>
      <c r="P14" s="3352"/>
      <c r="Q14" s="3345"/>
      <c r="R14" s="3343"/>
      <c r="S14" s="3343"/>
      <c r="T14" s="615">
        <f>IF(P14="",0,1)</f>
        <v>0</v>
      </c>
      <c r="U14" s="1265"/>
      <c r="V14" s="1265"/>
      <c r="W14" s="1265"/>
      <c r="X14" s="1265"/>
      <c r="Y14" s="615"/>
      <c r="Z14" s="615"/>
      <c r="AA14" s="615"/>
      <c r="AB14" s="615"/>
      <c r="AC14" s="615"/>
      <c r="AD14" s="615"/>
      <c r="AE14" s="615"/>
      <c r="AF14" s="615"/>
      <c r="AG14" s="615"/>
      <c r="AH14" s="615"/>
      <c r="AI14" s="615"/>
    </row>
    <row r="15" spans="1:35" ht="25.05" customHeight="1">
      <c r="A15" s="1840" t="s">
        <v>1311</v>
      </c>
      <c r="B15" s="2693" t="s">
        <v>485</v>
      </c>
      <c r="C15" s="723">
        <v>0.19</v>
      </c>
      <c r="D15" s="723">
        <v>0.25</v>
      </c>
      <c r="E15" s="1366" t="s">
        <v>1043</v>
      </c>
      <c r="F15" s="2885">
        <v>520</v>
      </c>
      <c r="G15" s="723">
        <v>0.3</v>
      </c>
      <c r="H15" s="2888">
        <f>C15+100%</f>
        <v>1.19</v>
      </c>
      <c r="I15" s="1266">
        <f>H15/1</f>
        <v>1.19</v>
      </c>
      <c r="J15" s="3351"/>
      <c r="K15" s="3351"/>
      <c r="L15" s="3351"/>
      <c r="M15" s="3351"/>
      <c r="N15" s="3351"/>
      <c r="O15" s="3351"/>
      <c r="P15" s="3352"/>
      <c r="Q15" s="3345"/>
      <c r="R15" s="3343"/>
      <c r="S15" s="3343"/>
      <c r="T15" s="1265"/>
      <c r="U15" s="1265"/>
      <c r="V15" s="1265"/>
      <c r="W15" s="1265"/>
      <c r="X15" s="1265"/>
      <c r="Y15" s="615"/>
      <c r="Z15" s="615"/>
      <c r="AA15" s="615"/>
      <c r="AB15" s="615"/>
      <c r="AC15" s="615"/>
      <c r="AD15" s="615"/>
      <c r="AE15" s="615"/>
      <c r="AF15" s="615"/>
      <c r="AG15" s="615"/>
      <c r="AH15" s="615"/>
      <c r="AI15" s="615"/>
    </row>
    <row r="16" spans="1:35" s="174" customFormat="1" ht="24.6" customHeight="1">
      <c r="A16" s="34"/>
      <c r="B16" s="1616"/>
      <c r="C16" s="1616"/>
      <c r="D16" s="1616"/>
      <c r="E16" s="1616"/>
      <c r="F16" s="1616"/>
      <c r="G16" s="1616"/>
      <c r="H16" s="1616"/>
      <c r="I16" s="1616"/>
      <c r="J16" s="1616"/>
      <c r="K16" s="1616"/>
      <c r="L16" s="34"/>
      <c r="M16" s="1265"/>
      <c r="N16" s="1266"/>
      <c r="O16" s="1266"/>
      <c r="P16" s="1266"/>
      <c r="Q16" s="3185" t="str">
        <f>IF(P14="ja","ohne Mitarbeiter","")</f>
        <v/>
      </c>
      <c r="R16" s="1266"/>
      <c r="S16" s="1266"/>
      <c r="T16" s="1266"/>
      <c r="U16" s="1266"/>
      <c r="V16" s="1266"/>
      <c r="W16" s="1266"/>
      <c r="X16" s="1266"/>
      <c r="Y16" s="1266"/>
      <c r="Z16" s="1266"/>
      <c r="AA16" s="1266"/>
      <c r="AB16" s="1266"/>
      <c r="AC16" s="1266"/>
      <c r="AD16" s="1266"/>
      <c r="AE16" s="1266"/>
      <c r="AF16" s="1266"/>
      <c r="AG16" s="1266"/>
      <c r="AH16" s="1266"/>
      <c r="AI16" s="1266"/>
    </row>
    <row r="17" spans="1:35" ht="22.5" customHeight="1">
      <c r="B17" s="1622"/>
      <c r="C17" s="1622"/>
      <c r="D17" s="1622"/>
      <c r="E17" s="1622"/>
      <c r="F17" s="1622"/>
      <c r="G17" s="1622"/>
      <c r="H17" s="1622"/>
      <c r="I17" s="1615"/>
      <c r="J17" s="1615"/>
      <c r="K17" s="1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row>
    <row r="18" spans="1:35" ht="21.6" customHeight="1">
      <c r="B18" s="3289" t="s">
        <v>881</v>
      </c>
      <c r="C18" s="3290"/>
      <c r="D18" s="3297">
        <v>44934</v>
      </c>
      <c r="E18" s="3297"/>
      <c r="F18" s="3297"/>
      <c r="G18" s="3295" t="s">
        <v>325</v>
      </c>
      <c r="H18" s="3295"/>
      <c r="I18" s="2590"/>
      <c r="J18" s="2590"/>
      <c r="K18" s="2591"/>
      <c r="M18" s="615"/>
      <c r="N18" s="615"/>
      <c r="O18" s="615"/>
      <c r="P18" s="615"/>
      <c r="Q18" s="615"/>
      <c r="R18" s="615"/>
      <c r="S18" s="615"/>
      <c r="T18" s="615"/>
      <c r="U18" s="615"/>
      <c r="V18" s="615"/>
      <c r="W18" s="615"/>
      <c r="X18" s="615"/>
      <c r="Y18" s="615"/>
      <c r="Z18" s="615"/>
      <c r="AA18" s="615"/>
      <c r="AB18" s="615"/>
      <c r="AC18" s="615"/>
      <c r="AD18" s="615"/>
      <c r="AE18" s="615"/>
      <c r="AF18" s="615"/>
      <c r="AG18" s="615"/>
      <c r="AH18" s="615"/>
      <c r="AI18" s="615"/>
    </row>
    <row r="19" spans="1:35" ht="31.05" customHeight="1">
      <c r="B19" s="3291"/>
      <c r="C19" s="3292"/>
      <c r="D19" s="3298"/>
      <c r="E19" s="3298"/>
      <c r="F19" s="3298"/>
      <c r="G19" s="3296">
        <f ca="1">TODAY()</f>
        <v>44939</v>
      </c>
      <c r="H19" s="3296"/>
      <c r="K19" s="753"/>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row>
    <row r="20" spans="1:35" ht="25.05" customHeight="1">
      <c r="B20" s="3317" t="s">
        <v>1268</v>
      </c>
      <c r="C20" s="3318"/>
      <c r="D20" s="3318"/>
      <c r="E20" s="3318"/>
      <c r="F20" s="3318"/>
      <c r="G20" s="3318"/>
      <c r="H20" s="3318"/>
      <c r="I20" s="1700"/>
      <c r="K20" s="753"/>
      <c r="L20" s="2550"/>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row>
    <row r="21" spans="1:35" ht="26.55" customHeight="1">
      <c r="B21" s="3317"/>
      <c r="C21" s="3318"/>
      <c r="D21" s="3318"/>
      <c r="E21" s="3318"/>
      <c r="F21" s="3318"/>
      <c r="G21" s="3318"/>
      <c r="H21" s="3318"/>
      <c r="K21" s="753"/>
      <c r="L21" s="178"/>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row>
    <row r="22" spans="1:35" ht="47.55" customHeight="1">
      <c r="B22" s="3331" t="s">
        <v>1270</v>
      </c>
      <c r="C22" s="3332"/>
      <c r="D22" s="3329">
        <v>44927</v>
      </c>
      <c r="E22" s="3329"/>
      <c r="F22" s="2597" t="s">
        <v>157</v>
      </c>
      <c r="G22" s="3330">
        <f>D22+364</f>
        <v>45291</v>
      </c>
      <c r="H22" s="3330"/>
      <c r="K22" s="753"/>
      <c r="L22" s="106"/>
      <c r="M22" s="2628"/>
      <c r="N22" s="615"/>
      <c r="O22" s="615"/>
      <c r="P22" s="615"/>
      <c r="Q22" s="615"/>
      <c r="R22" s="615"/>
      <c r="S22" s="615"/>
      <c r="T22" s="615"/>
      <c r="U22" s="615"/>
      <c r="V22" s="615"/>
      <c r="W22" s="615"/>
      <c r="X22" s="615"/>
      <c r="Y22" s="615"/>
      <c r="Z22" s="615"/>
      <c r="AA22" s="615"/>
      <c r="AB22" s="615"/>
      <c r="AC22" s="615"/>
      <c r="AD22" s="615"/>
      <c r="AE22" s="615"/>
      <c r="AF22" s="615"/>
      <c r="AG22" s="615"/>
      <c r="AH22" s="615"/>
      <c r="AI22" s="615"/>
    </row>
    <row r="23" spans="1:35" ht="21.45" customHeight="1">
      <c r="B23" s="1697"/>
      <c r="C23" s="395"/>
      <c r="D23" s="395"/>
      <c r="E23" s="395"/>
      <c r="F23" s="395"/>
      <c r="G23" s="2593"/>
      <c r="H23" s="2593"/>
      <c r="I23" s="2596"/>
      <c r="J23" s="395"/>
      <c r="K23" s="2890">
        <f>IF(Start!O20&gt;0,(52-'2a Chefeingaben'!O12)/4.33,12)</f>
        <v>12</v>
      </c>
      <c r="L23" s="106"/>
      <c r="M23" s="615"/>
      <c r="N23" s="615"/>
      <c r="O23" s="615"/>
      <c r="P23" s="615"/>
      <c r="Q23" s="615"/>
      <c r="R23" s="615"/>
      <c r="S23" s="615"/>
      <c r="T23" s="615"/>
      <c r="U23" s="615"/>
      <c r="V23" s="615"/>
      <c r="W23" s="615"/>
      <c r="X23" s="615"/>
      <c r="Y23" s="615"/>
      <c r="Z23" s="615"/>
      <c r="AA23" s="615"/>
      <c r="AB23" s="615"/>
      <c r="AC23" s="615"/>
      <c r="AD23" s="615"/>
      <c r="AE23" s="615"/>
      <c r="AF23" s="615"/>
      <c r="AG23" s="615"/>
      <c r="AH23" s="615"/>
      <c r="AI23" s="615"/>
    </row>
    <row r="24" spans="1:35" ht="24.6" customHeight="1">
      <c r="B24" s="3316" t="str">
        <f>IF(Start!O20&gt;0,"Solo-Selbstständige:    unten nichts ändern","")</f>
        <v/>
      </c>
      <c r="C24" s="3316"/>
      <c r="D24" s="3316"/>
      <c r="E24" s="3316"/>
      <c r="F24" s="3316"/>
      <c r="G24" s="3316"/>
      <c r="H24" s="385">
        <f>D22+363</f>
        <v>45290</v>
      </c>
      <c r="I24" s="385"/>
      <c r="J24" s="385"/>
      <c r="K24" s="385"/>
      <c r="L24" s="384"/>
      <c r="M24" s="615"/>
      <c r="N24" s="615"/>
      <c r="O24" s="615"/>
      <c r="P24" s="615"/>
      <c r="Q24" s="615"/>
      <c r="R24" s="615"/>
      <c r="S24" s="615"/>
      <c r="T24" s="615"/>
      <c r="U24" s="615"/>
      <c r="V24" s="615"/>
      <c r="W24" s="615"/>
      <c r="X24" s="615"/>
      <c r="Y24" s="615"/>
      <c r="Z24" s="615"/>
      <c r="AA24" s="615"/>
      <c r="AB24" s="615"/>
      <c r="AC24" s="615"/>
      <c r="AD24" s="615"/>
      <c r="AE24" s="615"/>
      <c r="AF24" s="615"/>
      <c r="AG24" s="615"/>
      <c r="AH24" s="615"/>
      <c r="AI24" s="615"/>
    </row>
    <row r="25" spans="1:35" s="406" customFormat="1" ht="24" customHeight="1">
      <c r="A25" s="34"/>
      <c r="B25" s="1844">
        <f>IF(B26="",'2a Chefeingaben'!C16,IF(B26&gt;0,'2a Chefeingaben'!C16,"bitte keine 0 eingeben"))</f>
        <v>44927</v>
      </c>
      <c r="C25" s="1844">
        <f>IF(C26="",'2a Chefeingaben'!D16,IF(C26&gt;0,'2a Chefeingaben'!D16,"bitte keine 0 eingeben"))</f>
        <v>44959</v>
      </c>
      <c r="D25" s="1844">
        <f>IF(D26="",'2a Chefeingaben'!E16,IF(D26&gt;0,'2a Chefeingaben'!E16,"bitte keine 0 eingeben"))</f>
        <v>44991</v>
      </c>
      <c r="E25" s="1844">
        <f>IF(E26="",'2a Chefeingaben'!F16,IF(E26&gt;0,'2a Chefeingaben'!F16,"bitte keine 0 eingeben"))</f>
        <v>45023</v>
      </c>
      <c r="F25" s="1844">
        <f>IF(F26="",'2a Chefeingaben'!G16,IF(F26&gt;0,'2a Chefeingaben'!G16,"bitte keine 0 eingeben"))</f>
        <v>45055</v>
      </c>
      <c r="G25" s="1844">
        <f>IF(G26="",'2a Chefeingaben'!H16,IF(G26&gt;0,'2a Chefeingaben'!H16,"bitte keine 0 eingeben"))</f>
        <v>45087</v>
      </c>
      <c r="H25" s="3271" t="s">
        <v>1269</v>
      </c>
      <c r="I25" s="3272"/>
      <c r="J25" s="3275" t="s">
        <v>972</v>
      </c>
      <c r="K25" s="3273">
        <f>IF(Start!O20&gt;0,G29+F29-(12-K23),G29+F29)</f>
        <v>12</v>
      </c>
      <c r="L25" s="384"/>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row>
    <row r="26" spans="1:35" ht="18" customHeight="1">
      <c r="B26" s="1620">
        <v>1</v>
      </c>
      <c r="C26" s="1620">
        <v>1</v>
      </c>
      <c r="D26" s="1620">
        <v>1</v>
      </c>
      <c r="E26" s="1620">
        <v>1</v>
      </c>
      <c r="F26" s="1620">
        <v>1</v>
      </c>
      <c r="G26" s="2592">
        <v>1</v>
      </c>
      <c r="H26" s="3268" t="s">
        <v>1271</v>
      </c>
      <c r="I26" s="3269"/>
      <c r="J26" s="3276"/>
      <c r="K26" s="3274"/>
      <c r="L26" s="384"/>
      <c r="M26" s="615"/>
      <c r="N26" s="615"/>
      <c r="O26" s="615"/>
      <c r="P26" s="615"/>
      <c r="Q26" s="615"/>
      <c r="R26" s="615"/>
      <c r="S26" s="615"/>
      <c r="T26" s="615"/>
      <c r="U26" s="615"/>
      <c r="V26" s="615"/>
      <c r="W26" s="615"/>
      <c r="X26" s="615"/>
      <c r="Y26" s="615"/>
      <c r="Z26" s="615"/>
      <c r="AA26" s="615"/>
      <c r="AB26" s="615"/>
      <c r="AC26" s="615"/>
      <c r="AD26" s="615"/>
      <c r="AE26" s="615"/>
      <c r="AF26" s="615"/>
      <c r="AG26" s="615"/>
      <c r="AH26" s="615"/>
      <c r="AI26" s="615"/>
    </row>
    <row r="27" spans="1:35" ht="18.75" customHeight="1">
      <c r="A27" s="174"/>
      <c r="B27" s="1844">
        <f>IF(B28="",'2a Chefeingaben'!I16,IF(B28&gt;0,'2a Chefeingaben'!I16,"bitte keine 0 eingeben"))</f>
        <v>45119</v>
      </c>
      <c r="C27" s="1844">
        <f>IF(C28="",'2a Chefeingaben'!J16,IF(C28&gt;0,'2a Chefeingaben'!J16,"bitte keine 0 eingeben"))</f>
        <v>45151</v>
      </c>
      <c r="D27" s="1844">
        <f>IF(D28="",'2a Chefeingaben'!K16,IF(D28&gt;0,'2a Chefeingaben'!K16,"bitte keine 0 eingeben"))</f>
        <v>45183</v>
      </c>
      <c r="E27" s="1844">
        <f>IF(E28="",'2a Chefeingaben'!L16,IF(E28&gt;0,'2a Chefeingaben'!L16,"bitte keine 0 eingeben"))</f>
        <v>45215</v>
      </c>
      <c r="F27" s="1844">
        <f>IF(F28="",'2a Chefeingaben'!M16,IF(F28&gt;0,'2a Chefeingaben'!M16,"bitte keine 0 eingeben"))</f>
        <v>45247</v>
      </c>
      <c r="G27" s="1844">
        <f>IF(G28="",'2a Chefeingaben'!N16,IF(G28&gt;0,'2a Chefeingaben'!N16,"bitte keine 0 eingeben"))</f>
        <v>45279</v>
      </c>
      <c r="H27" s="3268"/>
      <c r="I27" s="3269"/>
      <c r="J27" s="1842" t="s">
        <v>1053</v>
      </c>
      <c r="K27" s="1843">
        <f>IF(Start!O20&gt;0,ROUND(K25*'2a Chefeingaben'!J19*4.33,0)*'2a Chefeingaben'!Z39/100,ROUND(K25*J41*4.33,0)*'2a Chefeingaben'!Z39/100)</f>
        <v>300.00000000000006</v>
      </c>
      <c r="L27" s="384"/>
      <c r="M27" s="615"/>
      <c r="N27" s="615"/>
      <c r="O27" s="615"/>
      <c r="P27" s="615"/>
      <c r="Q27" s="615"/>
      <c r="R27" s="615"/>
      <c r="S27" s="615"/>
      <c r="T27" s="615"/>
      <c r="U27" s="615"/>
      <c r="V27" s="615"/>
      <c r="W27" s="615"/>
      <c r="X27" s="615"/>
      <c r="Y27" s="615"/>
      <c r="Z27" s="615"/>
      <c r="AA27" s="615"/>
      <c r="AB27" s="615"/>
      <c r="AC27" s="615"/>
      <c r="AD27" s="615"/>
      <c r="AE27" s="615"/>
      <c r="AF27" s="615"/>
      <c r="AG27" s="615"/>
      <c r="AH27" s="615"/>
      <c r="AI27" s="615"/>
    </row>
    <row r="28" spans="1:35" ht="22.5" customHeight="1">
      <c r="A28" s="3"/>
      <c r="B28" s="1620">
        <v>1</v>
      </c>
      <c r="C28" s="1620">
        <v>1</v>
      </c>
      <c r="D28" s="1620">
        <v>1</v>
      </c>
      <c r="E28" s="1620">
        <v>1</v>
      </c>
      <c r="F28" s="1620">
        <v>1</v>
      </c>
      <c r="G28" s="2592">
        <v>1</v>
      </c>
      <c r="H28" s="3268"/>
      <c r="I28" s="3269"/>
      <c r="J28" s="3284" t="str">
        <f>IF(SUM(K25,I31,K31)=12,"","Sie planen keine 12 Öffnungsmonate. Bitte geben Sie links die Zeit ein für")</f>
        <v/>
      </c>
      <c r="K28" s="3284"/>
      <c r="L28" s="3267" t="str">
        <f>IF(J28="","","!")</f>
        <v/>
      </c>
      <c r="M28" s="615"/>
      <c r="N28" s="615"/>
      <c r="O28" s="615"/>
      <c r="P28" s="615"/>
      <c r="Q28" s="615"/>
      <c r="R28" s="615"/>
      <c r="S28" s="615"/>
      <c r="T28" s="615"/>
      <c r="U28" s="615"/>
      <c r="V28" s="615"/>
      <c r="W28" s="615"/>
      <c r="X28" s="615"/>
      <c r="Y28" s="615"/>
      <c r="Z28" s="615"/>
      <c r="AA28" s="615"/>
      <c r="AB28" s="615"/>
      <c r="AC28" s="615"/>
      <c r="AD28" s="615"/>
      <c r="AE28" s="615"/>
      <c r="AF28" s="615"/>
      <c r="AG28" s="615"/>
      <c r="AH28" s="615"/>
      <c r="AI28" s="615"/>
    </row>
    <row r="29" spans="1:35" ht="22.5" customHeight="1" thickBot="1">
      <c r="B29" s="384"/>
      <c r="C29" s="384"/>
      <c r="D29" s="384"/>
      <c r="E29" s="645"/>
      <c r="F29" s="615">
        <f>SUM(B26:G26)</f>
        <v>6</v>
      </c>
      <c r="G29" s="1621">
        <f>SUM(B28:G28)</f>
        <v>6</v>
      </c>
      <c r="H29" s="3268"/>
      <c r="I29" s="3270"/>
      <c r="J29" s="3284"/>
      <c r="K29" s="3284"/>
      <c r="L29" s="3267"/>
      <c r="M29" s="615"/>
      <c r="N29" s="615"/>
      <c r="O29" s="615"/>
      <c r="P29" s="615"/>
      <c r="Q29" s="615"/>
      <c r="R29" s="615"/>
      <c r="S29" s="615"/>
      <c r="T29" s="615"/>
      <c r="U29" s="615"/>
      <c r="V29" s="615"/>
      <c r="W29" s="615"/>
      <c r="X29" s="615"/>
      <c r="Y29" s="615"/>
      <c r="Z29" s="615"/>
      <c r="AA29" s="615"/>
      <c r="AB29" s="615"/>
      <c r="AC29" s="615"/>
      <c r="AD29" s="615"/>
      <c r="AE29" s="615"/>
      <c r="AF29" s="615"/>
      <c r="AG29" s="615"/>
      <c r="AH29" s="615"/>
      <c r="AI29" s="615"/>
    </row>
    <row r="30" spans="1:35" ht="22.5" customHeight="1">
      <c r="A30" s="3266" t="str">
        <f>IF(Start!O20&gt;0,"!","")</f>
        <v/>
      </c>
      <c r="B30" s="3319" t="str">
        <f>IF(Start!O20&gt;0,"Als Solo-Selbstständige/r tragen Sie hier nicht ein, Ihre Arbeitsstunden werden übernommen","Tragen Sie bitte hier rechts die Arbeitsstunden pro Woche einer Vollzeitkraft nach Tarif ein, z.B.  38, 39,5 oder 40 Std.")</f>
        <v>Tragen Sie bitte hier rechts die Arbeitsstunden pro Woche einer Vollzeitkraft nach Tarif ein, z.B.  38, 39,5 oder 40 Std.</v>
      </c>
      <c r="C30" s="3320"/>
      <c r="D30" s="3320"/>
      <c r="E30" s="3320"/>
      <c r="F30" s="3323" t="str">
        <f>IF(Start!O20&gt;0,"Keine Eingabe für Solo-Selbstständige",IF(G30="","Ohne Eingabe werden 39 Std. angenommen",""))</f>
        <v/>
      </c>
      <c r="G30" s="3280">
        <v>40</v>
      </c>
      <c r="H30" s="3282" t="str">
        <f>IF(Start!O20&gt;0,"",IF(G30="","ff",""))</f>
        <v/>
      </c>
      <c r="I30" s="2512"/>
      <c r="J30" s="1841" t="s">
        <v>1051</v>
      </c>
      <c r="K30" s="1840" t="s">
        <v>1052</v>
      </c>
      <c r="L30" s="615">
        <f>IF(Start!O20&gt;0,'2a Chefeingaben'!I19,IF(G30="",39,IF(I36&lt;G30,I36,G30)))</f>
        <v>40</v>
      </c>
      <c r="M30" s="615"/>
      <c r="N30" s="615"/>
      <c r="O30" s="615"/>
      <c r="P30" s="615"/>
      <c r="Q30" s="615"/>
      <c r="R30" s="615"/>
      <c r="S30" s="615"/>
      <c r="T30" s="615"/>
      <c r="U30" s="615"/>
      <c r="V30" s="615"/>
      <c r="W30" s="615"/>
      <c r="X30" s="615"/>
      <c r="Y30" s="615"/>
      <c r="Z30" s="615"/>
      <c r="AA30" s="615"/>
      <c r="AB30" s="615"/>
      <c r="AC30" s="615"/>
      <c r="AD30" s="615"/>
      <c r="AE30" s="615"/>
      <c r="AF30" s="615"/>
      <c r="AG30" s="615"/>
      <c r="AH30" s="615"/>
      <c r="AI30" s="615"/>
    </row>
    <row r="31" spans="1:35" ht="28.05" customHeight="1" thickBot="1">
      <c r="A31" s="3266"/>
      <c r="B31" s="3321"/>
      <c r="C31" s="3322"/>
      <c r="D31" s="3322"/>
      <c r="E31" s="3322"/>
      <c r="F31" s="3324"/>
      <c r="G31" s="3281"/>
      <c r="H31" s="3283"/>
      <c r="I31" s="1819">
        <f>SUM(J31,K31)+(12-K23)</f>
        <v>0</v>
      </c>
      <c r="J31" s="1620"/>
      <c r="K31" s="1620"/>
      <c r="M31" s="615"/>
      <c r="N31" s="615"/>
      <c r="O31" s="615"/>
      <c r="P31" s="615"/>
      <c r="Q31" s="615"/>
      <c r="R31" s="615"/>
      <c r="S31" s="615"/>
      <c r="T31" s="615"/>
      <c r="U31" s="615"/>
      <c r="V31" s="615"/>
      <c r="W31" s="615"/>
      <c r="X31" s="615"/>
      <c r="Y31" s="615"/>
      <c r="Z31" s="615"/>
      <c r="AA31" s="615"/>
      <c r="AB31" s="615"/>
      <c r="AC31" s="615"/>
      <c r="AD31" s="615"/>
      <c r="AE31" s="615"/>
      <c r="AF31" s="615"/>
      <c r="AG31" s="615"/>
      <c r="AH31" s="615"/>
      <c r="AI31" s="615"/>
    </row>
    <row r="32" spans="1:35" ht="30" customHeight="1">
      <c r="B32" s="3277" t="s">
        <v>1282</v>
      </c>
      <c r="C32" s="3278"/>
      <c r="D32" s="3278"/>
      <c r="E32" s="3278"/>
      <c r="F32" s="3278"/>
      <c r="G32" s="3278"/>
      <c r="H32" s="3279"/>
      <c r="I32" s="2513"/>
      <c r="J32" s="3287" t="s">
        <v>1048</v>
      </c>
      <c r="K32" s="3273">
        <f>IF(Start!O20&gt;0,K27,IF(K31&gt;0,L43,K45))</f>
        <v>216.49134000000001</v>
      </c>
      <c r="L32" s="384"/>
      <c r="M32" s="615"/>
      <c r="N32" s="615"/>
      <c r="O32" s="615"/>
      <c r="P32" s="615"/>
      <c r="Q32" s="615"/>
      <c r="R32" s="615"/>
      <c r="S32" s="615"/>
      <c r="T32" s="615"/>
      <c r="U32" s="615"/>
      <c r="V32" s="615"/>
      <c r="W32" s="615"/>
      <c r="X32" s="615"/>
      <c r="Y32" s="615"/>
      <c r="Z32" s="615"/>
      <c r="AA32" s="615"/>
      <c r="AB32" s="615"/>
      <c r="AC32" s="615"/>
      <c r="AD32" s="615"/>
      <c r="AE32" s="615"/>
      <c r="AF32" s="615"/>
      <c r="AG32" s="615"/>
      <c r="AH32" s="615"/>
      <c r="AI32" s="615"/>
    </row>
    <row r="33" spans="1:35" ht="30" customHeight="1">
      <c r="A33" s="3266"/>
      <c r="B33" s="3325" t="s">
        <v>1283</v>
      </c>
      <c r="C33" s="3326"/>
      <c r="D33" s="3326"/>
      <c r="E33" s="3326"/>
      <c r="F33" s="3326"/>
      <c r="G33" s="3326"/>
      <c r="H33" s="3326"/>
      <c r="I33" s="2511"/>
      <c r="J33" s="3288"/>
      <c r="K33" s="3274"/>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row>
    <row r="34" spans="1:35" ht="30" customHeight="1" thickBot="1">
      <c r="A34" s="3266"/>
      <c r="B34" s="3325"/>
      <c r="C34" s="3326"/>
      <c r="D34" s="3326"/>
      <c r="E34" s="3326"/>
      <c r="F34" s="3326"/>
      <c r="G34" s="3326"/>
      <c r="H34" s="3326"/>
      <c r="I34" s="2514"/>
      <c r="J34" s="3285" t="s">
        <v>1049</v>
      </c>
      <c r="K34" s="3285"/>
      <c r="L34" s="615"/>
      <c r="M34" s="615"/>
      <c r="N34" s="615"/>
      <c r="O34" s="615"/>
      <c r="P34" s="615"/>
      <c r="Q34" s="615"/>
      <c r="R34" s="615"/>
      <c r="S34" s="615"/>
      <c r="T34" s="615"/>
      <c r="U34" s="615"/>
      <c r="V34" s="615"/>
      <c r="W34" s="615"/>
      <c r="X34" s="615"/>
    </row>
    <row r="35" spans="1:35" ht="20.55" customHeight="1">
      <c r="A35" s="1645"/>
      <c r="B35" s="2508"/>
      <c r="C35" s="76" t="str">
        <f>'4 Eingabe Friseure'!AB6</f>
        <v>Montag</v>
      </c>
      <c r="D35" s="76" t="str">
        <f>'4 Eingabe Friseure'!AC6</f>
        <v>Dienstag</v>
      </c>
      <c r="E35" s="76" t="str">
        <f>'4 Eingabe Friseure'!AD6</f>
        <v>Mittwoch</v>
      </c>
      <c r="F35" s="76" t="str">
        <f>'4 Eingabe Friseure'!AE6</f>
        <v>Donnerstag</v>
      </c>
      <c r="G35" s="76" t="str">
        <f>'4 Eingabe Friseure'!AF6</f>
        <v>Freitag</v>
      </c>
      <c r="H35" s="76" t="str">
        <f>'4 Eingabe Friseure'!AG6</f>
        <v>Samstag</v>
      </c>
      <c r="I35" s="2515">
        <f>IF(Start!O20&gt;0,COUNTIF(B52:G52,"&gt;0"),J41)</f>
        <v>6</v>
      </c>
      <c r="J35" s="3286"/>
      <c r="K35" s="3286"/>
      <c r="M35" s="615"/>
      <c r="N35" s="615"/>
      <c r="O35" s="615"/>
      <c r="P35" s="615"/>
      <c r="Q35" s="615"/>
      <c r="R35" s="615"/>
      <c r="S35" s="615"/>
      <c r="T35" s="615"/>
      <c r="U35" s="615"/>
      <c r="V35" s="615"/>
      <c r="W35" s="615"/>
      <c r="X35" s="615"/>
    </row>
    <row r="36" spans="1:35" ht="22.05" customHeight="1">
      <c r="A36" s="1645">
        <f>COUNTIF(C37:H37,"x")</f>
        <v>0</v>
      </c>
      <c r="B36" s="2508" t="s">
        <v>1071</v>
      </c>
      <c r="C36" s="2500">
        <v>12</v>
      </c>
      <c r="D36" s="2500">
        <v>12</v>
      </c>
      <c r="E36" s="2500">
        <v>12</v>
      </c>
      <c r="F36" s="2500">
        <v>12</v>
      </c>
      <c r="G36" s="2500">
        <v>12</v>
      </c>
      <c r="H36" s="2500">
        <v>9</v>
      </c>
      <c r="I36" s="2532">
        <f>SUM(C36:H36)</f>
        <v>69</v>
      </c>
      <c r="J36" s="2516">
        <f>COUNTIF(C36:H36,"&gt;0")</f>
        <v>6</v>
      </c>
      <c r="M36" s="615"/>
      <c r="N36" s="615"/>
      <c r="O36" s="615"/>
      <c r="P36" s="615"/>
      <c r="Q36" s="615"/>
      <c r="R36" s="615"/>
      <c r="S36" s="615"/>
      <c r="T36" s="615"/>
      <c r="U36" s="615"/>
      <c r="V36" s="615"/>
      <c r="W36" s="615"/>
      <c r="X36" s="615"/>
    </row>
    <row r="37" spans="1:35" ht="22.05" customHeight="1">
      <c r="B37" s="2508" t="s">
        <v>1072</v>
      </c>
      <c r="C37" s="2500"/>
      <c r="D37" s="2500"/>
      <c r="E37" s="2500"/>
      <c r="F37" s="2500"/>
      <c r="G37" s="2500"/>
      <c r="H37" s="2500"/>
      <c r="I37" s="2532">
        <f>SUM(C37:H37)</f>
        <v>0</v>
      </c>
      <c r="J37" s="2516">
        <f>COUNTIF(C37:H37,"&gt;0")</f>
        <v>0</v>
      </c>
      <c r="M37" s="615"/>
      <c r="N37" s="615"/>
      <c r="O37" s="615"/>
      <c r="P37" s="615"/>
      <c r="Q37" s="615"/>
      <c r="R37" s="615"/>
      <c r="S37" s="615"/>
      <c r="T37" s="615"/>
      <c r="U37" s="615"/>
      <c r="V37" s="615"/>
      <c r="W37" s="615"/>
      <c r="X37" s="615"/>
    </row>
    <row r="38" spans="1:35" ht="22.05" customHeight="1">
      <c r="B38" s="2508" t="s">
        <v>1073</v>
      </c>
      <c r="C38" s="2500"/>
      <c r="D38" s="2500"/>
      <c r="E38" s="2500"/>
      <c r="F38" s="2500"/>
      <c r="G38" s="2500"/>
      <c r="H38" s="2500"/>
      <c r="I38" s="2532">
        <f>SUM(C38:H38)</f>
        <v>0</v>
      </c>
      <c r="J38" s="2516">
        <f>COUNTIF(C38:H38,"&gt;0")</f>
        <v>0</v>
      </c>
      <c r="M38" s="615"/>
      <c r="N38" s="615"/>
      <c r="O38" s="615"/>
      <c r="P38" s="615"/>
      <c r="Q38" s="615"/>
      <c r="R38" s="615"/>
      <c r="S38" s="615"/>
      <c r="T38" s="615"/>
      <c r="U38" s="615"/>
      <c r="V38" s="615"/>
      <c r="W38" s="615"/>
      <c r="X38" s="615"/>
    </row>
    <row r="39" spans="1:35" ht="22.05" customHeight="1" thickBot="1">
      <c r="A39" s="406"/>
      <c r="B39" s="2509" t="s">
        <v>1244</v>
      </c>
      <c r="C39" s="2510"/>
      <c r="D39" s="2510"/>
      <c r="E39" s="2510"/>
      <c r="F39" s="2510"/>
      <c r="G39" s="2510"/>
      <c r="H39" s="2510"/>
      <c r="I39" s="2533">
        <f>SUM(C39:H39)</f>
        <v>0</v>
      </c>
      <c r="J39" s="2516">
        <f>COUNTIF(C39:H39,"&gt;0")</f>
        <v>0</v>
      </c>
      <c r="K39" s="1568"/>
      <c r="M39" s="615"/>
      <c r="N39" s="615"/>
      <c r="O39" s="615"/>
      <c r="P39" s="615"/>
      <c r="Q39" s="615"/>
      <c r="R39" s="615"/>
      <c r="S39" s="615"/>
      <c r="T39" s="615"/>
      <c r="U39" s="615"/>
      <c r="V39" s="615"/>
      <c r="W39" s="615"/>
      <c r="X39" s="615"/>
    </row>
    <row r="40" spans="1:35" ht="19.5" customHeight="1">
      <c r="C40" s="920">
        <f t="shared" ref="C40:H40" si="0">(C41/$I40)</f>
        <v>12</v>
      </c>
      <c r="D40" s="920">
        <f t="shared" si="0"/>
        <v>12</v>
      </c>
      <c r="E40" s="920">
        <f t="shared" si="0"/>
        <v>12</v>
      </c>
      <c r="F40" s="920">
        <f t="shared" si="0"/>
        <v>12</v>
      </c>
      <c r="G40" s="920">
        <f t="shared" si="0"/>
        <v>12</v>
      </c>
      <c r="H40" s="920">
        <f t="shared" si="0"/>
        <v>9</v>
      </c>
      <c r="I40" s="920">
        <f>COUNTIF(I36:I39,"&gt;0")</f>
        <v>1</v>
      </c>
      <c r="J40" s="920">
        <f>COUNTIF(J36:J39,"&gt;0")</f>
        <v>1</v>
      </c>
      <c r="K40" s="2518"/>
      <c r="L40" s="615"/>
      <c r="M40" s="615"/>
      <c r="N40" s="615"/>
      <c r="O40" s="615"/>
      <c r="P40" s="615"/>
      <c r="Q40" s="615"/>
      <c r="R40" s="615"/>
      <c r="S40" s="615"/>
      <c r="T40" s="615"/>
      <c r="U40" s="615"/>
      <c r="V40" s="615"/>
      <c r="W40" s="615"/>
      <c r="X40" s="615"/>
    </row>
    <row r="41" spans="1:35">
      <c r="C41" s="2517">
        <f t="shared" ref="C41:H41" si="1">SUM(C36:C39)</f>
        <v>12</v>
      </c>
      <c r="D41" s="2517">
        <f t="shared" si="1"/>
        <v>12</v>
      </c>
      <c r="E41" s="2517">
        <f t="shared" si="1"/>
        <v>12</v>
      </c>
      <c r="F41" s="2517">
        <f t="shared" si="1"/>
        <v>12</v>
      </c>
      <c r="G41" s="2517">
        <f t="shared" si="1"/>
        <v>12</v>
      </c>
      <c r="H41" s="2517">
        <f t="shared" si="1"/>
        <v>9</v>
      </c>
      <c r="I41" s="2517">
        <f>SUM(I36:I39)/I40</f>
        <v>69</v>
      </c>
      <c r="J41" s="2517">
        <f>SUM(J36:J39)/J40</f>
        <v>6</v>
      </c>
      <c r="K41" s="2516">
        <f>IF(J41&gt;5,5,J41)</f>
        <v>5</v>
      </c>
      <c r="L41" s="615"/>
      <c r="M41" s="615"/>
      <c r="N41" s="615"/>
      <c r="O41" s="615"/>
      <c r="P41" s="615"/>
      <c r="Q41" s="615"/>
      <c r="R41" s="615"/>
      <c r="S41" s="615"/>
      <c r="T41" s="615"/>
      <c r="U41" s="615"/>
      <c r="V41" s="615"/>
      <c r="W41" s="615"/>
      <c r="X41" s="615"/>
    </row>
    <row r="42" spans="1:35">
      <c r="C42" s="920"/>
      <c r="D42" s="920"/>
      <c r="E42" s="920"/>
      <c r="F42" s="920"/>
      <c r="G42" s="920"/>
      <c r="H42" s="920"/>
      <c r="I42" s="615"/>
      <c r="J42" s="2516"/>
      <c r="K42" s="2516"/>
      <c r="L42" s="615"/>
      <c r="M42" s="615"/>
      <c r="N42" s="615"/>
      <c r="O42" s="615"/>
      <c r="P42" s="615"/>
      <c r="Q42" s="615"/>
      <c r="R42" s="615"/>
      <c r="S42" s="615"/>
      <c r="T42" s="615"/>
      <c r="U42" s="615"/>
      <c r="V42" s="615"/>
      <c r="W42" s="615"/>
      <c r="X42" s="615"/>
    </row>
    <row r="43" spans="1:35" ht="26.4">
      <c r="C43" s="615"/>
      <c r="D43" s="615"/>
      <c r="E43" s="615"/>
      <c r="F43" s="615"/>
      <c r="G43" s="615"/>
      <c r="H43" s="615"/>
      <c r="I43" s="2516"/>
      <c r="J43" s="2519" t="s">
        <v>1245</v>
      </c>
      <c r="K43" s="2520" t="b">
        <f>IF(J31&gt;0,ROUND($K$25*$J$41*4.33,2))</f>
        <v>0</v>
      </c>
      <c r="L43" s="2598">
        <f>IF(K31&gt;0,ROUND($K$25*K41*4.33,2)*#REF!/100,0)</f>
        <v>0</v>
      </c>
      <c r="M43" s="615"/>
      <c r="N43" s="615"/>
      <c r="O43" s="615"/>
      <c r="P43" s="615"/>
      <c r="Q43" s="615"/>
      <c r="R43" s="615"/>
      <c r="S43" s="615"/>
      <c r="T43" s="615"/>
      <c r="U43" s="615"/>
      <c r="V43" s="615"/>
      <c r="W43" s="615"/>
      <c r="X43" s="615"/>
    </row>
    <row r="44" spans="1:35">
      <c r="C44" s="615"/>
      <c r="D44" s="615"/>
      <c r="E44" s="615"/>
      <c r="F44" s="615"/>
      <c r="G44" s="615"/>
      <c r="H44" s="615"/>
      <c r="I44" s="615"/>
      <c r="J44" s="615" t="s">
        <v>1246</v>
      </c>
      <c r="K44" s="2520">
        <f>ROUND(12*K41*4.33,2)*'2a Chefeingaben'!AC18/100</f>
        <v>216.49134000000001</v>
      </c>
      <c r="L44" s="1645"/>
      <c r="M44" s="615"/>
      <c r="N44" s="615"/>
      <c r="O44" s="615"/>
      <c r="P44" s="615"/>
      <c r="Q44" s="615"/>
      <c r="R44" s="615"/>
      <c r="S44" s="615"/>
      <c r="T44" s="615"/>
      <c r="U44" s="615"/>
      <c r="V44" s="615"/>
      <c r="W44" s="615"/>
      <c r="X44" s="615"/>
    </row>
    <row r="45" spans="1:35">
      <c r="C45" s="615"/>
      <c r="D45" s="615"/>
      <c r="E45" s="615"/>
      <c r="F45" s="615"/>
      <c r="G45" s="615"/>
      <c r="H45" s="615"/>
      <c r="I45" s="1266"/>
      <c r="J45" s="1266"/>
      <c r="K45" s="2502">
        <f>IF(K27&lt;K44,K43,K44)</f>
        <v>216.49134000000001</v>
      </c>
      <c r="L45" s="615"/>
    </row>
    <row r="46" spans="1:35">
      <c r="C46" s="615"/>
      <c r="D46" s="615"/>
      <c r="E46" s="615"/>
      <c r="F46" s="615"/>
      <c r="G46" s="615"/>
      <c r="H46" s="615"/>
      <c r="I46" s="1619"/>
      <c r="J46" s="1619"/>
      <c r="K46" s="1619"/>
      <c r="L46" s="615"/>
    </row>
    <row r="47" spans="1:35">
      <c r="I47" s="1266"/>
      <c r="J47" s="1266"/>
      <c r="K47" s="1266"/>
    </row>
    <row r="48" spans="1:35">
      <c r="C48" s="1643">
        <f>(C14+1)</f>
        <v>1.2</v>
      </c>
      <c r="D48" s="1643">
        <f>(D14+1)</f>
        <v>1.304</v>
      </c>
      <c r="E48" s="1643">
        <f>(F15+1)</f>
        <v>521</v>
      </c>
      <c r="F48" s="1643"/>
    </row>
    <row r="49" spans="1:8">
      <c r="C49" s="1643">
        <f>(C15+1)</f>
        <v>1.19</v>
      </c>
      <c r="D49" s="1643">
        <f>(D15+1)</f>
        <v>1.25</v>
      </c>
      <c r="E49" s="1643"/>
      <c r="F49" s="1643">
        <f>(G15+1)</f>
        <v>1.3</v>
      </c>
    </row>
    <row r="50" spans="1:8">
      <c r="C50" s="3305" t="s">
        <v>299</v>
      </c>
      <c r="D50" s="3306"/>
      <c r="E50" s="3307">
        <f ca="1">'1 Erklärung'!AA1</f>
        <v>45300</v>
      </c>
      <c r="F50" s="3308"/>
    </row>
    <row r="52" spans="1:8">
      <c r="A52" s="2521">
        <f>J41</f>
        <v>6</v>
      </c>
      <c r="B52" s="2522">
        <f>IF(Start!$O20&gt;0,'2a Chefeingaben'!C20,C40)</f>
        <v>12</v>
      </c>
      <c r="C52" s="2522">
        <f>IF(Start!$O20&gt;0,'2a Chefeingaben'!D20,D40)</f>
        <v>12</v>
      </c>
      <c r="D52" s="2522">
        <f>IF(Start!$O20&gt;0,'2a Chefeingaben'!E20,E40)</f>
        <v>12</v>
      </c>
      <c r="E52" s="2522">
        <f>IF(Start!$O20&gt;0,'2a Chefeingaben'!F20,F40)</f>
        <v>12</v>
      </c>
      <c r="F52" s="2522">
        <f>IF(Start!$O20&gt;0,'2a Chefeingaben'!G20,G40)</f>
        <v>12</v>
      </c>
      <c r="G52" s="2522">
        <f>IF(Start!$O20&gt;0,'2a Chefeingaben'!H20,H40)</f>
        <v>9</v>
      </c>
      <c r="H52" s="2522">
        <f>SUM(B52:G52)</f>
        <v>69</v>
      </c>
    </row>
  </sheetData>
  <sheetProtection algorithmName="SHA-512" hashValue="jB1nYucq/WdQJjDFZeEPIhesg4h6AUeI5xG/tUHMnMpGGYP6h80ZWG7f+W816yys0rsWFmuvS0r2QhmRIph9uw==" saltValue="QHiA2pxamvD6RmWLs2zqTQ==" spinCount="100000" sheet="1" objects="1" scenarios="1"/>
  <mergeCells count="55">
    <mergeCell ref="Q13:S15"/>
    <mergeCell ref="J12:M12"/>
    <mergeCell ref="N12:P12"/>
    <mergeCell ref="J13:O13"/>
    <mergeCell ref="J14:O15"/>
    <mergeCell ref="P14:P15"/>
    <mergeCell ref="B4:H4"/>
    <mergeCell ref="G5:H6"/>
    <mergeCell ref="K10:L10"/>
    <mergeCell ref="M10:N10"/>
    <mergeCell ref="J4:P4"/>
    <mergeCell ref="K8:L8"/>
    <mergeCell ref="M8:N8"/>
    <mergeCell ref="K9:L9"/>
    <mergeCell ref="M9:N9"/>
    <mergeCell ref="J5:P5"/>
    <mergeCell ref="J6:P6"/>
    <mergeCell ref="C50:D50"/>
    <mergeCell ref="E50:F50"/>
    <mergeCell ref="B2:H3"/>
    <mergeCell ref="G9:H10"/>
    <mergeCell ref="D9:E9"/>
    <mergeCell ref="D10:E10"/>
    <mergeCell ref="B24:G24"/>
    <mergeCell ref="B20:H21"/>
    <mergeCell ref="B30:E31"/>
    <mergeCell ref="F30:F31"/>
    <mergeCell ref="B33:H34"/>
    <mergeCell ref="B6:E6"/>
    <mergeCell ref="D22:E22"/>
    <mergeCell ref="G22:H22"/>
    <mergeCell ref="B22:C22"/>
    <mergeCell ref="B5:E5"/>
    <mergeCell ref="B18:C19"/>
    <mergeCell ref="B8:E8"/>
    <mergeCell ref="G18:H18"/>
    <mergeCell ref="G19:H19"/>
    <mergeCell ref="D18:F19"/>
    <mergeCell ref="C12:G12"/>
    <mergeCell ref="A12:B13"/>
    <mergeCell ref="D11:G11"/>
    <mergeCell ref="A30:A31"/>
    <mergeCell ref="A33:A34"/>
    <mergeCell ref="L28:L29"/>
    <mergeCell ref="H26:I29"/>
    <mergeCell ref="H25:I25"/>
    <mergeCell ref="K25:K26"/>
    <mergeCell ref="J25:J26"/>
    <mergeCell ref="K32:K33"/>
    <mergeCell ref="B32:H32"/>
    <mergeCell ref="G30:G31"/>
    <mergeCell ref="H30:H31"/>
    <mergeCell ref="J28:K29"/>
    <mergeCell ref="J34:K35"/>
    <mergeCell ref="J32:J33"/>
  </mergeCells>
  <phoneticPr fontId="4" type="noConversion"/>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71FD-2742-4A2D-8F57-4C47C4369D76}">
  <dimension ref="A1:KA73"/>
  <sheetViews>
    <sheetView zoomScale="110" zoomScaleNormal="110" workbookViewId="0">
      <pane ySplit="6" topLeftCell="A7" activePane="bottomLeft" state="frozen"/>
      <selection pane="bottomLeft" activeCell="C12" sqref="C12"/>
    </sheetView>
  </sheetViews>
  <sheetFormatPr baseColWidth="10" defaultColWidth="11" defaultRowHeight="15"/>
  <cols>
    <col min="1" max="1" width="9.77734375" style="36" customWidth="1"/>
    <col min="2" max="3" width="6.21875" style="36" customWidth="1"/>
    <col min="4" max="4" width="8" style="36" customWidth="1"/>
    <col min="5" max="9" width="6.77734375" style="3" customWidth="1"/>
    <col min="10" max="10" width="7.5546875" style="3" customWidth="1"/>
    <col min="11" max="14" width="6.77734375" style="3" customWidth="1"/>
    <col min="15" max="15" width="8" style="3" customWidth="1"/>
    <col min="16" max="25" width="6.77734375" style="3" customWidth="1"/>
    <col min="26" max="26" width="8" style="3" customWidth="1"/>
    <col min="27" max="36" width="6.77734375" style="3" customWidth="1"/>
    <col min="37" max="37" width="8" style="3" customWidth="1"/>
    <col min="38" max="47" width="6.77734375" style="3" customWidth="1"/>
    <col min="48" max="48" width="8" style="3" customWidth="1"/>
    <col min="49" max="58" width="6.77734375" style="3" customWidth="1"/>
    <col min="59" max="59" width="8" style="3" customWidth="1"/>
    <col min="60" max="69" width="6.77734375" style="3" customWidth="1"/>
    <col min="70" max="70" width="8" style="3" customWidth="1"/>
    <col min="71" max="80" width="6.77734375" style="3" customWidth="1"/>
    <col min="81" max="81" width="8" style="3" customWidth="1"/>
    <col min="82" max="91" width="6.77734375" style="3" customWidth="1"/>
    <col min="92" max="92" width="8" style="3" customWidth="1"/>
    <col min="93" max="102" width="6.77734375" style="3" customWidth="1"/>
    <col min="103" max="103" width="8" style="3" customWidth="1"/>
    <col min="104" max="113" width="6.77734375" style="3" customWidth="1"/>
    <col min="114" max="114" width="8" style="3" customWidth="1"/>
    <col min="115" max="124" width="6.77734375" style="3" customWidth="1"/>
    <col min="125" max="125" width="8" style="3" customWidth="1"/>
    <col min="126" max="133" width="6.77734375" style="3" customWidth="1"/>
    <col min="134" max="141" width="8.33203125" style="3" customWidth="1"/>
    <col min="142" max="142" width="7.33203125" style="3" customWidth="1"/>
    <col min="143" max="144" width="5.6640625" style="3" customWidth="1"/>
    <col min="145" max="145" width="6.77734375" style="3" customWidth="1"/>
    <col min="146" max="148" width="7.77734375" style="3" customWidth="1"/>
    <col min="149" max="154" width="11" style="3"/>
    <col min="155" max="286" width="2.44140625" style="267" customWidth="1"/>
    <col min="287" max="287" width="11" style="267"/>
    <col min="288" max="16384" width="11" style="3"/>
  </cols>
  <sheetData>
    <row r="1" spans="1:287" ht="30" customHeight="1">
      <c r="A1" s="1949" t="s">
        <v>1140</v>
      </c>
      <c r="B1" s="1949"/>
      <c r="C1" s="1949"/>
      <c r="K1" s="4353" t="s">
        <v>1144</v>
      </c>
      <c r="L1" s="4354"/>
      <c r="M1" s="4354"/>
      <c r="N1" s="4354"/>
      <c r="O1" s="4354"/>
      <c r="P1" s="4354"/>
      <c r="Q1" s="4354"/>
      <c r="R1" s="4354"/>
      <c r="S1" s="4355"/>
      <c r="AU1" s="1951"/>
      <c r="AV1" s="1951"/>
      <c r="AW1" s="1951"/>
      <c r="AX1" s="1951"/>
      <c r="AY1" s="1951"/>
      <c r="AZ1" s="1951"/>
      <c r="BA1" s="1951"/>
      <c r="BQ1" s="1951"/>
      <c r="BR1" s="1951"/>
      <c r="BS1" s="1951"/>
      <c r="BT1" s="1951"/>
      <c r="BU1" s="1951"/>
      <c r="BV1" s="1951"/>
      <c r="BW1" s="1951"/>
      <c r="CM1" s="1951"/>
      <c r="CN1" s="1951"/>
      <c r="CO1" s="1951"/>
      <c r="CP1" s="1951"/>
      <c r="CQ1" s="1951"/>
      <c r="CR1" s="1951"/>
      <c r="CS1" s="1951"/>
      <c r="DI1" s="1951"/>
      <c r="DJ1" s="1951"/>
      <c r="DK1" s="1951"/>
      <c r="DL1" s="1951"/>
      <c r="DM1" s="1951"/>
      <c r="DN1" s="1951"/>
      <c r="DO1" s="1951"/>
      <c r="ED1" s="1951"/>
      <c r="EE1" s="1951"/>
      <c r="EF1" s="1951"/>
      <c r="EG1" s="1951"/>
      <c r="EH1" s="1951"/>
      <c r="EI1" s="1951"/>
      <c r="FG1" s="2232"/>
      <c r="FM1" s="2232"/>
      <c r="FQ1" s="2232"/>
      <c r="FU1" s="2232"/>
    </row>
    <row r="2" spans="1:287" ht="31.95" customHeight="1">
      <c r="A2" s="4103" t="s">
        <v>1139</v>
      </c>
      <c r="B2" s="4103"/>
      <c r="C2" s="4103"/>
      <c r="D2" s="4103"/>
      <c r="E2" s="4103"/>
      <c r="F2" s="4103"/>
      <c r="G2" s="4103"/>
      <c r="H2" s="4103"/>
      <c r="I2" s="4103"/>
      <c r="J2" s="600"/>
      <c r="K2" s="4356" t="s">
        <v>1145</v>
      </c>
      <c r="L2" s="4357"/>
      <c r="M2" s="4357"/>
      <c r="N2" s="4357"/>
      <c r="O2" s="4357"/>
      <c r="P2" s="2126" t="s">
        <v>127</v>
      </c>
      <c r="Q2" s="2163">
        <v>0.25</v>
      </c>
      <c r="R2" s="2126" t="s">
        <v>128</v>
      </c>
      <c r="S2" s="2313">
        <v>0.1</v>
      </c>
      <c r="AU2" s="1951"/>
      <c r="AV2" s="1951"/>
      <c r="AW2" s="1951"/>
      <c r="AX2" s="1951"/>
      <c r="AY2" s="1951"/>
      <c r="AZ2" s="1951"/>
      <c r="BA2" s="1951"/>
      <c r="BQ2" s="1951"/>
      <c r="BR2" s="1951"/>
      <c r="BS2" s="1951"/>
      <c r="BT2" s="1951"/>
      <c r="BU2" s="1951"/>
      <c r="BV2" s="1951"/>
      <c r="BW2" s="1951"/>
      <c r="CM2" s="1951"/>
      <c r="CN2" s="1951"/>
      <c r="CO2" s="1951"/>
      <c r="CP2" s="1951"/>
      <c r="CQ2" s="1951"/>
      <c r="CR2" s="1951"/>
      <c r="CS2" s="1951"/>
      <c r="DI2" s="1951"/>
      <c r="DJ2" s="1951"/>
      <c r="DK2" s="1951"/>
      <c r="DL2" s="1951"/>
      <c r="DM2" s="1951"/>
      <c r="DN2" s="1951"/>
      <c r="DO2" s="1951"/>
      <c r="ED2" s="1951"/>
      <c r="EE2" s="1951"/>
      <c r="EF2" s="1951"/>
      <c r="EG2" s="1951"/>
      <c r="EH2" s="1951"/>
      <c r="EI2" s="1951"/>
      <c r="EY2" s="2233"/>
      <c r="FG2" s="2232"/>
      <c r="FM2" s="2232"/>
      <c r="FQ2" s="2232"/>
      <c r="FU2" s="2232"/>
    </row>
    <row r="3" spans="1:287" ht="25.05" customHeight="1" thickBot="1">
      <c r="A3" s="4103"/>
      <c r="B3" s="4103"/>
      <c r="C3" s="4103"/>
      <c r="D3" s="4103"/>
      <c r="E3" s="4103"/>
      <c r="F3" s="4103"/>
      <c r="G3" s="4103"/>
      <c r="H3" s="4103"/>
      <c r="I3" s="4103"/>
      <c r="J3" s="600"/>
      <c r="K3" s="4358"/>
      <c r="L3" s="4359"/>
      <c r="M3" s="4359"/>
      <c r="N3" s="4359"/>
      <c r="O3" s="4359"/>
      <c r="P3" s="2314"/>
      <c r="Q3" s="2314"/>
      <c r="R3" s="2314"/>
      <c r="S3" s="2315"/>
      <c r="BB3" s="2220"/>
      <c r="BC3" s="2220"/>
      <c r="BD3" s="2220"/>
      <c r="BE3" s="2220"/>
      <c r="BF3" s="2220"/>
      <c r="BG3" s="2220"/>
      <c r="BH3" s="2220"/>
      <c r="BI3" s="2220"/>
      <c r="BJ3" s="2268"/>
      <c r="BX3" s="2220"/>
      <c r="BY3" s="2220"/>
      <c r="BZ3" s="2220"/>
      <c r="CA3" s="2220"/>
      <c r="CB3" s="2220"/>
      <c r="CC3" s="2220"/>
      <c r="CD3" s="2220"/>
      <c r="CE3" s="2220"/>
      <c r="CF3" s="2268"/>
      <c r="CT3" s="2220"/>
      <c r="CU3" s="2220"/>
      <c r="CV3" s="2220"/>
      <c r="CW3" s="2220"/>
      <c r="CX3" s="2220"/>
      <c r="CY3" s="2220"/>
      <c r="CZ3" s="2220"/>
      <c r="DA3" s="2220"/>
      <c r="DB3" s="2268"/>
      <c r="DP3" s="2220"/>
      <c r="DQ3" s="2220"/>
      <c r="DR3" s="2220"/>
      <c r="DS3" s="2220"/>
      <c r="DT3" s="2220"/>
      <c r="DU3" s="2220"/>
      <c r="DV3" s="2220"/>
      <c r="DW3" s="2220"/>
      <c r="DX3" s="2268"/>
      <c r="EJ3" s="2220"/>
      <c r="EK3" s="2220"/>
      <c r="EY3" s="2233"/>
      <c r="FH3" s="2234"/>
      <c r="FI3" s="2235"/>
      <c r="FN3" s="2234"/>
      <c r="FO3" s="2235"/>
      <c r="FR3" s="2234"/>
      <c r="FS3" s="2235"/>
      <c r="FV3" s="2234"/>
      <c r="FW3" s="2235"/>
    </row>
    <row r="4" spans="1:287" ht="15" customHeight="1">
      <c r="A4" s="4316">
        <f>'10 PK Kosten Diagramm'!B10</f>
        <v>44927</v>
      </c>
      <c r="B4" s="4317"/>
      <c r="C4" s="4317"/>
      <c r="D4" s="4321" t="s">
        <v>31</v>
      </c>
      <c r="E4" s="4322"/>
      <c r="F4" s="4322"/>
      <c r="G4" s="2269" t="s">
        <v>1132</v>
      </c>
      <c r="H4" s="4321" t="s">
        <v>32</v>
      </c>
      <c r="I4" s="4322"/>
      <c r="J4" s="4322"/>
      <c r="K4" s="2270" t="s">
        <v>1132</v>
      </c>
      <c r="L4" s="4333">
        <f>'10 PK Kosten Diagramm'!C10</f>
        <v>44959</v>
      </c>
      <c r="M4" s="4333"/>
      <c r="N4" s="4333"/>
      <c r="O4" s="4337" t="s">
        <v>31</v>
      </c>
      <c r="P4" s="4338"/>
      <c r="Q4" s="4338"/>
      <c r="R4" s="2271" t="s">
        <v>1132</v>
      </c>
      <c r="S4" s="4337" t="s">
        <v>32</v>
      </c>
      <c r="T4" s="4338"/>
      <c r="U4" s="4338"/>
      <c r="V4" s="2272" t="s">
        <v>1132</v>
      </c>
      <c r="W4" s="4316">
        <f>'10 PK Kosten Diagramm'!D10</f>
        <v>44991</v>
      </c>
      <c r="X4" s="4317"/>
      <c r="Y4" s="4317"/>
      <c r="Z4" s="4321" t="s">
        <v>31</v>
      </c>
      <c r="AA4" s="4322"/>
      <c r="AB4" s="4322"/>
      <c r="AC4" s="2269" t="s">
        <v>1132</v>
      </c>
      <c r="AD4" s="4321" t="s">
        <v>32</v>
      </c>
      <c r="AE4" s="4322"/>
      <c r="AF4" s="4322"/>
      <c r="AG4" s="2270" t="s">
        <v>1132</v>
      </c>
      <c r="AH4" s="4333">
        <f>'10 PK Kosten Diagramm'!E10</f>
        <v>45023</v>
      </c>
      <c r="AI4" s="4333"/>
      <c r="AJ4" s="4333"/>
      <c r="AK4" s="4337" t="s">
        <v>31</v>
      </c>
      <c r="AL4" s="4338"/>
      <c r="AM4" s="4338"/>
      <c r="AN4" s="2271" t="s">
        <v>1132</v>
      </c>
      <c r="AO4" s="4337" t="s">
        <v>32</v>
      </c>
      <c r="AP4" s="4338"/>
      <c r="AQ4" s="4338"/>
      <c r="AR4" s="2272" t="s">
        <v>1132</v>
      </c>
      <c r="AS4" s="4316">
        <f>'10 PK Kosten Diagramm'!F10</f>
        <v>45055</v>
      </c>
      <c r="AT4" s="4317"/>
      <c r="AU4" s="4317"/>
      <c r="AV4" s="4321" t="s">
        <v>31</v>
      </c>
      <c r="AW4" s="4322"/>
      <c r="AX4" s="4322"/>
      <c r="AY4" s="2269" t="s">
        <v>1132</v>
      </c>
      <c r="AZ4" s="4321" t="s">
        <v>32</v>
      </c>
      <c r="BA4" s="4322"/>
      <c r="BB4" s="4322"/>
      <c r="BC4" s="2270" t="s">
        <v>1132</v>
      </c>
      <c r="BD4" s="4333">
        <f>'10 PK Kosten Diagramm'!G10</f>
        <v>45087</v>
      </c>
      <c r="BE4" s="4333"/>
      <c r="BF4" s="4333"/>
      <c r="BG4" s="4337" t="s">
        <v>31</v>
      </c>
      <c r="BH4" s="4338"/>
      <c r="BI4" s="4338"/>
      <c r="BJ4" s="2271" t="s">
        <v>1132</v>
      </c>
      <c r="BK4" s="4337" t="s">
        <v>32</v>
      </c>
      <c r="BL4" s="4338"/>
      <c r="BM4" s="4338"/>
      <c r="BN4" s="2272" t="s">
        <v>1132</v>
      </c>
      <c r="BO4" s="4316">
        <f>'10 PK Kosten Diagramm'!H10</f>
        <v>45119</v>
      </c>
      <c r="BP4" s="4317"/>
      <c r="BQ4" s="4317"/>
      <c r="BR4" s="4321" t="s">
        <v>31</v>
      </c>
      <c r="BS4" s="4322"/>
      <c r="BT4" s="4322"/>
      <c r="BU4" s="2269" t="s">
        <v>1132</v>
      </c>
      <c r="BV4" s="4321" t="s">
        <v>32</v>
      </c>
      <c r="BW4" s="4322"/>
      <c r="BX4" s="4322"/>
      <c r="BY4" s="2270" t="s">
        <v>1132</v>
      </c>
      <c r="BZ4" s="4333">
        <f>'10 PK Kosten Diagramm'!I10</f>
        <v>45151</v>
      </c>
      <c r="CA4" s="4333"/>
      <c r="CB4" s="4333"/>
      <c r="CC4" s="4337" t="s">
        <v>31</v>
      </c>
      <c r="CD4" s="4338"/>
      <c r="CE4" s="4338"/>
      <c r="CF4" s="2271" t="s">
        <v>1132</v>
      </c>
      <c r="CG4" s="4337" t="s">
        <v>32</v>
      </c>
      <c r="CH4" s="4338"/>
      <c r="CI4" s="4338"/>
      <c r="CJ4" s="2272" t="s">
        <v>1132</v>
      </c>
      <c r="CK4" s="4316">
        <f>'10 PK Kosten Diagramm'!J10</f>
        <v>45183</v>
      </c>
      <c r="CL4" s="4317"/>
      <c r="CM4" s="4317"/>
      <c r="CN4" s="4321" t="s">
        <v>31</v>
      </c>
      <c r="CO4" s="4322"/>
      <c r="CP4" s="4322"/>
      <c r="CQ4" s="2269" t="s">
        <v>1132</v>
      </c>
      <c r="CR4" s="4321" t="s">
        <v>32</v>
      </c>
      <c r="CS4" s="4322"/>
      <c r="CT4" s="4322"/>
      <c r="CU4" s="2270" t="s">
        <v>1132</v>
      </c>
      <c r="CV4" s="4333">
        <f>'10 PK Kosten Diagramm'!K10</f>
        <v>45215</v>
      </c>
      <c r="CW4" s="4333"/>
      <c r="CX4" s="4333"/>
      <c r="CY4" s="4337" t="s">
        <v>31</v>
      </c>
      <c r="CZ4" s="4338"/>
      <c r="DA4" s="4338"/>
      <c r="DB4" s="2271" t="s">
        <v>1132</v>
      </c>
      <c r="DC4" s="4337" t="s">
        <v>32</v>
      </c>
      <c r="DD4" s="4338"/>
      <c r="DE4" s="4338"/>
      <c r="DF4" s="2272" t="s">
        <v>1132</v>
      </c>
      <c r="DG4" s="4316">
        <f>'10 PK Kosten Diagramm'!L10</f>
        <v>45247</v>
      </c>
      <c r="DH4" s="4317"/>
      <c r="DI4" s="4317"/>
      <c r="DJ4" s="4321" t="s">
        <v>31</v>
      </c>
      <c r="DK4" s="4322"/>
      <c r="DL4" s="4322"/>
      <c r="DM4" s="2269" t="s">
        <v>1132</v>
      </c>
      <c r="DN4" s="4321" t="s">
        <v>32</v>
      </c>
      <c r="DO4" s="4322"/>
      <c r="DP4" s="4322"/>
      <c r="DQ4" s="2270" t="s">
        <v>1132</v>
      </c>
      <c r="DR4" s="4352">
        <f>'10 PK Kosten Diagramm'!M10</f>
        <v>45279</v>
      </c>
      <c r="DS4" s="4333"/>
      <c r="DT4" s="4333"/>
      <c r="DU4" s="4337" t="s">
        <v>31</v>
      </c>
      <c r="DV4" s="4338"/>
      <c r="DW4" s="4338"/>
      <c r="DX4" s="2271" t="s">
        <v>1132</v>
      </c>
      <c r="DY4" s="4337" t="s">
        <v>32</v>
      </c>
      <c r="DZ4" s="4338"/>
      <c r="EA4" s="4338"/>
      <c r="EB4" s="2272" t="s">
        <v>1132</v>
      </c>
      <c r="EC4" s="2136"/>
      <c r="ED4" s="4327" t="s">
        <v>31</v>
      </c>
      <c r="EE4" s="4328"/>
      <c r="EF4" s="2308" t="s">
        <v>1146</v>
      </c>
      <c r="EG4" s="2309">
        <f ca="1">COUNTIF(EG10:EG43,"&gt;0")</f>
        <v>0</v>
      </c>
      <c r="EH4" s="4328" t="s">
        <v>32</v>
      </c>
      <c r="EI4" s="4331"/>
      <c r="EJ4" s="2308" t="s">
        <v>1146</v>
      </c>
      <c r="EK4" s="2309">
        <f ca="1">COUNTIF(EK10:EK43,"&gt;0")</f>
        <v>0</v>
      </c>
      <c r="EL4" s="4341" t="s">
        <v>1137</v>
      </c>
      <c r="EM4" s="4340" t="s">
        <v>1136</v>
      </c>
      <c r="EN4" s="4340" t="s">
        <v>1136</v>
      </c>
      <c r="EY4" s="4348">
        <f>'10 PK Kosten Diagramm'!ER10</f>
        <v>0</v>
      </c>
      <c r="EZ4" s="4349"/>
      <c r="FA4" s="4349"/>
      <c r="FB4" s="4350" t="s">
        <v>31</v>
      </c>
      <c r="FC4" s="4346"/>
      <c r="FD4" s="4346"/>
      <c r="FE4" s="4351"/>
      <c r="FF4" s="4346" t="s">
        <v>32</v>
      </c>
      <c r="FG4" s="4346"/>
      <c r="FH4" s="4346"/>
      <c r="FI4" s="4347"/>
      <c r="FJ4" s="4348">
        <f>'10 PK Kosten Diagramm'!ES10</f>
        <v>0</v>
      </c>
      <c r="FK4" s="4349"/>
      <c r="FL4" s="4349"/>
      <c r="FM4" s="4350" t="s">
        <v>31</v>
      </c>
      <c r="FN4" s="4346"/>
      <c r="FO4" s="4346"/>
      <c r="FP4" s="4351"/>
      <c r="FQ4" s="4346" t="s">
        <v>32</v>
      </c>
      <c r="FR4" s="4346"/>
      <c r="FS4" s="4346"/>
      <c r="FT4" s="4347"/>
      <c r="FU4" s="4348">
        <f>'10 PK Kosten Diagramm'!ET10</f>
        <v>0</v>
      </c>
      <c r="FV4" s="4349"/>
      <c r="FW4" s="4349"/>
      <c r="FX4" s="4350" t="s">
        <v>31</v>
      </c>
      <c r="FY4" s="4346"/>
      <c r="FZ4" s="4346"/>
      <c r="GA4" s="4351"/>
      <c r="GB4" s="4346" t="s">
        <v>32</v>
      </c>
      <c r="GC4" s="4346"/>
      <c r="GD4" s="4346"/>
      <c r="GE4" s="4347"/>
      <c r="GF4" s="4348">
        <f>'10 PK Kosten Diagramm'!EU10</f>
        <v>0</v>
      </c>
      <c r="GG4" s="4349"/>
      <c r="GH4" s="4349"/>
      <c r="GI4" s="4350" t="s">
        <v>31</v>
      </c>
      <c r="GJ4" s="4346"/>
      <c r="GK4" s="4346"/>
      <c r="GL4" s="4351"/>
      <c r="GM4" s="4346" t="s">
        <v>32</v>
      </c>
      <c r="GN4" s="4346"/>
      <c r="GO4" s="4346"/>
      <c r="GP4" s="4347"/>
      <c r="GQ4" s="4348">
        <f>'10 PK Kosten Diagramm'!EV10</f>
        <v>0</v>
      </c>
      <c r="GR4" s="4349"/>
      <c r="GS4" s="4349"/>
      <c r="GT4" s="4350" t="s">
        <v>31</v>
      </c>
      <c r="GU4" s="4346"/>
      <c r="GV4" s="4346"/>
      <c r="GW4" s="4351"/>
      <c r="GX4" s="4346" t="s">
        <v>32</v>
      </c>
      <c r="GY4" s="4346"/>
      <c r="GZ4" s="4346"/>
      <c r="HA4" s="4347"/>
      <c r="HB4" s="4348">
        <f>'10 PK Kosten Diagramm'!EW10</f>
        <v>0</v>
      </c>
      <c r="HC4" s="4349"/>
      <c r="HD4" s="4349"/>
      <c r="HE4" s="4350" t="s">
        <v>31</v>
      </c>
      <c r="HF4" s="4346"/>
      <c r="HG4" s="4346"/>
      <c r="HH4" s="4351"/>
      <c r="HI4" s="4346" t="s">
        <v>32</v>
      </c>
      <c r="HJ4" s="4346"/>
      <c r="HK4" s="4346"/>
      <c r="HL4" s="4347"/>
      <c r="HM4" s="4348">
        <f>'10 PK Kosten Diagramm'!EX10</f>
        <v>0</v>
      </c>
      <c r="HN4" s="4349"/>
      <c r="HO4" s="4349"/>
      <c r="HP4" s="4350" t="s">
        <v>31</v>
      </c>
      <c r="HQ4" s="4346"/>
      <c r="HR4" s="4346"/>
      <c r="HS4" s="4351"/>
      <c r="HT4" s="4346" t="s">
        <v>32</v>
      </c>
      <c r="HU4" s="4346"/>
      <c r="HV4" s="4346"/>
      <c r="HW4" s="4347"/>
      <c r="HX4" s="4348">
        <f>'10 PK Kosten Diagramm'!EY10</f>
        <v>0</v>
      </c>
      <c r="HY4" s="4349"/>
      <c r="HZ4" s="4349"/>
      <c r="IA4" s="4350" t="s">
        <v>31</v>
      </c>
      <c r="IB4" s="4346"/>
      <c r="IC4" s="4346"/>
      <c r="ID4" s="4351"/>
      <c r="IE4" s="4346" t="s">
        <v>32</v>
      </c>
      <c r="IF4" s="4346"/>
      <c r="IG4" s="4346"/>
      <c r="IH4" s="4347"/>
      <c r="II4" s="4348">
        <f>'10 PK Kosten Diagramm'!EZ10</f>
        <v>0</v>
      </c>
      <c r="IJ4" s="4349"/>
      <c r="IK4" s="4349"/>
      <c r="IL4" s="4350" t="s">
        <v>31</v>
      </c>
      <c r="IM4" s="4346"/>
      <c r="IN4" s="4346"/>
      <c r="IO4" s="4351"/>
      <c r="IP4" s="4346" t="s">
        <v>32</v>
      </c>
      <c r="IQ4" s="4346"/>
      <c r="IR4" s="4346"/>
      <c r="IS4" s="4347"/>
      <c r="IT4" s="4348">
        <f>'10 PK Kosten Diagramm'!FA10</f>
        <v>0</v>
      </c>
      <c r="IU4" s="4349"/>
      <c r="IV4" s="4349"/>
      <c r="IW4" s="4350" t="s">
        <v>31</v>
      </c>
      <c r="IX4" s="4346"/>
      <c r="IY4" s="4346"/>
      <c r="IZ4" s="4351"/>
      <c r="JA4" s="4346" t="s">
        <v>32</v>
      </c>
      <c r="JB4" s="4346"/>
      <c r="JC4" s="4346"/>
      <c r="JD4" s="4347"/>
      <c r="JE4" s="4348">
        <f>'10 PK Kosten Diagramm'!FB10</f>
        <v>0</v>
      </c>
      <c r="JF4" s="4349"/>
      <c r="JG4" s="4349"/>
      <c r="JH4" s="4350" t="s">
        <v>31</v>
      </c>
      <c r="JI4" s="4346"/>
      <c r="JJ4" s="4346"/>
      <c r="JK4" s="4351"/>
      <c r="JL4" s="4346" t="s">
        <v>32</v>
      </c>
      <c r="JM4" s="4346"/>
      <c r="JN4" s="4346"/>
      <c r="JO4" s="4347"/>
      <c r="JP4" s="4348">
        <f>'10 PK Kosten Diagramm'!FC10</f>
        <v>0</v>
      </c>
      <c r="JQ4" s="4349"/>
      <c r="JR4" s="4349"/>
      <c r="JS4" s="4350" t="s">
        <v>31</v>
      </c>
      <c r="JT4" s="4346"/>
      <c r="JU4" s="4346"/>
      <c r="JV4" s="4351"/>
      <c r="JW4" s="4346" t="s">
        <v>32</v>
      </c>
      <c r="JX4" s="4346"/>
      <c r="JY4" s="4346"/>
      <c r="JZ4" s="4347"/>
    </row>
    <row r="5" spans="1:287" ht="17.25" customHeight="1" thickBot="1">
      <c r="A5" s="2128"/>
      <c r="B5" s="2120">
        <f>IF(G5="",$Q$2,G5)</f>
        <v>0.25</v>
      </c>
      <c r="C5" s="2120">
        <f>IF(K5="",$S$2,K5)</f>
        <v>0.1</v>
      </c>
      <c r="D5" s="4318" t="s">
        <v>1134</v>
      </c>
      <c r="E5" s="4319"/>
      <c r="F5" s="4319"/>
      <c r="G5" s="2263"/>
      <c r="H5" s="4319" t="s">
        <v>1134</v>
      </c>
      <c r="I5" s="4319"/>
      <c r="J5" s="4320"/>
      <c r="K5" s="2275"/>
      <c r="L5" s="2127"/>
      <c r="M5" s="2123">
        <f>IF(R6="",$Q$2,R6)</f>
        <v>0.25</v>
      </c>
      <c r="N5" s="2123">
        <f>IF(V6="",$S$2,V6)</f>
        <v>0.1</v>
      </c>
      <c r="O5" s="4334" t="s">
        <v>1134</v>
      </c>
      <c r="P5" s="4335"/>
      <c r="Q5" s="4335"/>
      <c r="R5" s="2263"/>
      <c r="S5" s="4335" t="s">
        <v>1134</v>
      </c>
      <c r="T5" s="4335"/>
      <c r="U5" s="4336"/>
      <c r="V5" s="2164"/>
      <c r="W5" s="2128"/>
      <c r="X5" s="2120">
        <f>IF(AC6="",$Q$2,AC6)</f>
        <v>0.25</v>
      </c>
      <c r="Y5" s="2120">
        <f>IF(AG6="",$S$2,AG6)</f>
        <v>0.1</v>
      </c>
      <c r="Z5" s="4318" t="s">
        <v>1134</v>
      </c>
      <c r="AA5" s="4319"/>
      <c r="AB5" s="4319"/>
      <c r="AC5" s="2263"/>
      <c r="AD5" s="4319" t="s">
        <v>1134</v>
      </c>
      <c r="AE5" s="4319"/>
      <c r="AF5" s="4320"/>
      <c r="AG5" s="2275">
        <v>0.1</v>
      </c>
      <c r="AH5" s="2127"/>
      <c r="AI5" s="2123">
        <f>IF(AN6="",$Q$2,AN6)</f>
        <v>0.25</v>
      </c>
      <c r="AJ5" s="2123">
        <f>IF(AR6="",$S$2,AR6)</f>
        <v>0.1</v>
      </c>
      <c r="AK5" s="4334" t="s">
        <v>1134</v>
      </c>
      <c r="AL5" s="4335"/>
      <c r="AM5" s="4335"/>
      <c r="AN5" s="2263"/>
      <c r="AO5" s="4335" t="s">
        <v>1134</v>
      </c>
      <c r="AP5" s="4335"/>
      <c r="AQ5" s="4336"/>
      <c r="AR5" s="2164"/>
      <c r="AS5" s="2128"/>
      <c r="AT5" s="2120">
        <f>IF(AY6="",$Q$2,AY6)</f>
        <v>0.25</v>
      </c>
      <c r="AU5" s="2120">
        <f>IF(BC6="",$S$2,BC6)</f>
        <v>0.1</v>
      </c>
      <c r="AV5" s="4318" t="s">
        <v>1134</v>
      </c>
      <c r="AW5" s="4319"/>
      <c r="AX5" s="4319"/>
      <c r="AY5" s="2263"/>
      <c r="AZ5" s="4319" t="s">
        <v>1134</v>
      </c>
      <c r="BA5" s="4319"/>
      <c r="BB5" s="4320"/>
      <c r="BC5" s="2275"/>
      <c r="BD5" s="2127"/>
      <c r="BE5" s="2123">
        <f>IF(BJ6="",$Q$2,BJ6)</f>
        <v>0.25</v>
      </c>
      <c r="BF5" s="2123">
        <f>IF(BN6="",$S$2,BN6)</f>
        <v>0.1</v>
      </c>
      <c r="BG5" s="4334" t="s">
        <v>1134</v>
      </c>
      <c r="BH5" s="4335"/>
      <c r="BI5" s="4335"/>
      <c r="BJ5" s="2263"/>
      <c r="BK5" s="4335" t="s">
        <v>1134</v>
      </c>
      <c r="BL5" s="4335"/>
      <c r="BM5" s="4336"/>
      <c r="BN5" s="2164"/>
      <c r="BO5" s="2128"/>
      <c r="BP5" s="2120">
        <f>IF(BU6="",$Q$2,BU6)</f>
        <v>0.25</v>
      </c>
      <c r="BQ5" s="2120">
        <f>IF(BY6="",$S$2,BY6)</f>
        <v>0.1</v>
      </c>
      <c r="BR5" s="4318" t="s">
        <v>1134</v>
      </c>
      <c r="BS5" s="4319"/>
      <c r="BT5" s="4319"/>
      <c r="BU5" s="2263"/>
      <c r="BV5" s="4319" t="s">
        <v>1134</v>
      </c>
      <c r="BW5" s="4319"/>
      <c r="BX5" s="4320"/>
      <c r="BY5" s="2275"/>
      <c r="BZ5" s="2127"/>
      <c r="CA5" s="2123">
        <f>IF(CF6="",$Q$2,CF6)</f>
        <v>0.25</v>
      </c>
      <c r="CB5" s="2123">
        <f>IF(CJ6="",$S$2,CJ6)</f>
        <v>0.1</v>
      </c>
      <c r="CC5" s="4334" t="s">
        <v>1134</v>
      </c>
      <c r="CD5" s="4335"/>
      <c r="CE5" s="4335"/>
      <c r="CF5" s="2263"/>
      <c r="CG5" s="4335" t="s">
        <v>1134</v>
      </c>
      <c r="CH5" s="4335"/>
      <c r="CI5" s="4336"/>
      <c r="CJ5" s="2164"/>
      <c r="CK5" s="2128"/>
      <c r="CL5" s="2120">
        <f>IF(CQ6="",$Q$2,CQ6)</f>
        <v>0.25</v>
      </c>
      <c r="CM5" s="2120">
        <f>IF(CU6="",$S$2,CU6)</f>
        <v>0.1</v>
      </c>
      <c r="CN5" s="4318" t="s">
        <v>1134</v>
      </c>
      <c r="CO5" s="4319"/>
      <c r="CP5" s="4319"/>
      <c r="CQ5" s="2263"/>
      <c r="CR5" s="4319" t="s">
        <v>1134</v>
      </c>
      <c r="CS5" s="4319"/>
      <c r="CT5" s="4320"/>
      <c r="CU5" s="2275"/>
      <c r="CV5" s="2127"/>
      <c r="CW5" s="2123">
        <f>IF(DB6="",$Q$2,DB6)</f>
        <v>0.25</v>
      </c>
      <c r="CX5" s="2123">
        <f>IF(DF6="",$S$2,DF6)</f>
        <v>0.1</v>
      </c>
      <c r="CY5" s="4334" t="s">
        <v>1134</v>
      </c>
      <c r="CZ5" s="4335"/>
      <c r="DA5" s="4335"/>
      <c r="DB5" s="2263"/>
      <c r="DC5" s="4335" t="s">
        <v>1134</v>
      </c>
      <c r="DD5" s="4335"/>
      <c r="DE5" s="4336"/>
      <c r="DF5" s="2164"/>
      <c r="DG5" s="2128"/>
      <c r="DH5" s="2120">
        <f>IF(DM6="",$Q$2,DM6)</f>
        <v>0.25</v>
      </c>
      <c r="DI5" s="2120">
        <f>IF(DQ6="",$S$2,DQ6)</f>
        <v>0.1</v>
      </c>
      <c r="DJ5" s="4318" t="s">
        <v>1134</v>
      </c>
      <c r="DK5" s="4319"/>
      <c r="DL5" s="4319"/>
      <c r="DM5" s="2263"/>
      <c r="DN5" s="4319" t="s">
        <v>1134</v>
      </c>
      <c r="DO5" s="4319"/>
      <c r="DP5" s="4320"/>
      <c r="DQ5" s="2275"/>
      <c r="DR5" s="2127"/>
      <c r="DS5" s="2123">
        <f>IF(DX6="",$Q$2,DX6)</f>
        <v>0.25</v>
      </c>
      <c r="DT5" s="2123">
        <f>IF(EB6="",$S$2,EB6)</f>
        <v>0.1</v>
      </c>
      <c r="DU5" s="4334" t="s">
        <v>1134</v>
      </c>
      <c r="DV5" s="4335"/>
      <c r="DW5" s="4335"/>
      <c r="DX5" s="2263"/>
      <c r="DY5" s="4335" t="s">
        <v>1134</v>
      </c>
      <c r="DZ5" s="4335"/>
      <c r="EA5" s="4336"/>
      <c r="EB5" s="2164"/>
      <c r="EC5" s="2137"/>
      <c r="ED5" s="4329" t="s">
        <v>1134</v>
      </c>
      <c r="EE5" s="4330"/>
      <c r="EF5" s="2310" t="s">
        <v>1147</v>
      </c>
      <c r="EG5" s="2311">
        <f ca="1">SUM(EG10:EG25)</f>
        <v>0</v>
      </c>
      <c r="EH5" s="4330" t="s">
        <v>1134</v>
      </c>
      <c r="EI5" s="4332"/>
      <c r="EJ5" s="2310" t="s">
        <v>1147</v>
      </c>
      <c r="EK5" s="2311">
        <f ca="1">SUM(EK10:EK25)</f>
        <v>0</v>
      </c>
      <c r="EL5" s="4342"/>
      <c r="EM5" s="4326"/>
      <c r="EN5" s="4326"/>
      <c r="EY5" s="2159"/>
      <c r="EZ5" s="2236">
        <f>IF(FE6="",$Q$2,FE6)</f>
        <v>0.25</v>
      </c>
      <c r="FA5" s="2236">
        <f>IF(FI6="",$S$2,FI6)</f>
        <v>0.1</v>
      </c>
      <c r="FB5" s="4343" t="s">
        <v>1134</v>
      </c>
      <c r="FC5" s="4344"/>
      <c r="FD5" s="4344"/>
      <c r="FE5" s="2237" t="s">
        <v>1132</v>
      </c>
      <c r="FF5" s="4339" t="s">
        <v>1134</v>
      </c>
      <c r="FG5" s="4339"/>
      <c r="FH5" s="4339"/>
      <c r="FI5" s="2238" t="s">
        <v>1132</v>
      </c>
      <c r="FJ5" s="2239"/>
      <c r="FK5" s="2236">
        <f>IF(FP6="",$Q$2,FP6)</f>
        <v>0.25</v>
      </c>
      <c r="FL5" s="2236">
        <f>IF(FT6="",$S$2,FT6)</f>
        <v>0.1</v>
      </c>
      <c r="FM5" s="4343" t="s">
        <v>1134</v>
      </c>
      <c r="FN5" s="4344"/>
      <c r="FO5" s="4344"/>
      <c r="FP5" s="2237" t="s">
        <v>1132</v>
      </c>
      <c r="FQ5" s="4339" t="s">
        <v>1134</v>
      </c>
      <c r="FR5" s="4339"/>
      <c r="FS5" s="4345"/>
      <c r="FT5" s="2240" t="s">
        <v>1132</v>
      </c>
      <c r="FU5" s="2159"/>
      <c r="FV5" s="2236">
        <f>IF(GA6="",$Q$2,GA6)</f>
        <v>0.25</v>
      </c>
      <c r="FW5" s="2236">
        <f>IF(GE6="",$S$2,GE6)</f>
        <v>0.1</v>
      </c>
      <c r="FX5" s="4343" t="s">
        <v>1134</v>
      </c>
      <c r="FY5" s="4344"/>
      <c r="FZ5" s="4344"/>
      <c r="GA5" s="2237" t="s">
        <v>1132</v>
      </c>
      <c r="GB5" s="4339" t="s">
        <v>1134</v>
      </c>
      <c r="GC5" s="4339"/>
      <c r="GD5" s="4345"/>
      <c r="GE5" s="2238" t="s">
        <v>1132</v>
      </c>
      <c r="GF5" s="2239"/>
      <c r="GG5" s="2236">
        <f>IF(GL6="",$Q$2,GL6)</f>
        <v>0.25</v>
      </c>
      <c r="GH5" s="2236">
        <f>IF(GP6="",$S$2,GP6)</f>
        <v>0.1</v>
      </c>
      <c r="GI5" s="4343" t="s">
        <v>1134</v>
      </c>
      <c r="GJ5" s="4344"/>
      <c r="GK5" s="4344"/>
      <c r="GL5" s="2237" t="s">
        <v>1132</v>
      </c>
      <c r="GM5" s="4339" t="s">
        <v>1134</v>
      </c>
      <c r="GN5" s="4339"/>
      <c r="GO5" s="4345"/>
      <c r="GP5" s="2240" t="s">
        <v>1132</v>
      </c>
      <c r="GQ5" s="2159"/>
      <c r="GR5" s="2236">
        <f>IF(GW6="",$Q$2,GW6)</f>
        <v>0.25</v>
      </c>
      <c r="GS5" s="2236">
        <f>IF(HA6="",$S$2,HA6)</f>
        <v>0.1</v>
      </c>
      <c r="GT5" s="4343" t="s">
        <v>1134</v>
      </c>
      <c r="GU5" s="4344"/>
      <c r="GV5" s="4344"/>
      <c r="GW5" s="2237" t="s">
        <v>1132</v>
      </c>
      <c r="GX5" s="4339" t="s">
        <v>1134</v>
      </c>
      <c r="GY5" s="4339"/>
      <c r="GZ5" s="4345"/>
      <c r="HA5" s="2238" t="s">
        <v>1132</v>
      </c>
      <c r="HB5" s="2239"/>
      <c r="HC5" s="2236">
        <f>IF(HH6="",$Q$2,HH6)</f>
        <v>0.25</v>
      </c>
      <c r="HD5" s="2236">
        <f>IF(HL6="",$S$2,HL6)</f>
        <v>0.1</v>
      </c>
      <c r="HE5" s="4343" t="s">
        <v>1134</v>
      </c>
      <c r="HF5" s="4344"/>
      <c r="HG5" s="4344"/>
      <c r="HH5" s="2237" t="s">
        <v>1132</v>
      </c>
      <c r="HI5" s="4339" t="s">
        <v>1134</v>
      </c>
      <c r="HJ5" s="4339"/>
      <c r="HK5" s="4345"/>
      <c r="HL5" s="2240" t="s">
        <v>1132</v>
      </c>
      <c r="HM5" s="2159"/>
      <c r="HN5" s="2236">
        <f>IF(HS6="",$Q$2,HS6)</f>
        <v>0.25</v>
      </c>
      <c r="HO5" s="2236">
        <f>IF(HW6="",$S$2,HW6)</f>
        <v>0.1</v>
      </c>
      <c r="HP5" s="4343" t="s">
        <v>1134</v>
      </c>
      <c r="HQ5" s="4344"/>
      <c r="HR5" s="4344"/>
      <c r="HS5" s="2237" t="s">
        <v>1132</v>
      </c>
      <c r="HT5" s="4339" t="s">
        <v>1134</v>
      </c>
      <c r="HU5" s="4339"/>
      <c r="HV5" s="4345"/>
      <c r="HW5" s="2238" t="s">
        <v>1132</v>
      </c>
      <c r="HX5" s="2239"/>
      <c r="HY5" s="2236">
        <f>IF(ID6="",$Q$2,ID6)</f>
        <v>0.25</v>
      </c>
      <c r="HZ5" s="2236">
        <f>IF(IH6="",$S$2,IH6)</f>
        <v>0.1</v>
      </c>
      <c r="IA5" s="4343" t="s">
        <v>1134</v>
      </c>
      <c r="IB5" s="4344"/>
      <c r="IC5" s="4344"/>
      <c r="ID5" s="2237" t="s">
        <v>1132</v>
      </c>
      <c r="IE5" s="4339" t="s">
        <v>1134</v>
      </c>
      <c r="IF5" s="4339"/>
      <c r="IG5" s="4345"/>
      <c r="IH5" s="2240" t="s">
        <v>1132</v>
      </c>
      <c r="II5" s="2159"/>
      <c r="IJ5" s="2236">
        <f>IF(IO6="",$Q$2,IO6)</f>
        <v>0.25</v>
      </c>
      <c r="IK5" s="2236">
        <f>IF(IS6="",$S$2,IS6)</f>
        <v>0.1</v>
      </c>
      <c r="IL5" s="4343" t="s">
        <v>1134</v>
      </c>
      <c r="IM5" s="4344"/>
      <c r="IN5" s="4344"/>
      <c r="IO5" s="2237" t="s">
        <v>1132</v>
      </c>
      <c r="IP5" s="4339" t="s">
        <v>1134</v>
      </c>
      <c r="IQ5" s="4339"/>
      <c r="IR5" s="4345"/>
      <c r="IS5" s="2238" t="s">
        <v>1132</v>
      </c>
      <c r="IT5" s="2239"/>
      <c r="IU5" s="2236">
        <f>IF(IZ6="",$Q$2,IZ6)</f>
        <v>0.25</v>
      </c>
      <c r="IV5" s="2236">
        <f>IF(JD6="",$S$2,JD6)</f>
        <v>0.1</v>
      </c>
      <c r="IW5" s="4343" t="s">
        <v>1134</v>
      </c>
      <c r="IX5" s="4344"/>
      <c r="IY5" s="4344"/>
      <c r="IZ5" s="2237" t="s">
        <v>1132</v>
      </c>
      <c r="JA5" s="4339" t="s">
        <v>1134</v>
      </c>
      <c r="JB5" s="4339"/>
      <c r="JC5" s="4345"/>
      <c r="JD5" s="2240" t="s">
        <v>1132</v>
      </c>
      <c r="JE5" s="2159"/>
      <c r="JF5" s="2236">
        <f>IF(JK6="",$Q$2,JK6)</f>
        <v>0.25</v>
      </c>
      <c r="JG5" s="2236">
        <f>IF(JO6="",$S$2,JO6)</f>
        <v>0.1</v>
      </c>
      <c r="JH5" s="4343" t="s">
        <v>1134</v>
      </c>
      <c r="JI5" s="4344"/>
      <c r="JJ5" s="4344"/>
      <c r="JK5" s="2237" t="s">
        <v>1132</v>
      </c>
      <c r="JL5" s="4339" t="s">
        <v>1134</v>
      </c>
      <c r="JM5" s="4339"/>
      <c r="JN5" s="4345"/>
      <c r="JO5" s="2238" t="s">
        <v>1132</v>
      </c>
      <c r="JP5" s="2239"/>
      <c r="JQ5" s="2236">
        <f>IF(JV6="",$Q$2,JV6)</f>
        <v>0.25</v>
      </c>
      <c r="JR5" s="2236">
        <f>IF(JZ6="",$S$2,JZ6)</f>
        <v>0.1</v>
      </c>
      <c r="JS5" s="4343" t="s">
        <v>1134</v>
      </c>
      <c r="JT5" s="4344"/>
      <c r="JU5" s="4344"/>
      <c r="JV5" s="2237" t="s">
        <v>1132</v>
      </c>
      <c r="JW5" s="4339" t="s">
        <v>1134</v>
      </c>
      <c r="JX5" s="4339"/>
      <c r="JY5" s="4339"/>
      <c r="JZ5" s="2238" t="s">
        <v>1132</v>
      </c>
    </row>
    <row r="6" spans="1:287" ht="17.25" customHeight="1">
      <c r="A6" s="2129"/>
      <c r="B6" s="2121" t="s">
        <v>1130</v>
      </c>
      <c r="C6" s="2122" t="s">
        <v>1131</v>
      </c>
      <c r="D6" s="2130" t="s">
        <v>1113</v>
      </c>
      <c r="E6" s="2131" t="s">
        <v>1115</v>
      </c>
      <c r="F6" s="2118" t="s">
        <v>1110</v>
      </c>
      <c r="G6" s="2264">
        <f>IF(G$5&gt;0,G$5,$B$5)</f>
        <v>0.25</v>
      </c>
      <c r="H6" s="2132" t="s">
        <v>1114</v>
      </c>
      <c r="I6" s="2131" t="s">
        <v>1116</v>
      </c>
      <c r="J6" s="2118" t="s">
        <v>1110</v>
      </c>
      <c r="K6" s="2276">
        <f>IF(K$5&gt;0,K$5,$C$5)</f>
        <v>0.1</v>
      </c>
      <c r="L6" s="2273"/>
      <c r="M6" s="2124" t="s">
        <v>1130</v>
      </c>
      <c r="N6" s="2125" t="s">
        <v>1131</v>
      </c>
      <c r="O6" s="2133" t="s">
        <v>1113</v>
      </c>
      <c r="P6" s="2134" t="s">
        <v>1115</v>
      </c>
      <c r="Q6" s="1963" t="s">
        <v>1110</v>
      </c>
      <c r="R6" s="2266">
        <f>IF(R$5&gt;0,R$5,$B$5)</f>
        <v>0.25</v>
      </c>
      <c r="S6" s="2135" t="s">
        <v>1114</v>
      </c>
      <c r="T6" s="2134" t="s">
        <v>1116</v>
      </c>
      <c r="U6" s="1963" t="s">
        <v>1110</v>
      </c>
      <c r="V6" s="2267">
        <f>IF(V$5&gt;0,V$5,$C$5)</f>
        <v>0.1</v>
      </c>
      <c r="W6" s="2129"/>
      <c r="X6" s="2121" t="s">
        <v>1130</v>
      </c>
      <c r="Y6" s="2122" t="s">
        <v>1131</v>
      </c>
      <c r="Z6" s="2130" t="s">
        <v>1113</v>
      </c>
      <c r="AA6" s="2131" t="s">
        <v>1115</v>
      </c>
      <c r="AB6" s="2118" t="s">
        <v>1110</v>
      </c>
      <c r="AC6" s="2264">
        <f>IF(AC$5&gt;0,AC$5,$B$5)</f>
        <v>0.25</v>
      </c>
      <c r="AD6" s="2132" t="s">
        <v>1114</v>
      </c>
      <c r="AE6" s="2131" t="s">
        <v>1116</v>
      </c>
      <c r="AF6" s="2118" t="s">
        <v>1110</v>
      </c>
      <c r="AG6" s="2276">
        <f>IF(AG$5&gt;0,AG$5,$C$5)</f>
        <v>0.1</v>
      </c>
      <c r="AH6" s="2273"/>
      <c r="AI6" s="2124" t="s">
        <v>1130</v>
      </c>
      <c r="AJ6" s="2125" t="s">
        <v>1131</v>
      </c>
      <c r="AK6" s="2133" t="s">
        <v>1113</v>
      </c>
      <c r="AL6" s="2134" t="s">
        <v>1115</v>
      </c>
      <c r="AM6" s="1963" t="s">
        <v>1110</v>
      </c>
      <c r="AN6" s="2266">
        <f>IF(AN$5&gt;0,AN$5,$B$5)</f>
        <v>0.25</v>
      </c>
      <c r="AO6" s="2135" t="s">
        <v>1114</v>
      </c>
      <c r="AP6" s="2134" t="s">
        <v>1116</v>
      </c>
      <c r="AQ6" s="1963" t="s">
        <v>1110</v>
      </c>
      <c r="AR6" s="2267">
        <f>IF(AR$5&gt;0,AR$5,$C$5)</f>
        <v>0.1</v>
      </c>
      <c r="AS6" s="2129"/>
      <c r="AT6" s="2121" t="s">
        <v>1130</v>
      </c>
      <c r="AU6" s="2122" t="s">
        <v>1131</v>
      </c>
      <c r="AV6" s="2130" t="s">
        <v>1113</v>
      </c>
      <c r="AW6" s="2131" t="s">
        <v>1115</v>
      </c>
      <c r="AX6" s="2118" t="s">
        <v>1110</v>
      </c>
      <c r="AY6" s="2264">
        <f>IF(AY$5&gt;0,AY$5,$B$5)</f>
        <v>0.25</v>
      </c>
      <c r="AZ6" s="2132" t="s">
        <v>1114</v>
      </c>
      <c r="BA6" s="2131" t="s">
        <v>1116</v>
      </c>
      <c r="BB6" s="2118" t="s">
        <v>1110</v>
      </c>
      <c r="BC6" s="2276">
        <f>IF(BC$5&gt;0,BC$5,$C$5)</f>
        <v>0.1</v>
      </c>
      <c r="BD6" s="2273"/>
      <c r="BE6" s="2124" t="s">
        <v>1130</v>
      </c>
      <c r="BF6" s="2125" t="s">
        <v>1131</v>
      </c>
      <c r="BG6" s="2133" t="s">
        <v>1113</v>
      </c>
      <c r="BH6" s="2134" t="s">
        <v>1115</v>
      </c>
      <c r="BI6" s="1963" t="s">
        <v>1110</v>
      </c>
      <c r="BJ6" s="2266">
        <f>IF(BJ$5&gt;0,BJ$5,$B$5)</f>
        <v>0.25</v>
      </c>
      <c r="BK6" s="2135" t="s">
        <v>1114</v>
      </c>
      <c r="BL6" s="2134" t="s">
        <v>1116</v>
      </c>
      <c r="BM6" s="1963" t="s">
        <v>1110</v>
      </c>
      <c r="BN6" s="2267">
        <f>IF(BN$5&gt;0,BN$5,$C$5)</f>
        <v>0.1</v>
      </c>
      <c r="BO6" s="2129"/>
      <c r="BP6" s="2121" t="s">
        <v>1130</v>
      </c>
      <c r="BQ6" s="2122" t="s">
        <v>1131</v>
      </c>
      <c r="BR6" s="2130" t="s">
        <v>1113</v>
      </c>
      <c r="BS6" s="2131" t="s">
        <v>1115</v>
      </c>
      <c r="BT6" s="2118" t="s">
        <v>1110</v>
      </c>
      <c r="BU6" s="2264">
        <f>IF(BU$5&gt;0,BU$5,$B$5)</f>
        <v>0.25</v>
      </c>
      <c r="BV6" s="2132" t="s">
        <v>1114</v>
      </c>
      <c r="BW6" s="2131" t="s">
        <v>1116</v>
      </c>
      <c r="BX6" s="2118" t="s">
        <v>1110</v>
      </c>
      <c r="BY6" s="2276">
        <f>IF(BY$5&gt;0,BY$5,$C$5)</f>
        <v>0.1</v>
      </c>
      <c r="BZ6" s="2273"/>
      <c r="CA6" s="2124" t="s">
        <v>1130</v>
      </c>
      <c r="CB6" s="2125" t="s">
        <v>1131</v>
      </c>
      <c r="CC6" s="2133" t="s">
        <v>1113</v>
      </c>
      <c r="CD6" s="2134" t="s">
        <v>1115</v>
      </c>
      <c r="CE6" s="1963" t="s">
        <v>1110</v>
      </c>
      <c r="CF6" s="2266">
        <f>IF(CF$5&gt;0,CF$5,$B$5)</f>
        <v>0.25</v>
      </c>
      <c r="CG6" s="2135" t="s">
        <v>1114</v>
      </c>
      <c r="CH6" s="2134" t="s">
        <v>1116</v>
      </c>
      <c r="CI6" s="1963" t="s">
        <v>1110</v>
      </c>
      <c r="CJ6" s="2267">
        <f>IF(CJ$5&gt;0,CJ$5,$C$5)</f>
        <v>0.1</v>
      </c>
      <c r="CK6" s="2129"/>
      <c r="CL6" s="2121" t="s">
        <v>1130</v>
      </c>
      <c r="CM6" s="2122" t="s">
        <v>1131</v>
      </c>
      <c r="CN6" s="2130" t="s">
        <v>1113</v>
      </c>
      <c r="CO6" s="2131" t="s">
        <v>1115</v>
      </c>
      <c r="CP6" s="2118" t="s">
        <v>1110</v>
      </c>
      <c r="CQ6" s="2264">
        <f>IF(CQ$5&gt;0,CQ$5,$B$5)</f>
        <v>0.25</v>
      </c>
      <c r="CR6" s="2132" t="s">
        <v>1114</v>
      </c>
      <c r="CS6" s="2131" t="s">
        <v>1116</v>
      </c>
      <c r="CT6" s="2118" t="s">
        <v>1110</v>
      </c>
      <c r="CU6" s="2276">
        <f>IF(CU$5&gt;0,CU$5,$C$5)</f>
        <v>0.1</v>
      </c>
      <c r="CV6" s="2273"/>
      <c r="CW6" s="2124" t="s">
        <v>1130</v>
      </c>
      <c r="CX6" s="2125" t="s">
        <v>1131</v>
      </c>
      <c r="CY6" s="2133" t="s">
        <v>1113</v>
      </c>
      <c r="CZ6" s="2134" t="s">
        <v>1115</v>
      </c>
      <c r="DA6" s="1963" t="s">
        <v>1110</v>
      </c>
      <c r="DB6" s="2266">
        <f>IF(DB$5&gt;0,DB$5,$B$5)</f>
        <v>0.25</v>
      </c>
      <c r="DC6" s="2135" t="s">
        <v>1114</v>
      </c>
      <c r="DD6" s="2134" t="s">
        <v>1116</v>
      </c>
      <c r="DE6" s="1963" t="s">
        <v>1110</v>
      </c>
      <c r="DF6" s="2267">
        <f>IF(DF$5&gt;0,DF$5,$C$5)</f>
        <v>0.1</v>
      </c>
      <c r="DG6" s="2129"/>
      <c r="DH6" s="2121" t="s">
        <v>1130</v>
      </c>
      <c r="DI6" s="2122" t="s">
        <v>1131</v>
      </c>
      <c r="DJ6" s="2130" t="s">
        <v>1113</v>
      </c>
      <c r="DK6" s="2131" t="s">
        <v>1115</v>
      </c>
      <c r="DL6" s="2118" t="s">
        <v>1110</v>
      </c>
      <c r="DM6" s="2264">
        <f>IF(DM$5&gt;0,DM$5,$B$5)</f>
        <v>0.25</v>
      </c>
      <c r="DN6" s="2132" t="s">
        <v>1114</v>
      </c>
      <c r="DO6" s="2131" t="s">
        <v>1116</v>
      </c>
      <c r="DP6" s="2118" t="s">
        <v>1110</v>
      </c>
      <c r="DQ6" s="2276">
        <f>IF(DQ$5&gt;0,DQ$5,$C$5)</f>
        <v>0.1</v>
      </c>
      <c r="DR6" s="2124"/>
      <c r="DS6" s="2124" t="s">
        <v>1130</v>
      </c>
      <c r="DT6" s="2125" t="s">
        <v>1131</v>
      </c>
      <c r="DU6" s="2133" t="s">
        <v>1113</v>
      </c>
      <c r="DV6" s="2134" t="s">
        <v>1115</v>
      </c>
      <c r="DW6" s="1963" t="s">
        <v>1110</v>
      </c>
      <c r="DX6" s="2266">
        <f>IF(DX$5&gt;0,DX$5,$B$5)</f>
        <v>0.25</v>
      </c>
      <c r="DY6" s="2135" t="s">
        <v>1114</v>
      </c>
      <c r="DZ6" s="2134" t="s">
        <v>1116</v>
      </c>
      <c r="EA6" s="1963" t="s">
        <v>1110</v>
      </c>
      <c r="EB6" s="2267">
        <f>IF(EB$5&gt;0,EB$5,$C$5)</f>
        <v>0.1</v>
      </c>
      <c r="EC6" s="2138"/>
      <c r="ED6" s="2139" t="s">
        <v>1113</v>
      </c>
      <c r="EE6" s="2140" t="s">
        <v>1115</v>
      </c>
      <c r="EF6" s="2197" t="s">
        <v>1110</v>
      </c>
      <c r="EG6" s="2306" t="s">
        <v>907</v>
      </c>
      <c r="EH6" s="2141" t="s">
        <v>1114</v>
      </c>
      <c r="EI6" s="2140" t="s">
        <v>1116</v>
      </c>
      <c r="EJ6" s="2221" t="s">
        <v>1110</v>
      </c>
      <c r="EK6" s="2306" t="s">
        <v>907</v>
      </c>
      <c r="EL6" s="4342"/>
      <c r="EM6" s="2140" t="s">
        <v>127</v>
      </c>
      <c r="EN6" s="2140" t="s">
        <v>128</v>
      </c>
      <c r="EO6" s="2138"/>
      <c r="EP6" s="2140" t="s">
        <v>1150</v>
      </c>
      <c r="EQ6" s="2140" t="s">
        <v>1148</v>
      </c>
      <c r="ER6" s="2140" t="s">
        <v>1149</v>
      </c>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row>
    <row r="7" spans="1:287" s="2156" customFormat="1" ht="18" customHeight="1">
      <c r="A7" s="2863" t="str">
        <f>IF('22 Sollumsatz pro MA '!$A8="","",'22 Sollumsatz pro MA '!$A8)</f>
        <v xml:space="preserve">Linda </v>
      </c>
      <c r="B7" s="2161"/>
      <c r="C7" s="2162"/>
      <c r="D7" s="2143"/>
      <c r="E7" s="2865">
        <f>IF('25 Sollumsatz nach Monaten'!F10=0,"",'25 Sollumsatz nach Monaten'!F10)</f>
        <v>8711.9549999999999</v>
      </c>
      <c r="F7" s="2866" t="str">
        <f t="shared" ref="F7:F8" si="0">IF(E7="","",IF(D7="","",D7-E7))</f>
        <v/>
      </c>
      <c r="G7" s="2867" t="str">
        <f>IF(E7="","",IF(D7="","",IF(F7&lt;0,"",IF(B7&gt;0,F7*B7,IF(G$5&gt;0,F7*G$5,F7*$B$5)))))</f>
        <v/>
      </c>
      <c r="H7" s="2143"/>
      <c r="I7" s="2865">
        <f>IF('25 Sollumsatz nach Monaten'!G10=0,"",'25 Sollumsatz nach Monaten'!G10)</f>
        <v>507.04500000000002</v>
      </c>
      <c r="J7" s="2866" t="str">
        <f t="shared" ref="J7:J8" si="1">IF(I7="","",IF(H7="","",H7-I7))</f>
        <v/>
      </c>
      <c r="K7" s="2871" t="str">
        <f>IF(I7="","",IF(H7="","",IF(J7&lt;0,"",IF(C7&gt;0,J7*C7,IF(K$5&gt;0,J7*K$5,J7*$C$5)))))</f>
        <v/>
      </c>
      <c r="L7" s="2873" t="str">
        <f>A7</f>
        <v xml:space="preserve">Linda </v>
      </c>
      <c r="M7" s="2161"/>
      <c r="N7" s="2162"/>
      <c r="O7" s="2143"/>
      <c r="P7" s="2865">
        <f>IF('25 Sollumsatz nach Monaten'!L10=0,"",'25 Sollumsatz nach Monaten'!L10)</f>
        <v>7467.39</v>
      </c>
      <c r="Q7" s="2866" t="str">
        <f t="shared" ref="Q7:Q8" si="2">IF(P7="","",IF(O7="","",O7-P7))</f>
        <v/>
      </c>
      <c r="R7" s="2867" t="str">
        <f>IF(P7="","",IF(O7="","",IF(Q7&lt;0,"",IF(M7&gt;0,Q7*M7,IF(R$6&gt;0,Q7*R$6,Q7*$B$5)))))</f>
        <v/>
      </c>
      <c r="S7" s="2143"/>
      <c r="T7" s="2865">
        <f>IF('25 Sollumsatz nach Monaten'!M10=0,"",'25 Sollumsatz nach Monaten'!M10)</f>
        <v>434.61</v>
      </c>
      <c r="U7" s="2866" t="str">
        <f t="shared" ref="U7:U8" si="3">IF(T7="","",IF(S7="","",S7-T7))</f>
        <v/>
      </c>
      <c r="V7" s="2867" t="str">
        <f t="shared" ref="V7:V13" si="4">IF(T7="","",IF(S7="","",IF(U7&lt;0,"",IF(N7&gt;0,U7*N7,IF(V$6&gt;0,U7*V$6,U7*$C$5)))))</f>
        <v/>
      </c>
      <c r="W7" s="2863" t="str">
        <f>L7</f>
        <v xml:space="preserve">Linda </v>
      </c>
      <c r="X7" s="2161"/>
      <c r="Y7" s="2162"/>
      <c r="Z7" s="2143"/>
      <c r="AA7" s="2865">
        <f>IF('25 Sollumsatz nach Monaten'!R10=0,"",'25 Sollumsatz nach Monaten'!R10)</f>
        <v>8711.9549999999999</v>
      </c>
      <c r="AB7" s="2866" t="str">
        <f t="shared" ref="AB7:AB8" si="5">IF(AA7="","",IF(Z7="","",Z7-AA7))</f>
        <v/>
      </c>
      <c r="AC7" s="2867" t="str">
        <f>IF(AA7="","",IF(Z7="","",IF(AB7&lt;0,"",IF(X7&gt;0,AB7*X7,IF(AC$6&gt;0,AB7*AC$6,AB7*$B$5)))))</f>
        <v/>
      </c>
      <c r="AD7" s="2143"/>
      <c r="AE7" s="2865">
        <f>IF('25 Sollumsatz nach Monaten'!S10=0,"",'25 Sollumsatz nach Monaten'!S10)</f>
        <v>507.04500000000002</v>
      </c>
      <c r="AF7" s="2866" t="str">
        <f t="shared" ref="AF7:AF8" si="6">IF(AE7="","",IF(AD7="","",AD7-AE7))</f>
        <v/>
      </c>
      <c r="AG7" s="2871" t="str">
        <f t="shared" ref="AG7:AG13" si="7">IF(AE7="","",IF(AD7="","",IF(AF7&lt;0,"",IF(Y7&gt;0,AF7*Y7,IF(AG$6&gt;0,AF7*AG$6,AF7*$C$5)))))</f>
        <v/>
      </c>
      <c r="AH7" s="2873" t="str">
        <f>W7</f>
        <v xml:space="preserve">Linda </v>
      </c>
      <c r="AI7" s="2161"/>
      <c r="AJ7" s="2162"/>
      <c r="AK7" s="2143"/>
      <c r="AL7" s="2865">
        <f>IF('25 Sollumsatz nach Monaten'!X10=0,"",'25 Sollumsatz nach Monaten'!X10)</f>
        <v>6637.68</v>
      </c>
      <c r="AM7" s="2866" t="str">
        <f t="shared" ref="AM7:AM8" si="8">IF(AL7="","",IF(AK7="","",AK7-AL7))</f>
        <v/>
      </c>
      <c r="AN7" s="2867" t="str">
        <f>IF(AL7="","",IF(AK7="","",IF(AM7&lt;0,"",IF(AI7&gt;0,AM7*AI7,IF(AN$6&gt;0,AM7*AN$6,AM7*$B$5)))))</f>
        <v/>
      </c>
      <c r="AO7" s="2143"/>
      <c r="AP7" s="2865">
        <f>IF('25 Sollumsatz nach Monaten'!Y10=0,"",'25 Sollumsatz nach Monaten'!Y10)</f>
        <v>386.32</v>
      </c>
      <c r="AQ7" s="2866" t="str">
        <f t="shared" ref="AQ7:AQ8" si="9">IF(AP7="","",IF(AO7="","",AO7-AP7))</f>
        <v/>
      </c>
      <c r="AR7" s="2867" t="str">
        <f t="shared" ref="AR7:AR13" si="10">IF(AP7="","",IF(AO7="","",IF(AQ7&lt;0,"",IF(AJ7&gt;0,AQ7*AJ7,IF(AR$6&gt;0,AQ7*AR$6,AQ7*$C$5)))))</f>
        <v/>
      </c>
      <c r="AS7" s="2863" t="str">
        <f>AH7</f>
        <v xml:space="preserve">Linda </v>
      </c>
      <c r="AT7" s="2161"/>
      <c r="AU7" s="2162"/>
      <c r="AV7" s="2143"/>
      <c r="AW7" s="2865">
        <f>IF('25 Sollumsatz nach Monaten'!AD10=0,"",'25 Sollumsatz nach Monaten'!AD10)</f>
        <v>8297.1</v>
      </c>
      <c r="AX7" s="2866" t="str">
        <f t="shared" ref="AX7:AX8" si="11">IF(AW7="","",IF(AV7="","",AV7-AW7))</f>
        <v/>
      </c>
      <c r="AY7" s="2867" t="str">
        <f>IF(AW7="","",IF(AV7="","",IF(AX7&lt;0,"",IF(AT7&gt;0,AX7*AT7,IF(AY$6&gt;0,AX7*AY$6,AX7*$B$5)))))</f>
        <v/>
      </c>
      <c r="AZ7" s="2143"/>
      <c r="BA7" s="2865">
        <f>IF('25 Sollumsatz nach Monaten'!AE10=0,"",'25 Sollumsatz nach Monaten'!AE10)</f>
        <v>482.9</v>
      </c>
      <c r="BB7" s="2866" t="str">
        <f t="shared" ref="BB7:BB8" si="12">IF(BA7="","",IF(AZ7="","",AZ7-BA7))</f>
        <v/>
      </c>
      <c r="BC7" s="2871" t="str">
        <f t="shared" ref="BC7:BC13" si="13">IF(BA7="","",IF(AZ7="","",IF(BB7&lt;0,"",IF(AU7&gt;0,BB7*AU7,IF(BC$6&gt;0,BB7*BC$6,BB7*$C$5)))))</f>
        <v/>
      </c>
      <c r="BD7" s="2873" t="str">
        <f>AS7</f>
        <v xml:space="preserve">Linda </v>
      </c>
      <c r="BE7" s="2161"/>
      <c r="BF7" s="2162"/>
      <c r="BG7" s="2143"/>
      <c r="BH7" s="2865">
        <f>IF('25 Sollumsatz nach Monaten'!AJ10=0,"",'25 Sollumsatz nach Monaten'!AJ10)</f>
        <v>8297.1</v>
      </c>
      <c r="BI7" s="2866" t="str">
        <f t="shared" ref="BI7:BI8" si="14">IF(BH7="","",IF(BG7="","",BG7-BH7))</f>
        <v/>
      </c>
      <c r="BJ7" s="2867" t="str">
        <f>IF(BH7="","",IF(BG7="","",IF(BI7&lt;0,"",IF(BE7&gt;0,BI7*BE7,IF(BJ$6&gt;0,BI7*BJ$6,BI7*$B$5)))))</f>
        <v/>
      </c>
      <c r="BK7" s="2143"/>
      <c r="BL7" s="2865">
        <f>IF('25 Sollumsatz nach Monaten'!AK10=0,"",'25 Sollumsatz nach Monaten'!AK10)</f>
        <v>482.9</v>
      </c>
      <c r="BM7" s="2866" t="str">
        <f t="shared" ref="BM7:BM8" si="15">IF(BL7="","",IF(BK7="","",BK7-BL7))</f>
        <v/>
      </c>
      <c r="BN7" s="2867" t="str">
        <f t="shared" ref="BN7:BN13" si="16">IF(BL7="","",IF(BK7="","",IF(BM7&lt;0,"",IF(BF7&gt;0,BM7*BF7,IF(BN$6&gt;0,BM7*BN$6,BM7*$C$5)))))</f>
        <v/>
      </c>
      <c r="BO7" s="2863" t="str">
        <f>BD7</f>
        <v xml:space="preserve">Linda </v>
      </c>
      <c r="BP7" s="2161"/>
      <c r="BQ7" s="2162"/>
      <c r="BR7" s="2143"/>
      <c r="BS7" s="2865">
        <f>IF('25 Sollumsatz nach Monaten'!AP10=0,"",'25 Sollumsatz nach Monaten'!AP10)</f>
        <v>9541.6650000000009</v>
      </c>
      <c r="BT7" s="2866" t="str">
        <f t="shared" ref="BT7:BT8" si="17">IF(BS7="","",IF(BR7="","",BR7-BS7))</f>
        <v/>
      </c>
      <c r="BU7" s="2867" t="str">
        <f>IF(BS7="","",IF(BR7="","",IF(BT7&lt;0,"",IF(BP7&gt;0,BT7*BP7,IF(BU$6&gt;0,BT7*BU$6,BT7*$B$5)))))</f>
        <v/>
      </c>
      <c r="BV7" s="2143"/>
      <c r="BW7" s="2865">
        <f>IF('25 Sollumsatz nach Monaten'!AQ10=0,"",'25 Sollumsatz nach Monaten'!AQ10)</f>
        <v>555.33500000000004</v>
      </c>
      <c r="BX7" s="2866" t="str">
        <f t="shared" ref="BX7:BX8" si="18">IF(BW7="","",IF(BV7="","",BV7-BW7))</f>
        <v/>
      </c>
      <c r="BY7" s="2871" t="str">
        <f t="shared" ref="BY7:BY13" si="19">IF(BW7="","",IF(BV7="","",IF(BX7&lt;0,"",IF(BQ7&gt;0,BX7*BQ7,IF(BY$6&gt;0,BX7*BY$6,BX7*$C$5)))))</f>
        <v/>
      </c>
      <c r="BZ7" s="2873" t="str">
        <f>BO7</f>
        <v xml:space="preserve">Linda </v>
      </c>
      <c r="CA7" s="2161"/>
      <c r="CB7" s="2162"/>
      <c r="CC7" s="2143"/>
      <c r="CD7" s="2865">
        <f>IF('25 Sollumsatz nach Monaten'!AV10=0,"",'25 Sollumsatz nach Monaten'!AV10)</f>
        <v>9541.6650000000009</v>
      </c>
      <c r="CE7" s="2866" t="str">
        <f t="shared" ref="CE7:CE8" si="20">IF(CD7="","",IF(CC7="","",CC7-CD7))</f>
        <v/>
      </c>
      <c r="CF7" s="2867" t="str">
        <f>IF(CD7="","",IF(CC7="","",IF(CE7&lt;0,"",IF(CA7&gt;0,CE7*CA7,IF(CF$6&gt;0,CE7*CF$6,CE7*$B$5)))))</f>
        <v/>
      </c>
      <c r="CG7" s="2143"/>
      <c r="CH7" s="2865">
        <f>IF('25 Sollumsatz nach Monaten'!AW10=0,"",'25 Sollumsatz nach Monaten'!AW10)</f>
        <v>555.33500000000004</v>
      </c>
      <c r="CI7" s="2866" t="str">
        <f t="shared" ref="CI7:CI8" si="21">IF(CH7="","",IF(CG7="","",CG7-CH7))</f>
        <v/>
      </c>
      <c r="CJ7" s="2867" t="str">
        <f t="shared" ref="CJ7:CJ13" si="22">IF(CH7="","",IF(CG7="","",IF(CI7&lt;0,"",IF(CB7&gt;0,CI7*CB7,IF(CJ$6&gt;0,CI7*CJ$6,CI7*$C$5)))))</f>
        <v/>
      </c>
      <c r="CK7" s="2863" t="str">
        <f>BZ7</f>
        <v xml:space="preserve">Linda </v>
      </c>
      <c r="CL7" s="2161"/>
      <c r="CM7" s="2162"/>
      <c r="CN7" s="2143"/>
      <c r="CO7" s="2865">
        <f>IF('25 Sollumsatz nach Monaten'!BB10=0,"",'25 Sollumsatz nach Monaten'!BB10)</f>
        <v>4148.55</v>
      </c>
      <c r="CP7" s="2866" t="str">
        <f t="shared" ref="CP7:CP8" si="23">IF(CO7="","",IF(CN7="","",CN7-CO7))</f>
        <v/>
      </c>
      <c r="CQ7" s="2867" t="str">
        <f>IF(CO7="","",IF(CN7="","",IF(CP7&lt;0,"",IF(CL7&gt;0,CP7*CL7,IF(CQ$6&gt;0,CP7*CQ$6,CP7*$B$5)))))</f>
        <v/>
      </c>
      <c r="CR7" s="2143"/>
      <c r="CS7" s="2865">
        <f>IF('25 Sollumsatz nach Monaten'!BC10=0,"",'25 Sollumsatz nach Monaten'!BC10)</f>
        <v>241.45</v>
      </c>
      <c r="CT7" s="2866" t="str">
        <f t="shared" ref="CT7:CT8" si="24">IF(CS7="","",IF(CR7="","",CR7-CS7))</f>
        <v/>
      </c>
      <c r="CU7" s="2871" t="str">
        <f t="shared" ref="CU7:CU13" si="25">IF(CS7="","",IF(CR7="","",IF(CT7&lt;0,"",IF(CM7&gt;0,CT7*CM7,IF(CU$6&gt;0,CT7*CU$6,CT7*$C$5)))))</f>
        <v/>
      </c>
      <c r="CV7" s="2873" t="str">
        <f>CK7</f>
        <v xml:space="preserve">Linda </v>
      </c>
      <c r="CW7" s="2161"/>
      <c r="CX7" s="2162"/>
      <c r="CY7" s="2143"/>
      <c r="CZ7" s="2865">
        <f>IF('25 Sollumsatz nach Monaten'!BH10=0,"",'25 Sollumsatz nach Monaten'!BH10)</f>
        <v>6637.68</v>
      </c>
      <c r="DA7" s="2866" t="str">
        <f t="shared" ref="DA7:DA8" si="26">IF(CZ7="","",IF(CY7="","",CY7-CZ7))</f>
        <v/>
      </c>
      <c r="DB7" s="2867" t="str">
        <f>IF(CZ7="","",IF(CY7="","",IF(DA7&lt;0,"",IF(CW7&gt;0,DA7*CW7,IF(DB$6&gt;0,DA7*DB$6,DA7*$B$5)))))</f>
        <v/>
      </c>
      <c r="DC7" s="2143"/>
      <c r="DD7" s="2865">
        <f>IF('25 Sollumsatz nach Monaten'!BI10=0,"",'25 Sollumsatz nach Monaten'!BI10)</f>
        <v>386.32</v>
      </c>
      <c r="DE7" s="2866" t="str">
        <f t="shared" ref="DE7:DE8" si="27">IF(DD7="","",IF(DC7="","",DC7-DD7))</f>
        <v/>
      </c>
      <c r="DF7" s="2867" t="str">
        <f t="shared" ref="DF7:DF13" si="28">IF(DD7="","",IF(DC7="","",IF(DE7&lt;0,"",IF(CX7&gt;0,DE7*CX7,IF(DF$6&gt;0,DE7*DF$6,DE7*$C$5)))))</f>
        <v/>
      </c>
      <c r="DG7" s="2863" t="str">
        <f>CV7</f>
        <v xml:space="preserve">Linda </v>
      </c>
      <c r="DH7" s="2161"/>
      <c r="DI7" s="2162"/>
      <c r="DJ7" s="2143"/>
      <c r="DK7" s="2865">
        <f>IF('25 Sollumsatz nach Monaten'!BN10=0,"",'25 Sollumsatz nach Monaten'!BN10)</f>
        <v>8297.1</v>
      </c>
      <c r="DL7" s="2866" t="str">
        <f t="shared" ref="DL7:DL8" si="29">IF(DK7="","",IF(DJ7="","",DJ7-DK7))</f>
        <v/>
      </c>
      <c r="DM7" s="2867" t="str">
        <f>IF(DK7="","",IF(DJ7="","",IF(DL7&lt;0,"",IF(DH7&gt;0,DL7*DH7,IF(DM$6&gt;0,DL7*DM$6,DL7*$B$5)))))</f>
        <v/>
      </c>
      <c r="DN7" s="2143"/>
      <c r="DO7" s="2865">
        <f>IF('25 Sollumsatz nach Monaten'!BO10=0,"",'25 Sollumsatz nach Monaten'!BO10)</f>
        <v>482.9</v>
      </c>
      <c r="DP7" s="2866" t="str">
        <f t="shared" ref="DP7:DP8" si="30">IF(DO7="","",IF(DN7="","",DN7-DO7))</f>
        <v/>
      </c>
      <c r="DQ7" s="2871" t="str">
        <f t="shared" ref="DQ7:DQ13" si="31">IF(DO7="","",IF(DN7="","",IF(DP7&lt;0,"",IF(DI7&gt;0,DP7*DI7,IF(DQ$6&gt;0,DP7*DQ$6,DP7*$C$5)))))</f>
        <v/>
      </c>
      <c r="DR7" s="2873" t="str">
        <f>DG7</f>
        <v xml:space="preserve">Linda </v>
      </c>
      <c r="DS7" s="2161"/>
      <c r="DT7" s="2162"/>
      <c r="DU7" s="2143"/>
      <c r="DV7" s="2865">
        <f>IF('25 Sollumsatz nach Monaten'!BT10=0,"",'25 Sollumsatz nach Monaten'!BT10)</f>
        <v>8297.1</v>
      </c>
      <c r="DW7" s="2866" t="str">
        <f t="shared" ref="DW7:DW8" si="32">IF(DV7="","",IF(DU7="","",DU7-DV7))</f>
        <v/>
      </c>
      <c r="DX7" s="2867" t="str">
        <f>IF(DV7="","",IF(DU7="","",IF(DW7&lt;0,"",IF(DS7&gt;0,DW7*DS7,IF(DX$6&gt;0,DW7*DX$6,DW7*$B$5)))))</f>
        <v/>
      </c>
      <c r="DY7" s="2143"/>
      <c r="DZ7" s="2865">
        <f>IF('25 Sollumsatz nach Monaten'!BU10=0,"",'25 Sollumsatz nach Monaten'!BU10)</f>
        <v>482.9</v>
      </c>
      <c r="EA7" s="2866" t="str">
        <f t="shared" ref="EA7:EA8" si="33">IF(DZ7="","",IF(DY7="","",DY7-DZ7))</f>
        <v/>
      </c>
      <c r="EB7" s="2867" t="str">
        <f t="shared" ref="EB7:EB13" si="34">IF(DZ7="","",IF(DY7="","",IF(EA7&lt;0,"",IF(DT7&gt;0,EA7*DT7,IF(EB$6&gt;0,EA7*EB$6,EA7*$C$5)))))</f>
        <v/>
      </c>
      <c r="EC7" s="2863" t="str">
        <f>DR7</f>
        <v xml:space="preserve">Linda </v>
      </c>
      <c r="ED7" s="2875">
        <f t="shared" ref="ED7:ED8" si="35">IF(EC7="","",SUM(DU7,DJ7,CY7,CN7,CC7,BR7,BG7,AV7,AK7,Z7,O7,D7))</f>
        <v>0</v>
      </c>
      <c r="EE7" s="2865">
        <f t="shared" ref="EE7:EE8" si="36">IF(EC7="","",SUM(DV7,DK7,CZ7,CO7,CD7,BS7,BH7,AW7,AL7,AA7,P7,E7))</f>
        <v>94586.94</v>
      </c>
      <c r="EF7" s="2866">
        <f t="shared" ref="EF7" si="37">IF(EE7="","",IF(ED7="","",ED7-EE7))</f>
        <v>-94586.94</v>
      </c>
      <c r="EG7" s="2876" t="str">
        <f>IF(EC7="","",IF(SUM(DX7,DM7,DB7,CQ7,CF7,BU7,BJ7,AY7,AN7,AC7,R7,G7)=0,"",SUM(DX7,DM7,DB7,CQ7,CF7,BU7,BJ7,AY7,AN7,AC7,R7,G7)))</f>
        <v/>
      </c>
      <c r="EH7" s="2877">
        <f t="shared" ref="EH7:EH8" si="38">IF(EC7="","",SUM(DY7,DN7,DC7,CR7,CG7,BV7,BK7,AZ7,AO7,AD7,S7,H7))</f>
        <v>0</v>
      </c>
      <c r="EI7" s="2865">
        <f t="shared" ref="EI7:EI8" si="39">IF(EC7="","",SUM(DZ7,DO7,DD7,CS7,CH7,BW7,BL7,BA7,AP7,AE7,T7,I7))</f>
        <v>5505.0599999999995</v>
      </c>
      <c r="EJ7" s="2866">
        <f t="shared" ref="EJ7" si="40">IF(EI7="","",IF(EH7="","",EH7-EI7))</f>
        <v>-5505.0599999999995</v>
      </c>
      <c r="EK7" s="2876" t="str">
        <f t="shared" ref="EK7:EK8" si="41">IF(EC7="","",IF(SUM(EB7,DQ7,DF7,CU7,CJ7,BY7,BN7,BC7,AR7,AG7,V7,K7)=0,"",SUM(EB7,DQ7,DF7,CU7,CJ7,BY7,BN7,BC7,AR7,AG7,V7,K7)))</f>
        <v/>
      </c>
      <c r="EL7" s="2878" t="str">
        <f>IF(COUNTIF($EY7:$JZ7,3)=0,"",COUNTIF($EY7:$JZ7,3))</f>
        <v/>
      </c>
      <c r="EM7" s="2878" t="str">
        <f>IF(COUNTIF($EY7:$JZ7,1)=0,"",COUNTIF($EY7:$JZ7,1))</f>
        <v/>
      </c>
      <c r="EN7" s="2878" t="str">
        <f>IF(COUNTIF($EY7:$JZ7,2)=0,"",COUNTIF($EY7:$JZ7,2))</f>
        <v/>
      </c>
      <c r="EO7" s="2863" t="str">
        <f>EC7</f>
        <v xml:space="preserve">Linda </v>
      </c>
      <c r="EP7" s="2882">
        <f>IF('25 Sollumsatz nach Monaten'!BV10="","",SUM(EQ7:ER7))</f>
        <v>0</v>
      </c>
      <c r="EQ7" s="2882">
        <f>IF('25 Sollumsatz nach Monaten'!BV10="","",ED7/'25 Sollumsatz nach Monaten'!BV10)</f>
        <v>0</v>
      </c>
      <c r="ER7" s="2882">
        <f>IF('25 Sollumsatz nach Monaten'!BV10="","",EH7/'25 Sollumsatz nach Monaten'!BV10)</f>
        <v>0</v>
      </c>
      <c r="EY7" s="2248"/>
      <c r="EZ7" s="2249"/>
      <c r="FA7" s="2250"/>
      <c r="FB7" s="2251" t="str">
        <f t="shared" ref="FB7:FB8" si="42">IF(D7="","",3)</f>
        <v/>
      </c>
      <c r="FC7" s="2252"/>
      <c r="FD7" s="2253"/>
      <c r="FE7" s="2251" t="str">
        <f t="shared" ref="FE7:FE8" si="43">IF(G7="","",1)</f>
        <v/>
      </c>
      <c r="FF7" s="2254"/>
      <c r="FG7" s="2252"/>
      <c r="FH7" s="2253"/>
      <c r="FI7" s="2251" t="str">
        <f t="shared" ref="FI7:FI8" si="44">IF(K7="","",2)</f>
        <v/>
      </c>
      <c r="FJ7" s="2248"/>
      <c r="FK7" s="2249"/>
      <c r="FL7" s="2250"/>
      <c r="FM7" s="2251" t="str">
        <f t="shared" ref="FM7:FM8" si="45">IF(O7="","",3)</f>
        <v/>
      </c>
      <c r="FN7" s="2252"/>
      <c r="FO7" s="2253"/>
      <c r="FP7" s="2251" t="str">
        <f t="shared" ref="FP7:FP8" si="46">IF(R7="","",1)</f>
        <v/>
      </c>
      <c r="FQ7" s="2254"/>
      <c r="FR7" s="2252"/>
      <c r="FS7" s="2253"/>
      <c r="FT7" s="2251" t="str">
        <f t="shared" ref="FT7:FT8" si="47">IF(V7="","",2)</f>
        <v/>
      </c>
      <c r="FU7" s="2248"/>
      <c r="FV7" s="2249"/>
      <c r="FW7" s="2250"/>
      <c r="FX7" s="2251" t="str">
        <f t="shared" ref="FX7:FX8" si="48">IF(Z7="","",3)</f>
        <v/>
      </c>
      <c r="FY7" s="2252"/>
      <c r="FZ7" s="2253"/>
      <c r="GA7" s="2251" t="str">
        <f t="shared" ref="GA7:GA8" si="49">IF(AC7="","",1)</f>
        <v/>
      </c>
      <c r="GB7" s="2254"/>
      <c r="GC7" s="2252"/>
      <c r="GD7" s="2253"/>
      <c r="GE7" s="2251" t="str">
        <f t="shared" ref="GE7:GE8" si="50">IF(AG7="","",2)</f>
        <v/>
      </c>
      <c r="GF7" s="2248"/>
      <c r="GG7" s="2249"/>
      <c r="GH7" s="2250"/>
      <c r="GI7" s="2251" t="str">
        <f t="shared" ref="GI7:GI8" si="51">IF(AK7="","",3)</f>
        <v/>
      </c>
      <c r="GJ7" s="2252"/>
      <c r="GK7" s="2253"/>
      <c r="GL7" s="2251" t="str">
        <f t="shared" ref="GL7:GL8" si="52">IF(AN7="","",1)</f>
        <v/>
      </c>
      <c r="GM7" s="2254"/>
      <c r="GN7" s="2252"/>
      <c r="GO7" s="2253"/>
      <c r="GP7" s="2251" t="str">
        <f t="shared" ref="GP7:GP8" si="53">IF(AR7="","",2)</f>
        <v/>
      </c>
      <c r="GQ7" s="2248"/>
      <c r="GR7" s="2249"/>
      <c r="GS7" s="2250"/>
      <c r="GT7" s="2251" t="str">
        <f t="shared" ref="GT7:GT8" si="54">IF(AV7="","",3)</f>
        <v/>
      </c>
      <c r="GU7" s="2252"/>
      <c r="GV7" s="2253"/>
      <c r="GW7" s="2251" t="str">
        <f t="shared" ref="GW7:GW8" si="55">IF(AY7="","",1)</f>
        <v/>
      </c>
      <c r="GX7" s="2254"/>
      <c r="GY7" s="2252"/>
      <c r="GZ7" s="2253"/>
      <c r="HA7" s="2251" t="str">
        <f t="shared" ref="HA7:HA8" si="56">IF(BC7="","",2)</f>
        <v/>
      </c>
      <c r="HB7" s="2248"/>
      <c r="HC7" s="2249"/>
      <c r="HD7" s="2250"/>
      <c r="HE7" s="2251" t="str">
        <f t="shared" ref="HE7:HE8" si="57">IF(BG7="","",3)</f>
        <v/>
      </c>
      <c r="HF7" s="2252"/>
      <c r="HG7" s="2253"/>
      <c r="HH7" s="2251" t="str">
        <f t="shared" ref="HH7:HH8" si="58">IF(BJ7="","",1)</f>
        <v/>
      </c>
      <c r="HI7" s="2254"/>
      <c r="HJ7" s="2252"/>
      <c r="HK7" s="2253"/>
      <c r="HL7" s="2251" t="str">
        <f t="shared" ref="HL7:HL8" si="59">IF(BN7="","",2)</f>
        <v/>
      </c>
      <c r="HM7" s="2248"/>
      <c r="HN7" s="2249"/>
      <c r="HO7" s="2250"/>
      <c r="HP7" s="2251" t="str">
        <f t="shared" ref="HP7:HP8" si="60">IF(BR7="","",3)</f>
        <v/>
      </c>
      <c r="HQ7" s="2252"/>
      <c r="HR7" s="2253"/>
      <c r="HS7" s="2251" t="str">
        <f t="shared" ref="HS7:HS8" si="61">IF(BU7="","",1)</f>
        <v/>
      </c>
      <c r="HT7" s="2254"/>
      <c r="HU7" s="2252"/>
      <c r="HV7" s="2253"/>
      <c r="HW7" s="2251" t="str">
        <f t="shared" ref="HW7:HW8" si="62">IF(BY7="","",2)</f>
        <v/>
      </c>
      <c r="HX7" s="2248"/>
      <c r="HY7" s="2249"/>
      <c r="HZ7" s="2250"/>
      <c r="IA7" s="2251" t="str">
        <f t="shared" ref="IA7:IA8" si="63">IF(CC7="","",3)</f>
        <v/>
      </c>
      <c r="IB7" s="2252"/>
      <c r="IC7" s="2253"/>
      <c r="ID7" s="2251" t="str">
        <f t="shared" ref="ID7:ID8" si="64">IF(CF7="","",1)</f>
        <v/>
      </c>
      <c r="IE7" s="2254"/>
      <c r="IF7" s="2252"/>
      <c r="IG7" s="2253"/>
      <c r="IH7" s="2251" t="str">
        <f t="shared" ref="IH7:IH8" si="65">IF(CJ7="","",2)</f>
        <v/>
      </c>
      <c r="II7" s="2248"/>
      <c r="IJ7" s="2249"/>
      <c r="IK7" s="2250"/>
      <c r="IL7" s="2251" t="str">
        <f t="shared" ref="IL7:IL8" si="66">IF(CN7="","",3)</f>
        <v/>
      </c>
      <c r="IM7" s="2252"/>
      <c r="IN7" s="2253"/>
      <c r="IO7" s="2251" t="str">
        <f t="shared" ref="IO7:IO8" si="67">IF(CQ7="","",1)</f>
        <v/>
      </c>
      <c r="IP7" s="2254"/>
      <c r="IQ7" s="2252"/>
      <c r="IR7" s="2253"/>
      <c r="IS7" s="2251" t="str">
        <f t="shared" ref="IS7:IS8" si="68">IF(CU7="","",2)</f>
        <v/>
      </c>
      <c r="IT7" s="2248"/>
      <c r="IU7" s="2249"/>
      <c r="IV7" s="2250"/>
      <c r="IW7" s="2251" t="str">
        <f t="shared" ref="IW7:IW8" si="69">IF(CY7="","",3)</f>
        <v/>
      </c>
      <c r="IX7" s="2252"/>
      <c r="IY7" s="2253"/>
      <c r="IZ7" s="2251" t="str">
        <f t="shared" ref="IZ7:IZ8" si="70">IF(DB7="","",1)</f>
        <v/>
      </c>
      <c r="JA7" s="2254"/>
      <c r="JB7" s="2252"/>
      <c r="JC7" s="2253"/>
      <c r="JD7" s="2251" t="str">
        <f t="shared" ref="JD7:JD8" si="71">IF(DF7="","",2)</f>
        <v/>
      </c>
      <c r="JE7" s="2248"/>
      <c r="JF7" s="2249"/>
      <c r="JG7" s="2250"/>
      <c r="JH7" s="2251" t="str">
        <f t="shared" ref="JH7:JH8" si="72">IF(DJ7="","",3)</f>
        <v/>
      </c>
      <c r="JI7" s="2252"/>
      <c r="JJ7" s="2253"/>
      <c r="JK7" s="2251" t="str">
        <f t="shared" ref="JK7:JK8" si="73">IF(DM7="","",1)</f>
        <v/>
      </c>
      <c r="JL7" s="2254"/>
      <c r="JM7" s="2252"/>
      <c r="JN7" s="2253"/>
      <c r="JO7" s="2251" t="str">
        <f t="shared" ref="JO7:JO8" si="74">IF(DQ7="","",2)</f>
        <v/>
      </c>
      <c r="JP7" s="2248"/>
      <c r="JQ7" s="2249"/>
      <c r="JR7" s="2250"/>
      <c r="JS7" s="2251" t="str">
        <f t="shared" ref="JS7:JS8" si="75">IF(DU7="","",3)</f>
        <v/>
      </c>
      <c r="JT7" s="2252"/>
      <c r="JU7" s="2253"/>
      <c r="JV7" s="2251" t="str">
        <f t="shared" ref="JV7:JV8" si="76">IF(DX7="","",1)</f>
        <v/>
      </c>
      <c r="JW7" s="2254"/>
      <c r="JX7" s="2252"/>
      <c r="JY7" s="2253"/>
      <c r="JZ7" s="2251" t="str">
        <f t="shared" ref="JZ7:JZ8" si="77">IF(EB7="","",2)</f>
        <v/>
      </c>
      <c r="KA7" s="2231"/>
    </row>
    <row r="8" spans="1:287" s="2156" customFormat="1" ht="18" customHeight="1">
      <c r="A8" s="2863" t="str">
        <f>IF('22 Sollumsatz pro MA '!$A9="","",'22 Sollumsatz pro MA '!$A9)</f>
        <v/>
      </c>
      <c r="B8" s="2161"/>
      <c r="C8" s="2162"/>
      <c r="D8" s="2143"/>
      <c r="E8" s="2865" t="str">
        <f>IF('25 Sollumsatz nach Monaten'!F11=0,"",'25 Sollumsatz nach Monaten'!F11)</f>
        <v/>
      </c>
      <c r="F8" s="2866" t="str">
        <f t="shared" si="0"/>
        <v/>
      </c>
      <c r="G8" s="2867" t="str">
        <f>IF(E8="","",IF(D8="","",IF(F8&lt;0,"",IF(B8&gt;0,F8*B8,IF(G$5&gt;0,F8*G$5,F8*$B$5)))))</f>
        <v/>
      </c>
      <c r="H8" s="2143"/>
      <c r="I8" s="2865" t="str">
        <f>IF('25 Sollumsatz nach Monaten'!G11=0,"",'25 Sollumsatz nach Monaten'!G11)</f>
        <v/>
      </c>
      <c r="J8" s="2866" t="str">
        <f t="shared" si="1"/>
        <v/>
      </c>
      <c r="K8" s="2871" t="str">
        <f>IF(I8="","",IF(H8="","",IF(J8&lt;0,"",IF(C8&gt;0,J8*C8,IF(K$5&gt;0,J8*K$5,J8*$C$5)))))</f>
        <v/>
      </c>
      <c r="L8" s="2873" t="str">
        <f>A8</f>
        <v/>
      </c>
      <c r="M8" s="2161"/>
      <c r="N8" s="2162"/>
      <c r="O8" s="2143"/>
      <c r="P8" s="2865" t="str">
        <f>IF('25 Sollumsatz nach Monaten'!L11=0,"",'25 Sollumsatz nach Monaten'!L11)</f>
        <v/>
      </c>
      <c r="Q8" s="2866" t="str">
        <f t="shared" si="2"/>
        <v/>
      </c>
      <c r="R8" s="2867" t="str">
        <f>IF(P8="","",IF(O8="","",IF(Q8&lt;0,"",IF(M8&gt;0,Q8*M8,IF(R$6&gt;0,Q8*R$6,Q8*$B$5)))))</f>
        <v/>
      </c>
      <c r="S8" s="2143"/>
      <c r="T8" s="2865" t="str">
        <f>IF('25 Sollumsatz nach Monaten'!M11=0,"",'25 Sollumsatz nach Monaten'!M11)</f>
        <v/>
      </c>
      <c r="U8" s="2866" t="str">
        <f t="shared" si="3"/>
        <v/>
      </c>
      <c r="V8" s="2867" t="str">
        <f t="shared" si="4"/>
        <v/>
      </c>
      <c r="W8" s="2863" t="str">
        <f>L8</f>
        <v/>
      </c>
      <c r="X8" s="2161"/>
      <c r="Y8" s="2162"/>
      <c r="Z8" s="2143"/>
      <c r="AA8" s="2865" t="str">
        <f>IF('25 Sollumsatz nach Monaten'!R11=0,"",'25 Sollumsatz nach Monaten'!R11)</f>
        <v/>
      </c>
      <c r="AB8" s="2866" t="str">
        <f t="shared" si="5"/>
        <v/>
      </c>
      <c r="AC8" s="2867" t="str">
        <f>IF(AA8="","",IF(Z8="","",IF(AB8&lt;0,"",IF(X8&gt;0,AB8*X8,IF(AC$6&gt;0,AB8*AC$6,AB8*$B$5)))))</f>
        <v/>
      </c>
      <c r="AD8" s="2143"/>
      <c r="AE8" s="2865" t="str">
        <f>IF('25 Sollumsatz nach Monaten'!S11=0,"",'25 Sollumsatz nach Monaten'!S11)</f>
        <v/>
      </c>
      <c r="AF8" s="2866" t="str">
        <f t="shared" si="6"/>
        <v/>
      </c>
      <c r="AG8" s="2871" t="str">
        <f t="shared" si="7"/>
        <v/>
      </c>
      <c r="AH8" s="2873" t="str">
        <f>W8</f>
        <v/>
      </c>
      <c r="AI8" s="2161"/>
      <c r="AJ8" s="2162"/>
      <c r="AK8" s="2143"/>
      <c r="AL8" s="2865" t="str">
        <f>IF('25 Sollumsatz nach Monaten'!X11=0,"",'25 Sollumsatz nach Monaten'!X11)</f>
        <v/>
      </c>
      <c r="AM8" s="2866" t="str">
        <f t="shared" si="8"/>
        <v/>
      </c>
      <c r="AN8" s="2867" t="str">
        <f>IF(AL8="","",IF(AK8="","",IF(AM8&lt;0,"",IF(AI8&gt;0,AM8*AI8,IF(AN$6&gt;0,AM8*AN$6,AM8*$B$5)))))</f>
        <v/>
      </c>
      <c r="AO8" s="2143"/>
      <c r="AP8" s="2865" t="str">
        <f>IF('25 Sollumsatz nach Monaten'!Y11=0,"",'25 Sollumsatz nach Monaten'!Y11)</f>
        <v/>
      </c>
      <c r="AQ8" s="2866" t="str">
        <f t="shared" si="9"/>
        <v/>
      </c>
      <c r="AR8" s="2867" t="str">
        <f t="shared" si="10"/>
        <v/>
      </c>
      <c r="AS8" s="2863" t="str">
        <f>AH8</f>
        <v/>
      </c>
      <c r="AT8" s="2161"/>
      <c r="AU8" s="2162"/>
      <c r="AV8" s="2143"/>
      <c r="AW8" s="2865" t="str">
        <f>IF('25 Sollumsatz nach Monaten'!AD11=0,"",'25 Sollumsatz nach Monaten'!AD11)</f>
        <v/>
      </c>
      <c r="AX8" s="2866" t="str">
        <f t="shared" si="11"/>
        <v/>
      </c>
      <c r="AY8" s="2867" t="str">
        <f>IF(AW8="","",IF(AV8="","",IF(AX8&lt;0,"",IF(AT8&gt;0,AX8*AT8,IF(AY$6&gt;0,AX8*AY$6,AX8*$B$5)))))</f>
        <v/>
      </c>
      <c r="AZ8" s="2143"/>
      <c r="BA8" s="2865" t="str">
        <f>IF('25 Sollumsatz nach Monaten'!AE11=0,"",'25 Sollumsatz nach Monaten'!AE11)</f>
        <v/>
      </c>
      <c r="BB8" s="2866" t="str">
        <f t="shared" si="12"/>
        <v/>
      </c>
      <c r="BC8" s="2871" t="str">
        <f t="shared" si="13"/>
        <v/>
      </c>
      <c r="BD8" s="2873" t="str">
        <f>AS8</f>
        <v/>
      </c>
      <c r="BE8" s="2161"/>
      <c r="BF8" s="2162"/>
      <c r="BG8" s="2143"/>
      <c r="BH8" s="2865" t="str">
        <f>IF('25 Sollumsatz nach Monaten'!AJ11=0,"",'25 Sollumsatz nach Monaten'!AJ11)</f>
        <v/>
      </c>
      <c r="BI8" s="2866" t="str">
        <f t="shared" si="14"/>
        <v/>
      </c>
      <c r="BJ8" s="2867" t="str">
        <f>IF(BH8="","",IF(BG8="","",IF(BI8&lt;0,"",IF(BE8&gt;0,BI8*BE8,IF(BJ$6&gt;0,BI8*BJ$6,BI8*$B$5)))))</f>
        <v/>
      </c>
      <c r="BK8" s="2143"/>
      <c r="BL8" s="2865" t="str">
        <f>IF('25 Sollumsatz nach Monaten'!AK11=0,"",'25 Sollumsatz nach Monaten'!AK11)</f>
        <v/>
      </c>
      <c r="BM8" s="2866" t="str">
        <f t="shared" si="15"/>
        <v/>
      </c>
      <c r="BN8" s="2867" t="str">
        <f t="shared" si="16"/>
        <v/>
      </c>
      <c r="BO8" s="2863" t="str">
        <f>BD8</f>
        <v/>
      </c>
      <c r="BP8" s="2161"/>
      <c r="BQ8" s="2162"/>
      <c r="BR8" s="2143"/>
      <c r="BS8" s="2865" t="str">
        <f>IF('25 Sollumsatz nach Monaten'!AP11=0,"",'25 Sollumsatz nach Monaten'!AP11)</f>
        <v/>
      </c>
      <c r="BT8" s="2866" t="str">
        <f t="shared" si="17"/>
        <v/>
      </c>
      <c r="BU8" s="2867" t="str">
        <f>IF(BS8="","",IF(BR8="","",IF(BT8&lt;0,"",IF(BP8&gt;0,BT8*BP8,IF(BU$6&gt;0,BT8*BU$6,BT8*$B$5)))))</f>
        <v/>
      </c>
      <c r="BV8" s="2143"/>
      <c r="BW8" s="2865" t="str">
        <f>IF('25 Sollumsatz nach Monaten'!AQ11=0,"",'25 Sollumsatz nach Monaten'!AQ11)</f>
        <v/>
      </c>
      <c r="BX8" s="2866" t="str">
        <f t="shared" si="18"/>
        <v/>
      </c>
      <c r="BY8" s="2871" t="str">
        <f t="shared" si="19"/>
        <v/>
      </c>
      <c r="BZ8" s="2873" t="str">
        <f>BO8</f>
        <v/>
      </c>
      <c r="CA8" s="2161"/>
      <c r="CB8" s="2162"/>
      <c r="CC8" s="2143"/>
      <c r="CD8" s="2865" t="str">
        <f>IF('25 Sollumsatz nach Monaten'!AV11=0,"",'25 Sollumsatz nach Monaten'!AV11)</f>
        <v/>
      </c>
      <c r="CE8" s="2866" t="str">
        <f t="shared" si="20"/>
        <v/>
      </c>
      <c r="CF8" s="2867" t="str">
        <f>IF(CD8="","",IF(CC8="","",IF(CE8&lt;0,"",IF(CA8&gt;0,CE8*CA8,IF(CF$6&gt;0,CE8*CF$6,CE8*$B$5)))))</f>
        <v/>
      </c>
      <c r="CG8" s="2143"/>
      <c r="CH8" s="2865" t="str">
        <f>IF('25 Sollumsatz nach Monaten'!AW11=0,"",'25 Sollumsatz nach Monaten'!AW11)</f>
        <v/>
      </c>
      <c r="CI8" s="2866" t="str">
        <f t="shared" si="21"/>
        <v/>
      </c>
      <c r="CJ8" s="2867" t="str">
        <f t="shared" si="22"/>
        <v/>
      </c>
      <c r="CK8" s="2863" t="str">
        <f>BZ8</f>
        <v/>
      </c>
      <c r="CL8" s="2161"/>
      <c r="CM8" s="2162"/>
      <c r="CN8" s="2143"/>
      <c r="CO8" s="2865" t="str">
        <f>IF('25 Sollumsatz nach Monaten'!BB11=0,"",'25 Sollumsatz nach Monaten'!BB11)</f>
        <v/>
      </c>
      <c r="CP8" s="2866" t="str">
        <f t="shared" si="23"/>
        <v/>
      </c>
      <c r="CQ8" s="2867" t="str">
        <f>IF(CO8="","",IF(CN8="","",IF(CP8&lt;0,"",IF(CL8&gt;0,CP8*CL8,IF(CQ$6&gt;0,CP8*CQ$6,CP8*$B$5)))))</f>
        <v/>
      </c>
      <c r="CR8" s="2143"/>
      <c r="CS8" s="2865" t="str">
        <f>IF('25 Sollumsatz nach Monaten'!BC11=0,"",'25 Sollumsatz nach Monaten'!BC11)</f>
        <v/>
      </c>
      <c r="CT8" s="2866" t="str">
        <f t="shared" si="24"/>
        <v/>
      </c>
      <c r="CU8" s="2871" t="str">
        <f t="shared" si="25"/>
        <v/>
      </c>
      <c r="CV8" s="2873" t="str">
        <f>CK8</f>
        <v/>
      </c>
      <c r="CW8" s="2161"/>
      <c r="CX8" s="2162"/>
      <c r="CY8" s="2143"/>
      <c r="CZ8" s="2865" t="str">
        <f>IF('25 Sollumsatz nach Monaten'!BH11=0,"",'25 Sollumsatz nach Monaten'!BH11)</f>
        <v/>
      </c>
      <c r="DA8" s="2866" t="str">
        <f t="shared" si="26"/>
        <v/>
      </c>
      <c r="DB8" s="2867" t="str">
        <f>IF(CZ8="","",IF(CY8="","",IF(DA8&lt;0,"",IF(CW8&gt;0,DA8*CW8,IF(DB$6&gt;0,DA8*DB$6,DA8*$B$5)))))</f>
        <v/>
      </c>
      <c r="DC8" s="2143"/>
      <c r="DD8" s="2865" t="str">
        <f>IF('25 Sollumsatz nach Monaten'!BI11=0,"",'25 Sollumsatz nach Monaten'!BI11)</f>
        <v/>
      </c>
      <c r="DE8" s="2866" t="str">
        <f t="shared" si="27"/>
        <v/>
      </c>
      <c r="DF8" s="2867" t="str">
        <f t="shared" si="28"/>
        <v/>
      </c>
      <c r="DG8" s="2863" t="str">
        <f>CV8</f>
        <v/>
      </c>
      <c r="DH8" s="2161"/>
      <c r="DI8" s="2162"/>
      <c r="DJ8" s="2143"/>
      <c r="DK8" s="2865" t="str">
        <f>IF('25 Sollumsatz nach Monaten'!BN11=0,"",'25 Sollumsatz nach Monaten'!BN11)</f>
        <v/>
      </c>
      <c r="DL8" s="2866" t="str">
        <f t="shared" si="29"/>
        <v/>
      </c>
      <c r="DM8" s="2867" t="str">
        <f>IF(DK8="","",IF(DJ8="","",IF(DL8&lt;0,"",IF(DH8&gt;0,DL8*DH8,IF(DM$6&gt;0,DL8*DM$6,DL8*$B$5)))))</f>
        <v/>
      </c>
      <c r="DN8" s="2143"/>
      <c r="DO8" s="2865" t="str">
        <f>IF('25 Sollumsatz nach Monaten'!BO11=0,"",'25 Sollumsatz nach Monaten'!BO11)</f>
        <v/>
      </c>
      <c r="DP8" s="2866" t="str">
        <f t="shared" si="30"/>
        <v/>
      </c>
      <c r="DQ8" s="2871" t="str">
        <f t="shared" si="31"/>
        <v/>
      </c>
      <c r="DR8" s="2873" t="str">
        <f>DG8</f>
        <v/>
      </c>
      <c r="DS8" s="2161"/>
      <c r="DT8" s="2162"/>
      <c r="DU8" s="2143"/>
      <c r="DV8" s="2865" t="str">
        <f>IF('25 Sollumsatz nach Monaten'!BT11=0,"",'25 Sollumsatz nach Monaten'!BT11)</f>
        <v/>
      </c>
      <c r="DW8" s="2866" t="str">
        <f t="shared" si="32"/>
        <v/>
      </c>
      <c r="DX8" s="2867" t="str">
        <f>IF(DV8="","",IF(DU8="","",IF(DW8&lt;0,"",IF(DS8&gt;0,DW8*DS8,IF(DX$6&gt;0,DW8*DX$6,DW8*$B$5)))))</f>
        <v/>
      </c>
      <c r="DY8" s="2143"/>
      <c r="DZ8" s="2865" t="str">
        <f>IF('25 Sollumsatz nach Monaten'!BU11=0,"",'25 Sollumsatz nach Monaten'!BU11)</f>
        <v/>
      </c>
      <c r="EA8" s="2866" t="str">
        <f t="shared" si="33"/>
        <v/>
      </c>
      <c r="EB8" s="2867" t="str">
        <f t="shared" si="34"/>
        <v/>
      </c>
      <c r="EC8" s="2863" t="str">
        <f>DR8</f>
        <v/>
      </c>
      <c r="ED8" s="2875" t="str">
        <f t="shared" si="35"/>
        <v/>
      </c>
      <c r="EE8" s="2865" t="str">
        <f t="shared" si="36"/>
        <v/>
      </c>
      <c r="EF8" s="2866" t="str">
        <f>IF(EE8="","",IF(ED8="","",ED8-EE8))</f>
        <v/>
      </c>
      <c r="EG8" s="2876" t="str">
        <f>IF(EC8="","",IF(SUM(DX8,DM8,DB8,CQ8,CF8,BU8,BJ8,AY8,AN8,AC8,R8,G8)=0,"",SUM(DX8,DM8,DB8,CQ8,CF8,BU8,BJ8,AY8,AN8,AC8,R8,G8)))</f>
        <v/>
      </c>
      <c r="EH8" s="2877" t="str">
        <f t="shared" si="38"/>
        <v/>
      </c>
      <c r="EI8" s="2865" t="str">
        <f t="shared" si="39"/>
        <v/>
      </c>
      <c r="EJ8" s="2866" t="str">
        <f>IF(EI8="","",IF(EH8="","",EH8-EI8))</f>
        <v/>
      </c>
      <c r="EK8" s="2876" t="str">
        <f t="shared" si="41"/>
        <v/>
      </c>
      <c r="EL8" s="2878" t="str">
        <f>IF(COUNTIF($EY8:$JZ8,3)=0,"",COUNTIF($EY8:$JZ8,3))</f>
        <v/>
      </c>
      <c r="EM8" s="2878" t="str">
        <f>IF(COUNTIF($EY8:$JZ8,1)=0,"",COUNTIF($EY8:$JZ8,1))</f>
        <v/>
      </c>
      <c r="EN8" s="2878" t="str">
        <f>IF(COUNTIF($EY8:$JZ8,2)=0,"",COUNTIF($EY8:$JZ8,2))</f>
        <v/>
      </c>
      <c r="EO8" s="2863" t="str">
        <f>EC8</f>
        <v/>
      </c>
      <c r="EP8" s="2882" t="str">
        <f>IF('25 Sollumsatz nach Monaten'!BV11="","",SUM(EQ8:ER8))</f>
        <v/>
      </c>
      <c r="EQ8" s="2882" t="str">
        <f>IF('25 Sollumsatz nach Monaten'!BV11="","",ED8/'25 Sollumsatz nach Monaten'!BV11)</f>
        <v/>
      </c>
      <c r="ER8" s="2882" t="str">
        <f>IF('25 Sollumsatz nach Monaten'!BV11="","",EH8/'25 Sollumsatz nach Monaten'!BV11)</f>
        <v/>
      </c>
      <c r="EY8" s="2248"/>
      <c r="EZ8" s="2249"/>
      <c r="FA8" s="2250"/>
      <c r="FB8" s="2251" t="str">
        <f t="shared" si="42"/>
        <v/>
      </c>
      <c r="FC8" s="2252"/>
      <c r="FD8" s="2253"/>
      <c r="FE8" s="2251" t="str">
        <f t="shared" si="43"/>
        <v/>
      </c>
      <c r="FF8" s="2254"/>
      <c r="FG8" s="2252"/>
      <c r="FH8" s="2253"/>
      <c r="FI8" s="2251" t="str">
        <f t="shared" si="44"/>
        <v/>
      </c>
      <c r="FJ8" s="2248"/>
      <c r="FK8" s="2249"/>
      <c r="FL8" s="2250"/>
      <c r="FM8" s="2251" t="str">
        <f t="shared" si="45"/>
        <v/>
      </c>
      <c r="FN8" s="2252"/>
      <c r="FO8" s="2253"/>
      <c r="FP8" s="2251" t="str">
        <f t="shared" si="46"/>
        <v/>
      </c>
      <c r="FQ8" s="2254"/>
      <c r="FR8" s="2252"/>
      <c r="FS8" s="2253"/>
      <c r="FT8" s="2251" t="str">
        <f t="shared" si="47"/>
        <v/>
      </c>
      <c r="FU8" s="2248"/>
      <c r="FV8" s="2249"/>
      <c r="FW8" s="2250"/>
      <c r="FX8" s="2251" t="str">
        <f t="shared" si="48"/>
        <v/>
      </c>
      <c r="FY8" s="2252"/>
      <c r="FZ8" s="2253"/>
      <c r="GA8" s="2251" t="str">
        <f t="shared" si="49"/>
        <v/>
      </c>
      <c r="GB8" s="2254"/>
      <c r="GC8" s="2252"/>
      <c r="GD8" s="2253"/>
      <c r="GE8" s="2251" t="str">
        <f t="shared" si="50"/>
        <v/>
      </c>
      <c r="GF8" s="2248"/>
      <c r="GG8" s="2249"/>
      <c r="GH8" s="2250"/>
      <c r="GI8" s="2251" t="str">
        <f t="shared" si="51"/>
        <v/>
      </c>
      <c r="GJ8" s="2252"/>
      <c r="GK8" s="2253"/>
      <c r="GL8" s="2251" t="str">
        <f t="shared" si="52"/>
        <v/>
      </c>
      <c r="GM8" s="2254"/>
      <c r="GN8" s="2252"/>
      <c r="GO8" s="2253"/>
      <c r="GP8" s="2251" t="str">
        <f t="shared" si="53"/>
        <v/>
      </c>
      <c r="GQ8" s="2248"/>
      <c r="GR8" s="2249"/>
      <c r="GS8" s="2250"/>
      <c r="GT8" s="2251" t="str">
        <f t="shared" si="54"/>
        <v/>
      </c>
      <c r="GU8" s="2252"/>
      <c r="GV8" s="2253"/>
      <c r="GW8" s="2251" t="str">
        <f t="shared" si="55"/>
        <v/>
      </c>
      <c r="GX8" s="2254"/>
      <c r="GY8" s="2252"/>
      <c r="GZ8" s="2253"/>
      <c r="HA8" s="2251" t="str">
        <f t="shared" si="56"/>
        <v/>
      </c>
      <c r="HB8" s="2248"/>
      <c r="HC8" s="2249"/>
      <c r="HD8" s="2250"/>
      <c r="HE8" s="2251" t="str">
        <f t="shared" si="57"/>
        <v/>
      </c>
      <c r="HF8" s="2252"/>
      <c r="HG8" s="2253"/>
      <c r="HH8" s="2251" t="str">
        <f t="shared" si="58"/>
        <v/>
      </c>
      <c r="HI8" s="2254"/>
      <c r="HJ8" s="2252"/>
      <c r="HK8" s="2253"/>
      <c r="HL8" s="2251" t="str">
        <f t="shared" si="59"/>
        <v/>
      </c>
      <c r="HM8" s="2248"/>
      <c r="HN8" s="2249"/>
      <c r="HO8" s="2250"/>
      <c r="HP8" s="2251" t="str">
        <f t="shared" si="60"/>
        <v/>
      </c>
      <c r="HQ8" s="2252"/>
      <c r="HR8" s="2253"/>
      <c r="HS8" s="2251" t="str">
        <f t="shared" si="61"/>
        <v/>
      </c>
      <c r="HT8" s="2254"/>
      <c r="HU8" s="2252"/>
      <c r="HV8" s="2253"/>
      <c r="HW8" s="2251" t="str">
        <f t="shared" si="62"/>
        <v/>
      </c>
      <c r="HX8" s="2248"/>
      <c r="HY8" s="2249"/>
      <c r="HZ8" s="2250"/>
      <c r="IA8" s="2251" t="str">
        <f t="shared" si="63"/>
        <v/>
      </c>
      <c r="IB8" s="2252"/>
      <c r="IC8" s="2253"/>
      <c r="ID8" s="2251" t="str">
        <f t="shared" si="64"/>
        <v/>
      </c>
      <c r="IE8" s="2254"/>
      <c r="IF8" s="2252"/>
      <c r="IG8" s="2253"/>
      <c r="IH8" s="2251" t="str">
        <f t="shared" si="65"/>
        <v/>
      </c>
      <c r="II8" s="2248"/>
      <c r="IJ8" s="2249"/>
      <c r="IK8" s="2250"/>
      <c r="IL8" s="2251" t="str">
        <f t="shared" si="66"/>
        <v/>
      </c>
      <c r="IM8" s="2252"/>
      <c r="IN8" s="2253"/>
      <c r="IO8" s="2251" t="str">
        <f t="shared" si="67"/>
        <v/>
      </c>
      <c r="IP8" s="2254"/>
      <c r="IQ8" s="2252"/>
      <c r="IR8" s="2253"/>
      <c r="IS8" s="2251" t="str">
        <f t="shared" si="68"/>
        <v/>
      </c>
      <c r="IT8" s="2248"/>
      <c r="IU8" s="2249"/>
      <c r="IV8" s="2250"/>
      <c r="IW8" s="2251" t="str">
        <f t="shared" si="69"/>
        <v/>
      </c>
      <c r="IX8" s="2252"/>
      <c r="IY8" s="2253"/>
      <c r="IZ8" s="2251" t="str">
        <f t="shared" si="70"/>
        <v/>
      </c>
      <c r="JA8" s="2254"/>
      <c r="JB8" s="2252"/>
      <c r="JC8" s="2253"/>
      <c r="JD8" s="2251" t="str">
        <f t="shared" si="71"/>
        <v/>
      </c>
      <c r="JE8" s="2248"/>
      <c r="JF8" s="2249"/>
      <c r="JG8" s="2250"/>
      <c r="JH8" s="2251" t="str">
        <f t="shared" si="72"/>
        <v/>
      </c>
      <c r="JI8" s="2252"/>
      <c r="JJ8" s="2253"/>
      <c r="JK8" s="2251" t="str">
        <f t="shared" si="73"/>
        <v/>
      </c>
      <c r="JL8" s="2254"/>
      <c r="JM8" s="2252"/>
      <c r="JN8" s="2253"/>
      <c r="JO8" s="2251" t="str">
        <f t="shared" si="74"/>
        <v/>
      </c>
      <c r="JP8" s="2248"/>
      <c r="JQ8" s="2249"/>
      <c r="JR8" s="2250"/>
      <c r="JS8" s="2251" t="str">
        <f t="shared" si="75"/>
        <v/>
      </c>
      <c r="JT8" s="2252"/>
      <c r="JU8" s="2253"/>
      <c r="JV8" s="2251" t="str">
        <f t="shared" si="76"/>
        <v/>
      </c>
      <c r="JW8" s="2254"/>
      <c r="JX8" s="2252"/>
      <c r="JY8" s="2253"/>
      <c r="JZ8" s="2251" t="str">
        <f t="shared" si="77"/>
        <v/>
      </c>
      <c r="KA8" s="2231"/>
    </row>
    <row r="9" spans="1:287" s="2156" customFormat="1" ht="18" customHeight="1" thickBot="1">
      <c r="A9" s="2864" t="str">
        <f>IF('22 Sollumsatz pro MA '!$A10="","",'22 Sollumsatz pro MA '!$A10)</f>
        <v/>
      </c>
      <c r="B9" s="2759"/>
      <c r="C9" s="2760"/>
      <c r="D9" s="2761"/>
      <c r="E9" s="2868" t="str">
        <f>IF('25 Sollumsatz nach Monaten'!F12=0,"",'25 Sollumsatz nach Monaten'!F12)</f>
        <v/>
      </c>
      <c r="F9" s="2869" t="str">
        <f t="shared" ref="F9" si="78">IF(E9="","",IF(D9="","",D9-E9))</f>
        <v/>
      </c>
      <c r="G9" s="2870" t="str">
        <f>IF(E9="","",IF(D9="","",IF(F9&lt;0,"",IF(B9&gt;0,F9*B9,IF(G$5&gt;0,F9*G$5,F9*$B$5)))))</f>
        <v/>
      </c>
      <c r="H9" s="2761"/>
      <c r="I9" s="2868" t="str">
        <f>IF('25 Sollumsatz nach Monaten'!G12=0,"",'25 Sollumsatz nach Monaten'!G12)</f>
        <v/>
      </c>
      <c r="J9" s="2869" t="str">
        <f t="shared" ref="J9" si="79">IF(I9="","",IF(H9="","",H9-I9))</f>
        <v/>
      </c>
      <c r="K9" s="2872" t="str">
        <f>IF(I9="","",IF(H9="","",IF(J9&lt;0,"",IF(C9&gt;0,J9*C9,IF(K$5&gt;0,J9*K$5,J9*$C$5)))))</f>
        <v/>
      </c>
      <c r="L9" s="2874" t="str">
        <f>A9</f>
        <v/>
      </c>
      <c r="M9" s="2759"/>
      <c r="N9" s="2760"/>
      <c r="O9" s="2761"/>
      <c r="P9" s="2868" t="str">
        <f>IF('25 Sollumsatz nach Monaten'!L12=0,"",'25 Sollumsatz nach Monaten'!L12)</f>
        <v/>
      </c>
      <c r="Q9" s="2869" t="str">
        <f t="shared" ref="Q9" si="80">IF(P9="","",IF(O9="","",O9-P9))</f>
        <v/>
      </c>
      <c r="R9" s="2870" t="str">
        <f>IF(P9="","",IF(O9="","",IF(Q9&lt;0,"",IF(M9&gt;0,Q9*M9,IF(R$6&gt;0,Q9*R$6,Q9*$B$5)))))</f>
        <v/>
      </c>
      <c r="S9" s="2761"/>
      <c r="T9" s="2868" t="str">
        <f>IF('25 Sollumsatz nach Monaten'!M12=0,"",'25 Sollumsatz nach Monaten'!M12)</f>
        <v/>
      </c>
      <c r="U9" s="2869" t="str">
        <f t="shared" ref="U9" si="81">IF(T9="","",IF(S9="","",S9-T9))</f>
        <v/>
      </c>
      <c r="V9" s="2870" t="str">
        <f t="shared" si="4"/>
        <v/>
      </c>
      <c r="W9" s="2864" t="str">
        <f>L9</f>
        <v/>
      </c>
      <c r="X9" s="2759"/>
      <c r="Y9" s="2760"/>
      <c r="Z9" s="2761"/>
      <c r="AA9" s="2868" t="str">
        <f>IF('25 Sollumsatz nach Monaten'!R12=0,"",'25 Sollumsatz nach Monaten'!R12)</f>
        <v/>
      </c>
      <c r="AB9" s="2869" t="str">
        <f t="shared" ref="AB9" si="82">IF(AA9="","",IF(Z9="","",Z9-AA9))</f>
        <v/>
      </c>
      <c r="AC9" s="2870" t="str">
        <f>IF(AA9="","",IF(Z9="","",IF(AB9&lt;0,"",IF(X9&gt;0,AB9*X9,IF(AC$6&gt;0,AB9*AC$6,AB9*$B$5)))))</f>
        <v/>
      </c>
      <c r="AD9" s="2761"/>
      <c r="AE9" s="2868" t="str">
        <f>IF('25 Sollumsatz nach Monaten'!S12=0,"",'25 Sollumsatz nach Monaten'!S12)</f>
        <v/>
      </c>
      <c r="AF9" s="2869" t="str">
        <f t="shared" ref="AF9" si="83">IF(AE9="","",IF(AD9="","",AD9-AE9))</f>
        <v/>
      </c>
      <c r="AG9" s="2872" t="str">
        <f t="shared" si="7"/>
        <v/>
      </c>
      <c r="AH9" s="2874" t="str">
        <f>W9</f>
        <v/>
      </c>
      <c r="AI9" s="2759"/>
      <c r="AJ9" s="2760"/>
      <c r="AK9" s="2761"/>
      <c r="AL9" s="2868" t="str">
        <f>IF('25 Sollumsatz nach Monaten'!X12=0,"",'25 Sollumsatz nach Monaten'!X12)</f>
        <v/>
      </c>
      <c r="AM9" s="2869" t="str">
        <f t="shared" ref="AM9" si="84">IF(AL9="","",IF(AK9="","",AK9-AL9))</f>
        <v/>
      </c>
      <c r="AN9" s="2870" t="str">
        <f>IF(AL9="","",IF(AK9="","",IF(AM9&lt;0,"",IF(AI9&gt;0,AM9*AI9,IF(AN$6&gt;0,AM9*AN$6,AM9*$B$5)))))</f>
        <v/>
      </c>
      <c r="AO9" s="2761"/>
      <c r="AP9" s="2868" t="str">
        <f>IF('25 Sollumsatz nach Monaten'!Y12=0,"",'25 Sollumsatz nach Monaten'!Y12)</f>
        <v/>
      </c>
      <c r="AQ9" s="2869" t="str">
        <f t="shared" ref="AQ9" si="85">IF(AP9="","",IF(AO9="","",AO9-AP9))</f>
        <v/>
      </c>
      <c r="AR9" s="2870" t="str">
        <f t="shared" si="10"/>
        <v/>
      </c>
      <c r="AS9" s="2864" t="str">
        <f>AH9</f>
        <v/>
      </c>
      <c r="AT9" s="2759"/>
      <c r="AU9" s="2760"/>
      <c r="AV9" s="2761"/>
      <c r="AW9" s="2868" t="str">
        <f>IF('25 Sollumsatz nach Monaten'!AD12=0,"",'25 Sollumsatz nach Monaten'!AD12)</f>
        <v/>
      </c>
      <c r="AX9" s="2869" t="str">
        <f t="shared" ref="AX9" si="86">IF(AW9="","",IF(AV9="","",AV9-AW9))</f>
        <v/>
      </c>
      <c r="AY9" s="2870" t="str">
        <f>IF(AW9="","",IF(AV9="","",IF(AX9&lt;0,"",IF(AT9&gt;0,AX9*AT9,IF(AY$6&gt;0,AX9*AY$6,AX9*$B$5)))))</f>
        <v/>
      </c>
      <c r="AZ9" s="2761"/>
      <c r="BA9" s="2868" t="str">
        <f>IF('25 Sollumsatz nach Monaten'!AE12=0,"",'25 Sollumsatz nach Monaten'!AE12)</f>
        <v/>
      </c>
      <c r="BB9" s="2869" t="str">
        <f t="shared" ref="BB9" si="87">IF(BA9="","",IF(AZ9="","",AZ9-BA9))</f>
        <v/>
      </c>
      <c r="BC9" s="2872" t="str">
        <f t="shared" si="13"/>
        <v/>
      </c>
      <c r="BD9" s="2874" t="str">
        <f>AS9</f>
        <v/>
      </c>
      <c r="BE9" s="2759"/>
      <c r="BF9" s="2760"/>
      <c r="BG9" s="2761"/>
      <c r="BH9" s="2868" t="str">
        <f>IF('25 Sollumsatz nach Monaten'!AJ12=0,"",'25 Sollumsatz nach Monaten'!AJ12)</f>
        <v/>
      </c>
      <c r="BI9" s="2869" t="str">
        <f t="shared" ref="BI9" si="88">IF(BH9="","",IF(BG9="","",BG9-BH9))</f>
        <v/>
      </c>
      <c r="BJ9" s="2870" t="str">
        <f>IF(BH9="","",IF(BG9="","",IF(BI9&lt;0,"",IF(BE9&gt;0,BI9*BE9,IF(BJ$6&gt;0,BI9*BJ$6,BI9*$B$5)))))</f>
        <v/>
      </c>
      <c r="BK9" s="2761"/>
      <c r="BL9" s="2868" t="str">
        <f>IF('25 Sollumsatz nach Monaten'!AK12=0,"",'25 Sollumsatz nach Monaten'!AK12)</f>
        <v/>
      </c>
      <c r="BM9" s="2869" t="str">
        <f t="shared" ref="BM9" si="89">IF(BL9="","",IF(BK9="","",BK9-BL9))</f>
        <v/>
      </c>
      <c r="BN9" s="2870" t="str">
        <f t="shared" si="16"/>
        <v/>
      </c>
      <c r="BO9" s="2864" t="str">
        <f>BD9</f>
        <v/>
      </c>
      <c r="BP9" s="2759"/>
      <c r="BQ9" s="2760"/>
      <c r="BR9" s="2761"/>
      <c r="BS9" s="2868" t="str">
        <f>IF('25 Sollumsatz nach Monaten'!AP12=0,"",'25 Sollumsatz nach Monaten'!AP12)</f>
        <v/>
      </c>
      <c r="BT9" s="2869" t="str">
        <f t="shared" ref="BT9" si="90">IF(BS9="","",IF(BR9="","",BR9-BS9))</f>
        <v/>
      </c>
      <c r="BU9" s="2870" t="str">
        <f>IF(BS9="","",IF(BR9="","",IF(BT9&lt;0,"",IF(BP9&gt;0,BT9*BP9,IF(BU$6&gt;0,BT9*BU$6,BT9*$B$5)))))</f>
        <v/>
      </c>
      <c r="BV9" s="2761"/>
      <c r="BW9" s="2868" t="str">
        <f>IF('25 Sollumsatz nach Monaten'!AQ12=0,"",'25 Sollumsatz nach Monaten'!AQ12)</f>
        <v/>
      </c>
      <c r="BX9" s="2869" t="str">
        <f t="shared" ref="BX9" si="91">IF(BW9="","",IF(BV9="","",BV9-BW9))</f>
        <v/>
      </c>
      <c r="BY9" s="2872" t="str">
        <f t="shared" si="19"/>
        <v/>
      </c>
      <c r="BZ9" s="2874" t="str">
        <f>BO9</f>
        <v/>
      </c>
      <c r="CA9" s="2759"/>
      <c r="CB9" s="2760"/>
      <c r="CC9" s="2761"/>
      <c r="CD9" s="2868" t="str">
        <f>IF('25 Sollumsatz nach Monaten'!AV12=0,"",'25 Sollumsatz nach Monaten'!AV12)</f>
        <v/>
      </c>
      <c r="CE9" s="2869" t="str">
        <f t="shared" ref="CE9" si="92">IF(CD9="","",IF(CC9="","",CC9-CD9))</f>
        <v/>
      </c>
      <c r="CF9" s="2870" t="str">
        <f>IF(CD9="","",IF(CC9="","",IF(CE9&lt;0,"",IF(CA9&gt;0,CE9*CA9,IF(CF$6&gt;0,CE9*CF$6,CE9*$B$5)))))</f>
        <v/>
      </c>
      <c r="CG9" s="2761"/>
      <c r="CH9" s="2868" t="str">
        <f>IF('25 Sollumsatz nach Monaten'!AW12=0,"",'25 Sollumsatz nach Monaten'!AW12)</f>
        <v/>
      </c>
      <c r="CI9" s="2869" t="str">
        <f t="shared" ref="CI9" si="93">IF(CH9="","",IF(CG9="","",CG9-CH9))</f>
        <v/>
      </c>
      <c r="CJ9" s="2870" t="str">
        <f t="shared" si="22"/>
        <v/>
      </c>
      <c r="CK9" s="2864" t="str">
        <f>BZ9</f>
        <v/>
      </c>
      <c r="CL9" s="2759"/>
      <c r="CM9" s="2760"/>
      <c r="CN9" s="2761"/>
      <c r="CO9" s="2868" t="str">
        <f>IF('25 Sollumsatz nach Monaten'!BB12=0,"",'25 Sollumsatz nach Monaten'!BB12)</f>
        <v/>
      </c>
      <c r="CP9" s="2869" t="str">
        <f t="shared" ref="CP9" si="94">IF(CO9="","",IF(CN9="","",CN9-CO9))</f>
        <v/>
      </c>
      <c r="CQ9" s="2870" t="str">
        <f>IF(CO9="","",IF(CN9="","",IF(CP9&lt;0,"",IF(CL9&gt;0,CP9*CL9,IF(CQ$6&gt;0,CP9*CQ$6,CP9*$B$5)))))</f>
        <v/>
      </c>
      <c r="CR9" s="2761"/>
      <c r="CS9" s="2868" t="str">
        <f>IF('25 Sollumsatz nach Monaten'!BC12=0,"",'25 Sollumsatz nach Monaten'!BC12)</f>
        <v/>
      </c>
      <c r="CT9" s="2869" t="str">
        <f t="shared" ref="CT9" si="95">IF(CS9="","",IF(CR9="","",CR9-CS9))</f>
        <v/>
      </c>
      <c r="CU9" s="2872" t="str">
        <f t="shared" si="25"/>
        <v/>
      </c>
      <c r="CV9" s="2874" t="str">
        <f>CK9</f>
        <v/>
      </c>
      <c r="CW9" s="2759"/>
      <c r="CX9" s="2760"/>
      <c r="CY9" s="2761"/>
      <c r="CZ9" s="2868" t="str">
        <f>IF('25 Sollumsatz nach Monaten'!BH12=0,"",'25 Sollumsatz nach Monaten'!BH12)</f>
        <v/>
      </c>
      <c r="DA9" s="2869" t="str">
        <f t="shared" ref="DA9" si="96">IF(CZ9="","",IF(CY9="","",CY9-CZ9))</f>
        <v/>
      </c>
      <c r="DB9" s="2870" t="str">
        <f>IF(CZ9="","",IF(CY9="","",IF(DA9&lt;0,"",IF(CW9&gt;0,DA9*CW9,IF(DB$6&gt;0,DA9*DB$6,DA9*$B$5)))))</f>
        <v/>
      </c>
      <c r="DC9" s="2761"/>
      <c r="DD9" s="2868" t="str">
        <f>IF('25 Sollumsatz nach Monaten'!BI12=0,"",'25 Sollumsatz nach Monaten'!BI12)</f>
        <v/>
      </c>
      <c r="DE9" s="2869" t="str">
        <f t="shared" ref="DE9" si="97">IF(DD9="","",IF(DC9="","",DC9-DD9))</f>
        <v/>
      </c>
      <c r="DF9" s="2870" t="str">
        <f t="shared" si="28"/>
        <v/>
      </c>
      <c r="DG9" s="2864" t="str">
        <f>CV9</f>
        <v/>
      </c>
      <c r="DH9" s="2759"/>
      <c r="DI9" s="2760"/>
      <c r="DJ9" s="2761"/>
      <c r="DK9" s="2868" t="str">
        <f>IF('25 Sollumsatz nach Monaten'!BN12=0,"",'25 Sollumsatz nach Monaten'!BN12)</f>
        <v/>
      </c>
      <c r="DL9" s="2869" t="str">
        <f t="shared" ref="DL9" si="98">IF(DK9="","",IF(DJ9="","",DJ9-DK9))</f>
        <v/>
      </c>
      <c r="DM9" s="2870" t="str">
        <f>IF(DK9="","",IF(DJ9="","",IF(DL9&lt;0,"",IF(DH9&gt;0,DL9*DH9,IF(DM$6&gt;0,DL9*DM$6,DL9*$B$5)))))</f>
        <v/>
      </c>
      <c r="DN9" s="2761"/>
      <c r="DO9" s="2868" t="str">
        <f>IF('25 Sollumsatz nach Monaten'!BO12=0,"",'25 Sollumsatz nach Monaten'!BO12)</f>
        <v/>
      </c>
      <c r="DP9" s="2869" t="str">
        <f t="shared" ref="DP9" si="99">IF(DO9="","",IF(DN9="","",DN9-DO9))</f>
        <v/>
      </c>
      <c r="DQ9" s="2872" t="str">
        <f t="shared" si="31"/>
        <v/>
      </c>
      <c r="DR9" s="2874" t="str">
        <f>DG9</f>
        <v/>
      </c>
      <c r="DS9" s="2759"/>
      <c r="DT9" s="2760"/>
      <c r="DU9" s="2761"/>
      <c r="DV9" s="2868" t="str">
        <f>IF('25 Sollumsatz nach Monaten'!BT12=0,"",'25 Sollumsatz nach Monaten'!BT12)</f>
        <v/>
      </c>
      <c r="DW9" s="2869" t="str">
        <f t="shared" ref="DW9" si="100">IF(DV9="","",IF(DU9="","",DU9-DV9))</f>
        <v/>
      </c>
      <c r="DX9" s="2870" t="str">
        <f>IF(DV9="","",IF(DU9="","",IF(DW9&lt;0,"",IF(DS9&gt;0,DW9*DS9,IF(DX$6&gt;0,DW9*DX$6,DW9*$B$5)))))</f>
        <v/>
      </c>
      <c r="DY9" s="2761"/>
      <c r="DZ9" s="2868" t="str">
        <f>IF('25 Sollumsatz nach Monaten'!BU12=0,"",'25 Sollumsatz nach Monaten'!BU12)</f>
        <v/>
      </c>
      <c r="EA9" s="2869" t="str">
        <f t="shared" ref="EA9" si="101">IF(DZ9="","",IF(DY9="","",DY9-DZ9))</f>
        <v/>
      </c>
      <c r="EB9" s="2870" t="str">
        <f t="shared" si="34"/>
        <v/>
      </c>
      <c r="EC9" s="2864" t="str">
        <f>DR9</f>
        <v/>
      </c>
      <c r="ED9" s="2879" t="str">
        <f t="shared" ref="ED9:ED10" si="102">IF(EC9="","",SUM(DU9,DJ9,CY9,CN9,CC9,BR9,BG9,AV9,AK9,Z9,O9,D9))</f>
        <v/>
      </c>
      <c r="EE9" s="2868" t="str">
        <f t="shared" ref="EE9:EE10" si="103">IF(EC9="","",SUM(DV9,DK9,CZ9,CO9,CD9,BS9,BH9,AW9,AL9,AA9,P9,E9))</f>
        <v/>
      </c>
      <c r="EF9" s="2869" t="str">
        <f>IF(EE9="","",IF(ED9="","",ED9-EE9))</f>
        <v/>
      </c>
      <c r="EG9" s="2872" t="str">
        <f>IF(EC9="","",IF(SUM(DX9,DM9,DB9,CQ9,CF9,BU9,BJ9,AY9,AN9,AC9,R9,G9)=0,"",SUM(DX9,DM9,DB9,CQ9,CF9,BU9,BJ9,AY9,AN9,AC9,R9,G9)))</f>
        <v/>
      </c>
      <c r="EH9" s="2880" t="str">
        <f t="shared" ref="EH9" si="104">IF(EC9="","",SUM(DY9,DN9,DC9,CR9,CG9,BV9,BK9,AZ9,AO9,AD9,S9,H9))</f>
        <v/>
      </c>
      <c r="EI9" s="2868" t="str">
        <f t="shared" ref="EI9" si="105">IF(EC9="","",SUM(DZ9,DO9,DD9,CS9,CH9,BW9,BL9,BA9,AP9,AE9,T9,I9))</f>
        <v/>
      </c>
      <c r="EJ9" s="2869" t="str">
        <f>IF(EI9="","",IF(EH9="","",EH9-EI9))</f>
        <v/>
      </c>
      <c r="EK9" s="2872" t="str">
        <f t="shared" ref="EK9" si="106">IF(EC9="","",IF(SUM(EB9,DQ9,DF9,CU9,CJ9,BY9,BN9,BC9,AR9,AG9,V9,K9)=0,"",SUM(EB9,DQ9,DF9,CU9,CJ9,BY9,BN9,BC9,AR9,AG9,V9,K9)))</f>
        <v/>
      </c>
      <c r="EL9" s="2881" t="str">
        <f>IF(COUNTIF($EY9:$JZ9,3)=0,"",COUNTIF($EY9:$JZ9,3))</f>
        <v/>
      </c>
      <c r="EM9" s="2881" t="str">
        <f>IF(COUNTIF($EY9:$JZ9,1)=0,"",COUNTIF($EY9:$JZ9,1))</f>
        <v/>
      </c>
      <c r="EN9" s="2881" t="str">
        <f>IF(COUNTIF($EY9:$JZ9,2)=0,"",COUNTIF($EY9:$JZ9,2))</f>
        <v/>
      </c>
      <c r="EO9" s="2864" t="str">
        <f>EC9</f>
        <v/>
      </c>
      <c r="EP9" s="2883" t="str">
        <f>IF('25 Sollumsatz nach Monaten'!BV12="","",SUM(EQ9:ER9))</f>
        <v/>
      </c>
      <c r="EQ9" s="2883" t="str">
        <f>IF('25 Sollumsatz nach Monaten'!BV12="","",ED9/'25 Sollumsatz nach Monaten'!BV12)</f>
        <v/>
      </c>
      <c r="ER9" s="2883" t="str">
        <f>IF('25 Sollumsatz nach Monaten'!BV12="","",EH9/'25 Sollumsatz nach Monaten'!BV12)</f>
        <v/>
      </c>
      <c r="EY9" s="2248"/>
      <c r="EZ9" s="2249"/>
      <c r="FA9" s="2250"/>
      <c r="FB9" s="2251" t="str">
        <f t="shared" ref="FB9" si="107">IF(D9="","",3)</f>
        <v/>
      </c>
      <c r="FC9" s="2252"/>
      <c r="FD9" s="2253"/>
      <c r="FE9" s="2251" t="str">
        <f t="shared" ref="FE9" si="108">IF(G9="","",1)</f>
        <v/>
      </c>
      <c r="FF9" s="2254"/>
      <c r="FG9" s="2252"/>
      <c r="FH9" s="2253"/>
      <c r="FI9" s="2251" t="str">
        <f t="shared" ref="FI9" si="109">IF(K9="","",2)</f>
        <v/>
      </c>
      <c r="FJ9" s="2248"/>
      <c r="FK9" s="2249"/>
      <c r="FL9" s="2250"/>
      <c r="FM9" s="2251" t="str">
        <f t="shared" ref="FM9" si="110">IF(O9="","",3)</f>
        <v/>
      </c>
      <c r="FN9" s="2252"/>
      <c r="FO9" s="2253"/>
      <c r="FP9" s="2251" t="str">
        <f t="shared" ref="FP9" si="111">IF(R9="","",1)</f>
        <v/>
      </c>
      <c r="FQ9" s="2254"/>
      <c r="FR9" s="2252"/>
      <c r="FS9" s="2253"/>
      <c r="FT9" s="2251" t="str">
        <f t="shared" ref="FT9" si="112">IF(V9="","",2)</f>
        <v/>
      </c>
      <c r="FU9" s="2248"/>
      <c r="FV9" s="2249"/>
      <c r="FW9" s="2250"/>
      <c r="FX9" s="2251" t="str">
        <f t="shared" ref="FX9" si="113">IF(Z9="","",3)</f>
        <v/>
      </c>
      <c r="FY9" s="2252"/>
      <c r="FZ9" s="2253"/>
      <c r="GA9" s="2251" t="str">
        <f t="shared" ref="GA9" si="114">IF(AC9="","",1)</f>
        <v/>
      </c>
      <c r="GB9" s="2254"/>
      <c r="GC9" s="2252"/>
      <c r="GD9" s="2253"/>
      <c r="GE9" s="2251" t="str">
        <f t="shared" ref="GE9" si="115">IF(AG9="","",2)</f>
        <v/>
      </c>
      <c r="GF9" s="2248"/>
      <c r="GG9" s="2249"/>
      <c r="GH9" s="2250"/>
      <c r="GI9" s="2251" t="str">
        <f t="shared" ref="GI9" si="116">IF(AK9="","",3)</f>
        <v/>
      </c>
      <c r="GJ9" s="2252"/>
      <c r="GK9" s="2253"/>
      <c r="GL9" s="2251" t="str">
        <f t="shared" ref="GL9" si="117">IF(AN9="","",1)</f>
        <v/>
      </c>
      <c r="GM9" s="2254"/>
      <c r="GN9" s="2252"/>
      <c r="GO9" s="2253"/>
      <c r="GP9" s="2251" t="str">
        <f t="shared" ref="GP9" si="118">IF(AR9="","",2)</f>
        <v/>
      </c>
      <c r="GQ9" s="2248"/>
      <c r="GR9" s="2249"/>
      <c r="GS9" s="2250"/>
      <c r="GT9" s="2251" t="str">
        <f t="shared" ref="GT9" si="119">IF(AV9="","",3)</f>
        <v/>
      </c>
      <c r="GU9" s="2252"/>
      <c r="GV9" s="2253"/>
      <c r="GW9" s="2251" t="str">
        <f t="shared" ref="GW9" si="120">IF(AY9="","",1)</f>
        <v/>
      </c>
      <c r="GX9" s="2254"/>
      <c r="GY9" s="2252"/>
      <c r="GZ9" s="2253"/>
      <c r="HA9" s="2251" t="str">
        <f t="shared" ref="HA9" si="121">IF(BC9="","",2)</f>
        <v/>
      </c>
      <c r="HB9" s="2248"/>
      <c r="HC9" s="2249"/>
      <c r="HD9" s="2250"/>
      <c r="HE9" s="2251" t="str">
        <f t="shared" ref="HE9" si="122">IF(BG9="","",3)</f>
        <v/>
      </c>
      <c r="HF9" s="2252"/>
      <c r="HG9" s="2253"/>
      <c r="HH9" s="2251" t="str">
        <f t="shared" ref="HH9" si="123">IF(BJ9="","",1)</f>
        <v/>
      </c>
      <c r="HI9" s="2254"/>
      <c r="HJ9" s="2252"/>
      <c r="HK9" s="2253"/>
      <c r="HL9" s="2251" t="str">
        <f t="shared" ref="HL9" si="124">IF(BN9="","",2)</f>
        <v/>
      </c>
      <c r="HM9" s="2248"/>
      <c r="HN9" s="2249"/>
      <c r="HO9" s="2250"/>
      <c r="HP9" s="2251" t="str">
        <f t="shared" ref="HP9" si="125">IF(BR9="","",3)</f>
        <v/>
      </c>
      <c r="HQ9" s="2252"/>
      <c r="HR9" s="2253"/>
      <c r="HS9" s="2251" t="str">
        <f t="shared" ref="HS9" si="126">IF(BU9="","",1)</f>
        <v/>
      </c>
      <c r="HT9" s="2254"/>
      <c r="HU9" s="2252"/>
      <c r="HV9" s="2253"/>
      <c r="HW9" s="2251" t="str">
        <f t="shared" ref="HW9" si="127">IF(BY9="","",2)</f>
        <v/>
      </c>
      <c r="HX9" s="2248"/>
      <c r="HY9" s="2249"/>
      <c r="HZ9" s="2250"/>
      <c r="IA9" s="2251" t="str">
        <f t="shared" ref="IA9" si="128">IF(CC9="","",3)</f>
        <v/>
      </c>
      <c r="IB9" s="2252"/>
      <c r="IC9" s="2253"/>
      <c r="ID9" s="2251" t="str">
        <f t="shared" ref="ID9" si="129">IF(CF9="","",1)</f>
        <v/>
      </c>
      <c r="IE9" s="2254"/>
      <c r="IF9" s="2252"/>
      <c r="IG9" s="2253"/>
      <c r="IH9" s="2251" t="str">
        <f t="shared" ref="IH9" si="130">IF(CJ9="","",2)</f>
        <v/>
      </c>
      <c r="II9" s="2248"/>
      <c r="IJ9" s="2249"/>
      <c r="IK9" s="2250"/>
      <c r="IL9" s="2251" t="str">
        <f t="shared" ref="IL9" si="131">IF(CN9="","",3)</f>
        <v/>
      </c>
      <c r="IM9" s="2252"/>
      <c r="IN9" s="2253"/>
      <c r="IO9" s="2251" t="str">
        <f t="shared" ref="IO9" si="132">IF(CQ9="","",1)</f>
        <v/>
      </c>
      <c r="IP9" s="2254"/>
      <c r="IQ9" s="2252"/>
      <c r="IR9" s="2253"/>
      <c r="IS9" s="2251" t="str">
        <f t="shared" ref="IS9" si="133">IF(CU9="","",2)</f>
        <v/>
      </c>
      <c r="IT9" s="2248"/>
      <c r="IU9" s="2249"/>
      <c r="IV9" s="2250"/>
      <c r="IW9" s="2251" t="str">
        <f t="shared" ref="IW9" si="134">IF(CY9="","",3)</f>
        <v/>
      </c>
      <c r="IX9" s="2252"/>
      <c r="IY9" s="2253"/>
      <c r="IZ9" s="2251" t="str">
        <f t="shared" ref="IZ9" si="135">IF(DB9="","",1)</f>
        <v/>
      </c>
      <c r="JA9" s="2254"/>
      <c r="JB9" s="2252"/>
      <c r="JC9" s="2253"/>
      <c r="JD9" s="2251" t="str">
        <f t="shared" ref="JD9" si="136">IF(DF9="","",2)</f>
        <v/>
      </c>
      <c r="JE9" s="2248"/>
      <c r="JF9" s="2249"/>
      <c r="JG9" s="2250"/>
      <c r="JH9" s="2251" t="str">
        <f t="shared" ref="JH9" si="137">IF(DJ9="","",3)</f>
        <v/>
      </c>
      <c r="JI9" s="2252"/>
      <c r="JJ9" s="2253"/>
      <c r="JK9" s="2251" t="str">
        <f t="shared" ref="JK9" si="138">IF(DM9="","",1)</f>
        <v/>
      </c>
      <c r="JL9" s="2254"/>
      <c r="JM9" s="2252"/>
      <c r="JN9" s="2253"/>
      <c r="JO9" s="2251" t="str">
        <f t="shared" ref="JO9" si="139">IF(DQ9="","",2)</f>
        <v/>
      </c>
      <c r="JP9" s="2248"/>
      <c r="JQ9" s="2249"/>
      <c r="JR9" s="2250"/>
      <c r="JS9" s="2251" t="str">
        <f t="shared" ref="JS9" si="140">IF(DU9="","",3)</f>
        <v/>
      </c>
      <c r="JT9" s="2252"/>
      <c r="JU9" s="2253"/>
      <c r="JV9" s="2251" t="str">
        <f t="shared" ref="JV9" si="141">IF(DX9="","",1)</f>
        <v/>
      </c>
      <c r="JW9" s="2254"/>
      <c r="JX9" s="2252"/>
      <c r="JY9" s="2253"/>
      <c r="JZ9" s="2251" t="str">
        <f t="shared" ref="JZ9" si="142">IF(EB9="","",2)</f>
        <v/>
      </c>
      <c r="KA9" s="2231"/>
    </row>
    <row r="10" spans="1:287" s="2156" customFormat="1" ht="18" customHeight="1">
      <c r="A10" s="2142" t="str">
        <f ca="1">IF('22 Sollumsatz pro MA '!$A11="","",'22 Sollumsatz pro MA '!$A11)</f>
        <v>Maria</v>
      </c>
      <c r="B10" s="2753"/>
      <c r="C10" s="2754"/>
      <c r="D10" s="2755"/>
      <c r="E10" s="2144">
        <f ca="1">IF('25 Sollumsatz nach Monaten'!F13=0,"",'25 Sollumsatz nach Monaten'!F13)</f>
        <v>9433.8548123348482</v>
      </c>
      <c r="F10" s="2145" t="str">
        <f t="shared" ref="F10:F12" ca="1" si="143">IF(E10="","",IF(D10="","",D10-E10))</f>
        <v/>
      </c>
      <c r="G10" s="2265" t="str">
        <f t="shared" ref="G10:G25" ca="1" si="144">IF(E10="","",IF(D10="","",IF(F10&lt;0,"",IF(B10&gt;0,F10*B10,IF(G$5&gt;0,F10*G$5,F10*$B$5)))))</f>
        <v/>
      </c>
      <c r="H10" s="2756"/>
      <c r="I10" s="2144">
        <f ca="1">IF('25 Sollumsatz nach Monaten'!G13=0,"",'25 Sollumsatz nach Monaten'!G13)</f>
        <v>549.28804480800852</v>
      </c>
      <c r="J10" s="2145" t="str">
        <f t="shared" ref="J10" ca="1" si="145">IF(I10="","",IF(H10="","",H10-I10))</f>
        <v/>
      </c>
      <c r="K10" s="2158" t="str">
        <f t="shared" ref="K10:K25" ca="1" si="146">IF(I10="","",IF(H10="","",IF(J10&lt;0,"",IF(C10&gt;0,J10*C10,IF(K$5&gt;0,J10*K$5,J10*$C$5)))))</f>
        <v/>
      </c>
      <c r="L10" s="2148" t="str">
        <f ca="1">A10</f>
        <v>Maria</v>
      </c>
      <c r="M10" s="2753"/>
      <c r="N10" s="2754"/>
      <c r="O10" s="2755"/>
      <c r="P10" s="2149">
        <f ca="1">IF('25 Sollumsatz nach Monaten'!L13=0,"",'25 Sollumsatz nach Monaten'!L13)</f>
        <v>11006.16394772399</v>
      </c>
      <c r="Q10" s="2150" t="str">
        <f t="shared" ref="Q10:Q12" ca="1" si="147">IF(P10="","",IF(O10="","",O10-P10))</f>
        <v/>
      </c>
      <c r="R10" s="2151" t="str">
        <f t="shared" ref="R10:R12" ca="1" si="148">IF(P10="","",IF(O10="","",IF(Q10&lt;0,"",IF(M10&gt;0,Q10*M10,IF(R$6&gt;0,Q10*R$6,Q10*$B$5)))))</f>
        <v/>
      </c>
      <c r="S10" s="2756"/>
      <c r="T10" s="2149">
        <f ca="1">IF('25 Sollumsatz nach Monaten'!M13=0,"",'25 Sollumsatz nach Monaten'!M13)</f>
        <v>640.83605227600992</v>
      </c>
      <c r="U10" s="2150" t="str">
        <f t="shared" ref="U10:U12" ca="1" si="149">IF(T10="","",IF(S10="","",S10-T10))</f>
        <v/>
      </c>
      <c r="V10" s="2151" t="str">
        <f t="shared" ca="1" si="4"/>
        <v/>
      </c>
      <c r="W10" s="2142" t="str">
        <f ca="1">L10</f>
        <v>Maria</v>
      </c>
      <c r="X10" s="2753"/>
      <c r="Y10" s="2754"/>
      <c r="Z10" s="2755"/>
      <c r="AA10" s="2144">
        <f ca="1">IF('25 Sollumsatz nach Monaten'!R13=0,"",'25 Sollumsatz nach Monaten'!R13)</f>
        <v>11006.16394772399</v>
      </c>
      <c r="AB10" s="2145" t="str">
        <f t="shared" ref="AB10:AB12" ca="1" si="150">IF(AA10="","",IF(Z10="","",Z10-AA10))</f>
        <v/>
      </c>
      <c r="AC10" s="2146" t="str">
        <f t="shared" ref="AC10:AC12" ca="1" si="151">IF(AA10="","",IF(Z10="","",IF(AB10&lt;0,"",IF(X10&gt;0,AB10*X10,IF(AC$6&gt;0,AB10*AC$6,AB10*$B$5)))))</f>
        <v/>
      </c>
      <c r="AD10" s="2755"/>
      <c r="AE10" s="2144">
        <f ca="1">IF('25 Sollumsatz nach Monaten'!S13=0,"",'25 Sollumsatz nach Monaten'!S13)</f>
        <v>640.83605227600992</v>
      </c>
      <c r="AF10" s="2145" t="str">
        <f t="shared" ref="AF10:AF12" ca="1" si="152">IF(AE10="","",IF(AD10="","",AD10-AE10))</f>
        <v/>
      </c>
      <c r="AG10" s="2158" t="str">
        <f t="shared" ca="1" si="7"/>
        <v/>
      </c>
      <c r="AH10" s="2148" t="str">
        <f ca="1">W10</f>
        <v>Maria</v>
      </c>
      <c r="AI10" s="2753"/>
      <c r="AJ10" s="2754"/>
      <c r="AK10" s="2755"/>
      <c r="AL10" s="2149">
        <f ca="1">IF('25 Sollumsatz nach Monaten'!X13=0,"",'25 Sollumsatz nach Monaten'!X13)</f>
        <v>11006.16394772399</v>
      </c>
      <c r="AM10" s="2150" t="str">
        <f t="shared" ref="AM10:AM12" ca="1" si="153">IF(AL10="","",IF(AK10="","",AK10-AL10))</f>
        <v/>
      </c>
      <c r="AN10" s="2151" t="str">
        <f t="shared" ref="AN10:AN12" ca="1" si="154">IF(AL10="","",IF(AK10="","",IF(AM10&lt;0,"",IF(AI10&gt;0,AM10*AI10,IF(AN$6&gt;0,AM10*AN$6,AM10*$B$5)))))</f>
        <v/>
      </c>
      <c r="AO10" s="2755"/>
      <c r="AP10" s="2149">
        <f ca="1">IF('25 Sollumsatz nach Monaten'!Y13=0,"",'25 Sollumsatz nach Monaten'!Y13)</f>
        <v>640.83605227600992</v>
      </c>
      <c r="AQ10" s="2150" t="str">
        <f t="shared" ref="AQ10:AQ12" ca="1" si="155">IF(AP10="","",IF(AO10="","",AO10-AP10))</f>
        <v/>
      </c>
      <c r="AR10" s="2151" t="str">
        <f t="shared" ca="1" si="10"/>
        <v/>
      </c>
      <c r="AS10" s="2142" t="str">
        <f ca="1">AH10</f>
        <v>Maria</v>
      </c>
      <c r="AT10" s="2753"/>
      <c r="AU10" s="2754"/>
      <c r="AV10" s="2755"/>
      <c r="AW10" s="2144">
        <f ca="1">IF('25 Sollumsatz nach Monaten'!AD13=0,"",'25 Sollumsatz nach Monaten'!AD13)</f>
        <v>5241.0304512971379</v>
      </c>
      <c r="AX10" s="2145" t="str">
        <f t="shared" ref="AX10:AX12" ca="1" si="156">IF(AW10="","",IF(AV10="","",AV10-AW10))</f>
        <v/>
      </c>
      <c r="AY10" s="2146" t="str">
        <f t="shared" ref="AY10:AY12" ca="1" si="157">IF(AW10="","",IF(AV10="","",IF(AX10&lt;0,"",IF(AT10&gt;0,AX10*AT10,IF(AY$6&gt;0,AX10*AY$6,AX10*$B$5)))))</f>
        <v/>
      </c>
      <c r="AZ10" s="2756"/>
      <c r="BA10" s="2144">
        <f ca="1">IF('25 Sollumsatz nach Monaten'!AE13=0,"",'25 Sollumsatz nach Monaten'!AE13)</f>
        <v>305.16002489333806</v>
      </c>
      <c r="BB10" s="2145" t="str">
        <f t="shared" ref="BB10:BB12" ca="1" si="158">IF(BA10="","",IF(AZ10="","",AZ10-BA10))</f>
        <v/>
      </c>
      <c r="BC10" s="2158" t="str">
        <f t="shared" ca="1" si="13"/>
        <v/>
      </c>
      <c r="BD10" s="2148" t="str">
        <f ca="1">AS10</f>
        <v>Maria</v>
      </c>
      <c r="BE10" s="2753"/>
      <c r="BF10" s="2754"/>
      <c r="BG10" s="2755"/>
      <c r="BH10" s="2149">
        <f ca="1">IF('25 Sollumsatz nach Monaten'!AJ13=0,"",'25 Sollumsatz nach Monaten'!AJ13)</f>
        <v>7861.5456769457069</v>
      </c>
      <c r="BI10" s="2150" t="str">
        <f t="shared" ref="BI10:BI12" ca="1" si="159">IF(BH10="","",IF(BG10="","",BG10-BH10))</f>
        <v/>
      </c>
      <c r="BJ10" s="2151" t="str">
        <f t="shared" ref="BJ10:BJ12" ca="1" si="160">IF(BH10="","",IF(BG10="","",IF(BI10&lt;0,"",IF(BE10&gt;0,BI10*BE10,IF(BJ$6&gt;0,BI10*BJ$6,BI10*$B$5)))))</f>
        <v/>
      </c>
      <c r="BK10" s="2755"/>
      <c r="BL10" s="2149">
        <f ca="1">IF('25 Sollumsatz nach Monaten'!AK13=0,"",'25 Sollumsatz nach Monaten'!AK13)</f>
        <v>457.74003734000712</v>
      </c>
      <c r="BM10" s="2150" t="str">
        <f t="shared" ref="BM10:BM12" ca="1" si="161">IF(BL10="","",IF(BK10="","",BK10-BL10))</f>
        <v/>
      </c>
      <c r="BN10" s="2151" t="str">
        <f t="shared" ca="1" si="16"/>
        <v/>
      </c>
      <c r="BO10" s="2142" t="str">
        <f ca="1">BD10</f>
        <v>Maria</v>
      </c>
      <c r="BP10" s="2753"/>
      <c r="BQ10" s="2754"/>
      <c r="BR10" s="2755"/>
      <c r="BS10" s="2144">
        <f ca="1">IF('25 Sollumsatz nach Monaten'!AP13=0,"",'25 Sollumsatz nach Monaten'!AP13)</f>
        <v>11006.16394772399</v>
      </c>
      <c r="BT10" s="2145" t="str">
        <f t="shared" ref="BT10:BT12" ca="1" si="162">IF(BS10="","",IF(BR10="","",BR10-BS10))</f>
        <v/>
      </c>
      <c r="BU10" s="2146" t="str">
        <f t="shared" ref="BU10:BU12" ca="1" si="163">IF(BS10="","",IF(BR10="","",IF(BT10&lt;0,"",IF(BP10&gt;0,BT10*BP10,IF(BU$6&gt;0,BT10*BU$6,BT10*$B$5)))))</f>
        <v/>
      </c>
      <c r="BV10" s="2755"/>
      <c r="BW10" s="2144">
        <f ca="1">IF('25 Sollumsatz nach Monaten'!AQ13=0,"",'25 Sollumsatz nach Monaten'!AQ13)</f>
        <v>640.83605227600992</v>
      </c>
      <c r="BX10" s="2145" t="str">
        <f t="shared" ref="BX10:BX12" ca="1" si="164">IF(BW10="","",IF(BV10="","",BV10-BW10))</f>
        <v/>
      </c>
      <c r="BY10" s="2158" t="str">
        <f t="shared" ca="1" si="19"/>
        <v/>
      </c>
      <c r="BZ10" s="2148" t="str">
        <f ca="1">BO10</f>
        <v>Maria</v>
      </c>
      <c r="CA10" s="2753"/>
      <c r="CB10" s="2754"/>
      <c r="CC10" s="2755"/>
      <c r="CD10" s="2149">
        <f ca="1">IF('25 Sollumsatz nach Monaten'!AV13=0,"",'25 Sollumsatz nach Monaten'!AV13)</f>
        <v>12054.370037983417</v>
      </c>
      <c r="CE10" s="2150" t="str">
        <f t="shared" ref="CE10:CE12" ca="1" si="165">IF(CD10="","",IF(CC10="","",CC10-CD10))</f>
        <v/>
      </c>
      <c r="CF10" s="2151" t="str">
        <f t="shared" ref="CF10:CF12" ca="1" si="166">IF(CD10="","",IF(CC10="","",IF(CE10&lt;0,"",IF(CA10&gt;0,CE10*CA10,IF(CF$6&gt;0,CE10*CF$6,CE10*$B$5)))))</f>
        <v/>
      </c>
      <c r="CG10" s="2755"/>
      <c r="CH10" s="2149">
        <f ca="1">IF('25 Sollumsatz nach Monaten'!AW13=0,"",'25 Sollumsatz nach Monaten'!AW13)</f>
        <v>701.86805725467752</v>
      </c>
      <c r="CI10" s="2150" t="str">
        <f t="shared" ref="CI10:CI12" ca="1" si="167">IF(CH10="","",IF(CG10="","",CG10-CH10))</f>
        <v/>
      </c>
      <c r="CJ10" s="2151" t="str">
        <f t="shared" ca="1" si="22"/>
        <v/>
      </c>
      <c r="CK10" s="2142" t="str">
        <f ca="1">BZ10</f>
        <v>Maria</v>
      </c>
      <c r="CL10" s="2753"/>
      <c r="CM10" s="2754"/>
      <c r="CN10" s="2755"/>
      <c r="CO10" s="2144">
        <f ca="1">IF('25 Sollumsatz nach Monaten'!BB13=0,"",'25 Sollumsatz nach Monaten'!BB13)</f>
        <v>10482.060902594276</v>
      </c>
      <c r="CP10" s="2145" t="str">
        <f t="shared" ref="CP10:CP12" ca="1" si="168">IF(CO10="","",IF(CN10="","",CN10-CO10))</f>
        <v/>
      </c>
      <c r="CQ10" s="2146" t="str">
        <f t="shared" ref="CQ10:CQ12" ca="1" si="169">IF(CO10="","",IF(CN10="","",IF(CP10&lt;0,"",IF(CL10&gt;0,CP10*CL10,IF(CQ$6&gt;0,CP10*CQ$6,CP10*$B$5)))))</f>
        <v/>
      </c>
      <c r="CR10" s="2756"/>
      <c r="CS10" s="2144">
        <f ca="1">IF('25 Sollumsatz nach Monaten'!BC13=0,"",'25 Sollumsatz nach Monaten'!BC13)</f>
        <v>610.32004978667612</v>
      </c>
      <c r="CT10" s="2145" t="str">
        <f t="shared" ref="CT10:CT12" ca="1" si="170">IF(CS10="","",IF(CR10="","",CR10-CS10))</f>
        <v/>
      </c>
      <c r="CU10" s="2158" t="str">
        <f t="shared" ca="1" si="25"/>
        <v/>
      </c>
      <c r="CV10" s="2148" t="str">
        <f ca="1">CK10</f>
        <v>Maria</v>
      </c>
      <c r="CW10" s="2753"/>
      <c r="CX10" s="2754"/>
      <c r="CY10" s="2755"/>
      <c r="CZ10" s="2149">
        <f ca="1">IF('25 Sollumsatz nach Monaten'!BH13=0,"",'25 Sollumsatz nach Monaten'!BH13)</f>
        <v>11006.16394772399</v>
      </c>
      <c r="DA10" s="2150" t="str">
        <f t="shared" ref="DA10:DA12" ca="1" si="171">IF(CZ10="","",IF(CY10="","",CY10-CZ10))</f>
        <v/>
      </c>
      <c r="DB10" s="2151" t="str">
        <f t="shared" ref="DB10:DB12" ca="1" si="172">IF(CZ10="","",IF(CY10="","",IF(DA10&lt;0,"",IF(CW10&gt;0,DA10*CW10,IF(DB$6&gt;0,DA10*DB$6,DA10*$B$5)))))</f>
        <v/>
      </c>
      <c r="DC10" s="2756"/>
      <c r="DD10" s="2149">
        <f ca="1">IF('25 Sollumsatz nach Monaten'!BI13=0,"",'25 Sollumsatz nach Monaten'!BI13)</f>
        <v>640.83605227600992</v>
      </c>
      <c r="DE10" s="2150" t="str">
        <f t="shared" ref="DE10:DE12" ca="1" si="173">IF(DD10="","",IF(DC10="","",DC10-DD10))</f>
        <v/>
      </c>
      <c r="DF10" s="2151" t="str">
        <f t="shared" ca="1" si="28"/>
        <v/>
      </c>
      <c r="DG10" s="2142" t="str">
        <f ca="1">CV10</f>
        <v>Maria</v>
      </c>
      <c r="DH10" s="2753"/>
      <c r="DI10" s="2754"/>
      <c r="DJ10" s="2755"/>
      <c r="DK10" s="2144">
        <f ca="1">IF('25 Sollumsatz nach Monaten'!BN13=0,"",'25 Sollumsatz nach Monaten'!BN13)</f>
        <v>5241.0304512971379</v>
      </c>
      <c r="DL10" s="2145" t="str">
        <f t="shared" ref="DL10:DL12" ca="1" si="174">IF(DK10="","",IF(DJ10="","",DJ10-DK10))</f>
        <v/>
      </c>
      <c r="DM10" s="2146" t="str">
        <f t="shared" ref="DM10:DM12" ca="1" si="175">IF(DK10="","",IF(DJ10="","",IF(DL10&lt;0,"",IF(DH10&gt;0,DL10*DH10,IF(DM$6&gt;0,DL10*DM$6,DL10*$B$5)))))</f>
        <v/>
      </c>
      <c r="DN10" s="2756"/>
      <c r="DO10" s="2144">
        <f ca="1">IF('25 Sollumsatz nach Monaten'!BO13=0,"",'25 Sollumsatz nach Monaten'!BO13)</f>
        <v>305.16002489333806</v>
      </c>
      <c r="DP10" s="2145" t="str">
        <f t="shared" ref="DP10:DP12" ca="1" si="176">IF(DO10="","",IF(DN10="","",DN10-DO10))</f>
        <v/>
      </c>
      <c r="DQ10" s="2158" t="str">
        <f t="shared" ca="1" si="31"/>
        <v/>
      </c>
      <c r="DR10" s="2148" t="str">
        <f ca="1">DG10</f>
        <v>Maria</v>
      </c>
      <c r="DS10" s="2753"/>
      <c r="DT10" s="2754"/>
      <c r="DU10" s="2755"/>
      <c r="DV10" s="2149">
        <f ca="1">IF('25 Sollumsatz nach Monaten'!BT13=0,"",'25 Sollumsatz nach Monaten'!BT13)</f>
        <v>7861.5456769457069</v>
      </c>
      <c r="DW10" s="2150" t="str">
        <f t="shared" ref="DW10:DW12" ca="1" si="177">IF(DV10="","",IF(DU10="","",DU10-DV10))</f>
        <v/>
      </c>
      <c r="DX10" s="2151" t="str">
        <f t="shared" ref="DX10:DX12" ca="1" si="178">IF(DV10="","",IF(DU10="","",IF(DW10&lt;0,"",IF(DS10&gt;0,DW10*DS10,IF(DX$6&gt;0,DW10*DX$6,DW10*$B$5)))))</f>
        <v/>
      </c>
      <c r="DY10" s="2755"/>
      <c r="DZ10" s="2149">
        <f ca="1">IF('25 Sollumsatz nach Monaten'!BU13=0,"",'25 Sollumsatz nach Monaten'!BU13)</f>
        <v>457.74003734000712</v>
      </c>
      <c r="EA10" s="2150" t="str">
        <f t="shared" ref="EA10:EA12" ca="1" si="179">IF(DZ10="","",IF(DY10="","",DY10-DZ10))</f>
        <v/>
      </c>
      <c r="EB10" s="2151" t="str">
        <f t="shared" ca="1" si="34"/>
        <v/>
      </c>
      <c r="EC10" s="2152" t="str">
        <f ca="1">DR10</f>
        <v>Maria</v>
      </c>
      <c r="ED10" s="2280">
        <f t="shared" ca="1" si="102"/>
        <v>0</v>
      </c>
      <c r="EE10" s="2153">
        <f t="shared" ca="1" si="103"/>
        <v>113206.25774801819</v>
      </c>
      <c r="EF10" s="2154">
        <f ca="1">ED10-EE10</f>
        <v>-113206.25774801819</v>
      </c>
      <c r="EG10" s="2307" t="str">
        <f t="shared" ref="EG10" ca="1" si="180">IF(EC10="","",IF(SUM(DX10,DM10,DB10,CQ10,CF10,BU10,BJ10,AY10,AN10,AC10,R10,G10)=0,"",SUM(DX10,DM10,DB10,CQ10,CF10,BU10,BJ10,AY10,AN10,AC10,R10,G10)))</f>
        <v/>
      </c>
      <c r="EH10" s="2757">
        <f ca="1">IF(EC10="","",SUM(DY10,DN10,DC10,CR10,CG10,BV10,BK10,AZ10,AO10,AD10,S10,H10))</f>
        <v>0</v>
      </c>
      <c r="EI10" s="2153">
        <f ca="1">IF(EC10="","",SUM(DZ10,DO10,DD10,CS10,CH10,BW10,BL10,BA10,AP10,AE10,T10,I10))</f>
        <v>6591.4565376961036</v>
      </c>
      <c r="EJ10" s="2154">
        <f ca="1">IF(EI10="","",IF(EH10="","",EH10-EI10))</f>
        <v>-6591.4565376961036</v>
      </c>
      <c r="EK10" s="2307" t="str">
        <f t="shared" ref="EK10:EK12" ca="1" si="181">IF(EC10="","",IF(SUM(EB10,DQ10,DF10,CU10,CJ10,BY10,BN10,BC10,AR10,AG10,V10,K10)=0,"",SUM(EB10,DQ10,DF10,CU10,CJ10,BY10,BN10,BC10,AR10,AG10,V10,K10)))</f>
        <v/>
      </c>
      <c r="EL10" s="2160" t="str">
        <f ca="1">IF(COUNTIF($EY10:$JZ10,3)=0,"",COUNTIF($EY10:$JZ10,3))</f>
        <v/>
      </c>
      <c r="EM10" s="2160" t="str">
        <f ca="1">IF(COUNTIF($EY10:$JZ10,1)=0,"",COUNTIF($EY10:$JZ10,1))</f>
        <v/>
      </c>
      <c r="EN10" s="2160" t="str">
        <f ca="1">IF(COUNTIF($EY10:$JZ10,2)=0,"",COUNTIF($EY10:$JZ10,2))</f>
        <v/>
      </c>
      <c r="EO10" s="2152" t="str">
        <f ca="1">EC10</f>
        <v>Maria</v>
      </c>
      <c r="EP10" s="2758">
        <f ca="1">IF('25 Sollumsatz nach Monaten'!BV13="","",SUM(EQ10:ER10))</f>
        <v>0</v>
      </c>
      <c r="EQ10" s="2758">
        <f ca="1">IF('25 Sollumsatz nach Monaten'!BV13="","",ED10/'25 Sollumsatz nach Monaten'!BV13)</f>
        <v>0</v>
      </c>
      <c r="ER10" s="2758">
        <f ca="1">IF('25 Sollumsatz nach Monaten'!BV13="","",EH10/'25 Sollumsatz nach Monaten'!BV13)</f>
        <v>0</v>
      </c>
      <c r="EY10" s="2248"/>
      <c r="EZ10" s="2249"/>
      <c r="FA10" s="2250"/>
      <c r="FB10" s="2251" t="str">
        <f>IF(D10="","",3)</f>
        <v/>
      </c>
      <c r="FC10" s="2252"/>
      <c r="FD10" s="2253"/>
      <c r="FE10" s="2251" t="str">
        <f ca="1">IF(G10="","",1)</f>
        <v/>
      </c>
      <c r="FF10" s="2254"/>
      <c r="FG10" s="2252"/>
      <c r="FH10" s="2253"/>
      <c r="FI10" s="2251" t="str">
        <f ca="1">IF(K10="","",2)</f>
        <v/>
      </c>
      <c r="FJ10" s="2248"/>
      <c r="FK10" s="2249"/>
      <c r="FL10" s="2250"/>
      <c r="FM10" s="2251" t="str">
        <f t="shared" ref="FM10" si="182">IF(O10="","",3)</f>
        <v/>
      </c>
      <c r="FN10" s="2252"/>
      <c r="FO10" s="2253"/>
      <c r="FP10" s="2251" t="str">
        <f t="shared" ref="FP10" ca="1" si="183">IF(R10="","",1)</f>
        <v/>
      </c>
      <c r="FQ10" s="2254"/>
      <c r="FR10" s="2252"/>
      <c r="FS10" s="2253"/>
      <c r="FT10" s="2251" t="str">
        <f t="shared" ref="FT10" ca="1" si="184">IF(V10="","",2)</f>
        <v/>
      </c>
      <c r="FU10" s="2248"/>
      <c r="FV10" s="2249"/>
      <c r="FW10" s="2250"/>
      <c r="FX10" s="2251" t="str">
        <f t="shared" ref="FX10" si="185">IF(Z10="","",3)</f>
        <v/>
      </c>
      <c r="FY10" s="2252"/>
      <c r="FZ10" s="2253"/>
      <c r="GA10" s="2251" t="str">
        <f t="shared" ref="GA10" ca="1" si="186">IF(AC10="","",1)</f>
        <v/>
      </c>
      <c r="GB10" s="2254"/>
      <c r="GC10" s="2252"/>
      <c r="GD10" s="2253"/>
      <c r="GE10" s="2251" t="str">
        <f t="shared" ref="GE10" ca="1" si="187">IF(AG10="","",2)</f>
        <v/>
      </c>
      <c r="GF10" s="2248"/>
      <c r="GG10" s="2249"/>
      <c r="GH10" s="2250"/>
      <c r="GI10" s="2251" t="str">
        <f t="shared" ref="GI10" si="188">IF(AK10="","",3)</f>
        <v/>
      </c>
      <c r="GJ10" s="2252"/>
      <c r="GK10" s="2253"/>
      <c r="GL10" s="2251" t="str">
        <f t="shared" ref="GL10" ca="1" si="189">IF(AN10="","",1)</f>
        <v/>
      </c>
      <c r="GM10" s="2254"/>
      <c r="GN10" s="2252"/>
      <c r="GO10" s="2253"/>
      <c r="GP10" s="2251" t="str">
        <f t="shared" ref="GP10" ca="1" si="190">IF(AR10="","",2)</f>
        <v/>
      </c>
      <c r="GQ10" s="2248"/>
      <c r="GR10" s="2249"/>
      <c r="GS10" s="2250"/>
      <c r="GT10" s="2251" t="str">
        <f t="shared" ref="GT10" si="191">IF(AV10="","",3)</f>
        <v/>
      </c>
      <c r="GU10" s="2252"/>
      <c r="GV10" s="2253"/>
      <c r="GW10" s="2251" t="str">
        <f t="shared" ref="GW10" ca="1" si="192">IF(AY10="","",1)</f>
        <v/>
      </c>
      <c r="GX10" s="2254"/>
      <c r="GY10" s="2252"/>
      <c r="GZ10" s="2253"/>
      <c r="HA10" s="2251" t="str">
        <f t="shared" ref="HA10" ca="1" si="193">IF(BC10="","",2)</f>
        <v/>
      </c>
      <c r="HB10" s="2248"/>
      <c r="HC10" s="2249"/>
      <c r="HD10" s="2250"/>
      <c r="HE10" s="2251" t="str">
        <f t="shared" ref="HE10" si="194">IF(BG10="","",3)</f>
        <v/>
      </c>
      <c r="HF10" s="2252"/>
      <c r="HG10" s="2253"/>
      <c r="HH10" s="2251" t="str">
        <f t="shared" ref="HH10" ca="1" si="195">IF(BJ10="","",1)</f>
        <v/>
      </c>
      <c r="HI10" s="2254"/>
      <c r="HJ10" s="2252"/>
      <c r="HK10" s="2253"/>
      <c r="HL10" s="2251" t="str">
        <f t="shared" ref="HL10" ca="1" si="196">IF(BN10="","",2)</f>
        <v/>
      </c>
      <c r="HM10" s="2248"/>
      <c r="HN10" s="2249"/>
      <c r="HO10" s="2250"/>
      <c r="HP10" s="2251" t="str">
        <f t="shared" ref="HP10" si="197">IF(BR10="","",3)</f>
        <v/>
      </c>
      <c r="HQ10" s="2252"/>
      <c r="HR10" s="2253"/>
      <c r="HS10" s="2251" t="str">
        <f t="shared" ref="HS10" ca="1" si="198">IF(BU10="","",1)</f>
        <v/>
      </c>
      <c r="HT10" s="2254"/>
      <c r="HU10" s="2252"/>
      <c r="HV10" s="2253"/>
      <c r="HW10" s="2251" t="str">
        <f t="shared" ref="HW10" ca="1" si="199">IF(BY10="","",2)</f>
        <v/>
      </c>
      <c r="HX10" s="2248"/>
      <c r="HY10" s="2249"/>
      <c r="HZ10" s="2250"/>
      <c r="IA10" s="2251" t="str">
        <f t="shared" ref="IA10" si="200">IF(CC10="","",3)</f>
        <v/>
      </c>
      <c r="IB10" s="2252"/>
      <c r="IC10" s="2253"/>
      <c r="ID10" s="2251" t="str">
        <f t="shared" ref="ID10" ca="1" si="201">IF(CF10="","",1)</f>
        <v/>
      </c>
      <c r="IE10" s="2254"/>
      <c r="IF10" s="2252"/>
      <c r="IG10" s="2253"/>
      <c r="IH10" s="2251" t="str">
        <f t="shared" ref="IH10" ca="1" si="202">IF(CJ10="","",2)</f>
        <v/>
      </c>
      <c r="II10" s="2248"/>
      <c r="IJ10" s="2249"/>
      <c r="IK10" s="2250"/>
      <c r="IL10" s="2251" t="str">
        <f t="shared" ref="IL10" si="203">IF(CN10="","",3)</f>
        <v/>
      </c>
      <c r="IM10" s="2252"/>
      <c r="IN10" s="2253"/>
      <c r="IO10" s="2251" t="str">
        <f t="shared" ref="IO10" ca="1" si="204">IF(CQ10="","",1)</f>
        <v/>
      </c>
      <c r="IP10" s="2254"/>
      <c r="IQ10" s="2252"/>
      <c r="IR10" s="2253"/>
      <c r="IS10" s="2251" t="str">
        <f t="shared" ref="IS10" ca="1" si="205">IF(CU10="","",2)</f>
        <v/>
      </c>
      <c r="IT10" s="2248"/>
      <c r="IU10" s="2249"/>
      <c r="IV10" s="2250"/>
      <c r="IW10" s="2251" t="str">
        <f t="shared" ref="IW10" si="206">IF(CY10="","",3)</f>
        <v/>
      </c>
      <c r="IX10" s="2252"/>
      <c r="IY10" s="2253"/>
      <c r="IZ10" s="2251" t="str">
        <f t="shared" ref="IZ10" ca="1" si="207">IF(DB10="","",1)</f>
        <v/>
      </c>
      <c r="JA10" s="2254"/>
      <c r="JB10" s="2252"/>
      <c r="JC10" s="2253"/>
      <c r="JD10" s="2251" t="str">
        <f t="shared" ref="JD10" ca="1" si="208">IF(DF10="","",2)</f>
        <v/>
      </c>
      <c r="JE10" s="2248"/>
      <c r="JF10" s="2249"/>
      <c r="JG10" s="2250"/>
      <c r="JH10" s="2251" t="str">
        <f t="shared" ref="JH10" si="209">IF(DJ10="","",3)</f>
        <v/>
      </c>
      <c r="JI10" s="2252"/>
      <c r="JJ10" s="2253"/>
      <c r="JK10" s="2251" t="str">
        <f t="shared" ref="JK10" ca="1" si="210">IF(DM10="","",1)</f>
        <v/>
      </c>
      <c r="JL10" s="2254"/>
      <c r="JM10" s="2252"/>
      <c r="JN10" s="2253"/>
      <c r="JO10" s="2251" t="str">
        <f t="shared" ref="JO10" ca="1" si="211">IF(DQ10="","",2)</f>
        <v/>
      </c>
      <c r="JP10" s="2248"/>
      <c r="JQ10" s="2249"/>
      <c r="JR10" s="2250"/>
      <c r="JS10" s="2251" t="str">
        <f t="shared" ref="JS10" si="212">IF(DU10="","",3)</f>
        <v/>
      </c>
      <c r="JT10" s="2252"/>
      <c r="JU10" s="2253"/>
      <c r="JV10" s="2251" t="str">
        <f t="shared" ref="JV10" ca="1" si="213">IF(DX10="","",1)</f>
        <v/>
      </c>
      <c r="JW10" s="2254"/>
      <c r="JX10" s="2252"/>
      <c r="JY10" s="2253"/>
      <c r="JZ10" s="2251" t="str">
        <f t="shared" ref="JZ10" ca="1" si="214">IF(EB10="","",2)</f>
        <v/>
      </c>
      <c r="KA10" s="2231"/>
    </row>
    <row r="11" spans="1:287" s="2156" customFormat="1" ht="18" customHeight="1">
      <c r="A11" s="2142" t="str">
        <f ca="1">IF('22 Sollumsatz pro MA '!$A12="","",'22 Sollumsatz pro MA '!$A12)</f>
        <v>Jutta</v>
      </c>
      <c r="B11" s="2161"/>
      <c r="C11" s="2162"/>
      <c r="D11" s="2143"/>
      <c r="E11" s="2144">
        <f ca="1">IF('25 Sollumsatz nach Monaten'!F14=0,"",'25 Sollumsatz nach Monaten'!F14)</f>
        <v>5859.8113368108925</v>
      </c>
      <c r="F11" s="2145" t="str">
        <f t="shared" ca="1" si="143"/>
        <v/>
      </c>
      <c r="G11" s="2146" t="str">
        <f t="shared" ca="1" si="144"/>
        <v/>
      </c>
      <c r="H11" s="2147"/>
      <c r="I11" s="2144">
        <f ca="1">IF('25 Sollumsatz nach Monaten'!G14=0,"",'25 Sollumsatz nach Monaten'!G14)</f>
        <v>340.8318490396224</v>
      </c>
      <c r="J11" s="2145" t="str">
        <f t="shared" ref="J11" ca="1" si="215">IF(I11="","",IF(H11="","",H11-I11))</f>
        <v/>
      </c>
      <c r="K11" s="2158" t="str">
        <f t="shared" ca="1" si="146"/>
        <v/>
      </c>
      <c r="L11" s="2148" t="str">
        <f t="shared" ref="L11:L43" ca="1" si="216">A11</f>
        <v>Jutta</v>
      </c>
      <c r="M11" s="2161"/>
      <c r="N11" s="2162"/>
      <c r="O11" s="2143"/>
      <c r="P11" s="2149">
        <f ca="1">IF('25 Sollumsatz nach Monaten'!L14=0,"",'25 Sollumsatz nach Monaten'!L14)</f>
        <v>5409.05661859467</v>
      </c>
      <c r="Q11" s="2150" t="str">
        <f t="shared" ca="1" si="147"/>
        <v/>
      </c>
      <c r="R11" s="2151" t="str">
        <f t="shared" ca="1" si="148"/>
        <v/>
      </c>
      <c r="S11" s="2157"/>
      <c r="T11" s="2149">
        <f ca="1">IF('25 Sollumsatz nach Monaten'!M14=0,"",'25 Sollumsatz nach Monaten'!M14)</f>
        <v>314.61401449811297</v>
      </c>
      <c r="U11" s="2150" t="str">
        <f t="shared" ca="1" si="149"/>
        <v/>
      </c>
      <c r="V11" s="2151" t="str">
        <f t="shared" ca="1" si="4"/>
        <v/>
      </c>
      <c r="W11" s="2142" t="str">
        <f t="shared" ref="W11:W43" ca="1" si="217">L11</f>
        <v>Jutta</v>
      </c>
      <c r="X11" s="2161"/>
      <c r="Y11" s="2162"/>
      <c r="Z11" s="2143"/>
      <c r="AA11" s="2144">
        <f ca="1">IF('25 Sollumsatz nach Monaten'!R14=0,"",'25 Sollumsatz nach Monaten'!R14)</f>
        <v>7662.8302096757825</v>
      </c>
      <c r="AB11" s="2145" t="str">
        <f t="shared" ca="1" si="150"/>
        <v/>
      </c>
      <c r="AC11" s="2146" t="str">
        <f t="shared" ca="1" si="151"/>
        <v/>
      </c>
      <c r="AD11" s="2143"/>
      <c r="AE11" s="2144">
        <f ca="1">IF('25 Sollumsatz nach Monaten'!S14=0,"",'25 Sollumsatz nach Monaten'!S14)</f>
        <v>445.70318720566007</v>
      </c>
      <c r="AF11" s="2145" t="str">
        <f t="shared" ca="1" si="152"/>
        <v/>
      </c>
      <c r="AG11" s="2158" t="str">
        <f t="shared" ca="1" si="7"/>
        <v/>
      </c>
      <c r="AH11" s="2148" t="str">
        <f t="shared" ref="AH11:AH43" ca="1" si="218">W11</f>
        <v>Jutta</v>
      </c>
      <c r="AI11" s="2161"/>
      <c r="AJ11" s="2162"/>
      <c r="AK11" s="2143"/>
      <c r="AL11" s="2149">
        <f ca="1">IF('25 Sollumsatz nach Monaten'!X14=0,"",'25 Sollumsatz nach Monaten'!X14)</f>
        <v>7662.8302096757825</v>
      </c>
      <c r="AM11" s="2150" t="str">
        <f t="shared" ca="1" si="153"/>
        <v/>
      </c>
      <c r="AN11" s="2151" t="str">
        <f t="shared" ca="1" si="154"/>
        <v/>
      </c>
      <c r="AO11" s="2143"/>
      <c r="AP11" s="2149">
        <f ca="1">IF('25 Sollumsatz nach Monaten'!Y14=0,"",'25 Sollumsatz nach Monaten'!Y14)</f>
        <v>445.70318720566007</v>
      </c>
      <c r="AQ11" s="2150" t="str">
        <f t="shared" ca="1" si="155"/>
        <v/>
      </c>
      <c r="AR11" s="2151" t="str">
        <f t="shared" ca="1" si="10"/>
        <v/>
      </c>
      <c r="AS11" s="2142" t="str">
        <f t="shared" ref="AS11:AS43" ca="1" si="219">AH11</f>
        <v>Jutta</v>
      </c>
      <c r="AT11" s="2161"/>
      <c r="AU11" s="2162"/>
      <c r="AV11" s="2143"/>
      <c r="AW11" s="2144">
        <f ca="1">IF('25 Sollumsatz nach Monaten'!AD14=0,"",'25 Sollumsatz nach Monaten'!AD14)</f>
        <v>7212.07549145956</v>
      </c>
      <c r="AX11" s="2145" t="str">
        <f t="shared" ca="1" si="156"/>
        <v/>
      </c>
      <c r="AY11" s="2146" t="str">
        <f t="shared" ca="1" si="157"/>
        <v/>
      </c>
      <c r="AZ11" s="2147"/>
      <c r="BA11" s="2144">
        <f ca="1">IF('25 Sollumsatz nach Monaten'!AE14=0,"",'25 Sollumsatz nach Monaten'!AE14)</f>
        <v>419.48535266415064</v>
      </c>
      <c r="BB11" s="2145" t="str">
        <f t="shared" ca="1" si="158"/>
        <v/>
      </c>
      <c r="BC11" s="2158" t="str">
        <f t="shared" ca="1" si="13"/>
        <v/>
      </c>
      <c r="BD11" s="2148" t="str">
        <f t="shared" ref="BD11:BD43" ca="1" si="220">AS11</f>
        <v>Jutta</v>
      </c>
      <c r="BE11" s="2161"/>
      <c r="BF11" s="2162"/>
      <c r="BG11" s="2143"/>
      <c r="BH11" s="2149">
        <f ca="1">IF('25 Sollumsatz nach Monaten'!AJ14=0,"",'25 Sollumsatz nach Monaten'!AJ14)</f>
        <v>7212.07549145956</v>
      </c>
      <c r="BI11" s="2150" t="str">
        <f t="shared" ca="1" si="159"/>
        <v/>
      </c>
      <c r="BJ11" s="2151" t="str">
        <f t="shared" ca="1" si="160"/>
        <v/>
      </c>
      <c r="BK11" s="2143"/>
      <c r="BL11" s="2149">
        <f ca="1">IF('25 Sollumsatz nach Monaten'!AK14=0,"",'25 Sollumsatz nach Monaten'!AK14)</f>
        <v>419.48535266415064</v>
      </c>
      <c r="BM11" s="2150" t="str">
        <f t="shared" ca="1" si="161"/>
        <v/>
      </c>
      <c r="BN11" s="2151" t="str">
        <f t="shared" ca="1" si="16"/>
        <v/>
      </c>
      <c r="BO11" s="2142" t="str">
        <f t="shared" ref="BO11:BO43" ca="1" si="221">BD11</f>
        <v>Jutta</v>
      </c>
      <c r="BP11" s="2161"/>
      <c r="BQ11" s="2162"/>
      <c r="BR11" s="2143"/>
      <c r="BS11" s="2144">
        <f ca="1">IF('25 Sollumsatz nach Monaten'!AP14=0,"",'25 Sollumsatz nach Monaten'!AP14)</f>
        <v>2704.528309297335</v>
      </c>
      <c r="BT11" s="2145" t="str">
        <f t="shared" ca="1" si="162"/>
        <v/>
      </c>
      <c r="BU11" s="2146" t="str">
        <f t="shared" ca="1" si="163"/>
        <v/>
      </c>
      <c r="BV11" s="2143"/>
      <c r="BW11" s="2144">
        <f ca="1">IF('25 Sollumsatz nach Monaten'!AQ14=0,"",'25 Sollumsatz nach Monaten'!AQ14)</f>
        <v>157.30700724905648</v>
      </c>
      <c r="BX11" s="2145" t="str">
        <f t="shared" ca="1" si="164"/>
        <v/>
      </c>
      <c r="BY11" s="2158" t="str">
        <f t="shared" ca="1" si="19"/>
        <v/>
      </c>
      <c r="BZ11" s="2148" t="str">
        <f t="shared" ref="BZ11:BZ43" ca="1" si="222">BO11</f>
        <v>Jutta</v>
      </c>
      <c r="CA11" s="2161"/>
      <c r="CB11" s="2162"/>
      <c r="CC11" s="2143"/>
      <c r="CD11" s="2149">
        <f ca="1">IF('25 Sollumsatz nach Monaten'!AV14=0,"",'25 Sollumsatz nach Monaten'!AV14)</f>
        <v>5409.05661859467</v>
      </c>
      <c r="CE11" s="2150" t="str">
        <f t="shared" ca="1" si="165"/>
        <v/>
      </c>
      <c r="CF11" s="2151" t="str">
        <f t="shared" ca="1" si="166"/>
        <v/>
      </c>
      <c r="CG11" s="2143"/>
      <c r="CH11" s="2149">
        <f ca="1">IF('25 Sollumsatz nach Monaten'!AW14=0,"",'25 Sollumsatz nach Monaten'!AW14)</f>
        <v>314.61401449811297</v>
      </c>
      <c r="CI11" s="2150" t="str">
        <f t="shared" ca="1" si="167"/>
        <v/>
      </c>
      <c r="CJ11" s="2151" t="str">
        <f t="shared" ca="1" si="22"/>
        <v/>
      </c>
      <c r="CK11" s="2142" t="str">
        <f t="shared" ref="CK11:CK43" ca="1" si="223">BZ11</f>
        <v>Jutta</v>
      </c>
      <c r="CL11" s="2161"/>
      <c r="CM11" s="2162"/>
      <c r="CN11" s="2143"/>
      <c r="CO11" s="2144">
        <f ca="1">IF('25 Sollumsatz nach Monaten'!BB14=0,"",'25 Sollumsatz nach Monaten'!BB14)</f>
        <v>7662.8302096757825</v>
      </c>
      <c r="CP11" s="2145" t="str">
        <f t="shared" ca="1" si="168"/>
        <v/>
      </c>
      <c r="CQ11" s="2146" t="str">
        <f t="shared" ca="1" si="169"/>
        <v/>
      </c>
      <c r="CR11" s="2147"/>
      <c r="CS11" s="2144">
        <f ca="1">IF('25 Sollumsatz nach Monaten'!BC14=0,"",'25 Sollumsatz nach Monaten'!BC14)</f>
        <v>445.70318720566007</v>
      </c>
      <c r="CT11" s="2145" t="str">
        <f t="shared" ca="1" si="170"/>
        <v/>
      </c>
      <c r="CU11" s="2158" t="str">
        <f t="shared" ca="1" si="25"/>
        <v/>
      </c>
      <c r="CV11" s="2148" t="str">
        <f t="shared" ref="CV11:CV43" ca="1" si="224">CK11</f>
        <v>Jutta</v>
      </c>
      <c r="CW11" s="2161"/>
      <c r="CX11" s="2162"/>
      <c r="CY11" s="2143"/>
      <c r="CZ11" s="2149">
        <f ca="1">IF('25 Sollumsatz nach Monaten'!BH14=0,"",'25 Sollumsatz nach Monaten'!BH14)</f>
        <v>7212.07549145956</v>
      </c>
      <c r="DA11" s="2150" t="str">
        <f t="shared" ca="1" si="171"/>
        <v/>
      </c>
      <c r="DB11" s="2151" t="str">
        <f t="shared" ca="1" si="172"/>
        <v/>
      </c>
      <c r="DC11" s="2157"/>
      <c r="DD11" s="2149">
        <f ca="1">IF('25 Sollumsatz nach Monaten'!BI14=0,"",'25 Sollumsatz nach Monaten'!BI14)</f>
        <v>419.48535266415064</v>
      </c>
      <c r="DE11" s="2150" t="str">
        <f t="shared" ca="1" si="173"/>
        <v/>
      </c>
      <c r="DF11" s="2151" t="str">
        <f t="shared" ca="1" si="28"/>
        <v/>
      </c>
      <c r="DG11" s="2142" t="str">
        <f t="shared" ref="DG11:DG43" ca="1" si="225">CV11</f>
        <v>Jutta</v>
      </c>
      <c r="DH11" s="2161"/>
      <c r="DI11" s="2162"/>
      <c r="DJ11" s="2143"/>
      <c r="DK11" s="2144">
        <f ca="1">IF('25 Sollumsatz nach Monaten'!BN14=0,"",'25 Sollumsatz nach Monaten'!BN14)</f>
        <v>5409.05661859467</v>
      </c>
      <c r="DL11" s="2145" t="str">
        <f t="shared" ca="1" si="174"/>
        <v/>
      </c>
      <c r="DM11" s="2146" t="str">
        <f t="shared" ca="1" si="175"/>
        <v/>
      </c>
      <c r="DN11" s="2147"/>
      <c r="DO11" s="2144">
        <f ca="1">IF('25 Sollumsatz nach Monaten'!BO14=0,"",'25 Sollumsatz nach Monaten'!BO14)</f>
        <v>314.61401449811297</v>
      </c>
      <c r="DP11" s="2145" t="str">
        <f t="shared" ca="1" si="176"/>
        <v/>
      </c>
      <c r="DQ11" s="2158" t="str">
        <f t="shared" ca="1" si="31"/>
        <v/>
      </c>
      <c r="DR11" s="2148" t="str">
        <f t="shared" ref="DR11:DR43" ca="1" si="226">DG11</f>
        <v>Jutta</v>
      </c>
      <c r="DS11" s="2161"/>
      <c r="DT11" s="2162"/>
      <c r="DU11" s="2143"/>
      <c r="DV11" s="2149">
        <f ca="1">IF('25 Sollumsatz nach Monaten'!BT14=0,"",'25 Sollumsatz nach Monaten'!BT14)</f>
        <v>7212.07549145956</v>
      </c>
      <c r="DW11" s="2150" t="str">
        <f t="shared" ca="1" si="177"/>
        <v/>
      </c>
      <c r="DX11" s="2151" t="str">
        <f t="shared" ca="1" si="178"/>
        <v/>
      </c>
      <c r="DY11" s="2143"/>
      <c r="DZ11" s="2149">
        <f ca="1">IF('25 Sollumsatz nach Monaten'!BU14=0,"",'25 Sollumsatz nach Monaten'!BU14)</f>
        <v>419.48535266415064</v>
      </c>
      <c r="EA11" s="2150" t="str">
        <f t="shared" ca="1" si="179"/>
        <v/>
      </c>
      <c r="EB11" s="2151" t="str">
        <f t="shared" ca="1" si="34"/>
        <v/>
      </c>
      <c r="EC11" s="2152" t="str">
        <f t="shared" ref="EC11:EC43" ca="1" si="227">DR11</f>
        <v>Jutta</v>
      </c>
      <c r="ED11" s="2280">
        <f t="shared" ref="ED11:ED25" ca="1" si="228">IF(EC11="","",SUM(DU11,DJ11,CY11,CN11,CC11,BR11,BG11,AV11,AK11,Z11,O11,D11))</f>
        <v>0</v>
      </c>
      <c r="EE11" s="2153">
        <f t="shared" ref="EE11:EE25" ca="1" si="229">IF(EC11="","",SUM(DV11,DK11,CZ11,CO11,CD11,BS11,BH11,AW11,AL11,AA11,P11,E11))</f>
        <v>76628.30209675782</v>
      </c>
      <c r="EF11" s="2154">
        <f t="shared" ref="EF11:EF25" ca="1" si="230">IF(EE11="","",IF(ED11="","",ED11-EE11))</f>
        <v>-76628.30209675782</v>
      </c>
      <c r="EG11" s="2155" t="str">
        <f ca="1">IF(EC11="","",IF(SUM(DX11,DM11,DB11,CQ11,CF11,BU11,BJ11,AY11,AN11,AC11,R11,G11)=0,"",SUM(DX11,DM11,DB11,CQ11,CF11,BU11,BJ11,AY11,AN11,AC11,R11,G11)))</f>
        <v/>
      </c>
      <c r="EH11" s="2282">
        <f t="shared" ref="EH11:EH25" ca="1" si="231">IF(EC11="","",SUM(DY11,DN11,DC11,CR11,CG11,BV11,BK11,AZ11,AO11,AD11,S11,H11))</f>
        <v>0</v>
      </c>
      <c r="EI11" s="2153">
        <f t="shared" ref="EI11:EI25" ca="1" si="232">IF(EC11="","",SUM(DZ11,DO11,DD11,CS11,CH11,BW11,BL11,BA11,AP11,AE11,T11,I11))</f>
        <v>4457.0318720566002</v>
      </c>
      <c r="EJ11" s="2154">
        <f t="shared" ref="EJ11:EJ25" ca="1" si="233">IF(EI11="","",IF(EH11="","",EH11-EI11))</f>
        <v>-4457.0318720566002</v>
      </c>
      <c r="EK11" s="2155" t="str">
        <f t="shared" ca="1" si="181"/>
        <v/>
      </c>
      <c r="EL11" s="2160" t="str">
        <f t="shared" ref="EL11:EL25" ca="1" si="234">IF(COUNTIF($EY11:$JZ11,3)=0,"",COUNTIF($EY11:$JZ11,3))</f>
        <v/>
      </c>
      <c r="EM11" s="2160" t="str">
        <f t="shared" ref="EM11:EM25" ca="1" si="235">IF(COUNTIF($EY11:$JZ11,1)=0,"",COUNTIF($EY11:$JZ11,1))</f>
        <v/>
      </c>
      <c r="EN11" s="2160" t="str">
        <f t="shared" ref="EN11:EN25" ca="1" si="236">IF(COUNTIF($EY11:$JZ11,2)=0,"",COUNTIF($EY11:$JZ11,2))</f>
        <v/>
      </c>
      <c r="EO11" s="2152" t="str">
        <f t="shared" ref="EO11:EO48" ca="1" si="237">EC11</f>
        <v>Jutta</v>
      </c>
      <c r="EP11" s="2312">
        <f ca="1">IF('25 Sollumsatz nach Monaten'!BV14="","",SUM(EQ11:ER11))</f>
        <v>0</v>
      </c>
      <c r="EQ11" s="2312">
        <f ca="1">IF('25 Sollumsatz nach Monaten'!BV14="","",ED11/'25 Sollumsatz nach Monaten'!BV14)</f>
        <v>0</v>
      </c>
      <c r="ER11" s="2312">
        <f ca="1">IF('25 Sollumsatz nach Monaten'!BV14="","",EH11/'25 Sollumsatz nach Monaten'!BV14)</f>
        <v>0</v>
      </c>
      <c r="EY11" s="2248"/>
      <c r="EZ11" s="2249"/>
      <c r="FA11" s="2250"/>
      <c r="FB11" s="2251" t="str">
        <f t="shared" ref="FB11:FB25" si="238">IF(D11="","",3)</f>
        <v/>
      </c>
      <c r="FC11" s="2252"/>
      <c r="FD11" s="2253"/>
      <c r="FE11" s="2251" t="str">
        <f t="shared" ref="FE11:FE25" ca="1" si="239">IF(G11="","",1)</f>
        <v/>
      </c>
      <c r="FF11" s="2254"/>
      <c r="FG11" s="2252"/>
      <c r="FH11" s="2253"/>
      <c r="FI11" s="2251" t="str">
        <f t="shared" ref="FI11:FI25" ca="1" si="240">IF(K11="","",2)</f>
        <v/>
      </c>
      <c r="FJ11" s="2248"/>
      <c r="FK11" s="2249"/>
      <c r="FL11" s="2250"/>
      <c r="FM11" s="2251" t="str">
        <f t="shared" ref="FM11:FM25" si="241">IF(O11="","",3)</f>
        <v/>
      </c>
      <c r="FN11" s="2252"/>
      <c r="FO11" s="2253"/>
      <c r="FP11" s="2251" t="str">
        <f t="shared" ref="FP11:FP25" ca="1" si="242">IF(R11="","",1)</f>
        <v/>
      </c>
      <c r="FQ11" s="2254"/>
      <c r="FR11" s="2252"/>
      <c r="FS11" s="2253"/>
      <c r="FT11" s="2251" t="str">
        <f t="shared" ref="FT11:FT25" ca="1" si="243">IF(V11="","",2)</f>
        <v/>
      </c>
      <c r="FU11" s="2248"/>
      <c r="FV11" s="2249"/>
      <c r="FW11" s="2250"/>
      <c r="FX11" s="2251" t="str">
        <f t="shared" ref="FX11:FX25" si="244">IF(Z11="","",3)</f>
        <v/>
      </c>
      <c r="FY11" s="2252"/>
      <c r="FZ11" s="2253"/>
      <c r="GA11" s="2251" t="str">
        <f t="shared" ref="GA11:GA25" ca="1" si="245">IF(AC11="","",1)</f>
        <v/>
      </c>
      <c r="GB11" s="2254"/>
      <c r="GC11" s="2252"/>
      <c r="GD11" s="2253"/>
      <c r="GE11" s="2251" t="str">
        <f t="shared" ref="GE11:GE25" ca="1" si="246">IF(AG11="","",2)</f>
        <v/>
      </c>
      <c r="GF11" s="2248"/>
      <c r="GG11" s="2249"/>
      <c r="GH11" s="2250"/>
      <c r="GI11" s="2251" t="str">
        <f t="shared" ref="GI11:GI25" si="247">IF(AK11="","",3)</f>
        <v/>
      </c>
      <c r="GJ11" s="2252"/>
      <c r="GK11" s="2253"/>
      <c r="GL11" s="2251" t="str">
        <f t="shared" ref="GL11:GL25" ca="1" si="248">IF(AN11="","",1)</f>
        <v/>
      </c>
      <c r="GM11" s="2254"/>
      <c r="GN11" s="2252"/>
      <c r="GO11" s="2253"/>
      <c r="GP11" s="2251" t="str">
        <f t="shared" ref="GP11:GP25" ca="1" si="249">IF(AR11="","",2)</f>
        <v/>
      </c>
      <c r="GQ11" s="2248"/>
      <c r="GR11" s="2249"/>
      <c r="GS11" s="2250"/>
      <c r="GT11" s="2251" t="str">
        <f t="shared" ref="GT11:GT25" si="250">IF(AV11="","",3)</f>
        <v/>
      </c>
      <c r="GU11" s="2252"/>
      <c r="GV11" s="2253"/>
      <c r="GW11" s="2251" t="str">
        <f t="shared" ref="GW11:GW25" ca="1" si="251">IF(AY11="","",1)</f>
        <v/>
      </c>
      <c r="GX11" s="2254"/>
      <c r="GY11" s="2252"/>
      <c r="GZ11" s="2253"/>
      <c r="HA11" s="2251" t="str">
        <f t="shared" ref="HA11:HA25" ca="1" si="252">IF(BC11="","",2)</f>
        <v/>
      </c>
      <c r="HB11" s="2248"/>
      <c r="HC11" s="2249"/>
      <c r="HD11" s="2250"/>
      <c r="HE11" s="2251" t="str">
        <f t="shared" ref="HE11:HE25" si="253">IF(BG11="","",3)</f>
        <v/>
      </c>
      <c r="HF11" s="2252"/>
      <c r="HG11" s="2253"/>
      <c r="HH11" s="2251" t="str">
        <f t="shared" ref="HH11:HH25" ca="1" si="254">IF(BJ11="","",1)</f>
        <v/>
      </c>
      <c r="HI11" s="2254"/>
      <c r="HJ11" s="2252"/>
      <c r="HK11" s="2253"/>
      <c r="HL11" s="2251" t="str">
        <f t="shared" ref="HL11:HL25" ca="1" si="255">IF(BN11="","",2)</f>
        <v/>
      </c>
      <c r="HM11" s="2248"/>
      <c r="HN11" s="2249"/>
      <c r="HO11" s="2250"/>
      <c r="HP11" s="2251" t="str">
        <f t="shared" ref="HP11:HP25" si="256">IF(BR11="","",3)</f>
        <v/>
      </c>
      <c r="HQ11" s="2252"/>
      <c r="HR11" s="2253"/>
      <c r="HS11" s="2251" t="str">
        <f t="shared" ref="HS11:HS25" ca="1" si="257">IF(BU11="","",1)</f>
        <v/>
      </c>
      <c r="HT11" s="2254"/>
      <c r="HU11" s="2252"/>
      <c r="HV11" s="2253"/>
      <c r="HW11" s="2251" t="str">
        <f t="shared" ref="HW11:HW25" ca="1" si="258">IF(BY11="","",2)</f>
        <v/>
      </c>
      <c r="HX11" s="2248"/>
      <c r="HY11" s="2249"/>
      <c r="HZ11" s="2250"/>
      <c r="IA11" s="2251" t="str">
        <f t="shared" ref="IA11:IA25" si="259">IF(CC11="","",3)</f>
        <v/>
      </c>
      <c r="IB11" s="2252"/>
      <c r="IC11" s="2253"/>
      <c r="ID11" s="2251" t="str">
        <f t="shared" ref="ID11:ID25" ca="1" si="260">IF(CF11="","",1)</f>
        <v/>
      </c>
      <c r="IE11" s="2254"/>
      <c r="IF11" s="2252"/>
      <c r="IG11" s="2253"/>
      <c r="IH11" s="2251" t="str">
        <f t="shared" ref="IH11:IH25" ca="1" si="261">IF(CJ11="","",2)</f>
        <v/>
      </c>
      <c r="II11" s="2248"/>
      <c r="IJ11" s="2249"/>
      <c r="IK11" s="2250"/>
      <c r="IL11" s="2251" t="str">
        <f t="shared" ref="IL11:IL25" si="262">IF(CN11="","",3)</f>
        <v/>
      </c>
      <c r="IM11" s="2252"/>
      <c r="IN11" s="2253"/>
      <c r="IO11" s="2251" t="str">
        <f t="shared" ref="IO11:IO25" ca="1" si="263">IF(CQ11="","",1)</f>
        <v/>
      </c>
      <c r="IP11" s="2254"/>
      <c r="IQ11" s="2252"/>
      <c r="IR11" s="2253"/>
      <c r="IS11" s="2251" t="str">
        <f t="shared" ref="IS11:IS25" ca="1" si="264">IF(CU11="","",2)</f>
        <v/>
      </c>
      <c r="IT11" s="2248"/>
      <c r="IU11" s="2249"/>
      <c r="IV11" s="2250"/>
      <c r="IW11" s="2251" t="str">
        <f t="shared" ref="IW11:IW25" si="265">IF(CY11="","",3)</f>
        <v/>
      </c>
      <c r="IX11" s="2252"/>
      <c r="IY11" s="2253"/>
      <c r="IZ11" s="2251" t="str">
        <f t="shared" ref="IZ11:IZ25" ca="1" si="266">IF(DB11="","",1)</f>
        <v/>
      </c>
      <c r="JA11" s="2254"/>
      <c r="JB11" s="2252"/>
      <c r="JC11" s="2253"/>
      <c r="JD11" s="2251" t="str">
        <f t="shared" ref="JD11:JD25" ca="1" si="267">IF(DF11="","",2)</f>
        <v/>
      </c>
      <c r="JE11" s="2248"/>
      <c r="JF11" s="2249"/>
      <c r="JG11" s="2250"/>
      <c r="JH11" s="2251" t="str">
        <f t="shared" ref="JH11:JH25" si="268">IF(DJ11="","",3)</f>
        <v/>
      </c>
      <c r="JI11" s="2252"/>
      <c r="JJ11" s="2253"/>
      <c r="JK11" s="2251" t="str">
        <f t="shared" ref="JK11:JK25" ca="1" si="269">IF(DM11="","",1)</f>
        <v/>
      </c>
      <c r="JL11" s="2254"/>
      <c r="JM11" s="2252"/>
      <c r="JN11" s="2253"/>
      <c r="JO11" s="2251" t="str">
        <f t="shared" ref="JO11:JO25" ca="1" si="270">IF(DQ11="","",2)</f>
        <v/>
      </c>
      <c r="JP11" s="2248"/>
      <c r="JQ11" s="2249"/>
      <c r="JR11" s="2250"/>
      <c r="JS11" s="2251" t="str">
        <f t="shared" ref="JS11:JS25" si="271">IF(DU11="","",3)</f>
        <v/>
      </c>
      <c r="JT11" s="2252"/>
      <c r="JU11" s="2253"/>
      <c r="JV11" s="2251" t="str">
        <f t="shared" ref="JV11:JV25" ca="1" si="272">IF(DX11="","",1)</f>
        <v/>
      </c>
      <c r="JW11" s="2254"/>
      <c r="JX11" s="2252"/>
      <c r="JY11" s="2253"/>
      <c r="JZ11" s="2251" t="str">
        <f t="shared" ref="JZ11:JZ25" ca="1" si="273">IF(EB11="","",2)</f>
        <v/>
      </c>
      <c r="KA11" s="2231"/>
    </row>
    <row r="12" spans="1:287" s="2156" customFormat="1" ht="18" customHeight="1">
      <c r="A12" s="2142" t="str">
        <f ca="1">IF('22 Sollumsatz pro MA '!$A13="","",'22 Sollumsatz pro MA '!$A13)</f>
        <v>Karina</v>
      </c>
      <c r="B12" s="2161"/>
      <c r="C12" s="2162"/>
      <c r="D12" s="2143"/>
      <c r="E12" s="2144">
        <f ca="1">IF('25 Sollumsatz nach Monaten'!F15=0,"",'25 Sollumsatz nach Monaten'!F15)</f>
        <v>6449.4778864270829</v>
      </c>
      <c r="F12" s="2145" t="str">
        <f t="shared" ca="1" si="143"/>
        <v/>
      </c>
      <c r="G12" s="2146" t="str">
        <f t="shared" ca="1" si="144"/>
        <v/>
      </c>
      <c r="H12" s="2147"/>
      <c r="I12" s="2144">
        <f ca="1">IF('25 Sollumsatz nach Monaten'!G15=0,"",'25 Sollumsatz nach Monaten'!G15)</f>
        <v>375.82027557969872</v>
      </c>
      <c r="J12" s="2145" t="str">
        <f t="shared" ref="J12" ca="1" si="274">IF(I12="","",IF(H12="","",H12-I12))</f>
        <v/>
      </c>
      <c r="K12" s="2158" t="str">
        <f t="shared" ca="1" si="146"/>
        <v/>
      </c>
      <c r="L12" s="2148" t="str">
        <f t="shared" ca="1" si="216"/>
        <v>Karina</v>
      </c>
      <c r="M12" s="2161"/>
      <c r="N12" s="2162"/>
      <c r="O12" s="2143"/>
      <c r="P12" s="2149">
        <f ca="1">IF('25 Sollumsatz nach Monaten'!L15=0,"",'25 Sollumsatz nach Monaten'!L15)</f>
        <v>6449.4778864270829</v>
      </c>
      <c r="Q12" s="2150" t="str">
        <f t="shared" ca="1" si="147"/>
        <v/>
      </c>
      <c r="R12" s="2151" t="str">
        <f t="shared" ca="1" si="148"/>
        <v/>
      </c>
      <c r="S12" s="2157"/>
      <c r="T12" s="2149">
        <f ca="1">IF('25 Sollumsatz nach Monaten'!M15=0,"",'25 Sollumsatz nach Monaten'!M15)</f>
        <v>375.82027557969872</v>
      </c>
      <c r="U12" s="2150" t="str">
        <f t="shared" ca="1" si="149"/>
        <v/>
      </c>
      <c r="V12" s="2151" t="str">
        <f t="shared" ca="1" si="4"/>
        <v/>
      </c>
      <c r="W12" s="2142" t="str">
        <f t="shared" ca="1" si="217"/>
        <v>Karina</v>
      </c>
      <c r="X12" s="2161"/>
      <c r="Y12" s="2162"/>
      <c r="Z12" s="2143"/>
      <c r="AA12" s="2144">
        <f ca="1">IF('25 Sollumsatz nach Monaten'!R15=0,"",'25 Sollumsatz nach Monaten'!R15)</f>
        <v>4299.6519242847216</v>
      </c>
      <c r="AB12" s="2145" t="str">
        <f t="shared" ca="1" si="150"/>
        <v/>
      </c>
      <c r="AC12" s="2146" t="str">
        <f t="shared" ca="1" si="151"/>
        <v/>
      </c>
      <c r="AD12" s="2143"/>
      <c r="AE12" s="2144">
        <f ca="1">IF('25 Sollumsatz nach Monaten'!S15=0,"",'25 Sollumsatz nach Monaten'!S15)</f>
        <v>250.54685038646582</v>
      </c>
      <c r="AF12" s="2145" t="str">
        <f t="shared" ca="1" si="152"/>
        <v/>
      </c>
      <c r="AG12" s="2158" t="str">
        <f t="shared" ca="1" si="7"/>
        <v/>
      </c>
      <c r="AH12" s="2148" t="str">
        <f t="shared" ca="1" si="218"/>
        <v>Karina</v>
      </c>
      <c r="AI12" s="2161"/>
      <c r="AJ12" s="2162"/>
      <c r="AK12" s="2143"/>
      <c r="AL12" s="2149">
        <f ca="1">IF('25 Sollumsatz nach Monaten'!X15=0,"",'25 Sollumsatz nach Monaten'!X15)</f>
        <v>4299.6519242847216</v>
      </c>
      <c r="AM12" s="2150" t="str">
        <f t="shared" ca="1" si="153"/>
        <v/>
      </c>
      <c r="AN12" s="2151" t="str">
        <f t="shared" ca="1" si="154"/>
        <v/>
      </c>
      <c r="AO12" s="2143"/>
      <c r="AP12" s="2149">
        <f ca="1">IF('25 Sollumsatz nach Monaten'!Y15=0,"",'25 Sollumsatz nach Monaten'!Y15)</f>
        <v>250.54685038646582</v>
      </c>
      <c r="AQ12" s="2150" t="str">
        <f t="shared" ca="1" si="155"/>
        <v/>
      </c>
      <c r="AR12" s="2151" t="str">
        <f t="shared" ca="1" si="10"/>
        <v/>
      </c>
      <c r="AS12" s="2142" t="str">
        <f t="shared" ca="1" si="219"/>
        <v>Karina</v>
      </c>
      <c r="AT12" s="2161"/>
      <c r="AU12" s="2162"/>
      <c r="AV12" s="2143"/>
      <c r="AW12" s="2144">
        <f ca="1">IF('25 Sollumsatz nach Monaten'!AD15=0,"",'25 Sollumsatz nach Monaten'!AD15)</f>
        <v>6449.4778864270829</v>
      </c>
      <c r="AX12" s="2145" t="str">
        <f t="shared" ca="1" si="156"/>
        <v/>
      </c>
      <c r="AY12" s="2146" t="str">
        <f t="shared" ca="1" si="157"/>
        <v/>
      </c>
      <c r="AZ12" s="2147"/>
      <c r="BA12" s="2144">
        <f ca="1">IF('25 Sollumsatz nach Monaten'!AE15=0,"",'25 Sollumsatz nach Monaten'!AE15)</f>
        <v>375.82027557969872</v>
      </c>
      <c r="BB12" s="2145" t="str">
        <f t="shared" ca="1" si="158"/>
        <v/>
      </c>
      <c r="BC12" s="2158" t="str">
        <f t="shared" ca="1" si="13"/>
        <v/>
      </c>
      <c r="BD12" s="2148" t="str">
        <f t="shared" ca="1" si="220"/>
        <v>Karina</v>
      </c>
      <c r="BE12" s="2161"/>
      <c r="BF12" s="2162"/>
      <c r="BG12" s="2143"/>
      <c r="BH12" s="2149">
        <f ca="1">IF('25 Sollumsatz nach Monaten'!AJ15=0,"",'25 Sollumsatz nach Monaten'!AJ15)</f>
        <v>6449.4778864270829</v>
      </c>
      <c r="BI12" s="2150" t="str">
        <f t="shared" ca="1" si="159"/>
        <v/>
      </c>
      <c r="BJ12" s="2151" t="str">
        <f t="shared" ca="1" si="160"/>
        <v/>
      </c>
      <c r="BK12" s="2143"/>
      <c r="BL12" s="2149">
        <f ca="1">IF('25 Sollumsatz nach Monaten'!AK15=0,"",'25 Sollumsatz nach Monaten'!AK15)</f>
        <v>375.82027557969872</v>
      </c>
      <c r="BM12" s="2150" t="str">
        <f t="shared" ca="1" si="161"/>
        <v/>
      </c>
      <c r="BN12" s="2151" t="str">
        <f t="shared" ca="1" si="16"/>
        <v/>
      </c>
      <c r="BO12" s="2142" t="str">
        <f t="shared" ca="1" si="221"/>
        <v>Karina</v>
      </c>
      <c r="BP12" s="2161"/>
      <c r="BQ12" s="2162"/>
      <c r="BR12" s="2143"/>
      <c r="BS12" s="2144">
        <f ca="1">IF('25 Sollumsatz nach Monaten'!AP15=0,"",'25 Sollumsatz nach Monaten'!AP15)</f>
        <v>2149.8259621423608</v>
      </c>
      <c r="BT12" s="2145" t="str">
        <f t="shared" ca="1" si="162"/>
        <v/>
      </c>
      <c r="BU12" s="2146" t="str">
        <f t="shared" ca="1" si="163"/>
        <v/>
      </c>
      <c r="BV12" s="2143"/>
      <c r="BW12" s="2144">
        <f ca="1">IF('25 Sollumsatz nach Monaten'!AQ15=0,"",'25 Sollumsatz nach Monaten'!AQ15)</f>
        <v>125.27342519323291</v>
      </c>
      <c r="BX12" s="2145" t="str">
        <f t="shared" ca="1" si="164"/>
        <v/>
      </c>
      <c r="BY12" s="2158" t="str">
        <f t="shared" ca="1" si="19"/>
        <v/>
      </c>
      <c r="BZ12" s="2148" t="str">
        <f t="shared" ca="1" si="222"/>
        <v>Karina</v>
      </c>
      <c r="CA12" s="2161"/>
      <c r="CB12" s="2162"/>
      <c r="CC12" s="2143"/>
      <c r="CD12" s="2149">
        <f ca="1">IF('25 Sollumsatz nach Monaten'!AV15=0,"",'25 Sollumsatz nach Monaten'!AV15)</f>
        <v>6449.4778864270829</v>
      </c>
      <c r="CE12" s="2150" t="str">
        <f t="shared" ca="1" si="165"/>
        <v/>
      </c>
      <c r="CF12" s="2151" t="str">
        <f t="shared" ca="1" si="166"/>
        <v/>
      </c>
      <c r="CG12" s="2143"/>
      <c r="CH12" s="2149">
        <f ca="1">IF('25 Sollumsatz nach Monaten'!AW15=0,"",'25 Sollumsatz nach Monaten'!AW15)</f>
        <v>375.82027557969872</v>
      </c>
      <c r="CI12" s="2150" t="str">
        <f t="shared" ca="1" si="167"/>
        <v/>
      </c>
      <c r="CJ12" s="2151" t="str">
        <f t="shared" ca="1" si="22"/>
        <v/>
      </c>
      <c r="CK12" s="2142" t="str">
        <f t="shared" ca="1" si="223"/>
        <v>Karina</v>
      </c>
      <c r="CL12" s="2161"/>
      <c r="CM12" s="2162"/>
      <c r="CN12" s="2143"/>
      <c r="CO12" s="2144">
        <f ca="1">IF('25 Sollumsatz nach Monaten'!BB15=0,"",'25 Sollumsatz nach Monaten'!BB15)</f>
        <v>4299.6519242847216</v>
      </c>
      <c r="CP12" s="2145" t="str">
        <f t="shared" ca="1" si="168"/>
        <v/>
      </c>
      <c r="CQ12" s="2146" t="str">
        <f t="shared" ca="1" si="169"/>
        <v/>
      </c>
      <c r="CR12" s="2147"/>
      <c r="CS12" s="2144">
        <f ca="1">IF('25 Sollumsatz nach Monaten'!BC15=0,"",'25 Sollumsatz nach Monaten'!BC15)</f>
        <v>250.54685038646582</v>
      </c>
      <c r="CT12" s="2145" t="str">
        <f t="shared" ca="1" si="170"/>
        <v/>
      </c>
      <c r="CU12" s="2158" t="str">
        <f t="shared" ca="1" si="25"/>
        <v/>
      </c>
      <c r="CV12" s="2148" t="str">
        <f t="shared" ca="1" si="224"/>
        <v>Karina</v>
      </c>
      <c r="CW12" s="2161"/>
      <c r="CX12" s="2162"/>
      <c r="CY12" s="2143"/>
      <c r="CZ12" s="2149">
        <f ca="1">IF('25 Sollumsatz nach Monaten'!BH15=0,"",'25 Sollumsatz nach Monaten'!BH15)</f>
        <v>4299.6519242847216</v>
      </c>
      <c r="DA12" s="2150" t="str">
        <f t="shared" ca="1" si="171"/>
        <v/>
      </c>
      <c r="DB12" s="2151" t="str">
        <f t="shared" ca="1" si="172"/>
        <v/>
      </c>
      <c r="DC12" s="2157"/>
      <c r="DD12" s="2149">
        <f ca="1">IF('25 Sollumsatz nach Monaten'!BI15=0,"",'25 Sollumsatz nach Monaten'!BI15)</f>
        <v>250.54685038646582</v>
      </c>
      <c r="DE12" s="2150" t="str">
        <f t="shared" ca="1" si="173"/>
        <v/>
      </c>
      <c r="DF12" s="2151" t="str">
        <f t="shared" ca="1" si="28"/>
        <v/>
      </c>
      <c r="DG12" s="2142" t="str">
        <f t="shared" ca="1" si="225"/>
        <v>Karina</v>
      </c>
      <c r="DH12" s="2161"/>
      <c r="DI12" s="2162"/>
      <c r="DJ12" s="2143"/>
      <c r="DK12" s="2144">
        <f ca="1">IF('25 Sollumsatz nach Monaten'!BN15=0,"",'25 Sollumsatz nach Monaten'!BN15)</f>
        <v>6019.5126939986103</v>
      </c>
      <c r="DL12" s="2145" t="str">
        <f t="shared" ca="1" si="174"/>
        <v/>
      </c>
      <c r="DM12" s="2146" t="str">
        <f t="shared" ca="1" si="175"/>
        <v/>
      </c>
      <c r="DN12" s="2147"/>
      <c r="DO12" s="2144">
        <f ca="1">IF('25 Sollumsatz nach Monaten'!BO15=0,"",'25 Sollumsatz nach Monaten'!BO15)</f>
        <v>350.76559054105212</v>
      </c>
      <c r="DP12" s="2145" t="str">
        <f t="shared" ca="1" si="176"/>
        <v/>
      </c>
      <c r="DQ12" s="2158" t="str">
        <f t="shared" ca="1" si="31"/>
        <v/>
      </c>
      <c r="DR12" s="2148" t="str">
        <f t="shared" ca="1" si="226"/>
        <v>Karina</v>
      </c>
      <c r="DS12" s="2161"/>
      <c r="DT12" s="2162"/>
      <c r="DU12" s="2143"/>
      <c r="DV12" s="2149">
        <f ca="1">IF('25 Sollumsatz nach Monaten'!BT15=0,"",'25 Sollumsatz nach Monaten'!BT15)</f>
        <v>6449.4778864270829</v>
      </c>
      <c r="DW12" s="2150" t="str">
        <f t="shared" ca="1" si="177"/>
        <v/>
      </c>
      <c r="DX12" s="2151" t="str">
        <f t="shared" ca="1" si="178"/>
        <v/>
      </c>
      <c r="DY12" s="2143"/>
      <c r="DZ12" s="2149">
        <f ca="1">IF('25 Sollumsatz nach Monaten'!BU15=0,"",'25 Sollumsatz nach Monaten'!BU15)</f>
        <v>375.82027557969872</v>
      </c>
      <c r="EA12" s="2150" t="str">
        <f t="shared" ca="1" si="179"/>
        <v/>
      </c>
      <c r="EB12" s="2151" t="str">
        <f t="shared" ca="1" si="34"/>
        <v/>
      </c>
      <c r="EC12" s="2152" t="str">
        <f t="shared" ca="1" si="227"/>
        <v>Karina</v>
      </c>
      <c r="ED12" s="2280">
        <f t="shared" ca="1" si="228"/>
        <v>0</v>
      </c>
      <c r="EE12" s="2153">
        <f t="shared" ca="1" si="229"/>
        <v>64064.813671842356</v>
      </c>
      <c r="EF12" s="2154">
        <f t="shared" ca="1" si="230"/>
        <v>-64064.813671842356</v>
      </c>
      <c r="EG12" s="2155" t="str">
        <f t="shared" ref="EG12:EG43" ca="1" si="275">IF(EC12="","",IF(SUM(DX12,DM12,DB12,CQ12,CF12,BU12,BJ12,AY12,AN12,AC12,R12,G12)=0,"",SUM(DX12,DM12,DB12,CQ12,CF12,BU12,BJ12,AY12,AN12,AC12,R12,G12)))</f>
        <v/>
      </c>
      <c r="EH12" s="2282">
        <f t="shared" ca="1" si="231"/>
        <v>0</v>
      </c>
      <c r="EI12" s="2153">
        <f t="shared" ca="1" si="232"/>
        <v>3733.148070758341</v>
      </c>
      <c r="EJ12" s="2154">
        <f t="shared" ca="1" si="233"/>
        <v>-3733.148070758341</v>
      </c>
      <c r="EK12" s="2155" t="str">
        <f t="shared" ca="1" si="181"/>
        <v/>
      </c>
      <c r="EL12" s="2160" t="str">
        <f t="shared" ca="1" si="234"/>
        <v/>
      </c>
      <c r="EM12" s="2160" t="str">
        <f t="shared" ca="1" si="235"/>
        <v/>
      </c>
      <c r="EN12" s="2160" t="str">
        <f t="shared" ca="1" si="236"/>
        <v/>
      </c>
      <c r="EO12" s="2152" t="str">
        <f t="shared" ca="1" si="237"/>
        <v>Karina</v>
      </c>
      <c r="EP12" s="2312">
        <f ca="1">IF('25 Sollumsatz nach Monaten'!BV15="","",SUM(EQ12:ER12))</f>
        <v>0</v>
      </c>
      <c r="EQ12" s="2312">
        <f ca="1">IF('25 Sollumsatz nach Monaten'!BV15="","",ED12/'25 Sollumsatz nach Monaten'!BV15)</f>
        <v>0</v>
      </c>
      <c r="ER12" s="2312">
        <f ca="1">IF('25 Sollumsatz nach Monaten'!BV15="","",EH12/'25 Sollumsatz nach Monaten'!BV15)</f>
        <v>0</v>
      </c>
      <c r="EY12" s="2248"/>
      <c r="EZ12" s="2249"/>
      <c r="FA12" s="2250"/>
      <c r="FB12" s="2251" t="str">
        <f t="shared" si="238"/>
        <v/>
      </c>
      <c r="FC12" s="2252"/>
      <c r="FD12" s="2253"/>
      <c r="FE12" s="2251" t="str">
        <f t="shared" ca="1" si="239"/>
        <v/>
      </c>
      <c r="FF12" s="2254"/>
      <c r="FG12" s="2252"/>
      <c r="FH12" s="2253"/>
      <c r="FI12" s="2251" t="str">
        <f t="shared" ca="1" si="240"/>
        <v/>
      </c>
      <c r="FJ12" s="2248"/>
      <c r="FK12" s="2249"/>
      <c r="FL12" s="2250"/>
      <c r="FM12" s="2251" t="str">
        <f t="shared" si="241"/>
        <v/>
      </c>
      <c r="FN12" s="2252"/>
      <c r="FO12" s="2253"/>
      <c r="FP12" s="2251" t="str">
        <f t="shared" ca="1" si="242"/>
        <v/>
      </c>
      <c r="FQ12" s="2254"/>
      <c r="FR12" s="2252"/>
      <c r="FS12" s="2253"/>
      <c r="FT12" s="2251" t="str">
        <f t="shared" ca="1" si="243"/>
        <v/>
      </c>
      <c r="FU12" s="2248"/>
      <c r="FV12" s="2249"/>
      <c r="FW12" s="2250"/>
      <c r="FX12" s="2251" t="str">
        <f t="shared" si="244"/>
        <v/>
      </c>
      <c r="FY12" s="2252"/>
      <c r="FZ12" s="2253"/>
      <c r="GA12" s="2251" t="str">
        <f t="shared" ca="1" si="245"/>
        <v/>
      </c>
      <c r="GB12" s="2254"/>
      <c r="GC12" s="2252"/>
      <c r="GD12" s="2253"/>
      <c r="GE12" s="2251" t="str">
        <f t="shared" ca="1" si="246"/>
        <v/>
      </c>
      <c r="GF12" s="2248"/>
      <c r="GG12" s="2249"/>
      <c r="GH12" s="2250"/>
      <c r="GI12" s="2251" t="str">
        <f t="shared" si="247"/>
        <v/>
      </c>
      <c r="GJ12" s="2252"/>
      <c r="GK12" s="2253"/>
      <c r="GL12" s="2251" t="str">
        <f t="shared" ca="1" si="248"/>
        <v/>
      </c>
      <c r="GM12" s="2254"/>
      <c r="GN12" s="2252"/>
      <c r="GO12" s="2253"/>
      <c r="GP12" s="2251" t="str">
        <f t="shared" ca="1" si="249"/>
        <v/>
      </c>
      <c r="GQ12" s="2248"/>
      <c r="GR12" s="2249"/>
      <c r="GS12" s="2250"/>
      <c r="GT12" s="2251" t="str">
        <f t="shared" si="250"/>
        <v/>
      </c>
      <c r="GU12" s="2252"/>
      <c r="GV12" s="2253"/>
      <c r="GW12" s="2251" t="str">
        <f t="shared" ca="1" si="251"/>
        <v/>
      </c>
      <c r="GX12" s="2254"/>
      <c r="GY12" s="2252"/>
      <c r="GZ12" s="2253"/>
      <c r="HA12" s="2251" t="str">
        <f t="shared" ca="1" si="252"/>
        <v/>
      </c>
      <c r="HB12" s="2248"/>
      <c r="HC12" s="2249"/>
      <c r="HD12" s="2250"/>
      <c r="HE12" s="2251" t="str">
        <f t="shared" si="253"/>
        <v/>
      </c>
      <c r="HF12" s="2252"/>
      <c r="HG12" s="2253"/>
      <c r="HH12" s="2251" t="str">
        <f t="shared" ca="1" si="254"/>
        <v/>
      </c>
      <c r="HI12" s="2254"/>
      <c r="HJ12" s="2252"/>
      <c r="HK12" s="2253"/>
      <c r="HL12" s="2251" t="str">
        <f t="shared" ca="1" si="255"/>
        <v/>
      </c>
      <c r="HM12" s="2248"/>
      <c r="HN12" s="2249"/>
      <c r="HO12" s="2250"/>
      <c r="HP12" s="2251" t="str">
        <f t="shared" si="256"/>
        <v/>
      </c>
      <c r="HQ12" s="2252"/>
      <c r="HR12" s="2253"/>
      <c r="HS12" s="2251" t="str">
        <f t="shared" ca="1" si="257"/>
        <v/>
      </c>
      <c r="HT12" s="2254"/>
      <c r="HU12" s="2252"/>
      <c r="HV12" s="2253"/>
      <c r="HW12" s="2251" t="str">
        <f t="shared" ca="1" si="258"/>
        <v/>
      </c>
      <c r="HX12" s="2248"/>
      <c r="HY12" s="2249"/>
      <c r="HZ12" s="2250"/>
      <c r="IA12" s="2251" t="str">
        <f t="shared" si="259"/>
        <v/>
      </c>
      <c r="IB12" s="2252"/>
      <c r="IC12" s="2253"/>
      <c r="ID12" s="2251" t="str">
        <f t="shared" ca="1" si="260"/>
        <v/>
      </c>
      <c r="IE12" s="2254"/>
      <c r="IF12" s="2252"/>
      <c r="IG12" s="2253"/>
      <c r="IH12" s="2251" t="str">
        <f t="shared" ca="1" si="261"/>
        <v/>
      </c>
      <c r="II12" s="2248"/>
      <c r="IJ12" s="2249"/>
      <c r="IK12" s="2250"/>
      <c r="IL12" s="2251" t="str">
        <f t="shared" si="262"/>
        <v/>
      </c>
      <c r="IM12" s="2252"/>
      <c r="IN12" s="2253"/>
      <c r="IO12" s="2251" t="str">
        <f t="shared" ca="1" si="263"/>
        <v/>
      </c>
      <c r="IP12" s="2254"/>
      <c r="IQ12" s="2252"/>
      <c r="IR12" s="2253"/>
      <c r="IS12" s="2251" t="str">
        <f t="shared" ca="1" si="264"/>
        <v/>
      </c>
      <c r="IT12" s="2248"/>
      <c r="IU12" s="2249"/>
      <c r="IV12" s="2250"/>
      <c r="IW12" s="2251" t="str">
        <f t="shared" si="265"/>
        <v/>
      </c>
      <c r="IX12" s="2252"/>
      <c r="IY12" s="2253"/>
      <c r="IZ12" s="2251" t="str">
        <f t="shared" ca="1" si="266"/>
        <v/>
      </c>
      <c r="JA12" s="2254"/>
      <c r="JB12" s="2252"/>
      <c r="JC12" s="2253"/>
      <c r="JD12" s="2251" t="str">
        <f t="shared" ca="1" si="267"/>
        <v/>
      </c>
      <c r="JE12" s="2248"/>
      <c r="JF12" s="2249"/>
      <c r="JG12" s="2250"/>
      <c r="JH12" s="2251" t="str">
        <f t="shared" si="268"/>
        <v/>
      </c>
      <c r="JI12" s="2252"/>
      <c r="JJ12" s="2253"/>
      <c r="JK12" s="2251" t="str">
        <f t="shared" ca="1" si="269"/>
        <v/>
      </c>
      <c r="JL12" s="2254"/>
      <c r="JM12" s="2252"/>
      <c r="JN12" s="2253"/>
      <c r="JO12" s="2251" t="str">
        <f t="shared" ca="1" si="270"/>
        <v/>
      </c>
      <c r="JP12" s="2248"/>
      <c r="JQ12" s="2249"/>
      <c r="JR12" s="2250"/>
      <c r="JS12" s="2251" t="str">
        <f t="shared" si="271"/>
        <v/>
      </c>
      <c r="JT12" s="2252"/>
      <c r="JU12" s="2253"/>
      <c r="JV12" s="2251" t="str">
        <f t="shared" ca="1" si="272"/>
        <v/>
      </c>
      <c r="JW12" s="2254"/>
      <c r="JX12" s="2252"/>
      <c r="JY12" s="2253"/>
      <c r="JZ12" s="2251" t="str">
        <f t="shared" ca="1" si="273"/>
        <v/>
      </c>
      <c r="KA12" s="2231"/>
    </row>
    <row r="13" spans="1:287" s="2156" customFormat="1" ht="18" customHeight="1">
      <c r="A13" s="2142" t="str">
        <f ca="1">IF('22 Sollumsatz pro MA '!$A14="","",'22 Sollumsatz pro MA '!$A14)</f>
        <v>Cordula</v>
      </c>
      <c r="B13" s="2161"/>
      <c r="C13" s="2162"/>
      <c r="D13" s="2143"/>
      <c r="E13" s="2144">
        <f ca="1">IF('25 Sollumsatz nach Monaten'!F16=0,"",'25 Sollumsatz nach Monaten'!F16)</f>
        <v>4854.3542714396954</v>
      </c>
      <c r="F13" s="2145" t="str">
        <f ca="1">IF(E13="","",IF(D13="","",D13-E13))</f>
        <v/>
      </c>
      <c r="G13" s="2146" t="str">
        <f t="shared" ca="1" si="144"/>
        <v/>
      </c>
      <c r="H13" s="2143"/>
      <c r="I13" s="2144">
        <f ca="1">IF('25 Sollumsatz nach Monaten'!G16=0,"",'25 Sollumsatz nach Monaten'!G16)</f>
        <v>282.58376048092418</v>
      </c>
      <c r="J13" s="2145" t="str">
        <f ca="1">IF(I13="","",IF(H13="","",H13-I13))</f>
        <v/>
      </c>
      <c r="K13" s="2158" t="str">
        <f t="shared" ca="1" si="146"/>
        <v/>
      </c>
      <c r="L13" s="2148" t="str">
        <f t="shared" ca="1" si="216"/>
        <v>Cordula</v>
      </c>
      <c r="M13" s="2161"/>
      <c r="N13" s="2162"/>
      <c r="O13" s="2143"/>
      <c r="P13" s="2149">
        <f ca="1">IF('25 Sollumsatz nach Monaten'!L16=0,"",'25 Sollumsatz nach Monaten'!L16)</f>
        <v>5736.9641389741864</v>
      </c>
      <c r="Q13" s="2150" t="str">
        <f ca="1">IF(P13="","",IF(O13="","",O13-P13))</f>
        <v/>
      </c>
      <c r="R13" s="2151" t="str">
        <f ca="1">IF(P13="","",IF(O13="","",IF(Q13&lt;0,"",IF(M13&gt;0,Q13*M13,IF(R$6&gt;0,Q13*R$6,Q13*$B$5)))))</f>
        <v/>
      </c>
      <c r="S13" s="2143"/>
      <c r="T13" s="2149">
        <f ca="1">IF('25 Sollumsatz nach Monaten'!M16=0,"",'25 Sollumsatz nach Monaten'!M16)</f>
        <v>333.9626260229104</v>
      </c>
      <c r="U13" s="2150" t="str">
        <f ca="1">IF(T13="","",IF(S13="","",S13-T13))</f>
        <v/>
      </c>
      <c r="V13" s="2151" t="str">
        <f t="shared" ca="1" si="4"/>
        <v/>
      </c>
      <c r="W13" s="2142" t="str">
        <f t="shared" ca="1" si="217"/>
        <v>Cordula</v>
      </c>
      <c r="X13" s="2161"/>
      <c r="Y13" s="2162"/>
      <c r="Z13" s="2143"/>
      <c r="AA13" s="2144">
        <f ca="1">IF('25 Sollumsatz nach Monaten'!R16=0,"",'25 Sollumsatz nach Monaten'!R16)</f>
        <v>5736.9641389741864</v>
      </c>
      <c r="AB13" s="2145" t="str">
        <f ca="1">IF(AA13="","",IF(Z13="","",Z13-AA13))</f>
        <v/>
      </c>
      <c r="AC13" s="2146" t="str">
        <f ca="1">IF(AA13="","",IF(Z13="","",IF(AB13&lt;0,"",IF(X13&gt;0,AB13*X13,IF(AC$6&gt;0,AB13*AC$6,AB13*$B$5)))))</f>
        <v/>
      </c>
      <c r="AD13" s="2147"/>
      <c r="AE13" s="2144">
        <f ca="1">IF('25 Sollumsatz nach Monaten'!S16=0,"",'25 Sollumsatz nach Monaten'!S16)</f>
        <v>333.9626260229104</v>
      </c>
      <c r="AF13" s="2145" t="str">
        <f ca="1">IF(AE13="","",IF(AD13="","",AD13-AE13))</f>
        <v/>
      </c>
      <c r="AG13" s="2158" t="str">
        <f t="shared" ca="1" si="7"/>
        <v/>
      </c>
      <c r="AH13" s="2148" t="str">
        <f t="shared" ca="1" si="218"/>
        <v>Cordula</v>
      </c>
      <c r="AI13" s="2161"/>
      <c r="AJ13" s="2162"/>
      <c r="AK13" s="2143"/>
      <c r="AL13" s="2149">
        <f ca="1">IF('25 Sollumsatz nach Monaten'!X16=0,"",'25 Sollumsatz nach Monaten'!X16)</f>
        <v>3089.1345363707155</v>
      </c>
      <c r="AM13" s="2150" t="str">
        <f ca="1">IF(AL13="","",IF(AK13="","",AK13-AL13))</f>
        <v/>
      </c>
      <c r="AN13" s="2151" t="str">
        <f ca="1">IF(AL13="","",IF(AK13="","",IF(AM13&lt;0,"",IF(AI13&gt;0,AM13*AI13,IF(AN$6&gt;0,AM13*AN$6,AM13*$B$5)))))</f>
        <v/>
      </c>
      <c r="AO13" s="2143"/>
      <c r="AP13" s="2149">
        <f ca="1">IF('25 Sollumsatz nach Monaten'!Y16=0,"",'25 Sollumsatz nach Monaten'!Y16)</f>
        <v>179.82602939695175</v>
      </c>
      <c r="AQ13" s="2150" t="str">
        <f ca="1">IF(AP13="","",IF(AO13="","",AO13-AP13))</f>
        <v/>
      </c>
      <c r="AR13" s="2151" t="str">
        <f t="shared" ca="1" si="10"/>
        <v/>
      </c>
      <c r="AS13" s="2142" t="str">
        <f t="shared" ca="1" si="219"/>
        <v>Cordula</v>
      </c>
      <c r="AT13" s="2161"/>
      <c r="AU13" s="2162"/>
      <c r="AV13" s="2143"/>
      <c r="AW13" s="2144">
        <f ca="1">IF('25 Sollumsatz nach Monaten'!AD16=0,"",'25 Sollumsatz nach Monaten'!AD16)</f>
        <v>3089.1345363707155</v>
      </c>
      <c r="AX13" s="2145" t="str">
        <f ca="1">IF(AW13="","",IF(AV13="","",AV13-AW13))</f>
        <v/>
      </c>
      <c r="AY13" s="2146" t="str">
        <f ca="1">IF(AW13="","",IF(AV13="","",IF(AX13&lt;0,"",IF(AT13&gt;0,AX13*AT13,IF(AY$6&gt;0,AX13*AY$6,AX13*$B$5)))))</f>
        <v/>
      </c>
      <c r="AZ13" s="2143"/>
      <c r="BA13" s="2144">
        <f ca="1">IF('25 Sollumsatz nach Monaten'!AE16=0,"",'25 Sollumsatz nach Monaten'!AE16)</f>
        <v>179.82602939695175</v>
      </c>
      <c r="BB13" s="2145" t="str">
        <f ca="1">IF(BA13="","",IF(AZ13="","",AZ13-BA13))</f>
        <v/>
      </c>
      <c r="BC13" s="2158" t="str">
        <f t="shared" ca="1" si="13"/>
        <v/>
      </c>
      <c r="BD13" s="2148" t="str">
        <f t="shared" ca="1" si="220"/>
        <v>Cordula</v>
      </c>
      <c r="BE13" s="2161"/>
      <c r="BF13" s="2162"/>
      <c r="BG13" s="2143"/>
      <c r="BH13" s="2149">
        <f ca="1">IF('25 Sollumsatz nach Monaten'!AJ16=0,"",'25 Sollumsatz nach Monaten'!AJ16)</f>
        <v>5736.9641389741864</v>
      </c>
      <c r="BI13" s="2150" t="str">
        <f ca="1">IF(BH13="","",IF(BG13="","",BG13-BH13))</f>
        <v/>
      </c>
      <c r="BJ13" s="2151" t="str">
        <f ca="1">IF(BH13="","",IF(BG13="","",IF(BI13&lt;0,"",IF(BE13&gt;0,BI13*BE13,IF(BJ$6&gt;0,BI13*BJ$6,BI13*$B$5)))))</f>
        <v/>
      </c>
      <c r="BK13" s="2143"/>
      <c r="BL13" s="2149">
        <f ca="1">IF('25 Sollumsatz nach Monaten'!AK16=0,"",'25 Sollumsatz nach Monaten'!AK16)</f>
        <v>333.9626260229104</v>
      </c>
      <c r="BM13" s="2150" t="str">
        <f ca="1">IF(BL13="","",IF(BK13="","",BK13-BL13))</f>
        <v/>
      </c>
      <c r="BN13" s="2151" t="str">
        <f t="shared" ca="1" si="16"/>
        <v/>
      </c>
      <c r="BO13" s="2142" t="str">
        <f t="shared" ca="1" si="221"/>
        <v>Cordula</v>
      </c>
      <c r="BP13" s="2161"/>
      <c r="BQ13" s="2162"/>
      <c r="BR13" s="2143"/>
      <c r="BS13" s="2144">
        <f ca="1">IF('25 Sollumsatz nach Monaten'!AP16=0,"",'25 Sollumsatz nach Monaten'!AP16)</f>
        <v>3089.1345363707155</v>
      </c>
      <c r="BT13" s="2145" t="str">
        <f ca="1">IF(BS13="","",IF(BR13="","",BR13-BS13))</f>
        <v/>
      </c>
      <c r="BU13" s="2146" t="str">
        <f ca="1">IF(BS13="","",IF(BR13="","",IF(BT13&lt;0,"",IF(BP13&gt;0,BT13*BP13,IF(BU$6&gt;0,BT13*BU$6,BT13*$B$5)))))</f>
        <v/>
      </c>
      <c r="BV13" s="2143"/>
      <c r="BW13" s="2144">
        <f ca="1">IF('25 Sollumsatz nach Monaten'!AQ16=0,"",'25 Sollumsatz nach Monaten'!AQ16)</f>
        <v>179.82602939695175</v>
      </c>
      <c r="BX13" s="2145" t="str">
        <f ca="1">IF(BW13="","",IF(BV13="","",BV13-BW13))</f>
        <v/>
      </c>
      <c r="BY13" s="2158" t="str">
        <f t="shared" ca="1" si="19"/>
        <v/>
      </c>
      <c r="BZ13" s="2148" t="str">
        <f t="shared" ca="1" si="222"/>
        <v>Cordula</v>
      </c>
      <c r="CA13" s="2161"/>
      <c r="CB13" s="2162"/>
      <c r="CC13" s="2143"/>
      <c r="CD13" s="2149">
        <f ca="1">IF('25 Sollumsatz nach Monaten'!AV16=0,"",'25 Sollumsatz nach Monaten'!AV16)</f>
        <v>5736.9641389741864</v>
      </c>
      <c r="CE13" s="2150" t="str">
        <f ca="1">IF(CD13="","",IF(CC13="","",CC13-CD13))</f>
        <v/>
      </c>
      <c r="CF13" s="2151" t="str">
        <f ca="1">IF(CD13="","",IF(CC13="","",IF(CE13&lt;0,"",IF(CA13&gt;0,CE13*CA13,IF(CF$6&gt;0,CE13*CF$6,CE13*$B$5)))))</f>
        <v/>
      </c>
      <c r="CG13" s="2143"/>
      <c r="CH13" s="2149">
        <f ca="1">IF('25 Sollumsatz nach Monaten'!AW16=0,"",'25 Sollumsatz nach Monaten'!AW16)</f>
        <v>333.9626260229104</v>
      </c>
      <c r="CI13" s="2150" t="str">
        <f ca="1">IF(CH13="","",IF(CG13="","",CG13-CH13))</f>
        <v/>
      </c>
      <c r="CJ13" s="2151" t="str">
        <f t="shared" ca="1" si="22"/>
        <v/>
      </c>
      <c r="CK13" s="2142" t="str">
        <f t="shared" ca="1" si="223"/>
        <v>Cordula</v>
      </c>
      <c r="CL13" s="2161"/>
      <c r="CM13" s="2162"/>
      <c r="CN13" s="2143"/>
      <c r="CO13" s="2144">
        <f ca="1">IF('25 Sollumsatz nach Monaten'!BB16=0,"",'25 Sollumsatz nach Monaten'!BB16)</f>
        <v>4854.3542714396954</v>
      </c>
      <c r="CP13" s="2145" t="str">
        <f ca="1">IF(CO13="","",IF(CN13="","",CN13-CO13))</f>
        <v/>
      </c>
      <c r="CQ13" s="2146" t="str">
        <f ca="1">IF(CO13="","",IF(CN13="","",IF(CP13&lt;0,"",IF(CL13&gt;0,CP13*CL13,IF(CQ$6&gt;0,CP13*CQ$6,CP13*$B$5)))))</f>
        <v/>
      </c>
      <c r="CR13" s="2143"/>
      <c r="CS13" s="2144">
        <f ca="1">IF('25 Sollumsatz nach Monaten'!BC16=0,"",'25 Sollumsatz nach Monaten'!BC16)</f>
        <v>282.58376048092418</v>
      </c>
      <c r="CT13" s="2145" t="str">
        <f ca="1">IF(CS13="","",IF(CR13="","",CR13-CS13))</f>
        <v/>
      </c>
      <c r="CU13" s="2158" t="str">
        <f t="shared" ca="1" si="25"/>
        <v/>
      </c>
      <c r="CV13" s="2148" t="str">
        <f t="shared" ca="1" si="224"/>
        <v>Cordula</v>
      </c>
      <c r="CW13" s="2161"/>
      <c r="CX13" s="2162"/>
      <c r="CY13" s="2143"/>
      <c r="CZ13" s="2149">
        <f ca="1">IF('25 Sollumsatz nach Monaten'!BH16=0,"",'25 Sollumsatz nach Monaten'!BH16)</f>
        <v>3089.1345363707155</v>
      </c>
      <c r="DA13" s="2150" t="str">
        <f ca="1">IF(CZ13="","",IF(CY13="","",CY13-CZ13))</f>
        <v/>
      </c>
      <c r="DB13" s="2151" t="str">
        <f ca="1">IF(CZ13="","",IF(CY13="","",IF(DA13&lt;0,"",IF(CW13&gt;0,DA13*CW13,IF(DB$6&gt;0,DA13*DB$6,DA13*$B$5)))))</f>
        <v/>
      </c>
      <c r="DC13" s="2143"/>
      <c r="DD13" s="2149">
        <f ca="1">IF('25 Sollumsatz nach Monaten'!BI16=0,"",'25 Sollumsatz nach Monaten'!BI16)</f>
        <v>179.82602939695175</v>
      </c>
      <c r="DE13" s="2150" t="str">
        <f ca="1">IF(DD13="","",IF(DC13="","",DC13-DD13))</f>
        <v/>
      </c>
      <c r="DF13" s="2151" t="str">
        <f t="shared" ca="1" si="28"/>
        <v/>
      </c>
      <c r="DG13" s="2142" t="str">
        <f t="shared" ca="1" si="225"/>
        <v>Cordula</v>
      </c>
      <c r="DH13" s="2161"/>
      <c r="DI13" s="2162"/>
      <c r="DJ13" s="2143"/>
      <c r="DK13" s="2144">
        <f ca="1">IF('25 Sollumsatz nach Monaten'!BN16=0,"",'25 Sollumsatz nach Monaten'!BN16)</f>
        <v>5736.9641389741864</v>
      </c>
      <c r="DL13" s="2145" t="str">
        <f ca="1">IF(DK13="","",IF(DJ13="","",DJ13-DK13))</f>
        <v/>
      </c>
      <c r="DM13" s="2146" t="str">
        <f ca="1">IF(DK13="","",IF(DJ13="","",IF(DL13&lt;0,"",IF(DH13&gt;0,DL13*DH13,IF(DM$6&gt;0,DL13*DM$6,DL13*$B$5)))))</f>
        <v/>
      </c>
      <c r="DN13" s="2143"/>
      <c r="DO13" s="2144">
        <f ca="1">IF('25 Sollumsatz nach Monaten'!BO16=0,"",'25 Sollumsatz nach Monaten'!BO16)</f>
        <v>333.9626260229104</v>
      </c>
      <c r="DP13" s="2145" t="str">
        <f ca="1">IF(DO13="","",IF(DN13="","",DN13-DO13))</f>
        <v/>
      </c>
      <c r="DQ13" s="2158" t="str">
        <f t="shared" ca="1" si="31"/>
        <v/>
      </c>
      <c r="DR13" s="2148" t="str">
        <f t="shared" ca="1" si="226"/>
        <v>Cordula</v>
      </c>
      <c r="DS13" s="2161"/>
      <c r="DT13" s="2162"/>
      <c r="DU13" s="2143"/>
      <c r="DV13" s="2149">
        <f ca="1">IF('25 Sollumsatz nach Monaten'!BT16=0,"",'25 Sollumsatz nach Monaten'!BT16)</f>
        <v>5736.9641389741864</v>
      </c>
      <c r="DW13" s="2150" t="str">
        <f ca="1">IF(DV13="","",IF(DU13="","",DU13-DV13))</f>
        <v/>
      </c>
      <c r="DX13" s="2151" t="str">
        <f ca="1">IF(DV13="","",IF(DU13="","",IF(DW13&lt;0,"",IF(DS13&gt;0,DW13*DS13,IF(DX$6&gt;0,DW13*DX$6,DW13*$B$5)))))</f>
        <v/>
      </c>
      <c r="DY13" s="2143"/>
      <c r="DZ13" s="2149">
        <f ca="1">IF('25 Sollumsatz nach Monaten'!BU16=0,"",'25 Sollumsatz nach Monaten'!BU16)</f>
        <v>333.9626260229104</v>
      </c>
      <c r="EA13" s="2150" t="str">
        <f ca="1">IF(DZ13="","",IF(DY13="","",DY13-DZ13))</f>
        <v/>
      </c>
      <c r="EB13" s="2151" t="str">
        <f t="shared" ca="1" si="34"/>
        <v/>
      </c>
      <c r="EC13" s="2152" t="str">
        <f t="shared" ca="1" si="227"/>
        <v>Cordula</v>
      </c>
      <c r="ED13" s="2280">
        <f t="shared" ca="1" si="228"/>
        <v>0</v>
      </c>
      <c r="EE13" s="2153">
        <f t="shared" ca="1" si="229"/>
        <v>56487.031522207377</v>
      </c>
      <c r="EF13" s="2154">
        <f t="shared" ca="1" si="230"/>
        <v>-56487.031522207377</v>
      </c>
      <c r="EG13" s="2155" t="str">
        <f t="shared" ca="1" si="275"/>
        <v/>
      </c>
      <c r="EH13" s="2282">
        <f t="shared" ca="1" si="231"/>
        <v>0</v>
      </c>
      <c r="EI13" s="2153">
        <f t="shared" ca="1" si="232"/>
        <v>3288.2473946871178</v>
      </c>
      <c r="EJ13" s="2154">
        <f t="shared" ca="1" si="233"/>
        <v>-3288.2473946871178</v>
      </c>
      <c r="EK13" s="2155" t="str">
        <f ca="1">IF(EC13="","",IF(SUM(EB13,DQ13,DF13,CU13,CJ13,BY13,BN13,BC13,AR13,AG13,V13,K13)=0,"",SUM(EB13,DQ13,DF13,CU13,CJ13,BY13,BN13,BC13,AR13,AG13,V13,K13)))</f>
        <v/>
      </c>
      <c r="EL13" s="2160" t="str">
        <f t="shared" ca="1" si="234"/>
        <v/>
      </c>
      <c r="EM13" s="2160" t="str">
        <f t="shared" ca="1" si="235"/>
        <v/>
      </c>
      <c r="EN13" s="2160" t="str">
        <f t="shared" ca="1" si="236"/>
        <v/>
      </c>
      <c r="EO13" s="2152" t="str">
        <f t="shared" ca="1" si="237"/>
        <v>Cordula</v>
      </c>
      <c r="EP13" s="2312">
        <f ca="1">IF('25 Sollumsatz nach Monaten'!BV16="","",SUM(EQ13:ER13))</f>
        <v>0</v>
      </c>
      <c r="EQ13" s="2312">
        <f ca="1">IF('25 Sollumsatz nach Monaten'!BV16="","",ED13/'25 Sollumsatz nach Monaten'!BV16)</f>
        <v>0</v>
      </c>
      <c r="ER13" s="2312">
        <f ca="1">IF('25 Sollumsatz nach Monaten'!BV16="","",EH13/'25 Sollumsatz nach Monaten'!BV16)</f>
        <v>0</v>
      </c>
      <c r="EY13" s="2248"/>
      <c r="EZ13" s="2249"/>
      <c r="FA13" s="2250"/>
      <c r="FB13" s="2251" t="str">
        <f t="shared" si="238"/>
        <v/>
      </c>
      <c r="FC13" s="2252"/>
      <c r="FD13" s="2253"/>
      <c r="FE13" s="2251" t="str">
        <f t="shared" ca="1" si="239"/>
        <v/>
      </c>
      <c r="FF13" s="2254"/>
      <c r="FG13" s="2252"/>
      <c r="FH13" s="2253"/>
      <c r="FI13" s="2251" t="str">
        <f t="shared" ca="1" si="240"/>
        <v/>
      </c>
      <c r="FJ13" s="2248"/>
      <c r="FK13" s="2249"/>
      <c r="FL13" s="2250"/>
      <c r="FM13" s="2251" t="str">
        <f t="shared" si="241"/>
        <v/>
      </c>
      <c r="FN13" s="2252"/>
      <c r="FO13" s="2253"/>
      <c r="FP13" s="2251" t="str">
        <f t="shared" ca="1" si="242"/>
        <v/>
      </c>
      <c r="FQ13" s="2254"/>
      <c r="FR13" s="2252"/>
      <c r="FS13" s="2253"/>
      <c r="FT13" s="2251" t="str">
        <f t="shared" ca="1" si="243"/>
        <v/>
      </c>
      <c r="FU13" s="2248"/>
      <c r="FV13" s="2249"/>
      <c r="FW13" s="2250"/>
      <c r="FX13" s="2251" t="str">
        <f t="shared" si="244"/>
        <v/>
      </c>
      <c r="FY13" s="2252"/>
      <c r="FZ13" s="2253"/>
      <c r="GA13" s="2251" t="str">
        <f t="shared" ca="1" si="245"/>
        <v/>
      </c>
      <c r="GB13" s="2254"/>
      <c r="GC13" s="2252"/>
      <c r="GD13" s="2253"/>
      <c r="GE13" s="2251" t="str">
        <f t="shared" ca="1" si="246"/>
        <v/>
      </c>
      <c r="GF13" s="2248"/>
      <c r="GG13" s="2249"/>
      <c r="GH13" s="2250"/>
      <c r="GI13" s="2251" t="str">
        <f t="shared" si="247"/>
        <v/>
      </c>
      <c r="GJ13" s="2252"/>
      <c r="GK13" s="2253"/>
      <c r="GL13" s="2251" t="str">
        <f t="shared" ca="1" si="248"/>
        <v/>
      </c>
      <c r="GM13" s="2254"/>
      <c r="GN13" s="2252"/>
      <c r="GO13" s="2253"/>
      <c r="GP13" s="2251" t="str">
        <f t="shared" ca="1" si="249"/>
        <v/>
      </c>
      <c r="GQ13" s="2248"/>
      <c r="GR13" s="2249"/>
      <c r="GS13" s="2250"/>
      <c r="GT13" s="2251" t="str">
        <f t="shared" si="250"/>
        <v/>
      </c>
      <c r="GU13" s="2252"/>
      <c r="GV13" s="2253"/>
      <c r="GW13" s="2251" t="str">
        <f t="shared" ca="1" si="251"/>
        <v/>
      </c>
      <c r="GX13" s="2254"/>
      <c r="GY13" s="2252"/>
      <c r="GZ13" s="2253"/>
      <c r="HA13" s="2251" t="str">
        <f t="shared" ca="1" si="252"/>
        <v/>
      </c>
      <c r="HB13" s="2248"/>
      <c r="HC13" s="2249"/>
      <c r="HD13" s="2250"/>
      <c r="HE13" s="2251" t="str">
        <f t="shared" si="253"/>
        <v/>
      </c>
      <c r="HF13" s="2252"/>
      <c r="HG13" s="2253"/>
      <c r="HH13" s="2251" t="str">
        <f t="shared" ca="1" si="254"/>
        <v/>
      </c>
      <c r="HI13" s="2254"/>
      <c r="HJ13" s="2252"/>
      <c r="HK13" s="2253"/>
      <c r="HL13" s="2251" t="str">
        <f t="shared" ca="1" si="255"/>
        <v/>
      </c>
      <c r="HM13" s="2248"/>
      <c r="HN13" s="2249"/>
      <c r="HO13" s="2250"/>
      <c r="HP13" s="2251" t="str">
        <f t="shared" si="256"/>
        <v/>
      </c>
      <c r="HQ13" s="2252"/>
      <c r="HR13" s="2253"/>
      <c r="HS13" s="2251" t="str">
        <f t="shared" ca="1" si="257"/>
        <v/>
      </c>
      <c r="HT13" s="2254"/>
      <c r="HU13" s="2252"/>
      <c r="HV13" s="2253"/>
      <c r="HW13" s="2251" t="str">
        <f t="shared" ca="1" si="258"/>
        <v/>
      </c>
      <c r="HX13" s="2248"/>
      <c r="HY13" s="2249"/>
      <c r="HZ13" s="2250"/>
      <c r="IA13" s="2251" t="str">
        <f t="shared" si="259"/>
        <v/>
      </c>
      <c r="IB13" s="2252"/>
      <c r="IC13" s="2253"/>
      <c r="ID13" s="2251" t="str">
        <f t="shared" ca="1" si="260"/>
        <v/>
      </c>
      <c r="IE13" s="2254"/>
      <c r="IF13" s="2252"/>
      <c r="IG13" s="2253"/>
      <c r="IH13" s="2251" t="str">
        <f t="shared" ca="1" si="261"/>
        <v/>
      </c>
      <c r="II13" s="2248"/>
      <c r="IJ13" s="2249"/>
      <c r="IK13" s="2250"/>
      <c r="IL13" s="2251" t="str">
        <f t="shared" si="262"/>
        <v/>
      </c>
      <c r="IM13" s="2252"/>
      <c r="IN13" s="2253"/>
      <c r="IO13" s="2251" t="str">
        <f t="shared" ca="1" si="263"/>
        <v/>
      </c>
      <c r="IP13" s="2254"/>
      <c r="IQ13" s="2252"/>
      <c r="IR13" s="2253"/>
      <c r="IS13" s="2251" t="str">
        <f t="shared" ca="1" si="264"/>
        <v/>
      </c>
      <c r="IT13" s="2248"/>
      <c r="IU13" s="2249"/>
      <c r="IV13" s="2250"/>
      <c r="IW13" s="2251" t="str">
        <f t="shared" si="265"/>
        <v/>
      </c>
      <c r="IX13" s="2252"/>
      <c r="IY13" s="2253"/>
      <c r="IZ13" s="2251" t="str">
        <f t="shared" ca="1" si="266"/>
        <v/>
      </c>
      <c r="JA13" s="2254"/>
      <c r="JB13" s="2252"/>
      <c r="JC13" s="2253"/>
      <c r="JD13" s="2251" t="str">
        <f t="shared" ca="1" si="267"/>
        <v/>
      </c>
      <c r="JE13" s="2248"/>
      <c r="JF13" s="2249"/>
      <c r="JG13" s="2250"/>
      <c r="JH13" s="2251" t="str">
        <f t="shared" si="268"/>
        <v/>
      </c>
      <c r="JI13" s="2252"/>
      <c r="JJ13" s="2253"/>
      <c r="JK13" s="2251" t="str">
        <f t="shared" ca="1" si="269"/>
        <v/>
      </c>
      <c r="JL13" s="2254"/>
      <c r="JM13" s="2252"/>
      <c r="JN13" s="2253"/>
      <c r="JO13" s="2251" t="str">
        <f t="shared" ca="1" si="270"/>
        <v/>
      </c>
      <c r="JP13" s="2248"/>
      <c r="JQ13" s="2249"/>
      <c r="JR13" s="2250"/>
      <c r="JS13" s="2251" t="str">
        <f t="shared" si="271"/>
        <v/>
      </c>
      <c r="JT13" s="2252"/>
      <c r="JU13" s="2253"/>
      <c r="JV13" s="2251" t="str">
        <f t="shared" ca="1" si="272"/>
        <v/>
      </c>
      <c r="JW13" s="2254"/>
      <c r="JX13" s="2252"/>
      <c r="JY13" s="2253"/>
      <c r="JZ13" s="2251" t="str">
        <f t="shared" ca="1" si="273"/>
        <v/>
      </c>
      <c r="KA13" s="2231"/>
    </row>
    <row r="14" spans="1:287" s="2156" customFormat="1" ht="18" customHeight="1">
      <c r="A14" s="2142" t="str">
        <f ca="1">IF('22 Sollumsatz pro MA '!$A15="","",'22 Sollumsatz pro MA '!$A15)</f>
        <v>Christa</v>
      </c>
      <c r="B14" s="2161"/>
      <c r="C14" s="2162"/>
      <c r="D14" s="2143"/>
      <c r="E14" s="2144">
        <f ca="1">IF('25 Sollumsatz nach Monaten'!F17=0,"",'25 Sollumsatz nach Monaten'!F17)</f>
        <v>4728.6721382682963</v>
      </c>
      <c r="F14" s="2145" t="str">
        <f t="shared" ref="F14:F25" ca="1" si="276">IF(E14="","",IF(D14="","",D14-E14))</f>
        <v/>
      </c>
      <c r="G14" s="2146" t="str">
        <f t="shared" ca="1" si="144"/>
        <v/>
      </c>
      <c r="H14" s="2143"/>
      <c r="I14" s="2144">
        <f ca="1">IF('25 Sollumsatz nach Monaten'!G17=0,"",'25 Sollumsatz nach Monaten'!G17)</f>
        <v>275.33014900189272</v>
      </c>
      <c r="J14" s="2145" t="str">
        <f t="shared" ref="J14:J25" ca="1" si="277">IF(I14="","",IF(H14="","",H14-I14))</f>
        <v/>
      </c>
      <c r="K14" s="2158" t="str">
        <f t="shared" ca="1" si="146"/>
        <v/>
      </c>
      <c r="L14" s="2148" t="str">
        <f t="shared" ca="1" si="216"/>
        <v>Christa</v>
      </c>
      <c r="M14" s="2161"/>
      <c r="N14" s="2162"/>
      <c r="O14" s="2143"/>
      <c r="P14" s="2149">
        <f ca="1">IF('25 Sollumsatz nach Monaten'!L17=0,"",'25 Sollumsatz nach Monaten'!L17)</f>
        <v>4203.2641229051524</v>
      </c>
      <c r="Q14" s="2150" t="str">
        <f t="shared" ref="Q14:Q25" ca="1" si="278">IF(P14="","",IF(O14="","",O14-P14))</f>
        <v/>
      </c>
      <c r="R14" s="2151" t="str">
        <f t="shared" ref="R14:R25" ca="1" si="279">IF(P14="","",IF(O14="","",IF(Q14&lt;0,"",IF(M14&gt;0,Q14*M14,IF(R$6&gt;0,Q14*R$6,Q14*$B$5)))))</f>
        <v/>
      </c>
      <c r="S14" s="2143"/>
      <c r="T14" s="2149">
        <f ca="1">IF('25 Sollumsatz nach Monaten'!M17=0,"",'25 Sollumsatz nach Monaten'!M17)</f>
        <v>244.73791022390466</v>
      </c>
      <c r="U14" s="2150" t="str">
        <f t="shared" ref="U14:U25" ca="1" si="280">IF(T14="","",IF(S14="","",S14-T14))</f>
        <v/>
      </c>
      <c r="V14" s="2151" t="str">
        <f t="shared" ref="V14:V25" ca="1" si="281">IF(T14="","",IF(S14="","",IF(U14&lt;0,"",IF(N14&gt;0,U14*N14,IF(V$6&gt;0,U14*V$6,U14*$C$5)))))</f>
        <v/>
      </c>
      <c r="W14" s="2142" t="str">
        <f t="shared" ca="1" si="217"/>
        <v>Christa</v>
      </c>
      <c r="X14" s="2161"/>
      <c r="Y14" s="2162"/>
      <c r="Z14" s="2143"/>
      <c r="AA14" s="2144">
        <f ca="1">IF('25 Sollumsatz nach Monaten'!R17=0,"",'25 Sollumsatz nach Monaten'!R17)</f>
        <v>3677.8561075420084</v>
      </c>
      <c r="AB14" s="2145" t="str">
        <f t="shared" ref="AB14:AB25" ca="1" si="282">IF(AA14="","",IF(Z14="","",Z14-AA14))</f>
        <v/>
      </c>
      <c r="AC14" s="2146" t="str">
        <f t="shared" ref="AC14:AC25" ca="1" si="283">IF(AA14="","",IF(Z14="","",IF(AB14&lt;0,"",IF(X14&gt;0,AB14*X14,IF(AC$6&gt;0,AB14*AC$6,AB14*$B$5)))))</f>
        <v/>
      </c>
      <c r="AD14" s="2147"/>
      <c r="AE14" s="2144">
        <f ca="1">IF('25 Sollumsatz nach Monaten'!S17=0,"",'25 Sollumsatz nach Monaten'!S17)</f>
        <v>214.14567144591658</v>
      </c>
      <c r="AF14" s="2145" t="str">
        <f t="shared" ref="AF14:AF25" ca="1" si="284">IF(AE14="","",IF(AD14="","",AD14-AE14))</f>
        <v/>
      </c>
      <c r="AG14" s="2158" t="str">
        <f t="shared" ref="AG14:AG25" ca="1" si="285">IF(AE14="","",IF(AD14="","",IF(AF14&lt;0,"",IF(Y14&gt;0,AF14*Y14,IF(AG$6&gt;0,AF14*AG$6,AF14*$C$5)))))</f>
        <v/>
      </c>
      <c r="AH14" s="2148" t="str">
        <f t="shared" ca="1" si="218"/>
        <v>Christa</v>
      </c>
      <c r="AI14" s="2161"/>
      <c r="AJ14" s="2162"/>
      <c r="AK14" s="2143"/>
      <c r="AL14" s="2149">
        <f ca="1">IF('25 Sollumsatz nach Monaten'!X17=0,"",'25 Sollumsatz nach Monaten'!X17)</f>
        <v>3677.8561075420084</v>
      </c>
      <c r="AM14" s="2150" t="str">
        <f t="shared" ref="AM14:AM25" ca="1" si="286">IF(AL14="","",IF(AK14="","",AK14-AL14))</f>
        <v/>
      </c>
      <c r="AN14" s="2151" t="str">
        <f t="shared" ref="AN14:AN25" ca="1" si="287">IF(AL14="","",IF(AK14="","",IF(AM14&lt;0,"",IF(AI14&gt;0,AM14*AI14,IF(AN$6&gt;0,AM14*AN$6,AM14*$B$5)))))</f>
        <v/>
      </c>
      <c r="AO14" s="2143"/>
      <c r="AP14" s="2149">
        <f ca="1">IF('25 Sollumsatz nach Monaten'!Y17=0,"",'25 Sollumsatz nach Monaten'!Y17)</f>
        <v>214.14567144591658</v>
      </c>
      <c r="AQ14" s="2150" t="str">
        <f t="shared" ref="AQ14:AQ25" ca="1" si="288">IF(AP14="","",IF(AO14="","",AO14-AP14))</f>
        <v/>
      </c>
      <c r="AR14" s="2151" t="str">
        <f t="shared" ref="AR14:AR25" ca="1" si="289">IF(AP14="","",IF(AO14="","",IF(AQ14&lt;0,"",IF(AJ14&gt;0,AQ14*AJ14,IF(AR$6&gt;0,AQ14*AR$6,AQ14*$C$5)))))</f>
        <v/>
      </c>
      <c r="AS14" s="2142" t="str">
        <f t="shared" ca="1" si="219"/>
        <v>Christa</v>
      </c>
      <c r="AT14" s="2161"/>
      <c r="AU14" s="2162"/>
      <c r="AV14" s="2143"/>
      <c r="AW14" s="2144">
        <f ca="1">IF('25 Sollumsatz nach Monaten'!AD17=0,"",'25 Sollumsatz nach Monaten'!AD17)</f>
        <v>3152.4480921788645</v>
      </c>
      <c r="AX14" s="2145" t="str">
        <f t="shared" ref="AX14:AX25" ca="1" si="290">IF(AW14="","",IF(AV14="","",AV14-AW14))</f>
        <v/>
      </c>
      <c r="AY14" s="2146" t="str">
        <f t="shared" ref="AY14:AY25" ca="1" si="291">IF(AW14="","",IF(AV14="","",IF(AX14&lt;0,"",IF(AT14&gt;0,AX14*AT14,IF(AY$6&gt;0,AX14*AY$6,AX14*$B$5)))))</f>
        <v/>
      </c>
      <c r="AZ14" s="2143"/>
      <c r="BA14" s="2144">
        <f ca="1">IF('25 Sollumsatz nach Monaten'!AE17=0,"",'25 Sollumsatz nach Monaten'!AE17)</f>
        <v>183.55343266792849</v>
      </c>
      <c r="BB14" s="2145" t="str">
        <f t="shared" ref="BB14:BB25" ca="1" si="292">IF(BA14="","",IF(AZ14="","",AZ14-BA14))</f>
        <v/>
      </c>
      <c r="BC14" s="2158" t="str">
        <f t="shared" ref="BC14:BC25" ca="1" si="293">IF(BA14="","",IF(AZ14="","",IF(BB14&lt;0,"",IF(AU14&gt;0,BB14*AU14,IF(BC$6&gt;0,BB14*BC$6,BB14*$C$5)))))</f>
        <v/>
      </c>
      <c r="BD14" s="2148" t="str">
        <f t="shared" ca="1" si="220"/>
        <v>Christa</v>
      </c>
      <c r="BE14" s="2161"/>
      <c r="BF14" s="2162"/>
      <c r="BG14" s="2143"/>
      <c r="BH14" s="2149">
        <f ca="1">IF('25 Sollumsatz nach Monaten'!AJ17=0,"",'25 Sollumsatz nach Monaten'!AJ17)</f>
        <v>4203.2641229051524</v>
      </c>
      <c r="BI14" s="2150" t="str">
        <f t="shared" ref="BI14:BI25" ca="1" si="294">IF(BH14="","",IF(BG14="","",BG14-BH14))</f>
        <v/>
      </c>
      <c r="BJ14" s="2151" t="str">
        <f t="shared" ref="BJ14:BJ25" ca="1" si="295">IF(BH14="","",IF(BG14="","",IF(BI14&lt;0,"",IF(BE14&gt;0,BI14*BE14,IF(BJ$6&gt;0,BI14*BJ$6,BI14*$B$5)))))</f>
        <v/>
      </c>
      <c r="BK14" s="2143"/>
      <c r="BL14" s="2149">
        <f ca="1">IF('25 Sollumsatz nach Monaten'!AK17=0,"",'25 Sollumsatz nach Monaten'!AK17)</f>
        <v>244.73791022390466</v>
      </c>
      <c r="BM14" s="2150" t="str">
        <f t="shared" ref="BM14:BM25" ca="1" si="296">IF(BL14="","",IF(BK14="","",BK14-BL14))</f>
        <v/>
      </c>
      <c r="BN14" s="2151" t="str">
        <f t="shared" ref="BN14:BN25" ca="1" si="297">IF(BL14="","",IF(BK14="","",IF(BM14&lt;0,"",IF(BF14&gt;0,BM14*BF14,IF(BN$6&gt;0,BM14*BN$6,BM14*$C$5)))))</f>
        <v/>
      </c>
      <c r="BO14" s="2142" t="str">
        <f t="shared" ca="1" si="221"/>
        <v>Christa</v>
      </c>
      <c r="BP14" s="2161"/>
      <c r="BQ14" s="2162"/>
      <c r="BR14" s="2143"/>
      <c r="BS14" s="2144">
        <f ca="1">IF('25 Sollumsatz nach Monaten'!AP17=0,"",'25 Sollumsatz nach Monaten'!AP17)</f>
        <v>4728.6721382682963</v>
      </c>
      <c r="BT14" s="2145" t="str">
        <f t="shared" ref="BT14:BT25" ca="1" si="298">IF(BS14="","",IF(BR14="","",BR14-BS14))</f>
        <v/>
      </c>
      <c r="BU14" s="2146" t="str">
        <f t="shared" ref="BU14:BU25" ca="1" si="299">IF(BS14="","",IF(BR14="","",IF(BT14&lt;0,"",IF(BP14&gt;0,BT14*BP14,IF(BU$6&gt;0,BT14*BU$6,BT14*$B$5)))))</f>
        <v/>
      </c>
      <c r="BV14" s="2143"/>
      <c r="BW14" s="2144">
        <f ca="1">IF('25 Sollumsatz nach Monaten'!AQ17=0,"",'25 Sollumsatz nach Monaten'!AQ17)</f>
        <v>275.33014900189272</v>
      </c>
      <c r="BX14" s="2145" t="str">
        <f t="shared" ref="BX14:BX25" ca="1" si="300">IF(BW14="","",IF(BV14="","",BV14-BW14))</f>
        <v/>
      </c>
      <c r="BY14" s="2158" t="str">
        <f t="shared" ref="BY14:BY25" ca="1" si="301">IF(BW14="","",IF(BV14="","",IF(BX14&lt;0,"",IF(BQ14&gt;0,BX14*BQ14,IF(BY$6&gt;0,BX14*BY$6,BX14*$C$5)))))</f>
        <v/>
      </c>
      <c r="BZ14" s="2148" t="str">
        <f t="shared" ca="1" si="222"/>
        <v>Christa</v>
      </c>
      <c r="CA14" s="2161"/>
      <c r="CB14" s="2162"/>
      <c r="CC14" s="2143"/>
      <c r="CD14" s="2149">
        <f ca="1">IF('25 Sollumsatz nach Monaten'!AV17=0,"",'25 Sollumsatz nach Monaten'!AV17)</f>
        <v>4728.6721382682963</v>
      </c>
      <c r="CE14" s="2150" t="str">
        <f t="shared" ref="CE14:CE25" ca="1" si="302">IF(CD14="","",IF(CC14="","",CC14-CD14))</f>
        <v/>
      </c>
      <c r="CF14" s="2151" t="str">
        <f t="shared" ref="CF14:CF25" ca="1" si="303">IF(CD14="","",IF(CC14="","",IF(CE14&lt;0,"",IF(CA14&gt;0,CE14*CA14,IF(CF$6&gt;0,CE14*CF$6,CE14*$B$5)))))</f>
        <v/>
      </c>
      <c r="CG14" s="2143"/>
      <c r="CH14" s="2149">
        <f ca="1">IF('25 Sollumsatz nach Monaten'!AW17=0,"",'25 Sollumsatz nach Monaten'!AW17)</f>
        <v>275.33014900189272</v>
      </c>
      <c r="CI14" s="2150" t="str">
        <f t="shared" ref="CI14:CI25" ca="1" si="304">IF(CH14="","",IF(CG14="","",CG14-CH14))</f>
        <v/>
      </c>
      <c r="CJ14" s="2151" t="str">
        <f t="shared" ref="CJ14:CJ25" ca="1" si="305">IF(CH14="","",IF(CG14="","",IF(CI14&lt;0,"",IF(CB14&gt;0,CI14*CB14,IF(CJ$6&gt;0,CI14*CJ$6,CI14*$C$5)))))</f>
        <v/>
      </c>
      <c r="CK14" s="2142" t="str">
        <f t="shared" ca="1" si="223"/>
        <v>Christa</v>
      </c>
      <c r="CL14" s="2161"/>
      <c r="CM14" s="2162"/>
      <c r="CN14" s="2143"/>
      <c r="CO14" s="2144">
        <f ca="1">IF('25 Sollumsatz nach Monaten'!BB17=0,"",'25 Sollumsatz nach Monaten'!BB17)</f>
        <v>3152.4480921788645</v>
      </c>
      <c r="CP14" s="2145" t="str">
        <f t="shared" ref="CP14:CP25" ca="1" si="306">IF(CO14="","",IF(CN14="","",CN14-CO14))</f>
        <v/>
      </c>
      <c r="CQ14" s="2146" t="str">
        <f t="shared" ref="CQ14:CQ25" ca="1" si="307">IF(CO14="","",IF(CN14="","",IF(CP14&lt;0,"",IF(CL14&gt;0,CP14*CL14,IF(CQ$6&gt;0,CP14*CQ$6,CP14*$B$5)))))</f>
        <v/>
      </c>
      <c r="CR14" s="2143"/>
      <c r="CS14" s="2144">
        <f ca="1">IF('25 Sollumsatz nach Monaten'!BC17=0,"",'25 Sollumsatz nach Monaten'!BC17)</f>
        <v>183.55343266792849</v>
      </c>
      <c r="CT14" s="2145" t="str">
        <f t="shared" ref="CT14:CT25" ca="1" si="308">IF(CS14="","",IF(CR14="","",CR14-CS14))</f>
        <v/>
      </c>
      <c r="CU14" s="2158" t="str">
        <f t="shared" ref="CU14:CU25" ca="1" si="309">IF(CS14="","",IF(CR14="","",IF(CT14&lt;0,"",IF(CM14&gt;0,CT14*CM14,IF(CU$6&gt;0,CT14*CU$6,CT14*$C$5)))))</f>
        <v/>
      </c>
      <c r="CV14" s="2148" t="str">
        <f t="shared" ca="1" si="224"/>
        <v>Christa</v>
      </c>
      <c r="CW14" s="2161"/>
      <c r="CX14" s="2162"/>
      <c r="CY14" s="2143"/>
      <c r="CZ14" s="2149">
        <f ca="1">IF('25 Sollumsatz nach Monaten'!BH17=0,"",'25 Sollumsatz nach Monaten'!BH17)</f>
        <v>2627.0400768157201</v>
      </c>
      <c r="DA14" s="2150" t="str">
        <f t="shared" ref="DA14:DA25" ca="1" si="310">IF(CZ14="","",IF(CY14="","",CY14-CZ14))</f>
        <v/>
      </c>
      <c r="DB14" s="2151" t="str">
        <f t="shared" ref="DB14:DB25" ca="1" si="311">IF(CZ14="","",IF(CY14="","",IF(DA14&lt;0,"",IF(CW14&gt;0,DA14*CW14,IF(DB$6&gt;0,DA14*DB$6,DA14*$B$5)))))</f>
        <v/>
      </c>
      <c r="DC14" s="2143"/>
      <c r="DD14" s="2149">
        <f ca="1">IF('25 Sollumsatz nach Monaten'!BI17=0,"",'25 Sollumsatz nach Monaten'!BI17)</f>
        <v>152.9611938899404</v>
      </c>
      <c r="DE14" s="2150" t="str">
        <f t="shared" ref="DE14:DE25" ca="1" si="312">IF(DD14="","",IF(DC14="","",DC14-DD14))</f>
        <v/>
      </c>
      <c r="DF14" s="2151" t="str">
        <f t="shared" ref="DF14:DF25" ca="1" si="313">IF(DD14="","",IF(DC14="","",IF(DE14&lt;0,"",IF(CX14&gt;0,DE14*CX14,IF(DF$6&gt;0,DE14*DF$6,DE14*$C$5)))))</f>
        <v/>
      </c>
      <c r="DG14" s="2142" t="str">
        <f t="shared" ca="1" si="225"/>
        <v>Christa</v>
      </c>
      <c r="DH14" s="2161"/>
      <c r="DI14" s="2162"/>
      <c r="DJ14" s="2143"/>
      <c r="DK14" s="2144">
        <f ca="1">IF('25 Sollumsatz nach Monaten'!BN17=0,"",'25 Sollumsatz nach Monaten'!BN17)</f>
        <v>3152.4480921788645</v>
      </c>
      <c r="DL14" s="2145" t="str">
        <f t="shared" ref="DL14:DL25" ca="1" si="314">IF(DK14="","",IF(DJ14="","",DJ14-DK14))</f>
        <v/>
      </c>
      <c r="DM14" s="2146" t="str">
        <f t="shared" ref="DM14:DM25" ca="1" si="315">IF(DK14="","",IF(DJ14="","",IF(DL14&lt;0,"",IF(DH14&gt;0,DL14*DH14,IF(DM$6&gt;0,DL14*DM$6,DL14*$B$5)))))</f>
        <v/>
      </c>
      <c r="DN14" s="2143"/>
      <c r="DO14" s="2144">
        <f ca="1">IF('25 Sollumsatz nach Monaten'!BO17=0,"",'25 Sollumsatz nach Monaten'!BO17)</f>
        <v>183.55343266792849</v>
      </c>
      <c r="DP14" s="2145" t="str">
        <f t="shared" ref="DP14:DP25" ca="1" si="316">IF(DO14="","",IF(DN14="","",DN14-DO14))</f>
        <v/>
      </c>
      <c r="DQ14" s="2158" t="str">
        <f t="shared" ref="DQ14:DQ25" ca="1" si="317">IF(DO14="","",IF(DN14="","",IF(DP14&lt;0,"",IF(DI14&gt;0,DP14*DI14,IF(DQ$6&gt;0,DP14*DQ$6,DP14*$C$5)))))</f>
        <v/>
      </c>
      <c r="DR14" s="2148" t="str">
        <f t="shared" ca="1" si="226"/>
        <v>Christa</v>
      </c>
      <c r="DS14" s="2161"/>
      <c r="DT14" s="2162"/>
      <c r="DU14" s="2143"/>
      <c r="DV14" s="2149">
        <f ca="1">IF('25 Sollumsatz nach Monaten'!BT17=0,"",'25 Sollumsatz nach Monaten'!BT17)</f>
        <v>4203.2641229051524</v>
      </c>
      <c r="DW14" s="2150" t="str">
        <f t="shared" ref="DW14:DW25" ca="1" si="318">IF(DV14="","",IF(DU14="","",DU14-DV14))</f>
        <v/>
      </c>
      <c r="DX14" s="2151" t="str">
        <f t="shared" ref="DX14:DX25" ca="1" si="319">IF(DV14="","",IF(DU14="","",IF(DW14&lt;0,"",IF(DS14&gt;0,DW14*DS14,IF(DX$6&gt;0,DW14*DX$6,DW14*$B$5)))))</f>
        <v/>
      </c>
      <c r="DY14" s="2143"/>
      <c r="DZ14" s="2149">
        <f ca="1">IF('25 Sollumsatz nach Monaten'!BU17=0,"",'25 Sollumsatz nach Monaten'!BU17)</f>
        <v>244.73791022390466</v>
      </c>
      <c r="EA14" s="2150" t="str">
        <f t="shared" ref="EA14:EA25" ca="1" si="320">IF(DZ14="","",IF(DY14="","",DY14-DZ14))</f>
        <v/>
      </c>
      <c r="EB14" s="2151" t="str">
        <f t="shared" ref="EB14:EB25" ca="1" si="321">IF(DZ14="","",IF(DY14="","",IF(EA14&lt;0,"",IF(DT14&gt;0,EA14*DT14,IF(EB$6&gt;0,EA14*EB$6,EA14*$C$5)))))</f>
        <v/>
      </c>
      <c r="EC14" s="2152" t="str">
        <f t="shared" ca="1" si="227"/>
        <v>Christa</v>
      </c>
      <c r="ED14" s="2280">
        <f t="shared" ca="1" si="228"/>
        <v>0</v>
      </c>
      <c r="EE14" s="2153">
        <f t="shared" ca="1" si="229"/>
        <v>46235.905351956673</v>
      </c>
      <c r="EF14" s="2154">
        <f t="shared" ca="1" si="230"/>
        <v>-46235.905351956673</v>
      </c>
      <c r="EG14" s="2155" t="str">
        <f t="shared" ca="1" si="275"/>
        <v/>
      </c>
      <c r="EH14" s="2282">
        <f t="shared" ca="1" si="231"/>
        <v>0</v>
      </c>
      <c r="EI14" s="2153">
        <f t="shared" ca="1" si="232"/>
        <v>2692.1170124629512</v>
      </c>
      <c r="EJ14" s="2154">
        <f t="shared" ca="1" si="233"/>
        <v>-2692.1170124629512</v>
      </c>
      <c r="EK14" s="2155" t="str">
        <f t="shared" ref="EK14:EK25" ca="1" si="322">IF(EC14="","",IF(SUM(EB14,DQ14,DF14,CU14,CJ14,BY14,BN14,BC14,AR14,AG14,V14,K14)=0,"",SUM(EB14,DQ14,DF14,CU14,CJ14,BY14,BN14,BC14,AR14,AG14,V14,K14)))</f>
        <v/>
      </c>
      <c r="EL14" s="2160" t="str">
        <f t="shared" ca="1" si="234"/>
        <v/>
      </c>
      <c r="EM14" s="2160" t="str">
        <f t="shared" ca="1" si="235"/>
        <v/>
      </c>
      <c r="EN14" s="2160" t="str">
        <f t="shared" ca="1" si="236"/>
        <v/>
      </c>
      <c r="EO14" s="2152" t="str">
        <f t="shared" ca="1" si="237"/>
        <v>Christa</v>
      </c>
      <c r="EP14" s="2312">
        <f ca="1">IF('25 Sollumsatz nach Monaten'!BV17="","",SUM(EQ14:ER14))</f>
        <v>0</v>
      </c>
      <c r="EQ14" s="2312">
        <f ca="1">IF('25 Sollumsatz nach Monaten'!BV17="","",ED14/'25 Sollumsatz nach Monaten'!BV17)</f>
        <v>0</v>
      </c>
      <c r="ER14" s="2312">
        <f ca="1">IF('25 Sollumsatz nach Monaten'!BV17="","",EH14/'25 Sollumsatz nach Monaten'!BV17)</f>
        <v>0</v>
      </c>
      <c r="EY14" s="2248"/>
      <c r="EZ14" s="2249"/>
      <c r="FA14" s="2250"/>
      <c r="FB14" s="2251" t="str">
        <f t="shared" si="238"/>
        <v/>
      </c>
      <c r="FC14" s="2252"/>
      <c r="FD14" s="2253"/>
      <c r="FE14" s="2251" t="str">
        <f t="shared" ca="1" si="239"/>
        <v/>
      </c>
      <c r="FF14" s="2254"/>
      <c r="FG14" s="2252"/>
      <c r="FH14" s="2253"/>
      <c r="FI14" s="2251" t="str">
        <f t="shared" ca="1" si="240"/>
        <v/>
      </c>
      <c r="FJ14" s="2248"/>
      <c r="FK14" s="2249"/>
      <c r="FL14" s="2250"/>
      <c r="FM14" s="2251" t="str">
        <f t="shared" si="241"/>
        <v/>
      </c>
      <c r="FN14" s="2252"/>
      <c r="FO14" s="2253"/>
      <c r="FP14" s="2251" t="str">
        <f t="shared" ca="1" si="242"/>
        <v/>
      </c>
      <c r="FQ14" s="2254"/>
      <c r="FR14" s="2252"/>
      <c r="FS14" s="2253"/>
      <c r="FT14" s="2251" t="str">
        <f t="shared" ca="1" si="243"/>
        <v/>
      </c>
      <c r="FU14" s="2248"/>
      <c r="FV14" s="2249"/>
      <c r="FW14" s="2250"/>
      <c r="FX14" s="2251" t="str">
        <f t="shared" si="244"/>
        <v/>
      </c>
      <c r="FY14" s="2252"/>
      <c r="FZ14" s="2253"/>
      <c r="GA14" s="2251" t="str">
        <f t="shared" ca="1" si="245"/>
        <v/>
      </c>
      <c r="GB14" s="2254"/>
      <c r="GC14" s="2252"/>
      <c r="GD14" s="2253"/>
      <c r="GE14" s="2251" t="str">
        <f t="shared" ca="1" si="246"/>
        <v/>
      </c>
      <c r="GF14" s="2248"/>
      <c r="GG14" s="2249"/>
      <c r="GH14" s="2250"/>
      <c r="GI14" s="2251" t="str">
        <f t="shared" si="247"/>
        <v/>
      </c>
      <c r="GJ14" s="2252"/>
      <c r="GK14" s="2253"/>
      <c r="GL14" s="2251" t="str">
        <f t="shared" ca="1" si="248"/>
        <v/>
      </c>
      <c r="GM14" s="2254"/>
      <c r="GN14" s="2252"/>
      <c r="GO14" s="2253"/>
      <c r="GP14" s="2251" t="str">
        <f t="shared" ca="1" si="249"/>
        <v/>
      </c>
      <c r="GQ14" s="2248"/>
      <c r="GR14" s="2249"/>
      <c r="GS14" s="2250"/>
      <c r="GT14" s="2251" t="str">
        <f t="shared" si="250"/>
        <v/>
      </c>
      <c r="GU14" s="2252"/>
      <c r="GV14" s="2253"/>
      <c r="GW14" s="2251" t="str">
        <f t="shared" ca="1" si="251"/>
        <v/>
      </c>
      <c r="GX14" s="2254"/>
      <c r="GY14" s="2252"/>
      <c r="GZ14" s="2253"/>
      <c r="HA14" s="2251" t="str">
        <f t="shared" ca="1" si="252"/>
        <v/>
      </c>
      <c r="HB14" s="2248"/>
      <c r="HC14" s="2249"/>
      <c r="HD14" s="2250"/>
      <c r="HE14" s="2251" t="str">
        <f t="shared" si="253"/>
        <v/>
      </c>
      <c r="HF14" s="2252"/>
      <c r="HG14" s="2253"/>
      <c r="HH14" s="2251" t="str">
        <f t="shared" ca="1" si="254"/>
        <v/>
      </c>
      <c r="HI14" s="2254"/>
      <c r="HJ14" s="2252"/>
      <c r="HK14" s="2253"/>
      <c r="HL14" s="2251" t="str">
        <f t="shared" ca="1" si="255"/>
        <v/>
      </c>
      <c r="HM14" s="2248"/>
      <c r="HN14" s="2249"/>
      <c r="HO14" s="2250"/>
      <c r="HP14" s="2251" t="str">
        <f t="shared" si="256"/>
        <v/>
      </c>
      <c r="HQ14" s="2252"/>
      <c r="HR14" s="2253"/>
      <c r="HS14" s="2251" t="str">
        <f t="shared" ca="1" si="257"/>
        <v/>
      </c>
      <c r="HT14" s="2254"/>
      <c r="HU14" s="2252"/>
      <c r="HV14" s="2253"/>
      <c r="HW14" s="2251" t="str">
        <f t="shared" ca="1" si="258"/>
        <v/>
      </c>
      <c r="HX14" s="2248"/>
      <c r="HY14" s="2249"/>
      <c r="HZ14" s="2250"/>
      <c r="IA14" s="2251" t="str">
        <f t="shared" si="259"/>
        <v/>
      </c>
      <c r="IB14" s="2252"/>
      <c r="IC14" s="2253"/>
      <c r="ID14" s="2251" t="str">
        <f t="shared" ca="1" si="260"/>
        <v/>
      </c>
      <c r="IE14" s="2254"/>
      <c r="IF14" s="2252"/>
      <c r="IG14" s="2253"/>
      <c r="IH14" s="2251" t="str">
        <f t="shared" ca="1" si="261"/>
        <v/>
      </c>
      <c r="II14" s="2248"/>
      <c r="IJ14" s="2249"/>
      <c r="IK14" s="2250"/>
      <c r="IL14" s="2251" t="str">
        <f t="shared" si="262"/>
        <v/>
      </c>
      <c r="IM14" s="2252"/>
      <c r="IN14" s="2253"/>
      <c r="IO14" s="2251" t="str">
        <f t="shared" ca="1" si="263"/>
        <v/>
      </c>
      <c r="IP14" s="2254"/>
      <c r="IQ14" s="2252"/>
      <c r="IR14" s="2253"/>
      <c r="IS14" s="2251" t="str">
        <f t="shared" ca="1" si="264"/>
        <v/>
      </c>
      <c r="IT14" s="2248"/>
      <c r="IU14" s="2249"/>
      <c r="IV14" s="2250"/>
      <c r="IW14" s="2251" t="str">
        <f t="shared" si="265"/>
        <v/>
      </c>
      <c r="IX14" s="2252"/>
      <c r="IY14" s="2253"/>
      <c r="IZ14" s="2251" t="str">
        <f t="shared" ca="1" si="266"/>
        <v/>
      </c>
      <c r="JA14" s="2254"/>
      <c r="JB14" s="2252"/>
      <c r="JC14" s="2253"/>
      <c r="JD14" s="2251" t="str">
        <f t="shared" ca="1" si="267"/>
        <v/>
      </c>
      <c r="JE14" s="2248"/>
      <c r="JF14" s="2249"/>
      <c r="JG14" s="2250"/>
      <c r="JH14" s="2251" t="str">
        <f t="shared" si="268"/>
        <v/>
      </c>
      <c r="JI14" s="2252"/>
      <c r="JJ14" s="2253"/>
      <c r="JK14" s="2251" t="str">
        <f t="shared" ca="1" si="269"/>
        <v/>
      </c>
      <c r="JL14" s="2254"/>
      <c r="JM14" s="2252"/>
      <c r="JN14" s="2253"/>
      <c r="JO14" s="2251" t="str">
        <f t="shared" ca="1" si="270"/>
        <v/>
      </c>
      <c r="JP14" s="2248"/>
      <c r="JQ14" s="2249"/>
      <c r="JR14" s="2250"/>
      <c r="JS14" s="2251" t="str">
        <f t="shared" si="271"/>
        <v/>
      </c>
      <c r="JT14" s="2252"/>
      <c r="JU14" s="2253"/>
      <c r="JV14" s="2251" t="str">
        <f t="shared" ca="1" si="272"/>
        <v/>
      </c>
      <c r="JW14" s="2254"/>
      <c r="JX14" s="2252"/>
      <c r="JY14" s="2253"/>
      <c r="JZ14" s="2251" t="str">
        <f t="shared" ca="1" si="273"/>
        <v/>
      </c>
      <c r="KA14" s="2231"/>
    </row>
    <row r="15" spans="1:287" s="2156" customFormat="1" ht="18" customHeight="1">
      <c r="A15" s="2142" t="str">
        <f ca="1">IF('22 Sollumsatz pro MA '!$A16="","",'22 Sollumsatz pro MA '!$A16)</f>
        <v>Horst</v>
      </c>
      <c r="B15" s="2161"/>
      <c r="C15" s="2162"/>
      <c r="D15" s="2143"/>
      <c r="E15" s="2144">
        <f ca="1">IF('25 Sollumsatz nach Monaten'!F18=0,"",'25 Sollumsatz nach Monaten'!F18)</f>
        <v>5908.9502159455751</v>
      </c>
      <c r="F15" s="2145" t="str">
        <f t="shared" ca="1" si="276"/>
        <v/>
      </c>
      <c r="G15" s="2146" t="str">
        <f t="shared" ca="1" si="144"/>
        <v/>
      </c>
      <c r="H15" s="2143"/>
      <c r="I15" s="2144">
        <f ca="1">IF('25 Sollumsatz nach Monaten'!G18=0,"",'25 Sollumsatz nach Monaten'!G18)</f>
        <v>344.20451364702603</v>
      </c>
      <c r="J15" s="2145" t="str">
        <f t="shared" ca="1" si="277"/>
        <v/>
      </c>
      <c r="K15" s="2158" t="str">
        <f t="shared" ca="1" si="146"/>
        <v/>
      </c>
      <c r="L15" s="2148" t="str">
        <f t="shared" ca="1" si="216"/>
        <v>Horst</v>
      </c>
      <c r="M15" s="2161"/>
      <c r="N15" s="2162"/>
      <c r="O15" s="2143"/>
      <c r="P15" s="2149">
        <f ca="1">IF('25 Sollumsatz nach Monaten'!L18=0,"",'25 Sollumsatz nach Monaten'!L18)</f>
        <v>4545.3463199581347</v>
      </c>
      <c r="Q15" s="2150" t="str">
        <f t="shared" ca="1" si="278"/>
        <v/>
      </c>
      <c r="R15" s="2151" t="str">
        <f t="shared" ca="1" si="279"/>
        <v/>
      </c>
      <c r="S15" s="2143"/>
      <c r="T15" s="2149">
        <f ca="1">IF('25 Sollumsatz nach Monaten'!M18=0,"",'25 Sollumsatz nach Monaten'!M18)</f>
        <v>264.77270280540466</v>
      </c>
      <c r="U15" s="2150" t="str">
        <f t="shared" ca="1" si="280"/>
        <v/>
      </c>
      <c r="V15" s="2151" t="str">
        <f t="shared" ca="1" si="281"/>
        <v/>
      </c>
      <c r="W15" s="2142" t="str">
        <f t="shared" ca="1" si="217"/>
        <v>Horst</v>
      </c>
      <c r="X15" s="2161"/>
      <c r="Y15" s="2162"/>
      <c r="Z15" s="2143"/>
      <c r="AA15" s="2144">
        <f ca="1">IF('25 Sollumsatz nach Monaten'!R18=0,"",'25 Sollumsatz nach Monaten'!R18)</f>
        <v>3636.2770559665078</v>
      </c>
      <c r="AB15" s="2145" t="str">
        <f t="shared" ca="1" si="282"/>
        <v/>
      </c>
      <c r="AC15" s="2146" t="str">
        <f t="shared" ca="1" si="283"/>
        <v/>
      </c>
      <c r="AD15" s="2147"/>
      <c r="AE15" s="2144">
        <f ca="1">IF('25 Sollumsatz nach Monaten'!S18=0,"",'25 Sollumsatz nach Monaten'!S18)</f>
        <v>211.81816224432373</v>
      </c>
      <c r="AF15" s="2145" t="str">
        <f t="shared" ca="1" si="284"/>
        <v/>
      </c>
      <c r="AG15" s="2158" t="str">
        <f t="shared" ca="1" si="285"/>
        <v/>
      </c>
      <c r="AH15" s="2148" t="str">
        <f t="shared" ca="1" si="218"/>
        <v>Horst</v>
      </c>
      <c r="AI15" s="2161"/>
      <c r="AJ15" s="2162"/>
      <c r="AK15" s="2143"/>
      <c r="AL15" s="2149">
        <f ca="1">IF('25 Sollumsatz nach Monaten'!X18=0,"",'25 Sollumsatz nach Monaten'!X18)</f>
        <v>5908.9502159455751</v>
      </c>
      <c r="AM15" s="2150" t="str">
        <f t="shared" ca="1" si="286"/>
        <v/>
      </c>
      <c r="AN15" s="2151" t="str">
        <f t="shared" ca="1" si="287"/>
        <v/>
      </c>
      <c r="AO15" s="2143"/>
      <c r="AP15" s="2149">
        <f ca="1">IF('25 Sollumsatz nach Monaten'!Y18=0,"",'25 Sollumsatz nach Monaten'!Y18)</f>
        <v>344.20451364702603</v>
      </c>
      <c r="AQ15" s="2150" t="str">
        <f t="shared" ca="1" si="288"/>
        <v/>
      </c>
      <c r="AR15" s="2151" t="str">
        <f t="shared" ca="1" si="289"/>
        <v/>
      </c>
      <c r="AS15" s="2142" t="str">
        <f t="shared" ca="1" si="219"/>
        <v>Horst</v>
      </c>
      <c r="AT15" s="2161"/>
      <c r="AU15" s="2162"/>
      <c r="AV15" s="2143"/>
      <c r="AW15" s="2144">
        <f ca="1">IF('25 Sollumsatz nach Monaten'!AD18=0,"",'25 Sollumsatz nach Monaten'!AD18)</f>
        <v>3636.2770559665078</v>
      </c>
      <c r="AX15" s="2145" t="str">
        <f t="shared" ca="1" si="290"/>
        <v/>
      </c>
      <c r="AY15" s="2146" t="str">
        <f t="shared" ca="1" si="291"/>
        <v/>
      </c>
      <c r="AZ15" s="2143"/>
      <c r="BA15" s="2144">
        <f ca="1">IF('25 Sollumsatz nach Monaten'!AE18=0,"",'25 Sollumsatz nach Monaten'!AE18)</f>
        <v>211.81816224432373</v>
      </c>
      <c r="BB15" s="2145" t="str">
        <f t="shared" ca="1" si="292"/>
        <v/>
      </c>
      <c r="BC15" s="2158" t="str">
        <f t="shared" ca="1" si="293"/>
        <v/>
      </c>
      <c r="BD15" s="2148" t="str">
        <f t="shared" ca="1" si="220"/>
        <v>Horst</v>
      </c>
      <c r="BE15" s="2161"/>
      <c r="BF15" s="2162"/>
      <c r="BG15" s="2143"/>
      <c r="BH15" s="2149">
        <f ca="1">IF('25 Sollumsatz nach Monaten'!AJ18=0,"",'25 Sollumsatz nach Monaten'!AJ18)</f>
        <v>5908.9502159455751</v>
      </c>
      <c r="BI15" s="2150" t="str">
        <f t="shared" ca="1" si="294"/>
        <v/>
      </c>
      <c r="BJ15" s="2151" t="str">
        <f t="shared" ca="1" si="295"/>
        <v/>
      </c>
      <c r="BK15" s="2143"/>
      <c r="BL15" s="2149">
        <f ca="1">IF('25 Sollumsatz nach Monaten'!AK18=0,"",'25 Sollumsatz nach Monaten'!AK18)</f>
        <v>344.20451364702603</v>
      </c>
      <c r="BM15" s="2150" t="str">
        <f t="shared" ca="1" si="296"/>
        <v/>
      </c>
      <c r="BN15" s="2151" t="str">
        <f t="shared" ca="1" si="297"/>
        <v/>
      </c>
      <c r="BO15" s="2142" t="str">
        <f t="shared" ca="1" si="221"/>
        <v>Horst</v>
      </c>
      <c r="BP15" s="2161"/>
      <c r="BQ15" s="2162"/>
      <c r="BR15" s="2143"/>
      <c r="BS15" s="2144">
        <f ca="1">IF('25 Sollumsatz nach Monaten'!AP18=0,"",'25 Sollumsatz nach Monaten'!AP18)</f>
        <v>5908.9502159455751</v>
      </c>
      <c r="BT15" s="2145" t="str">
        <f t="shared" ca="1" si="298"/>
        <v/>
      </c>
      <c r="BU15" s="2146" t="str">
        <f t="shared" ca="1" si="299"/>
        <v/>
      </c>
      <c r="BV15" s="2143"/>
      <c r="BW15" s="2144">
        <f ca="1">IF('25 Sollumsatz nach Monaten'!AQ18=0,"",'25 Sollumsatz nach Monaten'!AQ18)</f>
        <v>344.20451364702603</v>
      </c>
      <c r="BX15" s="2145" t="str">
        <f t="shared" ca="1" si="300"/>
        <v/>
      </c>
      <c r="BY15" s="2158" t="str">
        <f t="shared" ca="1" si="301"/>
        <v/>
      </c>
      <c r="BZ15" s="2148" t="str">
        <f t="shared" ca="1" si="222"/>
        <v>Horst</v>
      </c>
      <c r="CA15" s="2161"/>
      <c r="CB15" s="2162"/>
      <c r="CC15" s="2143"/>
      <c r="CD15" s="2149">
        <f ca="1">IF('25 Sollumsatz nach Monaten'!AV18=0,"",'25 Sollumsatz nach Monaten'!AV18)</f>
        <v>3181.7424239706943</v>
      </c>
      <c r="CE15" s="2150" t="str">
        <f t="shared" ca="1" si="302"/>
        <v/>
      </c>
      <c r="CF15" s="2151" t="str">
        <f t="shared" ca="1" si="303"/>
        <v/>
      </c>
      <c r="CG15" s="2143"/>
      <c r="CH15" s="2149">
        <f ca="1">IF('25 Sollumsatz nach Monaten'!AW18=0,"",'25 Sollumsatz nach Monaten'!AW18)</f>
        <v>185.34089196378326</v>
      </c>
      <c r="CI15" s="2150" t="str">
        <f t="shared" ca="1" si="304"/>
        <v/>
      </c>
      <c r="CJ15" s="2151" t="str">
        <f t="shared" ca="1" si="305"/>
        <v/>
      </c>
      <c r="CK15" s="2142" t="str">
        <f t="shared" ca="1" si="223"/>
        <v>Horst</v>
      </c>
      <c r="CL15" s="2161"/>
      <c r="CM15" s="2162"/>
      <c r="CN15" s="2143"/>
      <c r="CO15" s="2144">
        <f ca="1">IF('25 Sollumsatz nach Monaten'!BB18=0,"",'25 Sollumsatz nach Monaten'!BB18)</f>
        <v>4999.8809519539482</v>
      </c>
      <c r="CP15" s="2145" t="str">
        <f t="shared" ca="1" si="306"/>
        <v/>
      </c>
      <c r="CQ15" s="2146" t="str">
        <f t="shared" ca="1" si="307"/>
        <v/>
      </c>
      <c r="CR15" s="2143"/>
      <c r="CS15" s="2144">
        <f ca="1">IF('25 Sollumsatz nach Monaten'!BC18=0,"",'25 Sollumsatz nach Monaten'!BC18)</f>
        <v>291.24997308594516</v>
      </c>
      <c r="CT15" s="2145" t="str">
        <f t="shared" ca="1" si="308"/>
        <v/>
      </c>
      <c r="CU15" s="2158" t="str">
        <f t="shared" ca="1" si="309"/>
        <v/>
      </c>
      <c r="CV15" s="2148" t="str">
        <f t="shared" ca="1" si="224"/>
        <v>Horst</v>
      </c>
      <c r="CW15" s="2161"/>
      <c r="CX15" s="2162"/>
      <c r="CY15" s="2143"/>
      <c r="CZ15" s="2149">
        <f ca="1">IF('25 Sollumsatz nach Monaten'!BH18=0,"",'25 Sollumsatz nach Monaten'!BH18)</f>
        <v>3181.7424239706943</v>
      </c>
      <c r="DA15" s="2150" t="str">
        <f t="shared" ca="1" si="310"/>
        <v/>
      </c>
      <c r="DB15" s="2151" t="str">
        <f t="shared" ca="1" si="311"/>
        <v/>
      </c>
      <c r="DC15" s="2143"/>
      <c r="DD15" s="2149">
        <f ca="1">IF('25 Sollumsatz nach Monaten'!BI18=0,"",'25 Sollumsatz nach Monaten'!BI18)</f>
        <v>185.34089196378326</v>
      </c>
      <c r="DE15" s="2150" t="str">
        <f t="shared" ca="1" si="312"/>
        <v/>
      </c>
      <c r="DF15" s="2151" t="str">
        <f t="shared" ca="1" si="313"/>
        <v/>
      </c>
      <c r="DG15" s="2142" t="str">
        <f t="shared" ca="1" si="225"/>
        <v>Horst</v>
      </c>
      <c r="DH15" s="2161"/>
      <c r="DI15" s="2162"/>
      <c r="DJ15" s="2143"/>
      <c r="DK15" s="2144">
        <f ca="1">IF('25 Sollumsatz nach Monaten'!BN18=0,"",'25 Sollumsatz nach Monaten'!BN18)</f>
        <v>5908.9502159455751</v>
      </c>
      <c r="DL15" s="2145" t="str">
        <f t="shared" ca="1" si="314"/>
        <v/>
      </c>
      <c r="DM15" s="2146" t="str">
        <f t="shared" ca="1" si="315"/>
        <v/>
      </c>
      <c r="DN15" s="2143"/>
      <c r="DO15" s="2144">
        <f ca="1">IF('25 Sollumsatz nach Monaten'!BO18=0,"",'25 Sollumsatz nach Monaten'!BO18)</f>
        <v>344.20451364702603</v>
      </c>
      <c r="DP15" s="2145" t="str">
        <f t="shared" ca="1" si="316"/>
        <v/>
      </c>
      <c r="DQ15" s="2158" t="str">
        <f t="shared" ca="1" si="317"/>
        <v/>
      </c>
      <c r="DR15" s="2148" t="str">
        <f t="shared" ca="1" si="226"/>
        <v>Horst</v>
      </c>
      <c r="DS15" s="2161"/>
      <c r="DT15" s="2162"/>
      <c r="DU15" s="2143"/>
      <c r="DV15" s="2149">
        <f ca="1">IF('25 Sollumsatz nach Monaten'!BT18=0,"",'25 Sollumsatz nach Monaten'!BT18)</f>
        <v>5908.9502159455751</v>
      </c>
      <c r="DW15" s="2150" t="str">
        <f t="shared" ca="1" si="318"/>
        <v/>
      </c>
      <c r="DX15" s="2151" t="str">
        <f t="shared" ca="1" si="319"/>
        <v/>
      </c>
      <c r="DY15" s="2143"/>
      <c r="DZ15" s="2149">
        <f ca="1">IF('25 Sollumsatz nach Monaten'!BU18=0,"",'25 Sollumsatz nach Monaten'!BU18)</f>
        <v>344.20451364702603</v>
      </c>
      <c r="EA15" s="2150" t="str">
        <f t="shared" ca="1" si="320"/>
        <v/>
      </c>
      <c r="EB15" s="2151" t="str">
        <f t="shared" ca="1" si="321"/>
        <v/>
      </c>
      <c r="EC15" s="2152" t="str">
        <f t="shared" ca="1" si="227"/>
        <v>Horst</v>
      </c>
      <c r="ED15" s="2280">
        <f t="shared" ca="1" si="228"/>
        <v>0</v>
      </c>
      <c r="EE15" s="2153">
        <f t="shared" ca="1" si="229"/>
        <v>58634.967527459929</v>
      </c>
      <c r="EF15" s="2154">
        <f t="shared" ca="1" si="230"/>
        <v>-58634.967527459929</v>
      </c>
      <c r="EG15" s="2155" t="str">
        <f t="shared" ca="1" si="275"/>
        <v/>
      </c>
      <c r="EH15" s="2282">
        <f t="shared" ca="1" si="231"/>
        <v>0</v>
      </c>
      <c r="EI15" s="2153">
        <f t="shared" ca="1" si="232"/>
        <v>3415.5678661897196</v>
      </c>
      <c r="EJ15" s="2154">
        <f t="shared" ca="1" si="233"/>
        <v>-3415.5678661897196</v>
      </c>
      <c r="EK15" s="2155" t="str">
        <f t="shared" ca="1" si="322"/>
        <v/>
      </c>
      <c r="EL15" s="2160" t="str">
        <f t="shared" ca="1" si="234"/>
        <v/>
      </c>
      <c r="EM15" s="2160" t="str">
        <f t="shared" ca="1" si="235"/>
        <v/>
      </c>
      <c r="EN15" s="2160" t="str">
        <f t="shared" ca="1" si="236"/>
        <v/>
      </c>
      <c r="EO15" s="2152" t="str">
        <f t="shared" ca="1" si="237"/>
        <v>Horst</v>
      </c>
      <c r="EP15" s="2312">
        <f ca="1">IF('25 Sollumsatz nach Monaten'!BV18="","",SUM(EQ15:ER15))</f>
        <v>0</v>
      </c>
      <c r="EQ15" s="2312">
        <f ca="1">IF('25 Sollumsatz nach Monaten'!BV18="","",ED15/'25 Sollumsatz nach Monaten'!BV18)</f>
        <v>0</v>
      </c>
      <c r="ER15" s="2312">
        <f ca="1">IF('25 Sollumsatz nach Monaten'!BV18="","",EH15/'25 Sollumsatz nach Monaten'!BV18)</f>
        <v>0</v>
      </c>
      <c r="EY15" s="2248"/>
      <c r="EZ15" s="2249"/>
      <c r="FA15" s="2250"/>
      <c r="FB15" s="2251" t="str">
        <f t="shared" si="238"/>
        <v/>
      </c>
      <c r="FC15" s="2252"/>
      <c r="FD15" s="2253"/>
      <c r="FE15" s="2251" t="str">
        <f t="shared" ca="1" si="239"/>
        <v/>
      </c>
      <c r="FF15" s="2254"/>
      <c r="FG15" s="2252"/>
      <c r="FH15" s="2253"/>
      <c r="FI15" s="2251" t="str">
        <f t="shared" ca="1" si="240"/>
        <v/>
      </c>
      <c r="FJ15" s="2248"/>
      <c r="FK15" s="2249"/>
      <c r="FL15" s="2250"/>
      <c r="FM15" s="2251" t="str">
        <f t="shared" si="241"/>
        <v/>
      </c>
      <c r="FN15" s="2252"/>
      <c r="FO15" s="2253"/>
      <c r="FP15" s="2251" t="str">
        <f t="shared" ca="1" si="242"/>
        <v/>
      </c>
      <c r="FQ15" s="2254"/>
      <c r="FR15" s="2252"/>
      <c r="FS15" s="2253"/>
      <c r="FT15" s="2251" t="str">
        <f t="shared" ca="1" si="243"/>
        <v/>
      </c>
      <c r="FU15" s="2248"/>
      <c r="FV15" s="2249"/>
      <c r="FW15" s="2250"/>
      <c r="FX15" s="2251" t="str">
        <f t="shared" si="244"/>
        <v/>
      </c>
      <c r="FY15" s="2252"/>
      <c r="FZ15" s="2253"/>
      <c r="GA15" s="2251" t="str">
        <f t="shared" ca="1" si="245"/>
        <v/>
      </c>
      <c r="GB15" s="2254"/>
      <c r="GC15" s="2252"/>
      <c r="GD15" s="2253"/>
      <c r="GE15" s="2251" t="str">
        <f t="shared" ca="1" si="246"/>
        <v/>
      </c>
      <c r="GF15" s="2248"/>
      <c r="GG15" s="2249"/>
      <c r="GH15" s="2250"/>
      <c r="GI15" s="2251" t="str">
        <f t="shared" si="247"/>
        <v/>
      </c>
      <c r="GJ15" s="2252"/>
      <c r="GK15" s="2253"/>
      <c r="GL15" s="2251" t="str">
        <f t="shared" ca="1" si="248"/>
        <v/>
      </c>
      <c r="GM15" s="2254"/>
      <c r="GN15" s="2252"/>
      <c r="GO15" s="2253"/>
      <c r="GP15" s="2251" t="str">
        <f t="shared" ca="1" si="249"/>
        <v/>
      </c>
      <c r="GQ15" s="2248"/>
      <c r="GR15" s="2249"/>
      <c r="GS15" s="2250"/>
      <c r="GT15" s="2251" t="str">
        <f t="shared" si="250"/>
        <v/>
      </c>
      <c r="GU15" s="2252"/>
      <c r="GV15" s="2253"/>
      <c r="GW15" s="2251" t="str">
        <f t="shared" ca="1" si="251"/>
        <v/>
      </c>
      <c r="GX15" s="2254"/>
      <c r="GY15" s="2252"/>
      <c r="GZ15" s="2253"/>
      <c r="HA15" s="2251" t="str">
        <f t="shared" ca="1" si="252"/>
        <v/>
      </c>
      <c r="HB15" s="2248"/>
      <c r="HC15" s="2249"/>
      <c r="HD15" s="2250"/>
      <c r="HE15" s="2251" t="str">
        <f t="shared" si="253"/>
        <v/>
      </c>
      <c r="HF15" s="2252"/>
      <c r="HG15" s="2253"/>
      <c r="HH15" s="2251" t="str">
        <f t="shared" ca="1" si="254"/>
        <v/>
      </c>
      <c r="HI15" s="2254"/>
      <c r="HJ15" s="2252"/>
      <c r="HK15" s="2253"/>
      <c r="HL15" s="2251" t="str">
        <f t="shared" ca="1" si="255"/>
        <v/>
      </c>
      <c r="HM15" s="2248"/>
      <c r="HN15" s="2249"/>
      <c r="HO15" s="2250"/>
      <c r="HP15" s="2251" t="str">
        <f t="shared" si="256"/>
        <v/>
      </c>
      <c r="HQ15" s="2252"/>
      <c r="HR15" s="2253"/>
      <c r="HS15" s="2251" t="str">
        <f t="shared" ca="1" si="257"/>
        <v/>
      </c>
      <c r="HT15" s="2254"/>
      <c r="HU15" s="2252"/>
      <c r="HV15" s="2253"/>
      <c r="HW15" s="2251" t="str">
        <f t="shared" ca="1" si="258"/>
        <v/>
      </c>
      <c r="HX15" s="2248"/>
      <c r="HY15" s="2249"/>
      <c r="HZ15" s="2250"/>
      <c r="IA15" s="2251" t="str">
        <f t="shared" si="259"/>
        <v/>
      </c>
      <c r="IB15" s="2252"/>
      <c r="IC15" s="2253"/>
      <c r="ID15" s="2251" t="str">
        <f t="shared" ca="1" si="260"/>
        <v/>
      </c>
      <c r="IE15" s="2254"/>
      <c r="IF15" s="2252"/>
      <c r="IG15" s="2253"/>
      <c r="IH15" s="2251" t="str">
        <f t="shared" ca="1" si="261"/>
        <v/>
      </c>
      <c r="II15" s="2248"/>
      <c r="IJ15" s="2249"/>
      <c r="IK15" s="2250"/>
      <c r="IL15" s="2251" t="str">
        <f t="shared" si="262"/>
        <v/>
      </c>
      <c r="IM15" s="2252"/>
      <c r="IN15" s="2253"/>
      <c r="IO15" s="2251" t="str">
        <f t="shared" ca="1" si="263"/>
        <v/>
      </c>
      <c r="IP15" s="2254"/>
      <c r="IQ15" s="2252"/>
      <c r="IR15" s="2253"/>
      <c r="IS15" s="2251" t="str">
        <f t="shared" ca="1" si="264"/>
        <v/>
      </c>
      <c r="IT15" s="2248"/>
      <c r="IU15" s="2249"/>
      <c r="IV15" s="2250"/>
      <c r="IW15" s="2251" t="str">
        <f t="shared" si="265"/>
        <v/>
      </c>
      <c r="IX15" s="2252"/>
      <c r="IY15" s="2253"/>
      <c r="IZ15" s="2251" t="str">
        <f t="shared" ca="1" si="266"/>
        <v/>
      </c>
      <c r="JA15" s="2254"/>
      <c r="JB15" s="2252"/>
      <c r="JC15" s="2253"/>
      <c r="JD15" s="2251" t="str">
        <f t="shared" ca="1" si="267"/>
        <v/>
      </c>
      <c r="JE15" s="2248"/>
      <c r="JF15" s="2249"/>
      <c r="JG15" s="2250"/>
      <c r="JH15" s="2251" t="str">
        <f t="shared" si="268"/>
        <v/>
      </c>
      <c r="JI15" s="2252"/>
      <c r="JJ15" s="2253"/>
      <c r="JK15" s="2251" t="str">
        <f t="shared" ca="1" si="269"/>
        <v/>
      </c>
      <c r="JL15" s="2254"/>
      <c r="JM15" s="2252"/>
      <c r="JN15" s="2253"/>
      <c r="JO15" s="2251" t="str">
        <f t="shared" ca="1" si="270"/>
        <v/>
      </c>
      <c r="JP15" s="2248"/>
      <c r="JQ15" s="2249"/>
      <c r="JR15" s="2250"/>
      <c r="JS15" s="2251" t="str">
        <f t="shared" si="271"/>
        <v/>
      </c>
      <c r="JT15" s="2252"/>
      <c r="JU15" s="2253"/>
      <c r="JV15" s="2251" t="str">
        <f t="shared" ca="1" si="272"/>
        <v/>
      </c>
      <c r="JW15" s="2254"/>
      <c r="JX15" s="2252"/>
      <c r="JY15" s="2253"/>
      <c r="JZ15" s="2251" t="str">
        <f t="shared" ca="1" si="273"/>
        <v/>
      </c>
      <c r="KA15" s="2231"/>
    </row>
    <row r="16" spans="1:287" s="2156" customFormat="1" ht="18" customHeight="1">
      <c r="A16" s="2142" t="str">
        <f ca="1">IF('22 Sollumsatz pro MA '!$A17="","",'22 Sollumsatz pro MA '!$A17)</f>
        <v/>
      </c>
      <c r="B16" s="2161"/>
      <c r="C16" s="2162"/>
      <c r="D16" s="2143"/>
      <c r="E16" s="2144" t="str">
        <f ca="1">IF('25 Sollumsatz nach Monaten'!F19=0,"",'25 Sollumsatz nach Monaten'!F19)</f>
        <v/>
      </c>
      <c r="F16" s="2145" t="str">
        <f t="shared" ca="1" si="276"/>
        <v/>
      </c>
      <c r="G16" s="2146" t="str">
        <f t="shared" ca="1" si="144"/>
        <v/>
      </c>
      <c r="H16" s="2143"/>
      <c r="I16" s="2144" t="str">
        <f ca="1">IF('25 Sollumsatz nach Monaten'!G19=0,"",'25 Sollumsatz nach Monaten'!G19)</f>
        <v/>
      </c>
      <c r="J16" s="2145" t="str">
        <f t="shared" ca="1" si="277"/>
        <v/>
      </c>
      <c r="K16" s="2158" t="str">
        <f t="shared" ca="1" si="146"/>
        <v/>
      </c>
      <c r="L16" s="2148" t="str">
        <f t="shared" ca="1" si="216"/>
        <v/>
      </c>
      <c r="M16" s="2161"/>
      <c r="N16" s="2162"/>
      <c r="O16" s="2143"/>
      <c r="P16" s="2149" t="str">
        <f ca="1">IF('25 Sollumsatz nach Monaten'!L19=0,"",'25 Sollumsatz nach Monaten'!L19)</f>
        <v/>
      </c>
      <c r="Q16" s="2150" t="str">
        <f t="shared" ca="1" si="278"/>
        <v/>
      </c>
      <c r="R16" s="2151" t="str">
        <f t="shared" ca="1" si="279"/>
        <v/>
      </c>
      <c r="S16" s="2143"/>
      <c r="T16" s="2149" t="str">
        <f ca="1">IF('25 Sollumsatz nach Monaten'!M19=0,"",'25 Sollumsatz nach Monaten'!M19)</f>
        <v/>
      </c>
      <c r="U16" s="2150" t="str">
        <f t="shared" ca="1" si="280"/>
        <v/>
      </c>
      <c r="V16" s="2151" t="str">
        <f t="shared" ca="1" si="281"/>
        <v/>
      </c>
      <c r="W16" s="2142" t="str">
        <f t="shared" ca="1" si="217"/>
        <v/>
      </c>
      <c r="X16" s="2161"/>
      <c r="Y16" s="2162"/>
      <c r="Z16" s="2143"/>
      <c r="AA16" s="2144" t="str">
        <f ca="1">IF('25 Sollumsatz nach Monaten'!R19=0,"",'25 Sollumsatz nach Monaten'!R19)</f>
        <v/>
      </c>
      <c r="AB16" s="2145" t="str">
        <f t="shared" ca="1" si="282"/>
        <v/>
      </c>
      <c r="AC16" s="2146" t="str">
        <f t="shared" ca="1" si="283"/>
        <v/>
      </c>
      <c r="AD16" s="2147"/>
      <c r="AE16" s="2144" t="str">
        <f ca="1">IF('25 Sollumsatz nach Monaten'!S19=0,"",'25 Sollumsatz nach Monaten'!S19)</f>
        <v/>
      </c>
      <c r="AF16" s="2145" t="str">
        <f t="shared" ca="1" si="284"/>
        <v/>
      </c>
      <c r="AG16" s="2158" t="str">
        <f t="shared" ca="1" si="285"/>
        <v/>
      </c>
      <c r="AH16" s="2148" t="str">
        <f t="shared" ca="1" si="218"/>
        <v/>
      </c>
      <c r="AI16" s="2161"/>
      <c r="AJ16" s="2162"/>
      <c r="AK16" s="2143"/>
      <c r="AL16" s="2149" t="str">
        <f ca="1">IF('25 Sollumsatz nach Monaten'!X19=0,"",'25 Sollumsatz nach Monaten'!X19)</f>
        <v/>
      </c>
      <c r="AM16" s="2150" t="str">
        <f t="shared" ca="1" si="286"/>
        <v/>
      </c>
      <c r="AN16" s="2151" t="str">
        <f t="shared" ca="1" si="287"/>
        <v/>
      </c>
      <c r="AO16" s="2143"/>
      <c r="AP16" s="2149" t="str">
        <f ca="1">IF('25 Sollumsatz nach Monaten'!Y19=0,"",'25 Sollumsatz nach Monaten'!Y19)</f>
        <v/>
      </c>
      <c r="AQ16" s="2150" t="str">
        <f t="shared" ca="1" si="288"/>
        <v/>
      </c>
      <c r="AR16" s="2151" t="str">
        <f t="shared" ca="1" si="289"/>
        <v/>
      </c>
      <c r="AS16" s="2142" t="str">
        <f t="shared" ca="1" si="219"/>
        <v/>
      </c>
      <c r="AT16" s="2161"/>
      <c r="AU16" s="2162"/>
      <c r="AV16" s="2143"/>
      <c r="AW16" s="2144" t="str">
        <f ca="1">IF('25 Sollumsatz nach Monaten'!AD19=0,"",'25 Sollumsatz nach Monaten'!AD19)</f>
        <v/>
      </c>
      <c r="AX16" s="2145" t="str">
        <f t="shared" ca="1" si="290"/>
        <v/>
      </c>
      <c r="AY16" s="2146" t="str">
        <f t="shared" ca="1" si="291"/>
        <v/>
      </c>
      <c r="AZ16" s="2143"/>
      <c r="BA16" s="2144" t="str">
        <f ca="1">IF('25 Sollumsatz nach Monaten'!AE19=0,"",'25 Sollumsatz nach Monaten'!AE19)</f>
        <v/>
      </c>
      <c r="BB16" s="2145" t="str">
        <f t="shared" ca="1" si="292"/>
        <v/>
      </c>
      <c r="BC16" s="2158" t="str">
        <f t="shared" ca="1" si="293"/>
        <v/>
      </c>
      <c r="BD16" s="2148" t="str">
        <f t="shared" ca="1" si="220"/>
        <v/>
      </c>
      <c r="BE16" s="2161"/>
      <c r="BF16" s="2162"/>
      <c r="BG16" s="2143"/>
      <c r="BH16" s="2149" t="str">
        <f ca="1">IF('25 Sollumsatz nach Monaten'!AJ19=0,"",'25 Sollumsatz nach Monaten'!AJ19)</f>
        <v/>
      </c>
      <c r="BI16" s="2150" t="str">
        <f t="shared" ca="1" si="294"/>
        <v/>
      </c>
      <c r="BJ16" s="2151" t="str">
        <f t="shared" ca="1" si="295"/>
        <v/>
      </c>
      <c r="BK16" s="2143"/>
      <c r="BL16" s="2149" t="str">
        <f ca="1">IF('25 Sollumsatz nach Monaten'!AK19=0,"",'25 Sollumsatz nach Monaten'!AK19)</f>
        <v/>
      </c>
      <c r="BM16" s="2150" t="str">
        <f t="shared" ca="1" si="296"/>
        <v/>
      </c>
      <c r="BN16" s="2151" t="str">
        <f t="shared" ca="1" si="297"/>
        <v/>
      </c>
      <c r="BO16" s="2142" t="str">
        <f t="shared" ca="1" si="221"/>
        <v/>
      </c>
      <c r="BP16" s="2161"/>
      <c r="BQ16" s="2162"/>
      <c r="BR16" s="2143"/>
      <c r="BS16" s="2144" t="str">
        <f ca="1">IF('25 Sollumsatz nach Monaten'!AP19=0,"",'25 Sollumsatz nach Monaten'!AP19)</f>
        <v/>
      </c>
      <c r="BT16" s="2145" t="str">
        <f t="shared" ca="1" si="298"/>
        <v/>
      </c>
      <c r="BU16" s="2146" t="str">
        <f t="shared" ca="1" si="299"/>
        <v/>
      </c>
      <c r="BV16" s="2143"/>
      <c r="BW16" s="2144" t="str">
        <f ca="1">IF('25 Sollumsatz nach Monaten'!AQ19=0,"",'25 Sollumsatz nach Monaten'!AQ19)</f>
        <v/>
      </c>
      <c r="BX16" s="2145" t="str">
        <f t="shared" ca="1" si="300"/>
        <v/>
      </c>
      <c r="BY16" s="2158" t="str">
        <f t="shared" ca="1" si="301"/>
        <v/>
      </c>
      <c r="BZ16" s="2148" t="str">
        <f t="shared" ca="1" si="222"/>
        <v/>
      </c>
      <c r="CA16" s="2161"/>
      <c r="CB16" s="2162"/>
      <c r="CC16" s="2143"/>
      <c r="CD16" s="2149" t="str">
        <f ca="1">IF('25 Sollumsatz nach Monaten'!AV19=0,"",'25 Sollumsatz nach Monaten'!AV19)</f>
        <v/>
      </c>
      <c r="CE16" s="2150" t="str">
        <f t="shared" ca="1" si="302"/>
        <v/>
      </c>
      <c r="CF16" s="2151" t="str">
        <f t="shared" ca="1" si="303"/>
        <v/>
      </c>
      <c r="CG16" s="2143"/>
      <c r="CH16" s="2149" t="str">
        <f ca="1">IF('25 Sollumsatz nach Monaten'!AW19=0,"",'25 Sollumsatz nach Monaten'!AW19)</f>
        <v/>
      </c>
      <c r="CI16" s="2150" t="str">
        <f t="shared" ca="1" si="304"/>
        <v/>
      </c>
      <c r="CJ16" s="2151" t="str">
        <f t="shared" ca="1" si="305"/>
        <v/>
      </c>
      <c r="CK16" s="2142" t="str">
        <f t="shared" ca="1" si="223"/>
        <v/>
      </c>
      <c r="CL16" s="2161"/>
      <c r="CM16" s="2162"/>
      <c r="CN16" s="2143"/>
      <c r="CO16" s="2144" t="str">
        <f ca="1">IF('25 Sollumsatz nach Monaten'!BB19=0,"",'25 Sollumsatz nach Monaten'!BB19)</f>
        <v/>
      </c>
      <c r="CP16" s="2145" t="str">
        <f t="shared" ca="1" si="306"/>
        <v/>
      </c>
      <c r="CQ16" s="2146" t="str">
        <f t="shared" ca="1" si="307"/>
        <v/>
      </c>
      <c r="CR16" s="2143"/>
      <c r="CS16" s="2144" t="str">
        <f ca="1">IF('25 Sollumsatz nach Monaten'!BC19=0,"",'25 Sollumsatz nach Monaten'!BC19)</f>
        <v/>
      </c>
      <c r="CT16" s="2145" t="str">
        <f t="shared" ca="1" si="308"/>
        <v/>
      </c>
      <c r="CU16" s="2158" t="str">
        <f t="shared" ca="1" si="309"/>
        <v/>
      </c>
      <c r="CV16" s="2148" t="str">
        <f t="shared" ca="1" si="224"/>
        <v/>
      </c>
      <c r="CW16" s="2161"/>
      <c r="CX16" s="2162"/>
      <c r="CY16" s="2143"/>
      <c r="CZ16" s="2149" t="str">
        <f ca="1">IF('25 Sollumsatz nach Monaten'!BH19=0,"",'25 Sollumsatz nach Monaten'!BH19)</f>
        <v/>
      </c>
      <c r="DA16" s="2150" t="str">
        <f t="shared" ca="1" si="310"/>
        <v/>
      </c>
      <c r="DB16" s="2151" t="str">
        <f t="shared" ca="1" si="311"/>
        <v/>
      </c>
      <c r="DC16" s="2143"/>
      <c r="DD16" s="2149" t="str">
        <f ca="1">IF('25 Sollumsatz nach Monaten'!BI19=0,"",'25 Sollumsatz nach Monaten'!BI19)</f>
        <v/>
      </c>
      <c r="DE16" s="2150" t="str">
        <f t="shared" ca="1" si="312"/>
        <v/>
      </c>
      <c r="DF16" s="2151" t="str">
        <f t="shared" ca="1" si="313"/>
        <v/>
      </c>
      <c r="DG16" s="2142" t="str">
        <f t="shared" ca="1" si="225"/>
        <v/>
      </c>
      <c r="DH16" s="2161"/>
      <c r="DI16" s="2162"/>
      <c r="DJ16" s="2143"/>
      <c r="DK16" s="2144" t="str">
        <f ca="1">IF('25 Sollumsatz nach Monaten'!BN19=0,"",'25 Sollumsatz nach Monaten'!BN19)</f>
        <v/>
      </c>
      <c r="DL16" s="2145" t="str">
        <f t="shared" ca="1" si="314"/>
        <v/>
      </c>
      <c r="DM16" s="2146" t="str">
        <f t="shared" ca="1" si="315"/>
        <v/>
      </c>
      <c r="DN16" s="2143"/>
      <c r="DO16" s="2144" t="str">
        <f ca="1">IF('25 Sollumsatz nach Monaten'!BO19=0,"",'25 Sollumsatz nach Monaten'!BO19)</f>
        <v/>
      </c>
      <c r="DP16" s="2145" t="str">
        <f t="shared" ca="1" si="316"/>
        <v/>
      </c>
      <c r="DQ16" s="2158" t="str">
        <f t="shared" ca="1" si="317"/>
        <v/>
      </c>
      <c r="DR16" s="2148" t="str">
        <f t="shared" ca="1" si="226"/>
        <v/>
      </c>
      <c r="DS16" s="2161"/>
      <c r="DT16" s="2162"/>
      <c r="DU16" s="2143"/>
      <c r="DV16" s="2149" t="str">
        <f ca="1">IF('25 Sollumsatz nach Monaten'!BT19=0,"",'25 Sollumsatz nach Monaten'!BT19)</f>
        <v/>
      </c>
      <c r="DW16" s="2150" t="str">
        <f t="shared" ca="1" si="318"/>
        <v/>
      </c>
      <c r="DX16" s="2151" t="str">
        <f t="shared" ca="1" si="319"/>
        <v/>
      </c>
      <c r="DY16" s="2143"/>
      <c r="DZ16" s="2149" t="str">
        <f ca="1">IF('25 Sollumsatz nach Monaten'!BU19=0,"",'25 Sollumsatz nach Monaten'!BU19)</f>
        <v/>
      </c>
      <c r="EA16" s="2150" t="str">
        <f t="shared" ca="1" si="320"/>
        <v/>
      </c>
      <c r="EB16" s="2151" t="str">
        <f t="shared" ca="1" si="321"/>
        <v/>
      </c>
      <c r="EC16" s="2152" t="str">
        <f t="shared" ca="1" si="227"/>
        <v/>
      </c>
      <c r="ED16" s="2280" t="str">
        <f t="shared" ca="1" si="228"/>
        <v/>
      </c>
      <c r="EE16" s="2153" t="str">
        <f t="shared" ca="1" si="229"/>
        <v/>
      </c>
      <c r="EF16" s="2154" t="str">
        <f t="shared" ca="1" si="230"/>
        <v/>
      </c>
      <c r="EG16" s="2155" t="str">
        <f t="shared" ca="1" si="275"/>
        <v/>
      </c>
      <c r="EH16" s="2282" t="str">
        <f t="shared" ca="1" si="231"/>
        <v/>
      </c>
      <c r="EI16" s="2153" t="str">
        <f t="shared" ca="1" si="232"/>
        <v/>
      </c>
      <c r="EJ16" s="2154" t="str">
        <f t="shared" ca="1" si="233"/>
        <v/>
      </c>
      <c r="EK16" s="2155" t="str">
        <f t="shared" ca="1" si="322"/>
        <v/>
      </c>
      <c r="EL16" s="2160" t="str">
        <f t="shared" ca="1" si="234"/>
        <v/>
      </c>
      <c r="EM16" s="2160" t="str">
        <f t="shared" ca="1" si="235"/>
        <v/>
      </c>
      <c r="EN16" s="2160" t="str">
        <f t="shared" ca="1" si="236"/>
        <v/>
      </c>
      <c r="EO16" s="2152" t="str">
        <f t="shared" ca="1" si="237"/>
        <v/>
      </c>
      <c r="EP16" s="2312" t="str">
        <f ca="1">IF('25 Sollumsatz nach Monaten'!BV19="","",SUM(EQ16:ER16))</f>
        <v/>
      </c>
      <c r="EQ16" s="2312" t="str">
        <f ca="1">IF('25 Sollumsatz nach Monaten'!BV19="","",ED16/'25 Sollumsatz nach Monaten'!BV19)</f>
        <v/>
      </c>
      <c r="ER16" s="2312" t="str">
        <f ca="1">IF('25 Sollumsatz nach Monaten'!BV19="","",EH16/'25 Sollumsatz nach Monaten'!BV19)</f>
        <v/>
      </c>
      <c r="EY16" s="2248"/>
      <c r="EZ16" s="2249"/>
      <c r="FA16" s="2250"/>
      <c r="FB16" s="2251" t="str">
        <f t="shared" si="238"/>
        <v/>
      </c>
      <c r="FC16" s="2252"/>
      <c r="FD16" s="2253"/>
      <c r="FE16" s="2251" t="str">
        <f t="shared" ca="1" si="239"/>
        <v/>
      </c>
      <c r="FF16" s="2254"/>
      <c r="FG16" s="2252"/>
      <c r="FH16" s="2253"/>
      <c r="FI16" s="2251" t="str">
        <f t="shared" ca="1" si="240"/>
        <v/>
      </c>
      <c r="FJ16" s="2248"/>
      <c r="FK16" s="2249"/>
      <c r="FL16" s="2250"/>
      <c r="FM16" s="2251" t="str">
        <f t="shared" si="241"/>
        <v/>
      </c>
      <c r="FN16" s="2252"/>
      <c r="FO16" s="2253"/>
      <c r="FP16" s="2251" t="str">
        <f t="shared" ca="1" si="242"/>
        <v/>
      </c>
      <c r="FQ16" s="2254"/>
      <c r="FR16" s="2252"/>
      <c r="FS16" s="2253"/>
      <c r="FT16" s="2251" t="str">
        <f t="shared" ca="1" si="243"/>
        <v/>
      </c>
      <c r="FU16" s="2248"/>
      <c r="FV16" s="2249"/>
      <c r="FW16" s="2250"/>
      <c r="FX16" s="2251" t="str">
        <f t="shared" si="244"/>
        <v/>
      </c>
      <c r="FY16" s="2252"/>
      <c r="FZ16" s="2253"/>
      <c r="GA16" s="2251" t="str">
        <f t="shared" ca="1" si="245"/>
        <v/>
      </c>
      <c r="GB16" s="2254"/>
      <c r="GC16" s="2252"/>
      <c r="GD16" s="2253"/>
      <c r="GE16" s="2251" t="str">
        <f t="shared" ca="1" si="246"/>
        <v/>
      </c>
      <c r="GF16" s="2248"/>
      <c r="GG16" s="2249"/>
      <c r="GH16" s="2250"/>
      <c r="GI16" s="2251" t="str">
        <f t="shared" si="247"/>
        <v/>
      </c>
      <c r="GJ16" s="2252"/>
      <c r="GK16" s="2253"/>
      <c r="GL16" s="2251" t="str">
        <f t="shared" ca="1" si="248"/>
        <v/>
      </c>
      <c r="GM16" s="2254"/>
      <c r="GN16" s="2252"/>
      <c r="GO16" s="2253"/>
      <c r="GP16" s="2251" t="str">
        <f t="shared" ca="1" si="249"/>
        <v/>
      </c>
      <c r="GQ16" s="2248"/>
      <c r="GR16" s="2249"/>
      <c r="GS16" s="2250"/>
      <c r="GT16" s="2251" t="str">
        <f t="shared" si="250"/>
        <v/>
      </c>
      <c r="GU16" s="2252"/>
      <c r="GV16" s="2253"/>
      <c r="GW16" s="2251" t="str">
        <f t="shared" ca="1" si="251"/>
        <v/>
      </c>
      <c r="GX16" s="2254"/>
      <c r="GY16" s="2252"/>
      <c r="GZ16" s="2253"/>
      <c r="HA16" s="2251" t="str">
        <f t="shared" ca="1" si="252"/>
        <v/>
      </c>
      <c r="HB16" s="2248"/>
      <c r="HC16" s="2249"/>
      <c r="HD16" s="2250"/>
      <c r="HE16" s="2251" t="str">
        <f t="shared" si="253"/>
        <v/>
      </c>
      <c r="HF16" s="2252"/>
      <c r="HG16" s="2253"/>
      <c r="HH16" s="2251" t="str">
        <f t="shared" ca="1" si="254"/>
        <v/>
      </c>
      <c r="HI16" s="2254"/>
      <c r="HJ16" s="2252"/>
      <c r="HK16" s="2253"/>
      <c r="HL16" s="2251" t="str">
        <f t="shared" ca="1" si="255"/>
        <v/>
      </c>
      <c r="HM16" s="2248"/>
      <c r="HN16" s="2249"/>
      <c r="HO16" s="2250"/>
      <c r="HP16" s="2251" t="str">
        <f t="shared" si="256"/>
        <v/>
      </c>
      <c r="HQ16" s="2252"/>
      <c r="HR16" s="2253"/>
      <c r="HS16" s="2251" t="str">
        <f t="shared" ca="1" si="257"/>
        <v/>
      </c>
      <c r="HT16" s="2254"/>
      <c r="HU16" s="2252"/>
      <c r="HV16" s="2253"/>
      <c r="HW16" s="2251" t="str">
        <f t="shared" ca="1" si="258"/>
        <v/>
      </c>
      <c r="HX16" s="2248"/>
      <c r="HY16" s="2249"/>
      <c r="HZ16" s="2250"/>
      <c r="IA16" s="2251" t="str">
        <f t="shared" si="259"/>
        <v/>
      </c>
      <c r="IB16" s="2252"/>
      <c r="IC16" s="2253"/>
      <c r="ID16" s="2251" t="str">
        <f t="shared" ca="1" si="260"/>
        <v/>
      </c>
      <c r="IE16" s="2254"/>
      <c r="IF16" s="2252"/>
      <c r="IG16" s="2253"/>
      <c r="IH16" s="2251" t="str">
        <f t="shared" ca="1" si="261"/>
        <v/>
      </c>
      <c r="II16" s="2248"/>
      <c r="IJ16" s="2249"/>
      <c r="IK16" s="2250"/>
      <c r="IL16" s="2251" t="str">
        <f t="shared" si="262"/>
        <v/>
      </c>
      <c r="IM16" s="2252"/>
      <c r="IN16" s="2253"/>
      <c r="IO16" s="2251" t="str">
        <f t="shared" ca="1" si="263"/>
        <v/>
      </c>
      <c r="IP16" s="2254"/>
      <c r="IQ16" s="2252"/>
      <c r="IR16" s="2253"/>
      <c r="IS16" s="2251" t="str">
        <f t="shared" ca="1" si="264"/>
        <v/>
      </c>
      <c r="IT16" s="2248"/>
      <c r="IU16" s="2249"/>
      <c r="IV16" s="2250"/>
      <c r="IW16" s="2251" t="str">
        <f t="shared" si="265"/>
        <v/>
      </c>
      <c r="IX16" s="2252"/>
      <c r="IY16" s="2253"/>
      <c r="IZ16" s="2251" t="str">
        <f t="shared" ca="1" si="266"/>
        <v/>
      </c>
      <c r="JA16" s="2254"/>
      <c r="JB16" s="2252"/>
      <c r="JC16" s="2253"/>
      <c r="JD16" s="2251" t="str">
        <f t="shared" ca="1" si="267"/>
        <v/>
      </c>
      <c r="JE16" s="2248"/>
      <c r="JF16" s="2249"/>
      <c r="JG16" s="2250"/>
      <c r="JH16" s="2251" t="str">
        <f t="shared" si="268"/>
        <v/>
      </c>
      <c r="JI16" s="2252"/>
      <c r="JJ16" s="2253"/>
      <c r="JK16" s="2251" t="str">
        <f t="shared" ca="1" si="269"/>
        <v/>
      </c>
      <c r="JL16" s="2254"/>
      <c r="JM16" s="2252"/>
      <c r="JN16" s="2253"/>
      <c r="JO16" s="2251" t="str">
        <f t="shared" ca="1" si="270"/>
        <v/>
      </c>
      <c r="JP16" s="2248"/>
      <c r="JQ16" s="2249"/>
      <c r="JR16" s="2250"/>
      <c r="JS16" s="2251" t="str">
        <f t="shared" si="271"/>
        <v/>
      </c>
      <c r="JT16" s="2252"/>
      <c r="JU16" s="2253"/>
      <c r="JV16" s="2251" t="str">
        <f t="shared" ca="1" si="272"/>
        <v/>
      </c>
      <c r="JW16" s="2254"/>
      <c r="JX16" s="2252"/>
      <c r="JY16" s="2253"/>
      <c r="JZ16" s="2251" t="str">
        <f t="shared" ca="1" si="273"/>
        <v/>
      </c>
      <c r="KA16" s="2231"/>
    </row>
    <row r="17" spans="1:287" s="2156" customFormat="1" ht="18" customHeight="1">
      <c r="A17" s="2142" t="str">
        <f ca="1">IF('22 Sollumsatz pro MA '!$A18="","",'22 Sollumsatz pro MA '!$A18)</f>
        <v>Salli</v>
      </c>
      <c r="B17" s="2161"/>
      <c r="C17" s="2162"/>
      <c r="D17" s="2143"/>
      <c r="E17" s="2144">
        <f ca="1">IF('25 Sollumsatz nach Monaten'!F20=0,"",'25 Sollumsatz nach Monaten'!F20)</f>
        <v>5810.6724576762099</v>
      </c>
      <c r="F17" s="2145" t="str">
        <f t="shared" ca="1" si="276"/>
        <v/>
      </c>
      <c r="G17" s="2146" t="str">
        <f t="shared" ca="1" si="144"/>
        <v/>
      </c>
      <c r="H17" s="2143"/>
      <c r="I17" s="2144">
        <f ca="1">IF('25 Sollumsatz nach Monaten'!G20=0,"",'25 Sollumsatz nach Monaten'!G20)</f>
        <v>338.25761115560408</v>
      </c>
      <c r="J17" s="2145" t="str">
        <f t="shared" ca="1" si="277"/>
        <v/>
      </c>
      <c r="K17" s="2158" t="str">
        <f t="shared" ca="1" si="146"/>
        <v/>
      </c>
      <c r="L17" s="2148" t="str">
        <f t="shared" ca="1" si="216"/>
        <v>Salli</v>
      </c>
      <c r="M17" s="2161"/>
      <c r="N17" s="2162"/>
      <c r="O17" s="2143"/>
      <c r="P17" s="2149">
        <f ca="1">IF('25 Sollumsatz nach Monaten'!L20=0,"",'25 Sollumsatz nach Monaten'!L20)</f>
        <v>4469.7480443663153</v>
      </c>
      <c r="Q17" s="2150" t="str">
        <f t="shared" ca="1" si="278"/>
        <v/>
      </c>
      <c r="R17" s="2151" t="str">
        <f t="shared" ca="1" si="279"/>
        <v/>
      </c>
      <c r="S17" s="2143"/>
      <c r="T17" s="2149">
        <f ca="1">IF('25 Sollumsatz nach Monaten'!M20=0,"",'25 Sollumsatz nach Monaten'!M20)</f>
        <v>260.19816242738773</v>
      </c>
      <c r="U17" s="2150" t="str">
        <f t="shared" ca="1" si="280"/>
        <v/>
      </c>
      <c r="V17" s="2151" t="str">
        <f t="shared" ca="1" si="281"/>
        <v/>
      </c>
      <c r="W17" s="2142" t="str">
        <f t="shared" ca="1" si="217"/>
        <v>Salli</v>
      </c>
      <c r="X17" s="2161"/>
      <c r="Y17" s="2162"/>
      <c r="Z17" s="2143"/>
      <c r="AA17" s="2144">
        <f ca="1">IF('25 Sollumsatz nach Monaten'!R20=0,"",'25 Sollumsatz nach Monaten'!R20)</f>
        <v>3575.7984354930522</v>
      </c>
      <c r="AB17" s="2145" t="str">
        <f t="shared" ca="1" si="282"/>
        <v/>
      </c>
      <c r="AC17" s="2146" t="str">
        <f t="shared" ca="1" si="283"/>
        <v/>
      </c>
      <c r="AD17" s="2147"/>
      <c r="AE17" s="2144">
        <f ca="1">IF('25 Sollumsatz nach Monaten'!S20=0,"",'25 Sollumsatz nach Monaten'!S20)</f>
        <v>208.15852994191019</v>
      </c>
      <c r="AF17" s="2145" t="str">
        <f t="shared" ca="1" si="284"/>
        <v/>
      </c>
      <c r="AG17" s="2158" t="str">
        <f t="shared" ca="1" si="285"/>
        <v/>
      </c>
      <c r="AH17" s="2148" t="str">
        <f t="shared" ca="1" si="218"/>
        <v>Salli</v>
      </c>
      <c r="AI17" s="2161"/>
      <c r="AJ17" s="2162"/>
      <c r="AK17" s="2143"/>
      <c r="AL17" s="2149">
        <f ca="1">IF('25 Sollumsatz nach Monaten'!X20=0,"",'25 Sollumsatz nach Monaten'!X20)</f>
        <v>5810.6724576762099</v>
      </c>
      <c r="AM17" s="2150" t="str">
        <f t="shared" ca="1" si="286"/>
        <v/>
      </c>
      <c r="AN17" s="2151" t="str">
        <f t="shared" ca="1" si="287"/>
        <v/>
      </c>
      <c r="AO17" s="2143"/>
      <c r="AP17" s="2149">
        <f ca="1">IF('25 Sollumsatz nach Monaten'!Y20=0,"",'25 Sollumsatz nach Monaten'!Y20)</f>
        <v>338.25761115560408</v>
      </c>
      <c r="AQ17" s="2150" t="str">
        <f t="shared" ca="1" si="288"/>
        <v/>
      </c>
      <c r="AR17" s="2151" t="str">
        <f t="shared" ca="1" si="289"/>
        <v/>
      </c>
      <c r="AS17" s="2142" t="str">
        <f t="shared" ca="1" si="219"/>
        <v>Salli</v>
      </c>
      <c r="AT17" s="2161"/>
      <c r="AU17" s="2162"/>
      <c r="AV17" s="2143"/>
      <c r="AW17" s="2144">
        <f ca="1">IF('25 Sollumsatz nach Monaten'!AD20=0,"",'25 Sollumsatz nach Monaten'!AD20)</f>
        <v>4022.7732399296838</v>
      </c>
      <c r="AX17" s="2145" t="str">
        <f t="shared" ca="1" si="290"/>
        <v/>
      </c>
      <c r="AY17" s="2146" t="str">
        <f t="shared" ca="1" si="291"/>
        <v/>
      </c>
      <c r="AZ17" s="2143"/>
      <c r="BA17" s="2144">
        <f ca="1">IF('25 Sollumsatz nach Monaten'!AE20=0,"",'25 Sollumsatz nach Monaten'!AE20)</f>
        <v>234.17834618464897</v>
      </c>
      <c r="BB17" s="2145" t="str">
        <f t="shared" ca="1" si="292"/>
        <v/>
      </c>
      <c r="BC17" s="2158" t="str">
        <f t="shared" ca="1" si="293"/>
        <v/>
      </c>
      <c r="BD17" s="2148" t="str">
        <f t="shared" ca="1" si="220"/>
        <v>Salli</v>
      </c>
      <c r="BE17" s="2161"/>
      <c r="BF17" s="2162"/>
      <c r="BG17" s="2143"/>
      <c r="BH17" s="2149">
        <f ca="1">IF('25 Sollumsatz nach Monaten'!AJ20=0,"",'25 Sollumsatz nach Monaten'!AJ20)</f>
        <v>5810.6724576762099</v>
      </c>
      <c r="BI17" s="2150" t="str">
        <f t="shared" ca="1" si="294"/>
        <v/>
      </c>
      <c r="BJ17" s="2151" t="str">
        <f t="shared" ca="1" si="295"/>
        <v/>
      </c>
      <c r="BK17" s="2143"/>
      <c r="BL17" s="2149">
        <f ca="1">IF('25 Sollumsatz nach Monaten'!AK20=0,"",'25 Sollumsatz nach Monaten'!AK20)</f>
        <v>338.25761115560408</v>
      </c>
      <c r="BM17" s="2150" t="str">
        <f t="shared" ca="1" si="296"/>
        <v/>
      </c>
      <c r="BN17" s="2151" t="str">
        <f t="shared" ca="1" si="297"/>
        <v/>
      </c>
      <c r="BO17" s="2142" t="str">
        <f t="shared" ca="1" si="221"/>
        <v>Salli</v>
      </c>
      <c r="BP17" s="2161"/>
      <c r="BQ17" s="2162"/>
      <c r="BR17" s="2143"/>
      <c r="BS17" s="2144">
        <f ca="1">IF('25 Sollumsatz nach Monaten'!AP20=0,"",'25 Sollumsatz nach Monaten'!AP20)</f>
        <v>6257.6472621128414</v>
      </c>
      <c r="BT17" s="2145" t="str">
        <f t="shared" ca="1" si="298"/>
        <v/>
      </c>
      <c r="BU17" s="2146" t="str">
        <f t="shared" ca="1" si="299"/>
        <v/>
      </c>
      <c r="BV17" s="2143"/>
      <c r="BW17" s="2144">
        <f ca="1">IF('25 Sollumsatz nach Monaten'!AQ20=0,"",'25 Sollumsatz nach Monaten'!AQ20)</f>
        <v>364.27742739834281</v>
      </c>
      <c r="BX17" s="2145" t="str">
        <f t="shared" ca="1" si="300"/>
        <v/>
      </c>
      <c r="BY17" s="2158" t="str">
        <f t="shared" ca="1" si="301"/>
        <v/>
      </c>
      <c r="BZ17" s="2148" t="str">
        <f t="shared" ca="1" si="222"/>
        <v>Salli</v>
      </c>
      <c r="CA17" s="2161"/>
      <c r="CB17" s="2162"/>
      <c r="CC17" s="2143"/>
      <c r="CD17" s="2149" t="str">
        <f ca="1">IF('25 Sollumsatz nach Monaten'!AV20=0,"",'25 Sollumsatz nach Monaten'!AV20)</f>
        <v/>
      </c>
      <c r="CE17" s="2150" t="str">
        <f t="shared" ca="1" si="302"/>
        <v/>
      </c>
      <c r="CF17" s="2151" t="str">
        <f t="shared" ca="1" si="303"/>
        <v/>
      </c>
      <c r="CG17" s="2143"/>
      <c r="CH17" s="2149" t="str">
        <f ca="1">IF('25 Sollumsatz nach Monaten'!AW20=0,"",'25 Sollumsatz nach Monaten'!AW20)</f>
        <v/>
      </c>
      <c r="CI17" s="2150" t="str">
        <f t="shared" ca="1" si="304"/>
        <v/>
      </c>
      <c r="CJ17" s="2151" t="str">
        <f t="shared" ca="1" si="305"/>
        <v/>
      </c>
      <c r="CK17" s="2142" t="str">
        <f t="shared" ca="1" si="223"/>
        <v>Salli</v>
      </c>
      <c r="CL17" s="2161"/>
      <c r="CM17" s="2162"/>
      <c r="CN17" s="2143"/>
      <c r="CO17" s="2144" t="str">
        <f ca="1">IF('25 Sollumsatz nach Monaten'!BB20=0,"",'25 Sollumsatz nach Monaten'!BB20)</f>
        <v/>
      </c>
      <c r="CP17" s="2145" t="str">
        <f t="shared" ca="1" si="306"/>
        <v/>
      </c>
      <c r="CQ17" s="2146" t="str">
        <f t="shared" ca="1" si="307"/>
        <v/>
      </c>
      <c r="CR17" s="2143"/>
      <c r="CS17" s="2144" t="str">
        <f ca="1">IF('25 Sollumsatz nach Monaten'!BC20=0,"",'25 Sollumsatz nach Monaten'!BC20)</f>
        <v/>
      </c>
      <c r="CT17" s="2145" t="str">
        <f t="shared" ca="1" si="308"/>
        <v/>
      </c>
      <c r="CU17" s="2158" t="str">
        <f t="shared" ca="1" si="309"/>
        <v/>
      </c>
      <c r="CV17" s="2148" t="str">
        <f t="shared" ca="1" si="224"/>
        <v>Salli</v>
      </c>
      <c r="CW17" s="2161"/>
      <c r="CX17" s="2162"/>
      <c r="CY17" s="2143"/>
      <c r="CZ17" s="2149" t="str">
        <f ca="1">IF('25 Sollumsatz nach Monaten'!BH20=0,"",'25 Sollumsatz nach Monaten'!BH20)</f>
        <v/>
      </c>
      <c r="DA17" s="2150" t="str">
        <f t="shared" ca="1" si="310"/>
        <v/>
      </c>
      <c r="DB17" s="2151" t="str">
        <f t="shared" ca="1" si="311"/>
        <v/>
      </c>
      <c r="DC17" s="2143"/>
      <c r="DD17" s="2149" t="str">
        <f ca="1">IF('25 Sollumsatz nach Monaten'!BI20=0,"",'25 Sollumsatz nach Monaten'!BI20)</f>
        <v/>
      </c>
      <c r="DE17" s="2150" t="str">
        <f t="shared" ca="1" si="312"/>
        <v/>
      </c>
      <c r="DF17" s="2151" t="str">
        <f t="shared" ca="1" si="313"/>
        <v/>
      </c>
      <c r="DG17" s="2142" t="str">
        <f t="shared" ca="1" si="225"/>
        <v>Salli</v>
      </c>
      <c r="DH17" s="2161"/>
      <c r="DI17" s="2162"/>
      <c r="DJ17" s="2143"/>
      <c r="DK17" s="2144" t="str">
        <f ca="1">IF('25 Sollumsatz nach Monaten'!BN20=0,"",'25 Sollumsatz nach Monaten'!BN20)</f>
        <v/>
      </c>
      <c r="DL17" s="2145" t="str">
        <f t="shared" ca="1" si="314"/>
        <v/>
      </c>
      <c r="DM17" s="2146" t="str">
        <f t="shared" ca="1" si="315"/>
        <v/>
      </c>
      <c r="DN17" s="2143"/>
      <c r="DO17" s="2144" t="str">
        <f ca="1">IF('25 Sollumsatz nach Monaten'!BO20=0,"",'25 Sollumsatz nach Monaten'!BO20)</f>
        <v/>
      </c>
      <c r="DP17" s="2145" t="str">
        <f t="shared" ca="1" si="316"/>
        <v/>
      </c>
      <c r="DQ17" s="2158" t="str">
        <f t="shared" ca="1" si="317"/>
        <v/>
      </c>
      <c r="DR17" s="2148" t="str">
        <f t="shared" ca="1" si="226"/>
        <v>Salli</v>
      </c>
      <c r="DS17" s="2161"/>
      <c r="DT17" s="2162"/>
      <c r="DU17" s="2143"/>
      <c r="DV17" s="2149" t="str">
        <f ca="1">IF('25 Sollumsatz nach Monaten'!BT20=0,"",'25 Sollumsatz nach Monaten'!BT20)</f>
        <v/>
      </c>
      <c r="DW17" s="2150" t="str">
        <f t="shared" ca="1" si="318"/>
        <v/>
      </c>
      <c r="DX17" s="2151" t="str">
        <f t="shared" ca="1" si="319"/>
        <v/>
      </c>
      <c r="DY17" s="2143"/>
      <c r="DZ17" s="2149" t="str">
        <f ca="1">IF('25 Sollumsatz nach Monaten'!BU20=0,"",'25 Sollumsatz nach Monaten'!BU20)</f>
        <v/>
      </c>
      <c r="EA17" s="2150" t="str">
        <f t="shared" ca="1" si="320"/>
        <v/>
      </c>
      <c r="EB17" s="2151" t="str">
        <f t="shared" ca="1" si="321"/>
        <v/>
      </c>
      <c r="EC17" s="2152" t="str">
        <f t="shared" ca="1" si="227"/>
        <v>Salli</v>
      </c>
      <c r="ED17" s="2280">
        <f t="shared" ca="1" si="228"/>
        <v>0</v>
      </c>
      <c r="EE17" s="2153">
        <f t="shared" ca="1" si="229"/>
        <v>35757.984354930522</v>
      </c>
      <c r="EF17" s="2154">
        <f t="shared" ca="1" si="230"/>
        <v>-35757.984354930522</v>
      </c>
      <c r="EG17" s="2155" t="str">
        <f t="shared" ca="1" si="275"/>
        <v/>
      </c>
      <c r="EH17" s="2282">
        <f t="shared" ca="1" si="231"/>
        <v>0</v>
      </c>
      <c r="EI17" s="2153">
        <f t="shared" ca="1" si="232"/>
        <v>2081.5852994191018</v>
      </c>
      <c r="EJ17" s="2154">
        <f t="shared" ca="1" si="233"/>
        <v>-2081.5852994191018</v>
      </c>
      <c r="EK17" s="2155" t="str">
        <f t="shared" ca="1" si="322"/>
        <v/>
      </c>
      <c r="EL17" s="2160" t="str">
        <f t="shared" ca="1" si="234"/>
        <v/>
      </c>
      <c r="EM17" s="2160" t="str">
        <f t="shared" ca="1" si="235"/>
        <v/>
      </c>
      <c r="EN17" s="2160" t="str">
        <f t="shared" ca="1" si="236"/>
        <v/>
      </c>
      <c r="EO17" s="2152" t="str">
        <f t="shared" ca="1" si="237"/>
        <v>Salli</v>
      </c>
      <c r="EP17" s="2312">
        <f ca="1">IF('25 Sollumsatz nach Monaten'!BV20="","",SUM(EQ17:ER17))</f>
        <v>0</v>
      </c>
      <c r="EQ17" s="2312">
        <f ca="1">IF('25 Sollumsatz nach Monaten'!BV20="","",ED17/'25 Sollumsatz nach Monaten'!BV20)</f>
        <v>0</v>
      </c>
      <c r="ER17" s="2312">
        <f ca="1">IF('25 Sollumsatz nach Monaten'!BV20="","",EH17/'25 Sollumsatz nach Monaten'!BV20)</f>
        <v>0</v>
      </c>
      <c r="EY17" s="2248"/>
      <c r="EZ17" s="2249"/>
      <c r="FA17" s="2250"/>
      <c r="FB17" s="2251" t="str">
        <f t="shared" si="238"/>
        <v/>
      </c>
      <c r="FC17" s="2252"/>
      <c r="FD17" s="2253"/>
      <c r="FE17" s="2251" t="str">
        <f t="shared" ca="1" si="239"/>
        <v/>
      </c>
      <c r="FF17" s="2254"/>
      <c r="FG17" s="2252"/>
      <c r="FH17" s="2253"/>
      <c r="FI17" s="2251" t="str">
        <f t="shared" ca="1" si="240"/>
        <v/>
      </c>
      <c r="FJ17" s="2248"/>
      <c r="FK17" s="2249"/>
      <c r="FL17" s="2250"/>
      <c r="FM17" s="2251" t="str">
        <f t="shared" si="241"/>
        <v/>
      </c>
      <c r="FN17" s="2252"/>
      <c r="FO17" s="2253"/>
      <c r="FP17" s="2251" t="str">
        <f t="shared" ca="1" si="242"/>
        <v/>
      </c>
      <c r="FQ17" s="2254"/>
      <c r="FR17" s="2252"/>
      <c r="FS17" s="2253"/>
      <c r="FT17" s="2251" t="str">
        <f t="shared" ca="1" si="243"/>
        <v/>
      </c>
      <c r="FU17" s="2248"/>
      <c r="FV17" s="2249"/>
      <c r="FW17" s="2250"/>
      <c r="FX17" s="2251" t="str">
        <f t="shared" si="244"/>
        <v/>
      </c>
      <c r="FY17" s="2252"/>
      <c r="FZ17" s="2253"/>
      <c r="GA17" s="2251" t="str">
        <f t="shared" ca="1" si="245"/>
        <v/>
      </c>
      <c r="GB17" s="2254"/>
      <c r="GC17" s="2252"/>
      <c r="GD17" s="2253"/>
      <c r="GE17" s="2251" t="str">
        <f t="shared" ca="1" si="246"/>
        <v/>
      </c>
      <c r="GF17" s="2248"/>
      <c r="GG17" s="2249"/>
      <c r="GH17" s="2250"/>
      <c r="GI17" s="2251" t="str">
        <f t="shared" si="247"/>
        <v/>
      </c>
      <c r="GJ17" s="2252"/>
      <c r="GK17" s="2253"/>
      <c r="GL17" s="2251" t="str">
        <f t="shared" ca="1" si="248"/>
        <v/>
      </c>
      <c r="GM17" s="2254"/>
      <c r="GN17" s="2252"/>
      <c r="GO17" s="2253"/>
      <c r="GP17" s="2251" t="str">
        <f t="shared" ca="1" si="249"/>
        <v/>
      </c>
      <c r="GQ17" s="2248"/>
      <c r="GR17" s="2249"/>
      <c r="GS17" s="2250"/>
      <c r="GT17" s="2251" t="str">
        <f t="shared" si="250"/>
        <v/>
      </c>
      <c r="GU17" s="2252"/>
      <c r="GV17" s="2253"/>
      <c r="GW17" s="2251" t="str">
        <f t="shared" ca="1" si="251"/>
        <v/>
      </c>
      <c r="GX17" s="2254"/>
      <c r="GY17" s="2252"/>
      <c r="GZ17" s="2253"/>
      <c r="HA17" s="2251" t="str">
        <f t="shared" ca="1" si="252"/>
        <v/>
      </c>
      <c r="HB17" s="2248"/>
      <c r="HC17" s="2249"/>
      <c r="HD17" s="2250"/>
      <c r="HE17" s="2251" t="str">
        <f t="shared" si="253"/>
        <v/>
      </c>
      <c r="HF17" s="2252"/>
      <c r="HG17" s="2253"/>
      <c r="HH17" s="2251" t="str">
        <f t="shared" ca="1" si="254"/>
        <v/>
      </c>
      <c r="HI17" s="2254"/>
      <c r="HJ17" s="2252"/>
      <c r="HK17" s="2253"/>
      <c r="HL17" s="2251" t="str">
        <f t="shared" ca="1" si="255"/>
        <v/>
      </c>
      <c r="HM17" s="2248"/>
      <c r="HN17" s="2249"/>
      <c r="HO17" s="2250"/>
      <c r="HP17" s="2251" t="str">
        <f t="shared" si="256"/>
        <v/>
      </c>
      <c r="HQ17" s="2252"/>
      <c r="HR17" s="2253"/>
      <c r="HS17" s="2251" t="str">
        <f t="shared" ca="1" si="257"/>
        <v/>
      </c>
      <c r="HT17" s="2254"/>
      <c r="HU17" s="2252"/>
      <c r="HV17" s="2253"/>
      <c r="HW17" s="2251" t="str">
        <f t="shared" ca="1" si="258"/>
        <v/>
      </c>
      <c r="HX17" s="2248"/>
      <c r="HY17" s="2249"/>
      <c r="HZ17" s="2250"/>
      <c r="IA17" s="2251" t="str">
        <f t="shared" si="259"/>
        <v/>
      </c>
      <c r="IB17" s="2252"/>
      <c r="IC17" s="2253"/>
      <c r="ID17" s="2251" t="str">
        <f t="shared" ca="1" si="260"/>
        <v/>
      </c>
      <c r="IE17" s="2254"/>
      <c r="IF17" s="2252"/>
      <c r="IG17" s="2253"/>
      <c r="IH17" s="2251" t="str">
        <f t="shared" ca="1" si="261"/>
        <v/>
      </c>
      <c r="II17" s="2248"/>
      <c r="IJ17" s="2249"/>
      <c r="IK17" s="2250"/>
      <c r="IL17" s="2251" t="str">
        <f t="shared" si="262"/>
        <v/>
      </c>
      <c r="IM17" s="2252"/>
      <c r="IN17" s="2253"/>
      <c r="IO17" s="2251" t="str">
        <f t="shared" ca="1" si="263"/>
        <v/>
      </c>
      <c r="IP17" s="2254"/>
      <c r="IQ17" s="2252"/>
      <c r="IR17" s="2253"/>
      <c r="IS17" s="2251" t="str">
        <f t="shared" ca="1" si="264"/>
        <v/>
      </c>
      <c r="IT17" s="2248"/>
      <c r="IU17" s="2249"/>
      <c r="IV17" s="2250"/>
      <c r="IW17" s="2251" t="str">
        <f t="shared" si="265"/>
        <v/>
      </c>
      <c r="IX17" s="2252"/>
      <c r="IY17" s="2253"/>
      <c r="IZ17" s="2251" t="str">
        <f t="shared" ca="1" si="266"/>
        <v/>
      </c>
      <c r="JA17" s="2254"/>
      <c r="JB17" s="2252"/>
      <c r="JC17" s="2253"/>
      <c r="JD17" s="2251" t="str">
        <f t="shared" ca="1" si="267"/>
        <v/>
      </c>
      <c r="JE17" s="2248"/>
      <c r="JF17" s="2249"/>
      <c r="JG17" s="2250"/>
      <c r="JH17" s="2251" t="str">
        <f t="shared" si="268"/>
        <v/>
      </c>
      <c r="JI17" s="2252"/>
      <c r="JJ17" s="2253"/>
      <c r="JK17" s="2251" t="str">
        <f t="shared" ca="1" si="269"/>
        <v/>
      </c>
      <c r="JL17" s="2254"/>
      <c r="JM17" s="2252"/>
      <c r="JN17" s="2253"/>
      <c r="JO17" s="2251" t="str">
        <f t="shared" ca="1" si="270"/>
        <v/>
      </c>
      <c r="JP17" s="2248"/>
      <c r="JQ17" s="2249"/>
      <c r="JR17" s="2250"/>
      <c r="JS17" s="2251" t="str">
        <f t="shared" si="271"/>
        <v/>
      </c>
      <c r="JT17" s="2252"/>
      <c r="JU17" s="2253"/>
      <c r="JV17" s="2251" t="str">
        <f t="shared" ca="1" si="272"/>
        <v/>
      </c>
      <c r="JW17" s="2254"/>
      <c r="JX17" s="2252"/>
      <c r="JY17" s="2253"/>
      <c r="JZ17" s="2251" t="str">
        <f t="shared" ca="1" si="273"/>
        <v/>
      </c>
      <c r="KA17" s="2231"/>
    </row>
    <row r="18" spans="1:287" s="2156" customFormat="1" ht="18" customHeight="1">
      <c r="A18" s="2142" t="str">
        <f ca="1">IF('22 Sollumsatz pro MA '!$A19="","",'22 Sollumsatz pro MA '!$A19)</f>
        <v>Salli</v>
      </c>
      <c r="B18" s="2161"/>
      <c r="C18" s="2162"/>
      <c r="D18" s="2143"/>
      <c r="E18" s="2144" t="str">
        <f ca="1">IF('25 Sollumsatz nach Monaten'!F21=0,"",'25 Sollumsatz nach Monaten'!F21)</f>
        <v/>
      </c>
      <c r="F18" s="2145" t="str">
        <f t="shared" ca="1" si="276"/>
        <v/>
      </c>
      <c r="G18" s="2146" t="str">
        <f t="shared" ca="1" si="144"/>
        <v/>
      </c>
      <c r="H18" s="2143"/>
      <c r="I18" s="2144" t="str">
        <f ca="1">IF('25 Sollumsatz nach Monaten'!G21=0,"",'25 Sollumsatz nach Monaten'!G21)</f>
        <v/>
      </c>
      <c r="J18" s="2145" t="str">
        <f t="shared" ca="1" si="277"/>
        <v/>
      </c>
      <c r="K18" s="2158" t="str">
        <f t="shared" ca="1" si="146"/>
        <v/>
      </c>
      <c r="L18" s="2148" t="str">
        <f t="shared" ca="1" si="216"/>
        <v>Salli</v>
      </c>
      <c r="M18" s="2161"/>
      <c r="N18" s="2162"/>
      <c r="O18" s="2143"/>
      <c r="P18" s="2149" t="str">
        <f ca="1">IF('25 Sollumsatz nach Monaten'!L21=0,"",'25 Sollumsatz nach Monaten'!L21)</f>
        <v/>
      </c>
      <c r="Q18" s="2150" t="str">
        <f t="shared" ca="1" si="278"/>
        <v/>
      </c>
      <c r="R18" s="2151" t="str">
        <f t="shared" ca="1" si="279"/>
        <v/>
      </c>
      <c r="S18" s="2143"/>
      <c r="T18" s="2149" t="str">
        <f ca="1">IF('25 Sollumsatz nach Monaten'!M21=0,"",'25 Sollumsatz nach Monaten'!M21)</f>
        <v/>
      </c>
      <c r="U18" s="2150" t="str">
        <f t="shared" ca="1" si="280"/>
        <v/>
      </c>
      <c r="V18" s="2151" t="str">
        <f t="shared" ca="1" si="281"/>
        <v/>
      </c>
      <c r="W18" s="2142" t="str">
        <f t="shared" ca="1" si="217"/>
        <v>Salli</v>
      </c>
      <c r="X18" s="2161"/>
      <c r="Y18" s="2162"/>
      <c r="Z18" s="2143"/>
      <c r="AA18" s="2144" t="str">
        <f ca="1">IF('25 Sollumsatz nach Monaten'!R21=0,"",'25 Sollumsatz nach Monaten'!R21)</f>
        <v/>
      </c>
      <c r="AB18" s="2145" t="str">
        <f t="shared" ca="1" si="282"/>
        <v/>
      </c>
      <c r="AC18" s="2146" t="str">
        <f t="shared" ca="1" si="283"/>
        <v/>
      </c>
      <c r="AD18" s="2147"/>
      <c r="AE18" s="2144" t="str">
        <f ca="1">IF('25 Sollumsatz nach Monaten'!S21=0,"",'25 Sollumsatz nach Monaten'!S21)</f>
        <v/>
      </c>
      <c r="AF18" s="2145" t="str">
        <f t="shared" ca="1" si="284"/>
        <v/>
      </c>
      <c r="AG18" s="2158" t="str">
        <f t="shared" ca="1" si="285"/>
        <v/>
      </c>
      <c r="AH18" s="2148" t="str">
        <f t="shared" ca="1" si="218"/>
        <v>Salli</v>
      </c>
      <c r="AI18" s="2161"/>
      <c r="AJ18" s="2162"/>
      <c r="AK18" s="2143"/>
      <c r="AL18" s="2149" t="str">
        <f ca="1">IF('25 Sollumsatz nach Monaten'!X21=0,"",'25 Sollumsatz nach Monaten'!X21)</f>
        <v/>
      </c>
      <c r="AM18" s="2150" t="str">
        <f t="shared" ca="1" si="286"/>
        <v/>
      </c>
      <c r="AN18" s="2151" t="str">
        <f t="shared" ca="1" si="287"/>
        <v/>
      </c>
      <c r="AO18" s="2143"/>
      <c r="AP18" s="2149" t="str">
        <f ca="1">IF('25 Sollumsatz nach Monaten'!Y21=0,"",'25 Sollumsatz nach Monaten'!Y21)</f>
        <v/>
      </c>
      <c r="AQ18" s="2150" t="str">
        <f t="shared" ca="1" si="288"/>
        <v/>
      </c>
      <c r="AR18" s="2151" t="str">
        <f t="shared" ca="1" si="289"/>
        <v/>
      </c>
      <c r="AS18" s="2142" t="str">
        <f t="shared" ca="1" si="219"/>
        <v>Salli</v>
      </c>
      <c r="AT18" s="2161"/>
      <c r="AU18" s="2162"/>
      <c r="AV18" s="2143"/>
      <c r="AW18" s="2144" t="str">
        <f ca="1">IF('25 Sollumsatz nach Monaten'!AD21=0,"",'25 Sollumsatz nach Monaten'!AD21)</f>
        <v/>
      </c>
      <c r="AX18" s="2145" t="str">
        <f t="shared" ca="1" si="290"/>
        <v/>
      </c>
      <c r="AY18" s="2146" t="str">
        <f t="shared" ca="1" si="291"/>
        <v/>
      </c>
      <c r="AZ18" s="2143"/>
      <c r="BA18" s="2144" t="str">
        <f ca="1">IF('25 Sollumsatz nach Monaten'!AE21=0,"",'25 Sollumsatz nach Monaten'!AE21)</f>
        <v/>
      </c>
      <c r="BB18" s="2145" t="str">
        <f t="shared" ca="1" si="292"/>
        <v/>
      </c>
      <c r="BC18" s="2158" t="str">
        <f t="shared" ca="1" si="293"/>
        <v/>
      </c>
      <c r="BD18" s="2148" t="str">
        <f t="shared" ca="1" si="220"/>
        <v>Salli</v>
      </c>
      <c r="BE18" s="2161"/>
      <c r="BF18" s="2162"/>
      <c r="BG18" s="2143"/>
      <c r="BH18" s="2149" t="str">
        <f ca="1">IF('25 Sollumsatz nach Monaten'!AJ21=0,"",'25 Sollumsatz nach Monaten'!AJ21)</f>
        <v/>
      </c>
      <c r="BI18" s="2150" t="str">
        <f t="shared" ca="1" si="294"/>
        <v/>
      </c>
      <c r="BJ18" s="2151" t="str">
        <f t="shared" ca="1" si="295"/>
        <v/>
      </c>
      <c r="BK18" s="2143"/>
      <c r="BL18" s="2149" t="str">
        <f ca="1">IF('25 Sollumsatz nach Monaten'!AK21=0,"",'25 Sollumsatz nach Monaten'!AK21)</f>
        <v/>
      </c>
      <c r="BM18" s="2150" t="str">
        <f t="shared" ca="1" si="296"/>
        <v/>
      </c>
      <c r="BN18" s="2151" t="str">
        <f t="shared" ca="1" si="297"/>
        <v/>
      </c>
      <c r="BO18" s="2142" t="str">
        <f t="shared" ca="1" si="221"/>
        <v>Salli</v>
      </c>
      <c r="BP18" s="2161"/>
      <c r="BQ18" s="2162"/>
      <c r="BR18" s="2143"/>
      <c r="BS18" s="2144" t="str">
        <f ca="1">IF('25 Sollumsatz nach Monaten'!AP21=0,"",'25 Sollumsatz nach Monaten'!AP21)</f>
        <v/>
      </c>
      <c r="BT18" s="2145" t="str">
        <f t="shared" ca="1" si="298"/>
        <v/>
      </c>
      <c r="BU18" s="2146" t="str">
        <f t="shared" ca="1" si="299"/>
        <v/>
      </c>
      <c r="BV18" s="2143"/>
      <c r="BW18" s="2144" t="str">
        <f ca="1">IF('25 Sollumsatz nach Monaten'!AQ21=0,"",'25 Sollumsatz nach Monaten'!AQ21)</f>
        <v/>
      </c>
      <c r="BX18" s="2145" t="str">
        <f t="shared" ca="1" si="300"/>
        <v/>
      </c>
      <c r="BY18" s="2158" t="str">
        <f t="shared" ca="1" si="301"/>
        <v/>
      </c>
      <c r="BZ18" s="2148" t="str">
        <f t="shared" ca="1" si="222"/>
        <v>Salli</v>
      </c>
      <c r="CA18" s="2161"/>
      <c r="CB18" s="2162"/>
      <c r="CC18" s="2143"/>
      <c r="CD18" s="2149">
        <f ca="1">IF('25 Sollumsatz nach Monaten'!AV21=0,"",'25 Sollumsatz nach Monaten'!AV21)</f>
        <v>7855.6058124349211</v>
      </c>
      <c r="CE18" s="2150" t="str">
        <f t="shared" ca="1" si="302"/>
        <v/>
      </c>
      <c r="CF18" s="2151" t="str">
        <f t="shared" ca="1" si="303"/>
        <v/>
      </c>
      <c r="CG18" s="2143"/>
      <c r="CH18" s="2149">
        <f ca="1">IF('25 Sollumsatz nach Monaten'!AW21=0,"",'25 Sollumsatz nach Monaten'!AW21)</f>
        <v>457.22168019518853</v>
      </c>
      <c r="CI18" s="2150" t="str">
        <f t="shared" ca="1" si="304"/>
        <v/>
      </c>
      <c r="CJ18" s="2151" t="str">
        <f t="shared" ca="1" si="305"/>
        <v/>
      </c>
      <c r="CK18" s="2142" t="str">
        <f t="shared" ca="1" si="223"/>
        <v>Salli</v>
      </c>
      <c r="CL18" s="2161"/>
      <c r="CM18" s="2162"/>
      <c r="CN18" s="2143"/>
      <c r="CO18" s="2144">
        <f ca="1">IF('25 Sollumsatz nach Monaten'!BB21=0,"",'25 Sollumsatz nach Monaten'!BB21)</f>
        <v>5545.133514659944</v>
      </c>
      <c r="CP18" s="2145" t="str">
        <f t="shared" ca="1" si="306"/>
        <v/>
      </c>
      <c r="CQ18" s="2146" t="str">
        <f t="shared" ca="1" si="307"/>
        <v/>
      </c>
      <c r="CR18" s="2143"/>
      <c r="CS18" s="2144">
        <f ca="1">IF('25 Sollumsatz nach Monaten'!BC21=0,"",'25 Sollumsatz nach Monaten'!BC21)</f>
        <v>322.74471543189782</v>
      </c>
      <c r="CT18" s="2145" t="str">
        <f t="shared" ca="1" si="308"/>
        <v/>
      </c>
      <c r="CU18" s="2158" t="str">
        <f t="shared" ca="1" si="309"/>
        <v/>
      </c>
      <c r="CV18" s="2148" t="str">
        <f t="shared" ca="1" si="224"/>
        <v>Salli</v>
      </c>
      <c r="CW18" s="2161"/>
      <c r="CX18" s="2162"/>
      <c r="CY18" s="2143"/>
      <c r="CZ18" s="2149">
        <f ca="1">IF('25 Sollumsatz nach Monaten'!BH21=0,"",'25 Sollumsatz nach Monaten'!BH21)</f>
        <v>5545.133514659944</v>
      </c>
      <c r="DA18" s="2150" t="str">
        <f t="shared" ca="1" si="310"/>
        <v/>
      </c>
      <c r="DB18" s="2151" t="str">
        <f t="shared" ca="1" si="311"/>
        <v/>
      </c>
      <c r="DC18" s="2143"/>
      <c r="DD18" s="2149">
        <f ca="1">IF('25 Sollumsatz nach Monaten'!BI21=0,"",'25 Sollumsatz nach Monaten'!BI21)</f>
        <v>322.74471543189782</v>
      </c>
      <c r="DE18" s="2150" t="str">
        <f t="shared" ca="1" si="312"/>
        <v/>
      </c>
      <c r="DF18" s="2151" t="str">
        <f t="shared" ca="1" si="313"/>
        <v/>
      </c>
      <c r="DG18" s="2142" t="str">
        <f t="shared" ca="1" si="225"/>
        <v>Salli</v>
      </c>
      <c r="DH18" s="2161"/>
      <c r="DI18" s="2162"/>
      <c r="DJ18" s="2143"/>
      <c r="DK18" s="2144">
        <f ca="1">IF('25 Sollumsatz nach Monaten'!BN21=0,"",'25 Sollumsatz nach Monaten'!BN21)</f>
        <v>6469.3224337699348</v>
      </c>
      <c r="DL18" s="2145" t="str">
        <f t="shared" ca="1" si="314"/>
        <v/>
      </c>
      <c r="DM18" s="2146" t="str">
        <f t="shared" ca="1" si="315"/>
        <v/>
      </c>
      <c r="DN18" s="2143"/>
      <c r="DO18" s="2144">
        <f ca="1">IF('25 Sollumsatz nach Monaten'!BO21=0,"",'25 Sollumsatz nach Monaten'!BO21)</f>
        <v>376.5355013372141</v>
      </c>
      <c r="DP18" s="2145" t="str">
        <f t="shared" ca="1" si="316"/>
        <v/>
      </c>
      <c r="DQ18" s="2158" t="str">
        <f t="shared" ca="1" si="317"/>
        <v/>
      </c>
      <c r="DR18" s="2148" t="str">
        <f t="shared" ca="1" si="226"/>
        <v>Salli</v>
      </c>
      <c r="DS18" s="2161"/>
      <c r="DT18" s="2162"/>
      <c r="DU18" s="2143"/>
      <c r="DV18" s="2149">
        <f ca="1">IF('25 Sollumsatz nach Monaten'!BT21=0,"",'25 Sollumsatz nach Monaten'!BT21)</f>
        <v>7855.6058124349211</v>
      </c>
      <c r="DW18" s="2150" t="str">
        <f t="shared" ca="1" si="318"/>
        <v/>
      </c>
      <c r="DX18" s="2151" t="str">
        <f t="shared" ca="1" si="319"/>
        <v/>
      </c>
      <c r="DY18" s="2143"/>
      <c r="DZ18" s="2149">
        <f ca="1">IF('25 Sollumsatz nach Monaten'!BU21=0,"",'25 Sollumsatz nach Monaten'!BU21)</f>
        <v>457.22168019518853</v>
      </c>
      <c r="EA18" s="2150" t="str">
        <f t="shared" ca="1" si="320"/>
        <v/>
      </c>
      <c r="EB18" s="2151" t="str">
        <f t="shared" ca="1" si="321"/>
        <v/>
      </c>
      <c r="EC18" s="2152" t="str">
        <f t="shared" ca="1" si="227"/>
        <v>Salli</v>
      </c>
      <c r="ED18" s="2280">
        <f t="shared" ca="1" si="228"/>
        <v>0</v>
      </c>
      <c r="EE18" s="2153">
        <f t="shared" ca="1" si="229"/>
        <v>33270.801087959662</v>
      </c>
      <c r="EF18" s="2154">
        <f t="shared" ca="1" si="230"/>
        <v>-33270.801087959662</v>
      </c>
      <c r="EG18" s="2155" t="str">
        <f t="shared" ca="1" si="275"/>
        <v/>
      </c>
      <c r="EH18" s="2282">
        <f t="shared" ca="1" si="231"/>
        <v>0</v>
      </c>
      <c r="EI18" s="2153">
        <f t="shared" ca="1" si="232"/>
        <v>1936.4682925913871</v>
      </c>
      <c r="EJ18" s="2154">
        <f t="shared" ca="1" si="233"/>
        <v>-1936.4682925913871</v>
      </c>
      <c r="EK18" s="2155" t="str">
        <f t="shared" ca="1" si="322"/>
        <v/>
      </c>
      <c r="EL18" s="2160" t="str">
        <f t="shared" ca="1" si="234"/>
        <v/>
      </c>
      <c r="EM18" s="2160" t="str">
        <f t="shared" ca="1" si="235"/>
        <v/>
      </c>
      <c r="EN18" s="2160" t="str">
        <f t="shared" ca="1" si="236"/>
        <v/>
      </c>
      <c r="EO18" s="2152" t="str">
        <f t="shared" ca="1" si="237"/>
        <v>Salli</v>
      </c>
      <c r="EP18" s="2312">
        <f ca="1">IF('25 Sollumsatz nach Monaten'!BV21="","",SUM(EQ18:ER18))</f>
        <v>0</v>
      </c>
      <c r="EQ18" s="2312">
        <f ca="1">IF('25 Sollumsatz nach Monaten'!BV21="","",ED18/'25 Sollumsatz nach Monaten'!BV21)</f>
        <v>0</v>
      </c>
      <c r="ER18" s="2312">
        <f ca="1">IF('25 Sollumsatz nach Monaten'!BV21="","",EH18/'25 Sollumsatz nach Monaten'!BV21)</f>
        <v>0</v>
      </c>
      <c r="EY18" s="2248"/>
      <c r="EZ18" s="2249"/>
      <c r="FA18" s="2250"/>
      <c r="FB18" s="2251" t="str">
        <f t="shared" si="238"/>
        <v/>
      </c>
      <c r="FC18" s="2252"/>
      <c r="FD18" s="2253"/>
      <c r="FE18" s="2251" t="str">
        <f t="shared" ca="1" si="239"/>
        <v/>
      </c>
      <c r="FF18" s="2254"/>
      <c r="FG18" s="2252"/>
      <c r="FH18" s="2253"/>
      <c r="FI18" s="2251" t="str">
        <f t="shared" ca="1" si="240"/>
        <v/>
      </c>
      <c r="FJ18" s="2248"/>
      <c r="FK18" s="2249"/>
      <c r="FL18" s="2250"/>
      <c r="FM18" s="2251" t="str">
        <f t="shared" si="241"/>
        <v/>
      </c>
      <c r="FN18" s="2252"/>
      <c r="FO18" s="2253"/>
      <c r="FP18" s="2251" t="str">
        <f t="shared" ca="1" si="242"/>
        <v/>
      </c>
      <c r="FQ18" s="2254"/>
      <c r="FR18" s="2252"/>
      <c r="FS18" s="2253"/>
      <c r="FT18" s="2251" t="str">
        <f t="shared" ca="1" si="243"/>
        <v/>
      </c>
      <c r="FU18" s="2248"/>
      <c r="FV18" s="2249"/>
      <c r="FW18" s="2250"/>
      <c r="FX18" s="2251" t="str">
        <f t="shared" si="244"/>
        <v/>
      </c>
      <c r="FY18" s="2252"/>
      <c r="FZ18" s="2253"/>
      <c r="GA18" s="2251" t="str">
        <f t="shared" ca="1" si="245"/>
        <v/>
      </c>
      <c r="GB18" s="2254"/>
      <c r="GC18" s="2252"/>
      <c r="GD18" s="2253"/>
      <c r="GE18" s="2251" t="str">
        <f t="shared" ca="1" si="246"/>
        <v/>
      </c>
      <c r="GF18" s="2248"/>
      <c r="GG18" s="2249"/>
      <c r="GH18" s="2250"/>
      <c r="GI18" s="2251" t="str">
        <f t="shared" si="247"/>
        <v/>
      </c>
      <c r="GJ18" s="2252"/>
      <c r="GK18" s="2253"/>
      <c r="GL18" s="2251" t="str">
        <f t="shared" ca="1" si="248"/>
        <v/>
      </c>
      <c r="GM18" s="2254"/>
      <c r="GN18" s="2252"/>
      <c r="GO18" s="2253"/>
      <c r="GP18" s="2251" t="str">
        <f t="shared" ca="1" si="249"/>
        <v/>
      </c>
      <c r="GQ18" s="2248"/>
      <c r="GR18" s="2249"/>
      <c r="GS18" s="2250"/>
      <c r="GT18" s="2251" t="str">
        <f t="shared" si="250"/>
        <v/>
      </c>
      <c r="GU18" s="2252"/>
      <c r="GV18" s="2253"/>
      <c r="GW18" s="2251" t="str">
        <f t="shared" ca="1" si="251"/>
        <v/>
      </c>
      <c r="GX18" s="2254"/>
      <c r="GY18" s="2252"/>
      <c r="GZ18" s="2253"/>
      <c r="HA18" s="2251" t="str">
        <f t="shared" ca="1" si="252"/>
        <v/>
      </c>
      <c r="HB18" s="2248"/>
      <c r="HC18" s="2249"/>
      <c r="HD18" s="2250"/>
      <c r="HE18" s="2251" t="str">
        <f t="shared" si="253"/>
        <v/>
      </c>
      <c r="HF18" s="2252"/>
      <c r="HG18" s="2253"/>
      <c r="HH18" s="2251" t="str">
        <f t="shared" ca="1" si="254"/>
        <v/>
      </c>
      <c r="HI18" s="2254"/>
      <c r="HJ18" s="2252"/>
      <c r="HK18" s="2253"/>
      <c r="HL18" s="2251" t="str">
        <f t="shared" ca="1" si="255"/>
        <v/>
      </c>
      <c r="HM18" s="2248"/>
      <c r="HN18" s="2249"/>
      <c r="HO18" s="2250"/>
      <c r="HP18" s="2251" t="str">
        <f t="shared" si="256"/>
        <v/>
      </c>
      <c r="HQ18" s="2252"/>
      <c r="HR18" s="2253"/>
      <c r="HS18" s="2251" t="str">
        <f t="shared" ca="1" si="257"/>
        <v/>
      </c>
      <c r="HT18" s="2254"/>
      <c r="HU18" s="2252"/>
      <c r="HV18" s="2253"/>
      <c r="HW18" s="2251" t="str">
        <f t="shared" ca="1" si="258"/>
        <v/>
      </c>
      <c r="HX18" s="2248"/>
      <c r="HY18" s="2249"/>
      <c r="HZ18" s="2250"/>
      <c r="IA18" s="2251" t="str">
        <f t="shared" si="259"/>
        <v/>
      </c>
      <c r="IB18" s="2252"/>
      <c r="IC18" s="2253"/>
      <c r="ID18" s="2251" t="str">
        <f t="shared" ca="1" si="260"/>
        <v/>
      </c>
      <c r="IE18" s="2254"/>
      <c r="IF18" s="2252"/>
      <c r="IG18" s="2253"/>
      <c r="IH18" s="2251" t="str">
        <f t="shared" ca="1" si="261"/>
        <v/>
      </c>
      <c r="II18" s="2248"/>
      <c r="IJ18" s="2249"/>
      <c r="IK18" s="2250"/>
      <c r="IL18" s="2251" t="str">
        <f t="shared" si="262"/>
        <v/>
      </c>
      <c r="IM18" s="2252"/>
      <c r="IN18" s="2253"/>
      <c r="IO18" s="2251" t="str">
        <f t="shared" ca="1" si="263"/>
        <v/>
      </c>
      <c r="IP18" s="2254"/>
      <c r="IQ18" s="2252"/>
      <c r="IR18" s="2253"/>
      <c r="IS18" s="2251" t="str">
        <f t="shared" ca="1" si="264"/>
        <v/>
      </c>
      <c r="IT18" s="2248"/>
      <c r="IU18" s="2249"/>
      <c r="IV18" s="2250"/>
      <c r="IW18" s="2251" t="str">
        <f t="shared" si="265"/>
        <v/>
      </c>
      <c r="IX18" s="2252"/>
      <c r="IY18" s="2253"/>
      <c r="IZ18" s="2251" t="str">
        <f t="shared" ca="1" si="266"/>
        <v/>
      </c>
      <c r="JA18" s="2254"/>
      <c r="JB18" s="2252"/>
      <c r="JC18" s="2253"/>
      <c r="JD18" s="2251" t="str">
        <f t="shared" ca="1" si="267"/>
        <v/>
      </c>
      <c r="JE18" s="2248"/>
      <c r="JF18" s="2249"/>
      <c r="JG18" s="2250"/>
      <c r="JH18" s="2251" t="str">
        <f t="shared" si="268"/>
        <v/>
      </c>
      <c r="JI18" s="2252"/>
      <c r="JJ18" s="2253"/>
      <c r="JK18" s="2251" t="str">
        <f t="shared" ca="1" si="269"/>
        <v/>
      </c>
      <c r="JL18" s="2254"/>
      <c r="JM18" s="2252"/>
      <c r="JN18" s="2253"/>
      <c r="JO18" s="2251" t="str">
        <f t="shared" ca="1" si="270"/>
        <v/>
      </c>
      <c r="JP18" s="2248"/>
      <c r="JQ18" s="2249"/>
      <c r="JR18" s="2250"/>
      <c r="JS18" s="2251" t="str">
        <f t="shared" si="271"/>
        <v/>
      </c>
      <c r="JT18" s="2252"/>
      <c r="JU18" s="2253"/>
      <c r="JV18" s="2251" t="str">
        <f t="shared" ca="1" si="272"/>
        <v/>
      </c>
      <c r="JW18" s="2254"/>
      <c r="JX18" s="2252"/>
      <c r="JY18" s="2253"/>
      <c r="JZ18" s="2251" t="str">
        <f t="shared" ca="1" si="273"/>
        <v/>
      </c>
      <c r="KA18" s="2231"/>
    </row>
    <row r="19" spans="1:287" s="2156" customFormat="1" ht="18" customHeight="1">
      <c r="A19" s="2142" t="str">
        <f ca="1">IF('22 Sollumsatz pro MA '!$A20="","",'22 Sollumsatz pro MA '!$A20)</f>
        <v/>
      </c>
      <c r="B19" s="2161"/>
      <c r="C19" s="2162"/>
      <c r="D19" s="2143"/>
      <c r="E19" s="2144" t="str">
        <f ca="1">IF('25 Sollumsatz nach Monaten'!F22=0,"",'25 Sollumsatz nach Monaten'!F22)</f>
        <v/>
      </c>
      <c r="F19" s="2145" t="str">
        <f t="shared" ca="1" si="276"/>
        <v/>
      </c>
      <c r="G19" s="2146" t="str">
        <f t="shared" ca="1" si="144"/>
        <v/>
      </c>
      <c r="H19" s="2143"/>
      <c r="I19" s="2144" t="str">
        <f ca="1">IF('25 Sollumsatz nach Monaten'!G22=0,"",'25 Sollumsatz nach Monaten'!G22)</f>
        <v/>
      </c>
      <c r="J19" s="2145" t="str">
        <f t="shared" ca="1" si="277"/>
        <v/>
      </c>
      <c r="K19" s="2158" t="str">
        <f t="shared" ca="1" si="146"/>
        <v/>
      </c>
      <c r="L19" s="2148" t="str">
        <f t="shared" ca="1" si="216"/>
        <v/>
      </c>
      <c r="M19" s="2161"/>
      <c r="N19" s="2162"/>
      <c r="O19" s="2143"/>
      <c r="P19" s="2149" t="str">
        <f ca="1">IF('25 Sollumsatz nach Monaten'!L22=0,"",'25 Sollumsatz nach Monaten'!L22)</f>
        <v/>
      </c>
      <c r="Q19" s="2150" t="str">
        <f t="shared" ca="1" si="278"/>
        <v/>
      </c>
      <c r="R19" s="2151" t="str">
        <f t="shared" ca="1" si="279"/>
        <v/>
      </c>
      <c r="S19" s="2143"/>
      <c r="T19" s="2149" t="str">
        <f ca="1">IF('25 Sollumsatz nach Monaten'!M22=0,"",'25 Sollumsatz nach Monaten'!M22)</f>
        <v/>
      </c>
      <c r="U19" s="2150" t="str">
        <f t="shared" ca="1" si="280"/>
        <v/>
      </c>
      <c r="V19" s="2151" t="str">
        <f t="shared" ca="1" si="281"/>
        <v/>
      </c>
      <c r="W19" s="2142" t="str">
        <f t="shared" ca="1" si="217"/>
        <v/>
      </c>
      <c r="X19" s="2161"/>
      <c r="Y19" s="2162"/>
      <c r="Z19" s="2143"/>
      <c r="AA19" s="2144" t="str">
        <f ca="1">IF('25 Sollumsatz nach Monaten'!R22=0,"",'25 Sollumsatz nach Monaten'!R22)</f>
        <v/>
      </c>
      <c r="AB19" s="2145" t="str">
        <f t="shared" ca="1" si="282"/>
        <v/>
      </c>
      <c r="AC19" s="2146" t="str">
        <f t="shared" ca="1" si="283"/>
        <v/>
      </c>
      <c r="AD19" s="2147"/>
      <c r="AE19" s="2144" t="str">
        <f ca="1">IF('25 Sollumsatz nach Monaten'!S22=0,"",'25 Sollumsatz nach Monaten'!S22)</f>
        <v/>
      </c>
      <c r="AF19" s="2145" t="str">
        <f t="shared" ca="1" si="284"/>
        <v/>
      </c>
      <c r="AG19" s="2158" t="str">
        <f t="shared" ca="1" si="285"/>
        <v/>
      </c>
      <c r="AH19" s="2148" t="str">
        <f t="shared" ca="1" si="218"/>
        <v/>
      </c>
      <c r="AI19" s="2161"/>
      <c r="AJ19" s="2162"/>
      <c r="AK19" s="2143"/>
      <c r="AL19" s="2149" t="str">
        <f ca="1">IF('25 Sollumsatz nach Monaten'!X22=0,"",'25 Sollumsatz nach Monaten'!X22)</f>
        <v/>
      </c>
      <c r="AM19" s="2150" t="str">
        <f t="shared" ca="1" si="286"/>
        <v/>
      </c>
      <c r="AN19" s="2151" t="str">
        <f t="shared" ca="1" si="287"/>
        <v/>
      </c>
      <c r="AO19" s="2143"/>
      <c r="AP19" s="2149" t="str">
        <f ca="1">IF('25 Sollumsatz nach Monaten'!Y22=0,"",'25 Sollumsatz nach Monaten'!Y22)</f>
        <v/>
      </c>
      <c r="AQ19" s="2150" t="str">
        <f t="shared" ca="1" si="288"/>
        <v/>
      </c>
      <c r="AR19" s="2151" t="str">
        <f t="shared" ca="1" si="289"/>
        <v/>
      </c>
      <c r="AS19" s="2142" t="str">
        <f t="shared" ca="1" si="219"/>
        <v/>
      </c>
      <c r="AT19" s="2161"/>
      <c r="AU19" s="2162"/>
      <c r="AV19" s="2143"/>
      <c r="AW19" s="2144" t="str">
        <f ca="1">IF('25 Sollumsatz nach Monaten'!AD22=0,"",'25 Sollumsatz nach Monaten'!AD22)</f>
        <v/>
      </c>
      <c r="AX19" s="2145" t="str">
        <f t="shared" ca="1" si="290"/>
        <v/>
      </c>
      <c r="AY19" s="2146" t="str">
        <f t="shared" ca="1" si="291"/>
        <v/>
      </c>
      <c r="AZ19" s="2143"/>
      <c r="BA19" s="2144" t="str">
        <f ca="1">IF('25 Sollumsatz nach Monaten'!AE22=0,"",'25 Sollumsatz nach Monaten'!AE22)</f>
        <v/>
      </c>
      <c r="BB19" s="2145" t="str">
        <f t="shared" ca="1" si="292"/>
        <v/>
      </c>
      <c r="BC19" s="2158" t="str">
        <f t="shared" ca="1" si="293"/>
        <v/>
      </c>
      <c r="BD19" s="2148" t="str">
        <f t="shared" ca="1" si="220"/>
        <v/>
      </c>
      <c r="BE19" s="2161"/>
      <c r="BF19" s="2162"/>
      <c r="BG19" s="2143"/>
      <c r="BH19" s="2149" t="str">
        <f ca="1">IF('25 Sollumsatz nach Monaten'!AJ22=0,"",'25 Sollumsatz nach Monaten'!AJ22)</f>
        <v/>
      </c>
      <c r="BI19" s="2150" t="str">
        <f t="shared" ca="1" si="294"/>
        <v/>
      </c>
      <c r="BJ19" s="2151" t="str">
        <f t="shared" ca="1" si="295"/>
        <v/>
      </c>
      <c r="BK19" s="2143"/>
      <c r="BL19" s="2149" t="str">
        <f ca="1">IF('25 Sollumsatz nach Monaten'!AK22=0,"",'25 Sollumsatz nach Monaten'!AK22)</f>
        <v/>
      </c>
      <c r="BM19" s="2150" t="str">
        <f t="shared" ca="1" si="296"/>
        <v/>
      </c>
      <c r="BN19" s="2151" t="str">
        <f t="shared" ca="1" si="297"/>
        <v/>
      </c>
      <c r="BO19" s="2142" t="str">
        <f t="shared" ca="1" si="221"/>
        <v/>
      </c>
      <c r="BP19" s="2161"/>
      <c r="BQ19" s="2162"/>
      <c r="BR19" s="2143"/>
      <c r="BS19" s="2144" t="str">
        <f ca="1">IF('25 Sollumsatz nach Monaten'!AP22=0,"",'25 Sollumsatz nach Monaten'!AP22)</f>
        <v/>
      </c>
      <c r="BT19" s="2145" t="str">
        <f t="shared" ca="1" si="298"/>
        <v/>
      </c>
      <c r="BU19" s="2146" t="str">
        <f t="shared" ca="1" si="299"/>
        <v/>
      </c>
      <c r="BV19" s="2143"/>
      <c r="BW19" s="2144" t="str">
        <f ca="1">IF('25 Sollumsatz nach Monaten'!AQ22=0,"",'25 Sollumsatz nach Monaten'!AQ22)</f>
        <v/>
      </c>
      <c r="BX19" s="2145" t="str">
        <f t="shared" ca="1" si="300"/>
        <v/>
      </c>
      <c r="BY19" s="2158" t="str">
        <f t="shared" ca="1" si="301"/>
        <v/>
      </c>
      <c r="BZ19" s="2148" t="str">
        <f t="shared" ca="1" si="222"/>
        <v/>
      </c>
      <c r="CA19" s="2161"/>
      <c r="CB19" s="2162"/>
      <c r="CC19" s="2143"/>
      <c r="CD19" s="2149" t="str">
        <f ca="1">IF('25 Sollumsatz nach Monaten'!AV22=0,"",'25 Sollumsatz nach Monaten'!AV22)</f>
        <v/>
      </c>
      <c r="CE19" s="2150" t="str">
        <f t="shared" ca="1" si="302"/>
        <v/>
      </c>
      <c r="CF19" s="2151" t="str">
        <f t="shared" ca="1" si="303"/>
        <v/>
      </c>
      <c r="CG19" s="2143"/>
      <c r="CH19" s="2149" t="str">
        <f ca="1">IF('25 Sollumsatz nach Monaten'!AW22=0,"",'25 Sollumsatz nach Monaten'!AW22)</f>
        <v/>
      </c>
      <c r="CI19" s="2150" t="str">
        <f t="shared" ca="1" si="304"/>
        <v/>
      </c>
      <c r="CJ19" s="2151" t="str">
        <f t="shared" ca="1" si="305"/>
        <v/>
      </c>
      <c r="CK19" s="2142" t="str">
        <f t="shared" ca="1" si="223"/>
        <v/>
      </c>
      <c r="CL19" s="2161"/>
      <c r="CM19" s="2162"/>
      <c r="CN19" s="2143"/>
      <c r="CO19" s="2144" t="str">
        <f ca="1">IF('25 Sollumsatz nach Monaten'!BB22=0,"",'25 Sollumsatz nach Monaten'!BB22)</f>
        <v/>
      </c>
      <c r="CP19" s="2145" t="str">
        <f t="shared" ca="1" si="306"/>
        <v/>
      </c>
      <c r="CQ19" s="2146" t="str">
        <f t="shared" ca="1" si="307"/>
        <v/>
      </c>
      <c r="CR19" s="2143"/>
      <c r="CS19" s="2144" t="str">
        <f ca="1">IF('25 Sollumsatz nach Monaten'!BC22=0,"",'25 Sollumsatz nach Monaten'!BC22)</f>
        <v/>
      </c>
      <c r="CT19" s="2145" t="str">
        <f t="shared" ca="1" si="308"/>
        <v/>
      </c>
      <c r="CU19" s="2158" t="str">
        <f t="shared" ca="1" si="309"/>
        <v/>
      </c>
      <c r="CV19" s="2148" t="str">
        <f t="shared" ca="1" si="224"/>
        <v/>
      </c>
      <c r="CW19" s="2161"/>
      <c r="CX19" s="2162"/>
      <c r="CY19" s="2143"/>
      <c r="CZ19" s="2149" t="str">
        <f ca="1">IF('25 Sollumsatz nach Monaten'!BH22=0,"",'25 Sollumsatz nach Monaten'!BH22)</f>
        <v/>
      </c>
      <c r="DA19" s="2150" t="str">
        <f t="shared" ca="1" si="310"/>
        <v/>
      </c>
      <c r="DB19" s="2151" t="str">
        <f t="shared" ca="1" si="311"/>
        <v/>
      </c>
      <c r="DC19" s="2143"/>
      <c r="DD19" s="2149" t="str">
        <f ca="1">IF('25 Sollumsatz nach Monaten'!BI22=0,"",'25 Sollumsatz nach Monaten'!BI22)</f>
        <v/>
      </c>
      <c r="DE19" s="2150" t="str">
        <f t="shared" ca="1" si="312"/>
        <v/>
      </c>
      <c r="DF19" s="2151" t="str">
        <f t="shared" ca="1" si="313"/>
        <v/>
      </c>
      <c r="DG19" s="2142" t="str">
        <f t="shared" ca="1" si="225"/>
        <v/>
      </c>
      <c r="DH19" s="2161"/>
      <c r="DI19" s="2162"/>
      <c r="DJ19" s="2143"/>
      <c r="DK19" s="2144" t="str">
        <f ca="1">IF('25 Sollumsatz nach Monaten'!BN22=0,"",'25 Sollumsatz nach Monaten'!BN22)</f>
        <v/>
      </c>
      <c r="DL19" s="2145" t="str">
        <f t="shared" ca="1" si="314"/>
        <v/>
      </c>
      <c r="DM19" s="2146" t="str">
        <f t="shared" ca="1" si="315"/>
        <v/>
      </c>
      <c r="DN19" s="2143"/>
      <c r="DO19" s="2144" t="str">
        <f ca="1">IF('25 Sollumsatz nach Monaten'!BO22=0,"",'25 Sollumsatz nach Monaten'!BO22)</f>
        <v/>
      </c>
      <c r="DP19" s="2145" t="str">
        <f t="shared" ca="1" si="316"/>
        <v/>
      </c>
      <c r="DQ19" s="2158" t="str">
        <f t="shared" ca="1" si="317"/>
        <v/>
      </c>
      <c r="DR19" s="2148" t="str">
        <f t="shared" ca="1" si="226"/>
        <v/>
      </c>
      <c r="DS19" s="2161"/>
      <c r="DT19" s="2162"/>
      <c r="DU19" s="2143"/>
      <c r="DV19" s="2149" t="str">
        <f ca="1">IF('25 Sollumsatz nach Monaten'!BT22=0,"",'25 Sollumsatz nach Monaten'!BT22)</f>
        <v/>
      </c>
      <c r="DW19" s="2150" t="str">
        <f t="shared" ca="1" si="318"/>
        <v/>
      </c>
      <c r="DX19" s="2151" t="str">
        <f t="shared" ca="1" si="319"/>
        <v/>
      </c>
      <c r="DY19" s="2143"/>
      <c r="DZ19" s="2149" t="str">
        <f ca="1">IF('25 Sollumsatz nach Monaten'!BU22=0,"",'25 Sollumsatz nach Monaten'!BU22)</f>
        <v/>
      </c>
      <c r="EA19" s="2150" t="str">
        <f t="shared" ca="1" si="320"/>
        <v/>
      </c>
      <c r="EB19" s="2151" t="str">
        <f t="shared" ca="1" si="321"/>
        <v/>
      </c>
      <c r="EC19" s="2152" t="str">
        <f t="shared" ca="1" si="227"/>
        <v/>
      </c>
      <c r="ED19" s="2280" t="str">
        <f t="shared" ca="1" si="228"/>
        <v/>
      </c>
      <c r="EE19" s="2153" t="str">
        <f t="shared" ca="1" si="229"/>
        <v/>
      </c>
      <c r="EF19" s="2154" t="str">
        <f t="shared" ca="1" si="230"/>
        <v/>
      </c>
      <c r="EG19" s="2155" t="str">
        <f t="shared" ca="1" si="275"/>
        <v/>
      </c>
      <c r="EH19" s="2282" t="str">
        <f t="shared" ca="1" si="231"/>
        <v/>
      </c>
      <c r="EI19" s="2153" t="str">
        <f t="shared" ca="1" si="232"/>
        <v/>
      </c>
      <c r="EJ19" s="2154" t="str">
        <f t="shared" ca="1" si="233"/>
        <v/>
      </c>
      <c r="EK19" s="2155" t="str">
        <f t="shared" ca="1" si="322"/>
        <v/>
      </c>
      <c r="EL19" s="2160" t="str">
        <f t="shared" ca="1" si="234"/>
        <v/>
      </c>
      <c r="EM19" s="2160" t="str">
        <f t="shared" ca="1" si="235"/>
        <v/>
      </c>
      <c r="EN19" s="2160" t="str">
        <f t="shared" ca="1" si="236"/>
        <v/>
      </c>
      <c r="EO19" s="2152" t="str">
        <f t="shared" ca="1" si="237"/>
        <v/>
      </c>
      <c r="EP19" s="2312" t="str">
        <f ca="1">IF('25 Sollumsatz nach Monaten'!BV22="","",SUM(EQ19:ER19))</f>
        <v/>
      </c>
      <c r="EQ19" s="2312" t="str">
        <f ca="1">IF('25 Sollumsatz nach Monaten'!BV22="","",ED19/'25 Sollumsatz nach Monaten'!BV22)</f>
        <v/>
      </c>
      <c r="ER19" s="2312" t="str">
        <f ca="1">IF('25 Sollumsatz nach Monaten'!BV22="","",EH19/'25 Sollumsatz nach Monaten'!BV22)</f>
        <v/>
      </c>
      <c r="EY19" s="2248"/>
      <c r="EZ19" s="2249"/>
      <c r="FA19" s="2250"/>
      <c r="FB19" s="2251" t="str">
        <f t="shared" si="238"/>
        <v/>
      </c>
      <c r="FC19" s="2252"/>
      <c r="FD19" s="2253"/>
      <c r="FE19" s="2251" t="str">
        <f t="shared" ca="1" si="239"/>
        <v/>
      </c>
      <c r="FF19" s="2254"/>
      <c r="FG19" s="2252"/>
      <c r="FH19" s="2253"/>
      <c r="FI19" s="2251" t="str">
        <f t="shared" ca="1" si="240"/>
        <v/>
      </c>
      <c r="FJ19" s="2248"/>
      <c r="FK19" s="2249"/>
      <c r="FL19" s="2250"/>
      <c r="FM19" s="2251" t="str">
        <f t="shared" si="241"/>
        <v/>
      </c>
      <c r="FN19" s="2252"/>
      <c r="FO19" s="2253"/>
      <c r="FP19" s="2251" t="str">
        <f t="shared" ca="1" si="242"/>
        <v/>
      </c>
      <c r="FQ19" s="2254"/>
      <c r="FR19" s="2252"/>
      <c r="FS19" s="2253"/>
      <c r="FT19" s="2251" t="str">
        <f t="shared" ca="1" si="243"/>
        <v/>
      </c>
      <c r="FU19" s="2248"/>
      <c r="FV19" s="2249"/>
      <c r="FW19" s="2250"/>
      <c r="FX19" s="2251" t="str">
        <f t="shared" si="244"/>
        <v/>
      </c>
      <c r="FY19" s="2252"/>
      <c r="FZ19" s="2253"/>
      <c r="GA19" s="2251" t="str">
        <f t="shared" ca="1" si="245"/>
        <v/>
      </c>
      <c r="GB19" s="2254"/>
      <c r="GC19" s="2252"/>
      <c r="GD19" s="2253"/>
      <c r="GE19" s="2251" t="str">
        <f t="shared" ca="1" si="246"/>
        <v/>
      </c>
      <c r="GF19" s="2248"/>
      <c r="GG19" s="2249"/>
      <c r="GH19" s="2250"/>
      <c r="GI19" s="2251" t="str">
        <f t="shared" si="247"/>
        <v/>
      </c>
      <c r="GJ19" s="2252"/>
      <c r="GK19" s="2253"/>
      <c r="GL19" s="2251" t="str">
        <f t="shared" ca="1" si="248"/>
        <v/>
      </c>
      <c r="GM19" s="2254"/>
      <c r="GN19" s="2252"/>
      <c r="GO19" s="2253"/>
      <c r="GP19" s="2251" t="str">
        <f t="shared" ca="1" si="249"/>
        <v/>
      </c>
      <c r="GQ19" s="2248"/>
      <c r="GR19" s="2249"/>
      <c r="GS19" s="2250"/>
      <c r="GT19" s="2251" t="str">
        <f t="shared" si="250"/>
        <v/>
      </c>
      <c r="GU19" s="2252"/>
      <c r="GV19" s="2253"/>
      <c r="GW19" s="2251" t="str">
        <f t="shared" ca="1" si="251"/>
        <v/>
      </c>
      <c r="GX19" s="2254"/>
      <c r="GY19" s="2252"/>
      <c r="GZ19" s="2253"/>
      <c r="HA19" s="2251" t="str">
        <f t="shared" ca="1" si="252"/>
        <v/>
      </c>
      <c r="HB19" s="2248"/>
      <c r="HC19" s="2249"/>
      <c r="HD19" s="2250"/>
      <c r="HE19" s="2251" t="str">
        <f t="shared" si="253"/>
        <v/>
      </c>
      <c r="HF19" s="2252"/>
      <c r="HG19" s="2253"/>
      <c r="HH19" s="2251" t="str">
        <f t="shared" ca="1" si="254"/>
        <v/>
      </c>
      <c r="HI19" s="2254"/>
      <c r="HJ19" s="2252"/>
      <c r="HK19" s="2253"/>
      <c r="HL19" s="2251" t="str">
        <f t="shared" ca="1" si="255"/>
        <v/>
      </c>
      <c r="HM19" s="2248"/>
      <c r="HN19" s="2249"/>
      <c r="HO19" s="2250"/>
      <c r="HP19" s="2251" t="str">
        <f t="shared" si="256"/>
        <v/>
      </c>
      <c r="HQ19" s="2252"/>
      <c r="HR19" s="2253"/>
      <c r="HS19" s="2251" t="str">
        <f t="shared" ca="1" si="257"/>
        <v/>
      </c>
      <c r="HT19" s="2254"/>
      <c r="HU19" s="2252"/>
      <c r="HV19" s="2253"/>
      <c r="HW19" s="2251" t="str">
        <f t="shared" ca="1" si="258"/>
        <v/>
      </c>
      <c r="HX19" s="2248"/>
      <c r="HY19" s="2249"/>
      <c r="HZ19" s="2250"/>
      <c r="IA19" s="2251" t="str">
        <f t="shared" si="259"/>
        <v/>
      </c>
      <c r="IB19" s="2252"/>
      <c r="IC19" s="2253"/>
      <c r="ID19" s="2251" t="str">
        <f t="shared" ca="1" si="260"/>
        <v/>
      </c>
      <c r="IE19" s="2254"/>
      <c r="IF19" s="2252"/>
      <c r="IG19" s="2253"/>
      <c r="IH19" s="2251" t="str">
        <f t="shared" ca="1" si="261"/>
        <v/>
      </c>
      <c r="II19" s="2248"/>
      <c r="IJ19" s="2249"/>
      <c r="IK19" s="2250"/>
      <c r="IL19" s="2251" t="str">
        <f t="shared" si="262"/>
        <v/>
      </c>
      <c r="IM19" s="2252"/>
      <c r="IN19" s="2253"/>
      <c r="IO19" s="2251" t="str">
        <f t="shared" ca="1" si="263"/>
        <v/>
      </c>
      <c r="IP19" s="2254"/>
      <c r="IQ19" s="2252"/>
      <c r="IR19" s="2253"/>
      <c r="IS19" s="2251" t="str">
        <f t="shared" ca="1" si="264"/>
        <v/>
      </c>
      <c r="IT19" s="2248"/>
      <c r="IU19" s="2249"/>
      <c r="IV19" s="2250"/>
      <c r="IW19" s="2251" t="str">
        <f t="shared" si="265"/>
        <v/>
      </c>
      <c r="IX19" s="2252"/>
      <c r="IY19" s="2253"/>
      <c r="IZ19" s="2251" t="str">
        <f t="shared" ca="1" si="266"/>
        <v/>
      </c>
      <c r="JA19" s="2254"/>
      <c r="JB19" s="2252"/>
      <c r="JC19" s="2253"/>
      <c r="JD19" s="2251" t="str">
        <f t="shared" ca="1" si="267"/>
        <v/>
      </c>
      <c r="JE19" s="2248"/>
      <c r="JF19" s="2249"/>
      <c r="JG19" s="2250"/>
      <c r="JH19" s="2251" t="str">
        <f t="shared" si="268"/>
        <v/>
      </c>
      <c r="JI19" s="2252"/>
      <c r="JJ19" s="2253"/>
      <c r="JK19" s="2251" t="str">
        <f t="shared" ca="1" si="269"/>
        <v/>
      </c>
      <c r="JL19" s="2254"/>
      <c r="JM19" s="2252"/>
      <c r="JN19" s="2253"/>
      <c r="JO19" s="2251" t="str">
        <f t="shared" ca="1" si="270"/>
        <v/>
      </c>
      <c r="JP19" s="2248"/>
      <c r="JQ19" s="2249"/>
      <c r="JR19" s="2250"/>
      <c r="JS19" s="2251" t="str">
        <f t="shared" si="271"/>
        <v/>
      </c>
      <c r="JT19" s="2252"/>
      <c r="JU19" s="2253"/>
      <c r="JV19" s="2251" t="str">
        <f t="shared" ca="1" si="272"/>
        <v/>
      </c>
      <c r="JW19" s="2254"/>
      <c r="JX19" s="2252"/>
      <c r="JY19" s="2253"/>
      <c r="JZ19" s="2251" t="str">
        <f t="shared" ca="1" si="273"/>
        <v/>
      </c>
      <c r="KA19" s="2231"/>
    </row>
    <row r="20" spans="1:287" s="2156" customFormat="1" ht="18" customHeight="1">
      <c r="A20" s="2142" t="str">
        <f ca="1">IF('22 Sollumsatz pro MA '!$A21="","",'22 Sollumsatz pro MA '!$A21)</f>
        <v/>
      </c>
      <c r="B20" s="2161"/>
      <c r="C20" s="2162"/>
      <c r="D20" s="2143"/>
      <c r="E20" s="2144" t="str">
        <f ca="1">IF('25 Sollumsatz nach Monaten'!F23=0,"",'25 Sollumsatz nach Monaten'!F23)</f>
        <v/>
      </c>
      <c r="F20" s="2145" t="str">
        <f t="shared" ca="1" si="276"/>
        <v/>
      </c>
      <c r="G20" s="2146" t="str">
        <f t="shared" ca="1" si="144"/>
        <v/>
      </c>
      <c r="H20" s="2143"/>
      <c r="I20" s="2144" t="str">
        <f ca="1">IF('25 Sollumsatz nach Monaten'!G23=0,"",'25 Sollumsatz nach Monaten'!G23)</f>
        <v/>
      </c>
      <c r="J20" s="2145" t="str">
        <f t="shared" ca="1" si="277"/>
        <v/>
      </c>
      <c r="K20" s="2158" t="str">
        <f t="shared" ca="1" si="146"/>
        <v/>
      </c>
      <c r="L20" s="2148" t="str">
        <f t="shared" ca="1" si="216"/>
        <v/>
      </c>
      <c r="M20" s="2161"/>
      <c r="N20" s="2162"/>
      <c r="O20" s="2143"/>
      <c r="P20" s="2149" t="str">
        <f ca="1">IF('25 Sollumsatz nach Monaten'!L23=0,"",'25 Sollumsatz nach Monaten'!L23)</f>
        <v/>
      </c>
      <c r="Q20" s="2150" t="str">
        <f t="shared" ca="1" si="278"/>
        <v/>
      </c>
      <c r="R20" s="2151" t="str">
        <f t="shared" ca="1" si="279"/>
        <v/>
      </c>
      <c r="S20" s="2143"/>
      <c r="T20" s="2149" t="str">
        <f ca="1">IF('25 Sollumsatz nach Monaten'!M23=0,"",'25 Sollumsatz nach Monaten'!M23)</f>
        <v/>
      </c>
      <c r="U20" s="2150" t="str">
        <f t="shared" ca="1" si="280"/>
        <v/>
      </c>
      <c r="V20" s="2151" t="str">
        <f t="shared" ca="1" si="281"/>
        <v/>
      </c>
      <c r="W20" s="2142" t="str">
        <f t="shared" ca="1" si="217"/>
        <v/>
      </c>
      <c r="X20" s="2161"/>
      <c r="Y20" s="2162"/>
      <c r="Z20" s="2143"/>
      <c r="AA20" s="2144" t="str">
        <f ca="1">IF('25 Sollumsatz nach Monaten'!R23=0,"",'25 Sollumsatz nach Monaten'!R23)</f>
        <v/>
      </c>
      <c r="AB20" s="2145" t="str">
        <f t="shared" ca="1" si="282"/>
        <v/>
      </c>
      <c r="AC20" s="2146" t="str">
        <f t="shared" ca="1" si="283"/>
        <v/>
      </c>
      <c r="AD20" s="2147"/>
      <c r="AE20" s="2144" t="str">
        <f ca="1">IF('25 Sollumsatz nach Monaten'!S23=0,"",'25 Sollumsatz nach Monaten'!S23)</f>
        <v/>
      </c>
      <c r="AF20" s="2145" t="str">
        <f t="shared" ca="1" si="284"/>
        <v/>
      </c>
      <c r="AG20" s="2158" t="str">
        <f t="shared" ca="1" si="285"/>
        <v/>
      </c>
      <c r="AH20" s="2148" t="str">
        <f t="shared" ca="1" si="218"/>
        <v/>
      </c>
      <c r="AI20" s="2161"/>
      <c r="AJ20" s="2162"/>
      <c r="AK20" s="2143"/>
      <c r="AL20" s="2149" t="str">
        <f ca="1">IF('25 Sollumsatz nach Monaten'!X23=0,"",'25 Sollumsatz nach Monaten'!X23)</f>
        <v/>
      </c>
      <c r="AM20" s="2150" t="str">
        <f t="shared" ca="1" si="286"/>
        <v/>
      </c>
      <c r="AN20" s="2151" t="str">
        <f t="shared" ca="1" si="287"/>
        <v/>
      </c>
      <c r="AO20" s="2143"/>
      <c r="AP20" s="2149" t="str">
        <f ca="1">IF('25 Sollumsatz nach Monaten'!Y23=0,"",'25 Sollumsatz nach Monaten'!Y23)</f>
        <v/>
      </c>
      <c r="AQ20" s="2150" t="str">
        <f t="shared" ca="1" si="288"/>
        <v/>
      </c>
      <c r="AR20" s="2151" t="str">
        <f t="shared" ca="1" si="289"/>
        <v/>
      </c>
      <c r="AS20" s="2142" t="str">
        <f t="shared" ca="1" si="219"/>
        <v/>
      </c>
      <c r="AT20" s="2161"/>
      <c r="AU20" s="2162"/>
      <c r="AV20" s="2143"/>
      <c r="AW20" s="2144" t="str">
        <f ca="1">IF('25 Sollumsatz nach Monaten'!AD23=0,"",'25 Sollumsatz nach Monaten'!AD23)</f>
        <v/>
      </c>
      <c r="AX20" s="2145" t="str">
        <f t="shared" ca="1" si="290"/>
        <v/>
      </c>
      <c r="AY20" s="2146" t="str">
        <f t="shared" ca="1" si="291"/>
        <v/>
      </c>
      <c r="AZ20" s="2143"/>
      <c r="BA20" s="2144" t="str">
        <f ca="1">IF('25 Sollumsatz nach Monaten'!AE23=0,"",'25 Sollumsatz nach Monaten'!AE23)</f>
        <v/>
      </c>
      <c r="BB20" s="2145" t="str">
        <f t="shared" ca="1" si="292"/>
        <v/>
      </c>
      <c r="BC20" s="2158" t="str">
        <f t="shared" ca="1" si="293"/>
        <v/>
      </c>
      <c r="BD20" s="2148" t="str">
        <f t="shared" ca="1" si="220"/>
        <v/>
      </c>
      <c r="BE20" s="2161"/>
      <c r="BF20" s="2162"/>
      <c r="BG20" s="2143"/>
      <c r="BH20" s="2149" t="str">
        <f ca="1">IF('25 Sollumsatz nach Monaten'!AJ23=0,"",'25 Sollumsatz nach Monaten'!AJ23)</f>
        <v/>
      </c>
      <c r="BI20" s="2150" t="str">
        <f t="shared" ca="1" si="294"/>
        <v/>
      </c>
      <c r="BJ20" s="2151" t="str">
        <f t="shared" ca="1" si="295"/>
        <v/>
      </c>
      <c r="BK20" s="2143"/>
      <c r="BL20" s="2149" t="str">
        <f ca="1">IF('25 Sollumsatz nach Monaten'!AK23=0,"",'25 Sollumsatz nach Monaten'!AK23)</f>
        <v/>
      </c>
      <c r="BM20" s="2150" t="str">
        <f t="shared" ca="1" si="296"/>
        <v/>
      </c>
      <c r="BN20" s="2151" t="str">
        <f t="shared" ca="1" si="297"/>
        <v/>
      </c>
      <c r="BO20" s="2142" t="str">
        <f t="shared" ca="1" si="221"/>
        <v/>
      </c>
      <c r="BP20" s="2161"/>
      <c r="BQ20" s="2162"/>
      <c r="BR20" s="2143"/>
      <c r="BS20" s="2144" t="str">
        <f ca="1">IF('25 Sollumsatz nach Monaten'!AP23=0,"",'25 Sollumsatz nach Monaten'!AP23)</f>
        <v/>
      </c>
      <c r="BT20" s="2145" t="str">
        <f t="shared" ca="1" si="298"/>
        <v/>
      </c>
      <c r="BU20" s="2146" t="str">
        <f t="shared" ca="1" si="299"/>
        <v/>
      </c>
      <c r="BV20" s="2143"/>
      <c r="BW20" s="2144" t="str">
        <f ca="1">IF('25 Sollumsatz nach Monaten'!AQ23=0,"",'25 Sollumsatz nach Monaten'!AQ23)</f>
        <v/>
      </c>
      <c r="BX20" s="2145" t="str">
        <f t="shared" ca="1" si="300"/>
        <v/>
      </c>
      <c r="BY20" s="2158" t="str">
        <f t="shared" ca="1" si="301"/>
        <v/>
      </c>
      <c r="BZ20" s="2148" t="str">
        <f t="shared" ca="1" si="222"/>
        <v/>
      </c>
      <c r="CA20" s="2161"/>
      <c r="CB20" s="2162"/>
      <c r="CC20" s="2143"/>
      <c r="CD20" s="2149" t="str">
        <f ca="1">IF('25 Sollumsatz nach Monaten'!AV23=0,"",'25 Sollumsatz nach Monaten'!AV23)</f>
        <v/>
      </c>
      <c r="CE20" s="2150" t="str">
        <f t="shared" ca="1" si="302"/>
        <v/>
      </c>
      <c r="CF20" s="2151" t="str">
        <f t="shared" ca="1" si="303"/>
        <v/>
      </c>
      <c r="CG20" s="2143"/>
      <c r="CH20" s="2149" t="str">
        <f ca="1">IF('25 Sollumsatz nach Monaten'!AW23=0,"",'25 Sollumsatz nach Monaten'!AW23)</f>
        <v/>
      </c>
      <c r="CI20" s="2150" t="str">
        <f t="shared" ca="1" si="304"/>
        <v/>
      </c>
      <c r="CJ20" s="2151" t="str">
        <f t="shared" ca="1" si="305"/>
        <v/>
      </c>
      <c r="CK20" s="2142" t="str">
        <f t="shared" ca="1" si="223"/>
        <v/>
      </c>
      <c r="CL20" s="2161"/>
      <c r="CM20" s="2162"/>
      <c r="CN20" s="2143"/>
      <c r="CO20" s="2144" t="str">
        <f ca="1">IF('25 Sollumsatz nach Monaten'!BB23=0,"",'25 Sollumsatz nach Monaten'!BB23)</f>
        <v/>
      </c>
      <c r="CP20" s="2145" t="str">
        <f t="shared" ca="1" si="306"/>
        <v/>
      </c>
      <c r="CQ20" s="2146" t="str">
        <f t="shared" ca="1" si="307"/>
        <v/>
      </c>
      <c r="CR20" s="2143"/>
      <c r="CS20" s="2144" t="str">
        <f ca="1">IF('25 Sollumsatz nach Monaten'!BC23=0,"",'25 Sollumsatz nach Monaten'!BC23)</f>
        <v/>
      </c>
      <c r="CT20" s="2145" t="str">
        <f t="shared" ca="1" si="308"/>
        <v/>
      </c>
      <c r="CU20" s="2158" t="str">
        <f t="shared" ca="1" si="309"/>
        <v/>
      </c>
      <c r="CV20" s="2148" t="str">
        <f t="shared" ca="1" si="224"/>
        <v/>
      </c>
      <c r="CW20" s="2161"/>
      <c r="CX20" s="2162"/>
      <c r="CY20" s="2143"/>
      <c r="CZ20" s="2149" t="str">
        <f ca="1">IF('25 Sollumsatz nach Monaten'!BH23=0,"",'25 Sollumsatz nach Monaten'!BH23)</f>
        <v/>
      </c>
      <c r="DA20" s="2150" t="str">
        <f t="shared" ca="1" si="310"/>
        <v/>
      </c>
      <c r="DB20" s="2151" t="str">
        <f t="shared" ca="1" si="311"/>
        <v/>
      </c>
      <c r="DC20" s="2143"/>
      <c r="DD20" s="2149" t="str">
        <f ca="1">IF('25 Sollumsatz nach Monaten'!BI23=0,"",'25 Sollumsatz nach Monaten'!BI23)</f>
        <v/>
      </c>
      <c r="DE20" s="2150" t="str">
        <f t="shared" ca="1" si="312"/>
        <v/>
      </c>
      <c r="DF20" s="2151" t="str">
        <f t="shared" ca="1" si="313"/>
        <v/>
      </c>
      <c r="DG20" s="2142" t="str">
        <f t="shared" ca="1" si="225"/>
        <v/>
      </c>
      <c r="DH20" s="2161"/>
      <c r="DI20" s="2162"/>
      <c r="DJ20" s="2143"/>
      <c r="DK20" s="2144" t="str">
        <f ca="1">IF('25 Sollumsatz nach Monaten'!BN23=0,"",'25 Sollumsatz nach Monaten'!BN23)</f>
        <v/>
      </c>
      <c r="DL20" s="2145" t="str">
        <f t="shared" ca="1" si="314"/>
        <v/>
      </c>
      <c r="DM20" s="2146" t="str">
        <f t="shared" ca="1" si="315"/>
        <v/>
      </c>
      <c r="DN20" s="2143"/>
      <c r="DO20" s="2144" t="str">
        <f ca="1">IF('25 Sollumsatz nach Monaten'!BO23=0,"",'25 Sollumsatz nach Monaten'!BO23)</f>
        <v/>
      </c>
      <c r="DP20" s="2145" t="str">
        <f t="shared" ca="1" si="316"/>
        <v/>
      </c>
      <c r="DQ20" s="2158" t="str">
        <f t="shared" ca="1" si="317"/>
        <v/>
      </c>
      <c r="DR20" s="2148" t="str">
        <f t="shared" ca="1" si="226"/>
        <v/>
      </c>
      <c r="DS20" s="2161"/>
      <c r="DT20" s="2162"/>
      <c r="DU20" s="2143"/>
      <c r="DV20" s="2149" t="str">
        <f ca="1">IF('25 Sollumsatz nach Monaten'!BT23=0,"",'25 Sollumsatz nach Monaten'!BT23)</f>
        <v/>
      </c>
      <c r="DW20" s="2150" t="str">
        <f t="shared" ca="1" si="318"/>
        <v/>
      </c>
      <c r="DX20" s="2151" t="str">
        <f t="shared" ca="1" si="319"/>
        <v/>
      </c>
      <c r="DY20" s="2143"/>
      <c r="DZ20" s="2149" t="str">
        <f ca="1">IF('25 Sollumsatz nach Monaten'!BU23=0,"",'25 Sollumsatz nach Monaten'!BU23)</f>
        <v/>
      </c>
      <c r="EA20" s="2150" t="str">
        <f t="shared" ca="1" si="320"/>
        <v/>
      </c>
      <c r="EB20" s="2151" t="str">
        <f t="shared" ca="1" si="321"/>
        <v/>
      </c>
      <c r="EC20" s="2152" t="str">
        <f t="shared" ca="1" si="227"/>
        <v/>
      </c>
      <c r="ED20" s="2280" t="str">
        <f t="shared" ca="1" si="228"/>
        <v/>
      </c>
      <c r="EE20" s="2153" t="str">
        <f t="shared" ca="1" si="229"/>
        <v/>
      </c>
      <c r="EF20" s="2154" t="str">
        <f t="shared" ca="1" si="230"/>
        <v/>
      </c>
      <c r="EG20" s="2155" t="str">
        <f t="shared" ca="1" si="275"/>
        <v/>
      </c>
      <c r="EH20" s="2282" t="str">
        <f t="shared" ca="1" si="231"/>
        <v/>
      </c>
      <c r="EI20" s="2153" t="str">
        <f t="shared" ca="1" si="232"/>
        <v/>
      </c>
      <c r="EJ20" s="2154" t="str">
        <f t="shared" ca="1" si="233"/>
        <v/>
      </c>
      <c r="EK20" s="2155" t="str">
        <f t="shared" ca="1" si="322"/>
        <v/>
      </c>
      <c r="EL20" s="2160" t="str">
        <f t="shared" ca="1" si="234"/>
        <v/>
      </c>
      <c r="EM20" s="2160" t="str">
        <f t="shared" ca="1" si="235"/>
        <v/>
      </c>
      <c r="EN20" s="2160" t="str">
        <f t="shared" ca="1" si="236"/>
        <v/>
      </c>
      <c r="EO20" s="2152" t="str">
        <f t="shared" ca="1" si="237"/>
        <v/>
      </c>
      <c r="EP20" s="2312" t="str">
        <f ca="1">IF('25 Sollumsatz nach Monaten'!BV23="","",SUM(EQ20:ER20))</f>
        <v/>
      </c>
      <c r="EQ20" s="2312" t="str">
        <f ca="1">IF('25 Sollumsatz nach Monaten'!BV23="","",ED20/'25 Sollumsatz nach Monaten'!BV23)</f>
        <v/>
      </c>
      <c r="ER20" s="2312" t="str">
        <f ca="1">IF('25 Sollumsatz nach Monaten'!BV23="","",EH20/'25 Sollumsatz nach Monaten'!BV23)</f>
        <v/>
      </c>
      <c r="EY20" s="2248"/>
      <c r="EZ20" s="2249"/>
      <c r="FA20" s="2250"/>
      <c r="FB20" s="2251" t="str">
        <f t="shared" si="238"/>
        <v/>
      </c>
      <c r="FC20" s="2252"/>
      <c r="FD20" s="2253"/>
      <c r="FE20" s="2251" t="str">
        <f t="shared" ca="1" si="239"/>
        <v/>
      </c>
      <c r="FF20" s="2254"/>
      <c r="FG20" s="2252"/>
      <c r="FH20" s="2253"/>
      <c r="FI20" s="2251" t="str">
        <f t="shared" ca="1" si="240"/>
        <v/>
      </c>
      <c r="FJ20" s="2248"/>
      <c r="FK20" s="2249"/>
      <c r="FL20" s="2250"/>
      <c r="FM20" s="2251" t="str">
        <f t="shared" si="241"/>
        <v/>
      </c>
      <c r="FN20" s="2252"/>
      <c r="FO20" s="2253"/>
      <c r="FP20" s="2251" t="str">
        <f t="shared" ca="1" si="242"/>
        <v/>
      </c>
      <c r="FQ20" s="2254"/>
      <c r="FR20" s="2252"/>
      <c r="FS20" s="2253"/>
      <c r="FT20" s="2251" t="str">
        <f t="shared" ca="1" si="243"/>
        <v/>
      </c>
      <c r="FU20" s="2248"/>
      <c r="FV20" s="2249"/>
      <c r="FW20" s="2250"/>
      <c r="FX20" s="2251" t="str">
        <f t="shared" si="244"/>
        <v/>
      </c>
      <c r="FY20" s="2252"/>
      <c r="FZ20" s="2253"/>
      <c r="GA20" s="2251" t="str">
        <f t="shared" ca="1" si="245"/>
        <v/>
      </c>
      <c r="GB20" s="2254"/>
      <c r="GC20" s="2252"/>
      <c r="GD20" s="2253"/>
      <c r="GE20" s="2251" t="str">
        <f t="shared" ca="1" si="246"/>
        <v/>
      </c>
      <c r="GF20" s="2248"/>
      <c r="GG20" s="2249"/>
      <c r="GH20" s="2250"/>
      <c r="GI20" s="2251" t="str">
        <f t="shared" si="247"/>
        <v/>
      </c>
      <c r="GJ20" s="2252"/>
      <c r="GK20" s="2253"/>
      <c r="GL20" s="2251" t="str">
        <f t="shared" ca="1" si="248"/>
        <v/>
      </c>
      <c r="GM20" s="2254"/>
      <c r="GN20" s="2252"/>
      <c r="GO20" s="2253"/>
      <c r="GP20" s="2251" t="str">
        <f t="shared" ca="1" si="249"/>
        <v/>
      </c>
      <c r="GQ20" s="2248"/>
      <c r="GR20" s="2249"/>
      <c r="GS20" s="2250"/>
      <c r="GT20" s="2251" t="str">
        <f t="shared" si="250"/>
        <v/>
      </c>
      <c r="GU20" s="2252"/>
      <c r="GV20" s="2253"/>
      <c r="GW20" s="2251" t="str">
        <f t="shared" ca="1" si="251"/>
        <v/>
      </c>
      <c r="GX20" s="2254"/>
      <c r="GY20" s="2252"/>
      <c r="GZ20" s="2253"/>
      <c r="HA20" s="2251" t="str">
        <f t="shared" ca="1" si="252"/>
        <v/>
      </c>
      <c r="HB20" s="2248"/>
      <c r="HC20" s="2249"/>
      <c r="HD20" s="2250"/>
      <c r="HE20" s="2251" t="str">
        <f t="shared" si="253"/>
        <v/>
      </c>
      <c r="HF20" s="2252"/>
      <c r="HG20" s="2253"/>
      <c r="HH20" s="2251" t="str">
        <f t="shared" ca="1" si="254"/>
        <v/>
      </c>
      <c r="HI20" s="2254"/>
      <c r="HJ20" s="2252"/>
      <c r="HK20" s="2253"/>
      <c r="HL20" s="2251" t="str">
        <f t="shared" ca="1" si="255"/>
        <v/>
      </c>
      <c r="HM20" s="2248"/>
      <c r="HN20" s="2249"/>
      <c r="HO20" s="2250"/>
      <c r="HP20" s="2251" t="str">
        <f t="shared" si="256"/>
        <v/>
      </c>
      <c r="HQ20" s="2252"/>
      <c r="HR20" s="2253"/>
      <c r="HS20" s="2251" t="str">
        <f t="shared" ca="1" si="257"/>
        <v/>
      </c>
      <c r="HT20" s="2254"/>
      <c r="HU20" s="2252"/>
      <c r="HV20" s="2253"/>
      <c r="HW20" s="2251" t="str">
        <f t="shared" ca="1" si="258"/>
        <v/>
      </c>
      <c r="HX20" s="2248"/>
      <c r="HY20" s="2249"/>
      <c r="HZ20" s="2250"/>
      <c r="IA20" s="2251" t="str">
        <f t="shared" si="259"/>
        <v/>
      </c>
      <c r="IB20" s="2252"/>
      <c r="IC20" s="2253"/>
      <c r="ID20" s="2251" t="str">
        <f t="shared" ca="1" si="260"/>
        <v/>
      </c>
      <c r="IE20" s="2254"/>
      <c r="IF20" s="2252"/>
      <c r="IG20" s="2253"/>
      <c r="IH20" s="2251" t="str">
        <f t="shared" ca="1" si="261"/>
        <v/>
      </c>
      <c r="II20" s="2248"/>
      <c r="IJ20" s="2249"/>
      <c r="IK20" s="2250"/>
      <c r="IL20" s="2251" t="str">
        <f t="shared" si="262"/>
        <v/>
      </c>
      <c r="IM20" s="2252"/>
      <c r="IN20" s="2253"/>
      <c r="IO20" s="2251" t="str">
        <f t="shared" ca="1" si="263"/>
        <v/>
      </c>
      <c r="IP20" s="2254"/>
      <c r="IQ20" s="2252"/>
      <c r="IR20" s="2253"/>
      <c r="IS20" s="2251" t="str">
        <f t="shared" ca="1" si="264"/>
        <v/>
      </c>
      <c r="IT20" s="2248"/>
      <c r="IU20" s="2249"/>
      <c r="IV20" s="2250"/>
      <c r="IW20" s="2251" t="str">
        <f t="shared" si="265"/>
        <v/>
      </c>
      <c r="IX20" s="2252"/>
      <c r="IY20" s="2253"/>
      <c r="IZ20" s="2251" t="str">
        <f t="shared" ca="1" si="266"/>
        <v/>
      </c>
      <c r="JA20" s="2254"/>
      <c r="JB20" s="2252"/>
      <c r="JC20" s="2253"/>
      <c r="JD20" s="2251" t="str">
        <f t="shared" ca="1" si="267"/>
        <v/>
      </c>
      <c r="JE20" s="2248"/>
      <c r="JF20" s="2249"/>
      <c r="JG20" s="2250"/>
      <c r="JH20" s="2251" t="str">
        <f t="shared" si="268"/>
        <v/>
      </c>
      <c r="JI20" s="2252"/>
      <c r="JJ20" s="2253"/>
      <c r="JK20" s="2251" t="str">
        <f t="shared" ca="1" si="269"/>
        <v/>
      </c>
      <c r="JL20" s="2254"/>
      <c r="JM20" s="2252"/>
      <c r="JN20" s="2253"/>
      <c r="JO20" s="2251" t="str">
        <f t="shared" ca="1" si="270"/>
        <v/>
      </c>
      <c r="JP20" s="2248"/>
      <c r="JQ20" s="2249"/>
      <c r="JR20" s="2250"/>
      <c r="JS20" s="2251" t="str">
        <f t="shared" si="271"/>
        <v/>
      </c>
      <c r="JT20" s="2252"/>
      <c r="JU20" s="2253"/>
      <c r="JV20" s="2251" t="str">
        <f t="shared" ca="1" si="272"/>
        <v/>
      </c>
      <c r="JW20" s="2254"/>
      <c r="JX20" s="2252"/>
      <c r="JY20" s="2253"/>
      <c r="JZ20" s="2251" t="str">
        <f t="shared" ca="1" si="273"/>
        <v/>
      </c>
      <c r="KA20" s="2231"/>
    </row>
    <row r="21" spans="1:287" s="2156" customFormat="1" ht="18" customHeight="1">
      <c r="A21" s="2142" t="str">
        <f ca="1">IF('22 Sollumsatz pro MA '!$A22="","",'22 Sollumsatz pro MA '!$A22)</f>
        <v/>
      </c>
      <c r="B21" s="2161"/>
      <c r="C21" s="2162"/>
      <c r="D21" s="2143"/>
      <c r="E21" s="2144" t="str">
        <f ca="1">IF('25 Sollumsatz nach Monaten'!F24=0,"",'25 Sollumsatz nach Monaten'!F24)</f>
        <v/>
      </c>
      <c r="F21" s="2145" t="str">
        <f t="shared" ca="1" si="276"/>
        <v/>
      </c>
      <c r="G21" s="2146" t="str">
        <f t="shared" ca="1" si="144"/>
        <v/>
      </c>
      <c r="H21" s="2143"/>
      <c r="I21" s="2144" t="str">
        <f ca="1">IF('25 Sollumsatz nach Monaten'!G24=0,"",'25 Sollumsatz nach Monaten'!G24)</f>
        <v/>
      </c>
      <c r="J21" s="2145" t="str">
        <f t="shared" ca="1" si="277"/>
        <v/>
      </c>
      <c r="K21" s="2158" t="str">
        <f t="shared" ca="1" si="146"/>
        <v/>
      </c>
      <c r="L21" s="2148" t="str">
        <f t="shared" ca="1" si="216"/>
        <v/>
      </c>
      <c r="M21" s="2161"/>
      <c r="N21" s="2162"/>
      <c r="O21" s="2143"/>
      <c r="P21" s="2149" t="str">
        <f ca="1">IF('25 Sollumsatz nach Monaten'!L24=0,"",'25 Sollumsatz nach Monaten'!L24)</f>
        <v/>
      </c>
      <c r="Q21" s="2150" t="str">
        <f t="shared" ca="1" si="278"/>
        <v/>
      </c>
      <c r="R21" s="2151" t="str">
        <f t="shared" ca="1" si="279"/>
        <v/>
      </c>
      <c r="S21" s="2143"/>
      <c r="T21" s="2149" t="str">
        <f ca="1">IF('25 Sollumsatz nach Monaten'!M24=0,"",'25 Sollumsatz nach Monaten'!M24)</f>
        <v/>
      </c>
      <c r="U21" s="2150" t="str">
        <f t="shared" ca="1" si="280"/>
        <v/>
      </c>
      <c r="V21" s="2151" t="str">
        <f t="shared" ca="1" si="281"/>
        <v/>
      </c>
      <c r="W21" s="2142" t="str">
        <f t="shared" ca="1" si="217"/>
        <v/>
      </c>
      <c r="X21" s="2161"/>
      <c r="Y21" s="2162"/>
      <c r="Z21" s="2143"/>
      <c r="AA21" s="2144" t="str">
        <f ca="1">IF('25 Sollumsatz nach Monaten'!R24=0,"",'25 Sollumsatz nach Monaten'!R24)</f>
        <v/>
      </c>
      <c r="AB21" s="2145" t="str">
        <f t="shared" ca="1" si="282"/>
        <v/>
      </c>
      <c r="AC21" s="2146" t="str">
        <f t="shared" ca="1" si="283"/>
        <v/>
      </c>
      <c r="AD21" s="2147"/>
      <c r="AE21" s="2144" t="str">
        <f ca="1">IF('25 Sollumsatz nach Monaten'!S24=0,"",'25 Sollumsatz nach Monaten'!S24)</f>
        <v/>
      </c>
      <c r="AF21" s="2145" t="str">
        <f t="shared" ca="1" si="284"/>
        <v/>
      </c>
      <c r="AG21" s="2158" t="str">
        <f t="shared" ca="1" si="285"/>
        <v/>
      </c>
      <c r="AH21" s="2148" t="str">
        <f t="shared" ca="1" si="218"/>
        <v/>
      </c>
      <c r="AI21" s="2161"/>
      <c r="AJ21" s="2162"/>
      <c r="AK21" s="2143"/>
      <c r="AL21" s="2149" t="str">
        <f ca="1">IF('25 Sollumsatz nach Monaten'!X24=0,"",'25 Sollumsatz nach Monaten'!X24)</f>
        <v/>
      </c>
      <c r="AM21" s="2150" t="str">
        <f t="shared" ca="1" si="286"/>
        <v/>
      </c>
      <c r="AN21" s="2151" t="str">
        <f t="shared" ca="1" si="287"/>
        <v/>
      </c>
      <c r="AO21" s="2143"/>
      <c r="AP21" s="2149" t="str">
        <f ca="1">IF('25 Sollumsatz nach Monaten'!Y24=0,"",'25 Sollumsatz nach Monaten'!Y24)</f>
        <v/>
      </c>
      <c r="AQ21" s="2150" t="str">
        <f t="shared" ca="1" si="288"/>
        <v/>
      </c>
      <c r="AR21" s="2151" t="str">
        <f t="shared" ca="1" si="289"/>
        <v/>
      </c>
      <c r="AS21" s="2142" t="str">
        <f t="shared" ca="1" si="219"/>
        <v/>
      </c>
      <c r="AT21" s="2161"/>
      <c r="AU21" s="2162"/>
      <c r="AV21" s="2143"/>
      <c r="AW21" s="2144" t="str">
        <f ca="1">IF('25 Sollumsatz nach Monaten'!AD24=0,"",'25 Sollumsatz nach Monaten'!AD24)</f>
        <v/>
      </c>
      <c r="AX21" s="2145" t="str">
        <f t="shared" ca="1" si="290"/>
        <v/>
      </c>
      <c r="AY21" s="2146" t="str">
        <f t="shared" ca="1" si="291"/>
        <v/>
      </c>
      <c r="AZ21" s="2143"/>
      <c r="BA21" s="2144" t="str">
        <f ca="1">IF('25 Sollumsatz nach Monaten'!AE24=0,"",'25 Sollumsatz nach Monaten'!AE24)</f>
        <v/>
      </c>
      <c r="BB21" s="2145" t="str">
        <f t="shared" ca="1" si="292"/>
        <v/>
      </c>
      <c r="BC21" s="2158" t="str">
        <f t="shared" ca="1" si="293"/>
        <v/>
      </c>
      <c r="BD21" s="2148" t="str">
        <f t="shared" ca="1" si="220"/>
        <v/>
      </c>
      <c r="BE21" s="2161"/>
      <c r="BF21" s="2162"/>
      <c r="BG21" s="2143"/>
      <c r="BH21" s="2149" t="str">
        <f ca="1">IF('25 Sollumsatz nach Monaten'!AJ24=0,"",'25 Sollumsatz nach Monaten'!AJ24)</f>
        <v/>
      </c>
      <c r="BI21" s="2150" t="str">
        <f t="shared" ca="1" si="294"/>
        <v/>
      </c>
      <c r="BJ21" s="2151" t="str">
        <f t="shared" ca="1" si="295"/>
        <v/>
      </c>
      <c r="BK21" s="2143"/>
      <c r="BL21" s="2149" t="str">
        <f ca="1">IF('25 Sollumsatz nach Monaten'!AK24=0,"",'25 Sollumsatz nach Monaten'!AK24)</f>
        <v/>
      </c>
      <c r="BM21" s="2150" t="str">
        <f t="shared" ca="1" si="296"/>
        <v/>
      </c>
      <c r="BN21" s="2151" t="str">
        <f t="shared" ca="1" si="297"/>
        <v/>
      </c>
      <c r="BO21" s="2142" t="str">
        <f t="shared" ca="1" si="221"/>
        <v/>
      </c>
      <c r="BP21" s="2161"/>
      <c r="BQ21" s="2162"/>
      <c r="BR21" s="2143"/>
      <c r="BS21" s="2144" t="str">
        <f ca="1">IF('25 Sollumsatz nach Monaten'!AP24=0,"",'25 Sollumsatz nach Monaten'!AP24)</f>
        <v/>
      </c>
      <c r="BT21" s="2145" t="str">
        <f t="shared" ca="1" si="298"/>
        <v/>
      </c>
      <c r="BU21" s="2146" t="str">
        <f t="shared" ca="1" si="299"/>
        <v/>
      </c>
      <c r="BV21" s="2143"/>
      <c r="BW21" s="2144" t="str">
        <f ca="1">IF('25 Sollumsatz nach Monaten'!AQ24=0,"",'25 Sollumsatz nach Monaten'!AQ24)</f>
        <v/>
      </c>
      <c r="BX21" s="2145" t="str">
        <f t="shared" ca="1" si="300"/>
        <v/>
      </c>
      <c r="BY21" s="2158" t="str">
        <f t="shared" ca="1" si="301"/>
        <v/>
      </c>
      <c r="BZ21" s="2148" t="str">
        <f t="shared" ca="1" si="222"/>
        <v/>
      </c>
      <c r="CA21" s="2161"/>
      <c r="CB21" s="2162"/>
      <c r="CC21" s="2143"/>
      <c r="CD21" s="2149" t="str">
        <f ca="1">IF('25 Sollumsatz nach Monaten'!AV24=0,"",'25 Sollumsatz nach Monaten'!AV24)</f>
        <v/>
      </c>
      <c r="CE21" s="2150" t="str">
        <f t="shared" ca="1" si="302"/>
        <v/>
      </c>
      <c r="CF21" s="2151" t="str">
        <f t="shared" ca="1" si="303"/>
        <v/>
      </c>
      <c r="CG21" s="2143"/>
      <c r="CH21" s="2149" t="str">
        <f ca="1">IF('25 Sollumsatz nach Monaten'!AW24=0,"",'25 Sollumsatz nach Monaten'!AW24)</f>
        <v/>
      </c>
      <c r="CI21" s="2150" t="str">
        <f t="shared" ca="1" si="304"/>
        <v/>
      </c>
      <c r="CJ21" s="2151" t="str">
        <f t="shared" ca="1" si="305"/>
        <v/>
      </c>
      <c r="CK21" s="2142" t="str">
        <f t="shared" ca="1" si="223"/>
        <v/>
      </c>
      <c r="CL21" s="2161"/>
      <c r="CM21" s="2162"/>
      <c r="CN21" s="2143"/>
      <c r="CO21" s="2144" t="str">
        <f ca="1">IF('25 Sollumsatz nach Monaten'!BB24=0,"",'25 Sollumsatz nach Monaten'!BB24)</f>
        <v/>
      </c>
      <c r="CP21" s="2145" t="str">
        <f t="shared" ca="1" si="306"/>
        <v/>
      </c>
      <c r="CQ21" s="2146" t="str">
        <f t="shared" ca="1" si="307"/>
        <v/>
      </c>
      <c r="CR21" s="2143"/>
      <c r="CS21" s="2144" t="str">
        <f ca="1">IF('25 Sollumsatz nach Monaten'!BC24=0,"",'25 Sollumsatz nach Monaten'!BC24)</f>
        <v/>
      </c>
      <c r="CT21" s="2145" t="str">
        <f t="shared" ca="1" si="308"/>
        <v/>
      </c>
      <c r="CU21" s="2158" t="str">
        <f t="shared" ca="1" si="309"/>
        <v/>
      </c>
      <c r="CV21" s="2148" t="str">
        <f t="shared" ca="1" si="224"/>
        <v/>
      </c>
      <c r="CW21" s="2161"/>
      <c r="CX21" s="2162"/>
      <c r="CY21" s="2143"/>
      <c r="CZ21" s="2149" t="str">
        <f ca="1">IF('25 Sollumsatz nach Monaten'!BH24=0,"",'25 Sollumsatz nach Monaten'!BH24)</f>
        <v/>
      </c>
      <c r="DA21" s="2150" t="str">
        <f t="shared" ca="1" si="310"/>
        <v/>
      </c>
      <c r="DB21" s="2151" t="str">
        <f t="shared" ca="1" si="311"/>
        <v/>
      </c>
      <c r="DC21" s="2143"/>
      <c r="DD21" s="2149" t="str">
        <f ca="1">IF('25 Sollumsatz nach Monaten'!BI24=0,"",'25 Sollumsatz nach Monaten'!BI24)</f>
        <v/>
      </c>
      <c r="DE21" s="2150" t="str">
        <f t="shared" ca="1" si="312"/>
        <v/>
      </c>
      <c r="DF21" s="2151" t="str">
        <f t="shared" ca="1" si="313"/>
        <v/>
      </c>
      <c r="DG21" s="2142" t="str">
        <f t="shared" ca="1" si="225"/>
        <v/>
      </c>
      <c r="DH21" s="2161"/>
      <c r="DI21" s="2162"/>
      <c r="DJ21" s="2143"/>
      <c r="DK21" s="2144" t="str">
        <f ca="1">IF('25 Sollumsatz nach Monaten'!BN24=0,"",'25 Sollumsatz nach Monaten'!BN24)</f>
        <v/>
      </c>
      <c r="DL21" s="2145" t="str">
        <f t="shared" ca="1" si="314"/>
        <v/>
      </c>
      <c r="DM21" s="2146" t="str">
        <f t="shared" ca="1" si="315"/>
        <v/>
      </c>
      <c r="DN21" s="2143"/>
      <c r="DO21" s="2144" t="str">
        <f ca="1">IF('25 Sollumsatz nach Monaten'!BO24=0,"",'25 Sollumsatz nach Monaten'!BO24)</f>
        <v/>
      </c>
      <c r="DP21" s="2145" t="str">
        <f t="shared" ca="1" si="316"/>
        <v/>
      </c>
      <c r="DQ21" s="2158" t="str">
        <f t="shared" ca="1" si="317"/>
        <v/>
      </c>
      <c r="DR21" s="2148" t="str">
        <f t="shared" ca="1" si="226"/>
        <v/>
      </c>
      <c r="DS21" s="2161"/>
      <c r="DT21" s="2162"/>
      <c r="DU21" s="2143"/>
      <c r="DV21" s="2149" t="str">
        <f ca="1">IF('25 Sollumsatz nach Monaten'!BT24=0,"",'25 Sollumsatz nach Monaten'!BT24)</f>
        <v/>
      </c>
      <c r="DW21" s="2150" t="str">
        <f t="shared" ca="1" si="318"/>
        <v/>
      </c>
      <c r="DX21" s="2151" t="str">
        <f t="shared" ca="1" si="319"/>
        <v/>
      </c>
      <c r="DY21" s="2143"/>
      <c r="DZ21" s="2149" t="str">
        <f ca="1">IF('25 Sollumsatz nach Monaten'!BU24=0,"",'25 Sollumsatz nach Monaten'!BU24)</f>
        <v/>
      </c>
      <c r="EA21" s="2150" t="str">
        <f t="shared" ca="1" si="320"/>
        <v/>
      </c>
      <c r="EB21" s="2151" t="str">
        <f t="shared" ca="1" si="321"/>
        <v/>
      </c>
      <c r="EC21" s="2152" t="str">
        <f t="shared" ca="1" si="227"/>
        <v/>
      </c>
      <c r="ED21" s="2280" t="str">
        <f t="shared" ca="1" si="228"/>
        <v/>
      </c>
      <c r="EE21" s="2153" t="str">
        <f t="shared" ca="1" si="229"/>
        <v/>
      </c>
      <c r="EF21" s="2154" t="str">
        <f t="shared" ca="1" si="230"/>
        <v/>
      </c>
      <c r="EG21" s="2155" t="str">
        <f t="shared" ca="1" si="275"/>
        <v/>
      </c>
      <c r="EH21" s="2282" t="str">
        <f t="shared" ca="1" si="231"/>
        <v/>
      </c>
      <c r="EI21" s="2153" t="str">
        <f t="shared" ca="1" si="232"/>
        <v/>
      </c>
      <c r="EJ21" s="2154" t="str">
        <f t="shared" ca="1" si="233"/>
        <v/>
      </c>
      <c r="EK21" s="2155" t="str">
        <f t="shared" ca="1" si="322"/>
        <v/>
      </c>
      <c r="EL21" s="2160" t="str">
        <f t="shared" ca="1" si="234"/>
        <v/>
      </c>
      <c r="EM21" s="2160" t="str">
        <f t="shared" ca="1" si="235"/>
        <v/>
      </c>
      <c r="EN21" s="2160" t="str">
        <f t="shared" ca="1" si="236"/>
        <v/>
      </c>
      <c r="EO21" s="2152" t="str">
        <f t="shared" ca="1" si="237"/>
        <v/>
      </c>
      <c r="EP21" s="2312" t="str">
        <f ca="1">IF('25 Sollumsatz nach Monaten'!BV24="","",SUM(EQ21:ER21))</f>
        <v/>
      </c>
      <c r="EQ21" s="2312" t="str">
        <f ca="1">IF('25 Sollumsatz nach Monaten'!BV24="","",ED21/'25 Sollumsatz nach Monaten'!BV24)</f>
        <v/>
      </c>
      <c r="ER21" s="2312" t="str">
        <f ca="1">IF('25 Sollumsatz nach Monaten'!BV24="","",EH21/'25 Sollumsatz nach Monaten'!BV24)</f>
        <v/>
      </c>
      <c r="EY21" s="2248"/>
      <c r="EZ21" s="2249"/>
      <c r="FA21" s="2250"/>
      <c r="FB21" s="2251" t="str">
        <f t="shared" si="238"/>
        <v/>
      </c>
      <c r="FC21" s="2252"/>
      <c r="FD21" s="2253"/>
      <c r="FE21" s="2251" t="str">
        <f t="shared" ca="1" si="239"/>
        <v/>
      </c>
      <c r="FF21" s="2254"/>
      <c r="FG21" s="2252"/>
      <c r="FH21" s="2253"/>
      <c r="FI21" s="2251" t="str">
        <f t="shared" ca="1" si="240"/>
        <v/>
      </c>
      <c r="FJ21" s="2248"/>
      <c r="FK21" s="2249"/>
      <c r="FL21" s="2250"/>
      <c r="FM21" s="2251" t="str">
        <f t="shared" si="241"/>
        <v/>
      </c>
      <c r="FN21" s="2252"/>
      <c r="FO21" s="2253"/>
      <c r="FP21" s="2251" t="str">
        <f t="shared" ca="1" si="242"/>
        <v/>
      </c>
      <c r="FQ21" s="2254"/>
      <c r="FR21" s="2252"/>
      <c r="FS21" s="2253"/>
      <c r="FT21" s="2251" t="str">
        <f t="shared" ca="1" si="243"/>
        <v/>
      </c>
      <c r="FU21" s="2248"/>
      <c r="FV21" s="2249"/>
      <c r="FW21" s="2250"/>
      <c r="FX21" s="2251" t="str">
        <f t="shared" si="244"/>
        <v/>
      </c>
      <c r="FY21" s="2252"/>
      <c r="FZ21" s="2253"/>
      <c r="GA21" s="2251" t="str">
        <f t="shared" ca="1" si="245"/>
        <v/>
      </c>
      <c r="GB21" s="2254"/>
      <c r="GC21" s="2252"/>
      <c r="GD21" s="2253"/>
      <c r="GE21" s="2251" t="str">
        <f t="shared" ca="1" si="246"/>
        <v/>
      </c>
      <c r="GF21" s="2248"/>
      <c r="GG21" s="2249"/>
      <c r="GH21" s="2250"/>
      <c r="GI21" s="2251" t="str">
        <f t="shared" si="247"/>
        <v/>
      </c>
      <c r="GJ21" s="2252"/>
      <c r="GK21" s="2253"/>
      <c r="GL21" s="2251" t="str">
        <f t="shared" ca="1" si="248"/>
        <v/>
      </c>
      <c r="GM21" s="2254"/>
      <c r="GN21" s="2252"/>
      <c r="GO21" s="2253"/>
      <c r="GP21" s="2251" t="str">
        <f t="shared" ca="1" si="249"/>
        <v/>
      </c>
      <c r="GQ21" s="2248"/>
      <c r="GR21" s="2249"/>
      <c r="GS21" s="2250"/>
      <c r="GT21" s="2251" t="str">
        <f t="shared" si="250"/>
        <v/>
      </c>
      <c r="GU21" s="2252"/>
      <c r="GV21" s="2253"/>
      <c r="GW21" s="2251" t="str">
        <f t="shared" ca="1" si="251"/>
        <v/>
      </c>
      <c r="GX21" s="2254"/>
      <c r="GY21" s="2252"/>
      <c r="GZ21" s="2253"/>
      <c r="HA21" s="2251" t="str">
        <f t="shared" ca="1" si="252"/>
        <v/>
      </c>
      <c r="HB21" s="2248"/>
      <c r="HC21" s="2249"/>
      <c r="HD21" s="2250"/>
      <c r="HE21" s="2251" t="str">
        <f t="shared" si="253"/>
        <v/>
      </c>
      <c r="HF21" s="2252"/>
      <c r="HG21" s="2253"/>
      <c r="HH21" s="2251" t="str">
        <f t="shared" ca="1" si="254"/>
        <v/>
      </c>
      <c r="HI21" s="2254"/>
      <c r="HJ21" s="2252"/>
      <c r="HK21" s="2253"/>
      <c r="HL21" s="2251" t="str">
        <f t="shared" ca="1" si="255"/>
        <v/>
      </c>
      <c r="HM21" s="2248"/>
      <c r="HN21" s="2249"/>
      <c r="HO21" s="2250"/>
      <c r="HP21" s="2251" t="str">
        <f t="shared" si="256"/>
        <v/>
      </c>
      <c r="HQ21" s="2252"/>
      <c r="HR21" s="2253"/>
      <c r="HS21" s="2251" t="str">
        <f t="shared" ca="1" si="257"/>
        <v/>
      </c>
      <c r="HT21" s="2254"/>
      <c r="HU21" s="2252"/>
      <c r="HV21" s="2253"/>
      <c r="HW21" s="2251" t="str">
        <f t="shared" ca="1" si="258"/>
        <v/>
      </c>
      <c r="HX21" s="2248"/>
      <c r="HY21" s="2249"/>
      <c r="HZ21" s="2250"/>
      <c r="IA21" s="2251" t="str">
        <f t="shared" si="259"/>
        <v/>
      </c>
      <c r="IB21" s="2252"/>
      <c r="IC21" s="2253"/>
      <c r="ID21" s="2251" t="str">
        <f t="shared" ca="1" si="260"/>
        <v/>
      </c>
      <c r="IE21" s="2254"/>
      <c r="IF21" s="2252"/>
      <c r="IG21" s="2253"/>
      <c r="IH21" s="2251" t="str">
        <f t="shared" ca="1" si="261"/>
        <v/>
      </c>
      <c r="II21" s="2248"/>
      <c r="IJ21" s="2249"/>
      <c r="IK21" s="2250"/>
      <c r="IL21" s="2251" t="str">
        <f t="shared" si="262"/>
        <v/>
      </c>
      <c r="IM21" s="2252"/>
      <c r="IN21" s="2253"/>
      <c r="IO21" s="2251" t="str">
        <f t="shared" ca="1" si="263"/>
        <v/>
      </c>
      <c r="IP21" s="2254"/>
      <c r="IQ21" s="2252"/>
      <c r="IR21" s="2253"/>
      <c r="IS21" s="2251" t="str">
        <f t="shared" ca="1" si="264"/>
        <v/>
      </c>
      <c r="IT21" s="2248"/>
      <c r="IU21" s="2249"/>
      <c r="IV21" s="2250"/>
      <c r="IW21" s="2251" t="str">
        <f t="shared" si="265"/>
        <v/>
      </c>
      <c r="IX21" s="2252"/>
      <c r="IY21" s="2253"/>
      <c r="IZ21" s="2251" t="str">
        <f t="shared" ca="1" si="266"/>
        <v/>
      </c>
      <c r="JA21" s="2254"/>
      <c r="JB21" s="2252"/>
      <c r="JC21" s="2253"/>
      <c r="JD21" s="2251" t="str">
        <f t="shared" ca="1" si="267"/>
        <v/>
      </c>
      <c r="JE21" s="2248"/>
      <c r="JF21" s="2249"/>
      <c r="JG21" s="2250"/>
      <c r="JH21" s="2251" t="str">
        <f t="shared" si="268"/>
        <v/>
      </c>
      <c r="JI21" s="2252"/>
      <c r="JJ21" s="2253"/>
      <c r="JK21" s="2251" t="str">
        <f t="shared" ca="1" si="269"/>
        <v/>
      </c>
      <c r="JL21" s="2254"/>
      <c r="JM21" s="2252"/>
      <c r="JN21" s="2253"/>
      <c r="JO21" s="2251" t="str">
        <f t="shared" ca="1" si="270"/>
        <v/>
      </c>
      <c r="JP21" s="2248"/>
      <c r="JQ21" s="2249"/>
      <c r="JR21" s="2250"/>
      <c r="JS21" s="2251" t="str">
        <f t="shared" si="271"/>
        <v/>
      </c>
      <c r="JT21" s="2252"/>
      <c r="JU21" s="2253"/>
      <c r="JV21" s="2251" t="str">
        <f t="shared" ca="1" si="272"/>
        <v/>
      </c>
      <c r="JW21" s="2254"/>
      <c r="JX21" s="2252"/>
      <c r="JY21" s="2253"/>
      <c r="JZ21" s="2251" t="str">
        <f t="shared" ca="1" si="273"/>
        <v/>
      </c>
      <c r="KA21" s="2231"/>
    </row>
    <row r="22" spans="1:287" s="2156" customFormat="1" ht="18" customHeight="1">
      <c r="A22" s="2142" t="str">
        <f ca="1">IF('22 Sollumsatz pro MA '!$A23="","",'22 Sollumsatz pro MA '!$A23)</f>
        <v/>
      </c>
      <c r="B22" s="2161"/>
      <c r="C22" s="2162"/>
      <c r="D22" s="2143"/>
      <c r="E22" s="2144" t="str">
        <f ca="1">IF('25 Sollumsatz nach Monaten'!F25=0,"",'25 Sollumsatz nach Monaten'!F25)</f>
        <v/>
      </c>
      <c r="F22" s="2145" t="str">
        <f t="shared" ca="1" si="276"/>
        <v/>
      </c>
      <c r="G22" s="2146" t="str">
        <f t="shared" ca="1" si="144"/>
        <v/>
      </c>
      <c r="H22" s="2143"/>
      <c r="I22" s="2144" t="str">
        <f ca="1">IF('25 Sollumsatz nach Monaten'!G25=0,"",'25 Sollumsatz nach Monaten'!G25)</f>
        <v/>
      </c>
      <c r="J22" s="2145" t="str">
        <f t="shared" ca="1" si="277"/>
        <v/>
      </c>
      <c r="K22" s="2158" t="str">
        <f t="shared" ca="1" si="146"/>
        <v/>
      </c>
      <c r="L22" s="2148" t="str">
        <f t="shared" ca="1" si="216"/>
        <v/>
      </c>
      <c r="M22" s="2161"/>
      <c r="N22" s="2162"/>
      <c r="O22" s="2143"/>
      <c r="P22" s="2149" t="str">
        <f ca="1">IF('25 Sollumsatz nach Monaten'!L25=0,"",'25 Sollumsatz nach Monaten'!L25)</f>
        <v/>
      </c>
      <c r="Q22" s="2150" t="str">
        <f t="shared" ca="1" si="278"/>
        <v/>
      </c>
      <c r="R22" s="2151" t="str">
        <f t="shared" ca="1" si="279"/>
        <v/>
      </c>
      <c r="S22" s="2143"/>
      <c r="T22" s="2149" t="str">
        <f ca="1">IF('25 Sollumsatz nach Monaten'!M25=0,"",'25 Sollumsatz nach Monaten'!M25)</f>
        <v/>
      </c>
      <c r="U22" s="2150" t="str">
        <f t="shared" ca="1" si="280"/>
        <v/>
      </c>
      <c r="V22" s="2151" t="str">
        <f t="shared" ca="1" si="281"/>
        <v/>
      </c>
      <c r="W22" s="2142" t="str">
        <f t="shared" ca="1" si="217"/>
        <v/>
      </c>
      <c r="X22" s="2161"/>
      <c r="Y22" s="2162"/>
      <c r="Z22" s="2143"/>
      <c r="AA22" s="2144" t="str">
        <f ca="1">IF('25 Sollumsatz nach Monaten'!R25=0,"",'25 Sollumsatz nach Monaten'!R25)</f>
        <v/>
      </c>
      <c r="AB22" s="2145" t="str">
        <f t="shared" ca="1" si="282"/>
        <v/>
      </c>
      <c r="AC22" s="2146" t="str">
        <f t="shared" ca="1" si="283"/>
        <v/>
      </c>
      <c r="AD22" s="2147"/>
      <c r="AE22" s="2144" t="str">
        <f ca="1">IF('25 Sollumsatz nach Monaten'!S25=0,"",'25 Sollumsatz nach Monaten'!S25)</f>
        <v/>
      </c>
      <c r="AF22" s="2145" t="str">
        <f t="shared" ca="1" si="284"/>
        <v/>
      </c>
      <c r="AG22" s="2158" t="str">
        <f t="shared" ca="1" si="285"/>
        <v/>
      </c>
      <c r="AH22" s="2148" t="str">
        <f t="shared" ca="1" si="218"/>
        <v/>
      </c>
      <c r="AI22" s="2161"/>
      <c r="AJ22" s="2162"/>
      <c r="AK22" s="2143"/>
      <c r="AL22" s="2149" t="str">
        <f ca="1">IF('25 Sollumsatz nach Monaten'!X25=0,"",'25 Sollumsatz nach Monaten'!X25)</f>
        <v/>
      </c>
      <c r="AM22" s="2150" t="str">
        <f t="shared" ca="1" si="286"/>
        <v/>
      </c>
      <c r="AN22" s="2151" t="str">
        <f t="shared" ca="1" si="287"/>
        <v/>
      </c>
      <c r="AO22" s="2143"/>
      <c r="AP22" s="2149" t="str">
        <f ca="1">IF('25 Sollumsatz nach Monaten'!Y25=0,"",'25 Sollumsatz nach Monaten'!Y25)</f>
        <v/>
      </c>
      <c r="AQ22" s="2150" t="str">
        <f t="shared" ca="1" si="288"/>
        <v/>
      </c>
      <c r="AR22" s="2151" t="str">
        <f t="shared" ca="1" si="289"/>
        <v/>
      </c>
      <c r="AS22" s="2142" t="str">
        <f t="shared" ca="1" si="219"/>
        <v/>
      </c>
      <c r="AT22" s="2161"/>
      <c r="AU22" s="2162"/>
      <c r="AV22" s="2143"/>
      <c r="AW22" s="2144" t="str">
        <f ca="1">IF('25 Sollumsatz nach Monaten'!AD25=0,"",'25 Sollumsatz nach Monaten'!AD25)</f>
        <v/>
      </c>
      <c r="AX22" s="2145" t="str">
        <f t="shared" ca="1" si="290"/>
        <v/>
      </c>
      <c r="AY22" s="2146" t="str">
        <f t="shared" ca="1" si="291"/>
        <v/>
      </c>
      <c r="AZ22" s="2143"/>
      <c r="BA22" s="2144" t="str">
        <f ca="1">IF('25 Sollumsatz nach Monaten'!AE25=0,"",'25 Sollumsatz nach Monaten'!AE25)</f>
        <v/>
      </c>
      <c r="BB22" s="2145" t="str">
        <f t="shared" ca="1" si="292"/>
        <v/>
      </c>
      <c r="BC22" s="2158" t="str">
        <f t="shared" ca="1" si="293"/>
        <v/>
      </c>
      <c r="BD22" s="2148" t="str">
        <f t="shared" ca="1" si="220"/>
        <v/>
      </c>
      <c r="BE22" s="2161"/>
      <c r="BF22" s="2162"/>
      <c r="BG22" s="2143"/>
      <c r="BH22" s="2149" t="str">
        <f ca="1">IF('25 Sollumsatz nach Monaten'!AJ25=0,"",'25 Sollumsatz nach Monaten'!AJ25)</f>
        <v/>
      </c>
      <c r="BI22" s="2150" t="str">
        <f t="shared" ca="1" si="294"/>
        <v/>
      </c>
      <c r="BJ22" s="2151" t="str">
        <f t="shared" ca="1" si="295"/>
        <v/>
      </c>
      <c r="BK22" s="2143"/>
      <c r="BL22" s="2149" t="str">
        <f ca="1">IF('25 Sollumsatz nach Monaten'!AK25=0,"",'25 Sollumsatz nach Monaten'!AK25)</f>
        <v/>
      </c>
      <c r="BM22" s="2150" t="str">
        <f t="shared" ca="1" si="296"/>
        <v/>
      </c>
      <c r="BN22" s="2151" t="str">
        <f t="shared" ca="1" si="297"/>
        <v/>
      </c>
      <c r="BO22" s="2142" t="str">
        <f t="shared" ca="1" si="221"/>
        <v/>
      </c>
      <c r="BP22" s="2161"/>
      <c r="BQ22" s="2162"/>
      <c r="BR22" s="2143"/>
      <c r="BS22" s="2144" t="str">
        <f ca="1">IF('25 Sollumsatz nach Monaten'!AP25=0,"",'25 Sollumsatz nach Monaten'!AP25)</f>
        <v/>
      </c>
      <c r="BT22" s="2145" t="str">
        <f t="shared" ca="1" si="298"/>
        <v/>
      </c>
      <c r="BU22" s="2146" t="str">
        <f t="shared" ca="1" si="299"/>
        <v/>
      </c>
      <c r="BV22" s="2143"/>
      <c r="BW22" s="2144" t="str">
        <f ca="1">IF('25 Sollumsatz nach Monaten'!AQ25=0,"",'25 Sollumsatz nach Monaten'!AQ25)</f>
        <v/>
      </c>
      <c r="BX22" s="2145" t="str">
        <f t="shared" ca="1" si="300"/>
        <v/>
      </c>
      <c r="BY22" s="2158" t="str">
        <f t="shared" ca="1" si="301"/>
        <v/>
      </c>
      <c r="BZ22" s="2148" t="str">
        <f t="shared" ca="1" si="222"/>
        <v/>
      </c>
      <c r="CA22" s="2161"/>
      <c r="CB22" s="2162"/>
      <c r="CC22" s="2143"/>
      <c r="CD22" s="2149" t="str">
        <f ca="1">IF('25 Sollumsatz nach Monaten'!AV25=0,"",'25 Sollumsatz nach Monaten'!AV25)</f>
        <v/>
      </c>
      <c r="CE22" s="2150" t="str">
        <f t="shared" ca="1" si="302"/>
        <v/>
      </c>
      <c r="CF22" s="2151" t="str">
        <f t="shared" ca="1" si="303"/>
        <v/>
      </c>
      <c r="CG22" s="2143"/>
      <c r="CH22" s="2149" t="str">
        <f ca="1">IF('25 Sollumsatz nach Monaten'!AW25=0,"",'25 Sollumsatz nach Monaten'!AW25)</f>
        <v/>
      </c>
      <c r="CI22" s="2150" t="str">
        <f t="shared" ca="1" si="304"/>
        <v/>
      </c>
      <c r="CJ22" s="2151" t="str">
        <f t="shared" ca="1" si="305"/>
        <v/>
      </c>
      <c r="CK22" s="2142" t="str">
        <f t="shared" ca="1" si="223"/>
        <v/>
      </c>
      <c r="CL22" s="2161"/>
      <c r="CM22" s="2162"/>
      <c r="CN22" s="2143"/>
      <c r="CO22" s="2144" t="str">
        <f ca="1">IF('25 Sollumsatz nach Monaten'!BB25=0,"",'25 Sollumsatz nach Monaten'!BB25)</f>
        <v/>
      </c>
      <c r="CP22" s="2145" t="str">
        <f t="shared" ca="1" si="306"/>
        <v/>
      </c>
      <c r="CQ22" s="2146" t="str">
        <f t="shared" ca="1" si="307"/>
        <v/>
      </c>
      <c r="CR22" s="2143"/>
      <c r="CS22" s="2144" t="str">
        <f ca="1">IF('25 Sollumsatz nach Monaten'!BC25=0,"",'25 Sollumsatz nach Monaten'!BC25)</f>
        <v/>
      </c>
      <c r="CT22" s="2145" t="str">
        <f t="shared" ca="1" si="308"/>
        <v/>
      </c>
      <c r="CU22" s="2158" t="str">
        <f t="shared" ca="1" si="309"/>
        <v/>
      </c>
      <c r="CV22" s="2148" t="str">
        <f t="shared" ca="1" si="224"/>
        <v/>
      </c>
      <c r="CW22" s="2161"/>
      <c r="CX22" s="2162"/>
      <c r="CY22" s="2143"/>
      <c r="CZ22" s="2149" t="str">
        <f ca="1">IF('25 Sollumsatz nach Monaten'!BH25=0,"",'25 Sollumsatz nach Monaten'!BH25)</f>
        <v/>
      </c>
      <c r="DA22" s="2150" t="str">
        <f t="shared" ca="1" si="310"/>
        <v/>
      </c>
      <c r="DB22" s="2151" t="str">
        <f t="shared" ca="1" si="311"/>
        <v/>
      </c>
      <c r="DC22" s="2143"/>
      <c r="DD22" s="2149" t="str">
        <f ca="1">IF('25 Sollumsatz nach Monaten'!BI25=0,"",'25 Sollumsatz nach Monaten'!BI25)</f>
        <v/>
      </c>
      <c r="DE22" s="2150" t="str">
        <f t="shared" ca="1" si="312"/>
        <v/>
      </c>
      <c r="DF22" s="2151" t="str">
        <f t="shared" ca="1" si="313"/>
        <v/>
      </c>
      <c r="DG22" s="2142" t="str">
        <f t="shared" ca="1" si="225"/>
        <v/>
      </c>
      <c r="DH22" s="2161"/>
      <c r="DI22" s="2162"/>
      <c r="DJ22" s="2143"/>
      <c r="DK22" s="2144" t="str">
        <f ca="1">IF('25 Sollumsatz nach Monaten'!BN25=0,"",'25 Sollumsatz nach Monaten'!BN25)</f>
        <v/>
      </c>
      <c r="DL22" s="2145" t="str">
        <f t="shared" ca="1" si="314"/>
        <v/>
      </c>
      <c r="DM22" s="2146" t="str">
        <f t="shared" ca="1" si="315"/>
        <v/>
      </c>
      <c r="DN22" s="2143"/>
      <c r="DO22" s="2144" t="str">
        <f ca="1">IF('25 Sollumsatz nach Monaten'!BO25=0,"",'25 Sollumsatz nach Monaten'!BO25)</f>
        <v/>
      </c>
      <c r="DP22" s="2145" t="str">
        <f t="shared" ca="1" si="316"/>
        <v/>
      </c>
      <c r="DQ22" s="2158" t="str">
        <f t="shared" ca="1" si="317"/>
        <v/>
      </c>
      <c r="DR22" s="2148" t="str">
        <f t="shared" ca="1" si="226"/>
        <v/>
      </c>
      <c r="DS22" s="2161"/>
      <c r="DT22" s="2162"/>
      <c r="DU22" s="2143"/>
      <c r="DV22" s="2149" t="str">
        <f ca="1">IF('25 Sollumsatz nach Monaten'!BT25=0,"",'25 Sollumsatz nach Monaten'!BT25)</f>
        <v/>
      </c>
      <c r="DW22" s="2150" t="str">
        <f t="shared" ca="1" si="318"/>
        <v/>
      </c>
      <c r="DX22" s="2151" t="str">
        <f t="shared" ca="1" si="319"/>
        <v/>
      </c>
      <c r="DY22" s="2143"/>
      <c r="DZ22" s="2149" t="str">
        <f ca="1">IF('25 Sollumsatz nach Monaten'!BU25=0,"",'25 Sollumsatz nach Monaten'!BU25)</f>
        <v/>
      </c>
      <c r="EA22" s="2150" t="str">
        <f t="shared" ca="1" si="320"/>
        <v/>
      </c>
      <c r="EB22" s="2151" t="str">
        <f t="shared" ca="1" si="321"/>
        <v/>
      </c>
      <c r="EC22" s="2152" t="str">
        <f t="shared" ca="1" si="227"/>
        <v/>
      </c>
      <c r="ED22" s="2280" t="str">
        <f t="shared" ca="1" si="228"/>
        <v/>
      </c>
      <c r="EE22" s="2153" t="str">
        <f t="shared" ca="1" si="229"/>
        <v/>
      </c>
      <c r="EF22" s="2154" t="str">
        <f t="shared" ca="1" si="230"/>
        <v/>
      </c>
      <c r="EG22" s="2155" t="str">
        <f t="shared" ca="1" si="275"/>
        <v/>
      </c>
      <c r="EH22" s="2282" t="str">
        <f t="shared" ca="1" si="231"/>
        <v/>
      </c>
      <c r="EI22" s="2153" t="str">
        <f t="shared" ca="1" si="232"/>
        <v/>
      </c>
      <c r="EJ22" s="2154" t="str">
        <f t="shared" ca="1" si="233"/>
        <v/>
      </c>
      <c r="EK22" s="2155" t="str">
        <f t="shared" ca="1" si="322"/>
        <v/>
      </c>
      <c r="EL22" s="2160" t="str">
        <f t="shared" ca="1" si="234"/>
        <v/>
      </c>
      <c r="EM22" s="2160" t="str">
        <f t="shared" ca="1" si="235"/>
        <v/>
      </c>
      <c r="EN22" s="2160" t="str">
        <f t="shared" ca="1" si="236"/>
        <v/>
      </c>
      <c r="EO22" s="2152" t="str">
        <f t="shared" ca="1" si="237"/>
        <v/>
      </c>
      <c r="EP22" s="2312" t="str">
        <f ca="1">IF('25 Sollumsatz nach Monaten'!BV25="","",SUM(EQ22:ER22))</f>
        <v/>
      </c>
      <c r="EQ22" s="2312" t="str">
        <f ca="1">IF('25 Sollumsatz nach Monaten'!BV25="","",ED22/'25 Sollumsatz nach Monaten'!BV25)</f>
        <v/>
      </c>
      <c r="ER22" s="2312" t="str">
        <f ca="1">IF('25 Sollumsatz nach Monaten'!BV25="","",EH22/'25 Sollumsatz nach Monaten'!BV25)</f>
        <v/>
      </c>
      <c r="EY22" s="2248"/>
      <c r="EZ22" s="2249"/>
      <c r="FA22" s="2250"/>
      <c r="FB22" s="2251" t="str">
        <f t="shared" si="238"/>
        <v/>
      </c>
      <c r="FC22" s="2252"/>
      <c r="FD22" s="2253"/>
      <c r="FE22" s="2251" t="str">
        <f t="shared" ca="1" si="239"/>
        <v/>
      </c>
      <c r="FF22" s="2254"/>
      <c r="FG22" s="2252"/>
      <c r="FH22" s="2253"/>
      <c r="FI22" s="2251" t="str">
        <f t="shared" ca="1" si="240"/>
        <v/>
      </c>
      <c r="FJ22" s="2248"/>
      <c r="FK22" s="2249"/>
      <c r="FL22" s="2250"/>
      <c r="FM22" s="2251" t="str">
        <f t="shared" si="241"/>
        <v/>
      </c>
      <c r="FN22" s="2252"/>
      <c r="FO22" s="2253"/>
      <c r="FP22" s="2251" t="str">
        <f t="shared" ca="1" si="242"/>
        <v/>
      </c>
      <c r="FQ22" s="2254"/>
      <c r="FR22" s="2252"/>
      <c r="FS22" s="2253"/>
      <c r="FT22" s="2251" t="str">
        <f t="shared" ca="1" si="243"/>
        <v/>
      </c>
      <c r="FU22" s="2248"/>
      <c r="FV22" s="2249"/>
      <c r="FW22" s="2250"/>
      <c r="FX22" s="2251" t="str">
        <f t="shared" si="244"/>
        <v/>
      </c>
      <c r="FY22" s="2252"/>
      <c r="FZ22" s="2253"/>
      <c r="GA22" s="2251" t="str">
        <f t="shared" ca="1" si="245"/>
        <v/>
      </c>
      <c r="GB22" s="2254"/>
      <c r="GC22" s="2252"/>
      <c r="GD22" s="2253"/>
      <c r="GE22" s="2251" t="str">
        <f t="shared" ca="1" si="246"/>
        <v/>
      </c>
      <c r="GF22" s="2248"/>
      <c r="GG22" s="2249"/>
      <c r="GH22" s="2250"/>
      <c r="GI22" s="2251" t="str">
        <f t="shared" si="247"/>
        <v/>
      </c>
      <c r="GJ22" s="2252"/>
      <c r="GK22" s="2253"/>
      <c r="GL22" s="2251" t="str">
        <f t="shared" ca="1" si="248"/>
        <v/>
      </c>
      <c r="GM22" s="2254"/>
      <c r="GN22" s="2252"/>
      <c r="GO22" s="2253"/>
      <c r="GP22" s="2251" t="str">
        <f t="shared" ca="1" si="249"/>
        <v/>
      </c>
      <c r="GQ22" s="2248"/>
      <c r="GR22" s="2249"/>
      <c r="GS22" s="2250"/>
      <c r="GT22" s="2251" t="str">
        <f t="shared" si="250"/>
        <v/>
      </c>
      <c r="GU22" s="2252"/>
      <c r="GV22" s="2253"/>
      <c r="GW22" s="2251" t="str">
        <f t="shared" ca="1" si="251"/>
        <v/>
      </c>
      <c r="GX22" s="2254"/>
      <c r="GY22" s="2252"/>
      <c r="GZ22" s="2253"/>
      <c r="HA22" s="2251" t="str">
        <f t="shared" ca="1" si="252"/>
        <v/>
      </c>
      <c r="HB22" s="2248"/>
      <c r="HC22" s="2249"/>
      <c r="HD22" s="2250"/>
      <c r="HE22" s="2251" t="str">
        <f t="shared" si="253"/>
        <v/>
      </c>
      <c r="HF22" s="2252"/>
      <c r="HG22" s="2253"/>
      <c r="HH22" s="2251" t="str">
        <f t="shared" ca="1" si="254"/>
        <v/>
      </c>
      <c r="HI22" s="2254"/>
      <c r="HJ22" s="2252"/>
      <c r="HK22" s="2253"/>
      <c r="HL22" s="2251" t="str">
        <f t="shared" ca="1" si="255"/>
        <v/>
      </c>
      <c r="HM22" s="2248"/>
      <c r="HN22" s="2249"/>
      <c r="HO22" s="2250"/>
      <c r="HP22" s="2251" t="str">
        <f t="shared" si="256"/>
        <v/>
      </c>
      <c r="HQ22" s="2252"/>
      <c r="HR22" s="2253"/>
      <c r="HS22" s="2251" t="str">
        <f t="shared" ca="1" si="257"/>
        <v/>
      </c>
      <c r="HT22" s="2254"/>
      <c r="HU22" s="2252"/>
      <c r="HV22" s="2253"/>
      <c r="HW22" s="2251" t="str">
        <f t="shared" ca="1" si="258"/>
        <v/>
      </c>
      <c r="HX22" s="2248"/>
      <c r="HY22" s="2249"/>
      <c r="HZ22" s="2250"/>
      <c r="IA22" s="2251" t="str">
        <f t="shared" si="259"/>
        <v/>
      </c>
      <c r="IB22" s="2252"/>
      <c r="IC22" s="2253"/>
      <c r="ID22" s="2251" t="str">
        <f t="shared" ca="1" si="260"/>
        <v/>
      </c>
      <c r="IE22" s="2254"/>
      <c r="IF22" s="2252"/>
      <c r="IG22" s="2253"/>
      <c r="IH22" s="2251" t="str">
        <f t="shared" ca="1" si="261"/>
        <v/>
      </c>
      <c r="II22" s="2248"/>
      <c r="IJ22" s="2249"/>
      <c r="IK22" s="2250"/>
      <c r="IL22" s="2251" t="str">
        <f t="shared" si="262"/>
        <v/>
      </c>
      <c r="IM22" s="2252"/>
      <c r="IN22" s="2253"/>
      <c r="IO22" s="2251" t="str">
        <f t="shared" ca="1" si="263"/>
        <v/>
      </c>
      <c r="IP22" s="2254"/>
      <c r="IQ22" s="2252"/>
      <c r="IR22" s="2253"/>
      <c r="IS22" s="2251" t="str">
        <f t="shared" ca="1" si="264"/>
        <v/>
      </c>
      <c r="IT22" s="2248"/>
      <c r="IU22" s="2249"/>
      <c r="IV22" s="2250"/>
      <c r="IW22" s="2251" t="str">
        <f t="shared" si="265"/>
        <v/>
      </c>
      <c r="IX22" s="2252"/>
      <c r="IY22" s="2253"/>
      <c r="IZ22" s="2251" t="str">
        <f t="shared" ca="1" si="266"/>
        <v/>
      </c>
      <c r="JA22" s="2254"/>
      <c r="JB22" s="2252"/>
      <c r="JC22" s="2253"/>
      <c r="JD22" s="2251" t="str">
        <f t="shared" ca="1" si="267"/>
        <v/>
      </c>
      <c r="JE22" s="2248"/>
      <c r="JF22" s="2249"/>
      <c r="JG22" s="2250"/>
      <c r="JH22" s="2251" t="str">
        <f t="shared" si="268"/>
        <v/>
      </c>
      <c r="JI22" s="2252"/>
      <c r="JJ22" s="2253"/>
      <c r="JK22" s="2251" t="str">
        <f t="shared" ca="1" si="269"/>
        <v/>
      </c>
      <c r="JL22" s="2254"/>
      <c r="JM22" s="2252"/>
      <c r="JN22" s="2253"/>
      <c r="JO22" s="2251" t="str">
        <f t="shared" ca="1" si="270"/>
        <v/>
      </c>
      <c r="JP22" s="2248"/>
      <c r="JQ22" s="2249"/>
      <c r="JR22" s="2250"/>
      <c r="JS22" s="2251" t="str">
        <f t="shared" si="271"/>
        <v/>
      </c>
      <c r="JT22" s="2252"/>
      <c r="JU22" s="2253"/>
      <c r="JV22" s="2251" t="str">
        <f t="shared" ca="1" si="272"/>
        <v/>
      </c>
      <c r="JW22" s="2254"/>
      <c r="JX22" s="2252"/>
      <c r="JY22" s="2253"/>
      <c r="JZ22" s="2251" t="str">
        <f t="shared" ca="1" si="273"/>
        <v/>
      </c>
      <c r="KA22" s="2231"/>
    </row>
    <row r="23" spans="1:287" s="2156" customFormat="1" ht="18" customHeight="1">
      <c r="A23" s="2142" t="str">
        <f ca="1">IF('22 Sollumsatz pro MA '!$A24="","",'22 Sollumsatz pro MA '!$A24)</f>
        <v/>
      </c>
      <c r="B23" s="2161"/>
      <c r="C23" s="2162"/>
      <c r="D23" s="2143"/>
      <c r="E23" s="2144" t="str">
        <f ca="1">IF('25 Sollumsatz nach Monaten'!F26=0,"",'25 Sollumsatz nach Monaten'!F26)</f>
        <v/>
      </c>
      <c r="F23" s="2145" t="str">
        <f t="shared" ca="1" si="276"/>
        <v/>
      </c>
      <c r="G23" s="2146" t="str">
        <f t="shared" ca="1" si="144"/>
        <v/>
      </c>
      <c r="H23" s="2143"/>
      <c r="I23" s="2144" t="str">
        <f ca="1">IF('25 Sollumsatz nach Monaten'!G26=0,"",'25 Sollumsatz nach Monaten'!G26)</f>
        <v/>
      </c>
      <c r="J23" s="2145" t="str">
        <f t="shared" ca="1" si="277"/>
        <v/>
      </c>
      <c r="K23" s="2158" t="str">
        <f t="shared" ca="1" si="146"/>
        <v/>
      </c>
      <c r="L23" s="2148" t="str">
        <f t="shared" ca="1" si="216"/>
        <v/>
      </c>
      <c r="M23" s="2161"/>
      <c r="N23" s="2162"/>
      <c r="O23" s="2143"/>
      <c r="P23" s="2149" t="str">
        <f ca="1">IF('25 Sollumsatz nach Monaten'!L26=0,"",'25 Sollumsatz nach Monaten'!L26)</f>
        <v/>
      </c>
      <c r="Q23" s="2150" t="str">
        <f t="shared" ca="1" si="278"/>
        <v/>
      </c>
      <c r="R23" s="2151" t="str">
        <f t="shared" ca="1" si="279"/>
        <v/>
      </c>
      <c r="S23" s="2143"/>
      <c r="T23" s="2149" t="str">
        <f ca="1">IF('25 Sollumsatz nach Monaten'!M26=0,"",'25 Sollumsatz nach Monaten'!M26)</f>
        <v/>
      </c>
      <c r="U23" s="2150" t="str">
        <f t="shared" ca="1" si="280"/>
        <v/>
      </c>
      <c r="V23" s="2151" t="str">
        <f t="shared" ca="1" si="281"/>
        <v/>
      </c>
      <c r="W23" s="2142" t="str">
        <f t="shared" ca="1" si="217"/>
        <v/>
      </c>
      <c r="X23" s="2161"/>
      <c r="Y23" s="2162"/>
      <c r="Z23" s="2143"/>
      <c r="AA23" s="2144" t="str">
        <f ca="1">IF('25 Sollumsatz nach Monaten'!R26=0,"",'25 Sollumsatz nach Monaten'!R26)</f>
        <v/>
      </c>
      <c r="AB23" s="2145" t="str">
        <f t="shared" ca="1" si="282"/>
        <v/>
      </c>
      <c r="AC23" s="2146" t="str">
        <f t="shared" ca="1" si="283"/>
        <v/>
      </c>
      <c r="AD23" s="2147"/>
      <c r="AE23" s="2144" t="str">
        <f ca="1">IF('25 Sollumsatz nach Monaten'!S26=0,"",'25 Sollumsatz nach Monaten'!S26)</f>
        <v/>
      </c>
      <c r="AF23" s="2145" t="str">
        <f t="shared" ca="1" si="284"/>
        <v/>
      </c>
      <c r="AG23" s="2158" t="str">
        <f t="shared" ca="1" si="285"/>
        <v/>
      </c>
      <c r="AH23" s="2148" t="str">
        <f t="shared" ca="1" si="218"/>
        <v/>
      </c>
      <c r="AI23" s="2161"/>
      <c r="AJ23" s="2162"/>
      <c r="AK23" s="2143"/>
      <c r="AL23" s="2149" t="str">
        <f ca="1">IF('25 Sollumsatz nach Monaten'!X26=0,"",'25 Sollumsatz nach Monaten'!X26)</f>
        <v/>
      </c>
      <c r="AM23" s="2150" t="str">
        <f t="shared" ca="1" si="286"/>
        <v/>
      </c>
      <c r="AN23" s="2151" t="str">
        <f t="shared" ca="1" si="287"/>
        <v/>
      </c>
      <c r="AO23" s="2143"/>
      <c r="AP23" s="2149" t="str">
        <f ca="1">IF('25 Sollumsatz nach Monaten'!Y26=0,"",'25 Sollumsatz nach Monaten'!Y26)</f>
        <v/>
      </c>
      <c r="AQ23" s="2150" t="str">
        <f t="shared" ca="1" si="288"/>
        <v/>
      </c>
      <c r="AR23" s="2151" t="str">
        <f t="shared" ca="1" si="289"/>
        <v/>
      </c>
      <c r="AS23" s="2142" t="str">
        <f t="shared" ca="1" si="219"/>
        <v/>
      </c>
      <c r="AT23" s="2161"/>
      <c r="AU23" s="2162"/>
      <c r="AV23" s="2143"/>
      <c r="AW23" s="2144" t="str">
        <f ca="1">IF('25 Sollumsatz nach Monaten'!AD26=0,"",'25 Sollumsatz nach Monaten'!AD26)</f>
        <v/>
      </c>
      <c r="AX23" s="2145" t="str">
        <f t="shared" ca="1" si="290"/>
        <v/>
      </c>
      <c r="AY23" s="2146" t="str">
        <f t="shared" ca="1" si="291"/>
        <v/>
      </c>
      <c r="AZ23" s="2143"/>
      <c r="BA23" s="2144" t="str">
        <f ca="1">IF('25 Sollumsatz nach Monaten'!AE26=0,"",'25 Sollumsatz nach Monaten'!AE26)</f>
        <v/>
      </c>
      <c r="BB23" s="2145" t="str">
        <f t="shared" ca="1" si="292"/>
        <v/>
      </c>
      <c r="BC23" s="2158" t="str">
        <f t="shared" ca="1" si="293"/>
        <v/>
      </c>
      <c r="BD23" s="2148" t="str">
        <f t="shared" ca="1" si="220"/>
        <v/>
      </c>
      <c r="BE23" s="2161"/>
      <c r="BF23" s="2162"/>
      <c r="BG23" s="2143"/>
      <c r="BH23" s="2149" t="str">
        <f ca="1">IF('25 Sollumsatz nach Monaten'!AJ26=0,"",'25 Sollumsatz nach Monaten'!AJ26)</f>
        <v/>
      </c>
      <c r="BI23" s="2150" t="str">
        <f t="shared" ca="1" si="294"/>
        <v/>
      </c>
      <c r="BJ23" s="2151" t="str">
        <f t="shared" ca="1" si="295"/>
        <v/>
      </c>
      <c r="BK23" s="2143"/>
      <c r="BL23" s="2149" t="str">
        <f ca="1">IF('25 Sollumsatz nach Monaten'!AK26=0,"",'25 Sollumsatz nach Monaten'!AK26)</f>
        <v/>
      </c>
      <c r="BM23" s="2150" t="str">
        <f t="shared" ca="1" si="296"/>
        <v/>
      </c>
      <c r="BN23" s="2151" t="str">
        <f t="shared" ca="1" si="297"/>
        <v/>
      </c>
      <c r="BO23" s="2142" t="str">
        <f t="shared" ca="1" si="221"/>
        <v/>
      </c>
      <c r="BP23" s="2161"/>
      <c r="BQ23" s="2162"/>
      <c r="BR23" s="2143"/>
      <c r="BS23" s="2144" t="str">
        <f ca="1">IF('25 Sollumsatz nach Monaten'!AP26=0,"",'25 Sollumsatz nach Monaten'!AP26)</f>
        <v/>
      </c>
      <c r="BT23" s="2145" t="str">
        <f t="shared" ca="1" si="298"/>
        <v/>
      </c>
      <c r="BU23" s="2146" t="str">
        <f t="shared" ca="1" si="299"/>
        <v/>
      </c>
      <c r="BV23" s="2143"/>
      <c r="BW23" s="2144" t="str">
        <f ca="1">IF('25 Sollumsatz nach Monaten'!AQ26=0,"",'25 Sollumsatz nach Monaten'!AQ26)</f>
        <v/>
      </c>
      <c r="BX23" s="2145" t="str">
        <f t="shared" ca="1" si="300"/>
        <v/>
      </c>
      <c r="BY23" s="2158" t="str">
        <f t="shared" ca="1" si="301"/>
        <v/>
      </c>
      <c r="BZ23" s="2148" t="str">
        <f t="shared" ca="1" si="222"/>
        <v/>
      </c>
      <c r="CA23" s="2161"/>
      <c r="CB23" s="2162"/>
      <c r="CC23" s="2143"/>
      <c r="CD23" s="2149" t="str">
        <f ca="1">IF('25 Sollumsatz nach Monaten'!AV26=0,"",'25 Sollumsatz nach Monaten'!AV26)</f>
        <v/>
      </c>
      <c r="CE23" s="2150" t="str">
        <f t="shared" ca="1" si="302"/>
        <v/>
      </c>
      <c r="CF23" s="2151" t="str">
        <f t="shared" ca="1" si="303"/>
        <v/>
      </c>
      <c r="CG23" s="2143"/>
      <c r="CH23" s="2149" t="str">
        <f ca="1">IF('25 Sollumsatz nach Monaten'!AW26=0,"",'25 Sollumsatz nach Monaten'!AW26)</f>
        <v/>
      </c>
      <c r="CI23" s="2150" t="str">
        <f t="shared" ca="1" si="304"/>
        <v/>
      </c>
      <c r="CJ23" s="2151" t="str">
        <f t="shared" ca="1" si="305"/>
        <v/>
      </c>
      <c r="CK23" s="2142" t="str">
        <f t="shared" ca="1" si="223"/>
        <v/>
      </c>
      <c r="CL23" s="2161"/>
      <c r="CM23" s="2162"/>
      <c r="CN23" s="2143"/>
      <c r="CO23" s="2144" t="str">
        <f ca="1">IF('25 Sollumsatz nach Monaten'!BB26=0,"",'25 Sollumsatz nach Monaten'!BB26)</f>
        <v/>
      </c>
      <c r="CP23" s="2145" t="str">
        <f t="shared" ca="1" si="306"/>
        <v/>
      </c>
      <c r="CQ23" s="2146" t="str">
        <f t="shared" ca="1" si="307"/>
        <v/>
      </c>
      <c r="CR23" s="2143"/>
      <c r="CS23" s="2144" t="str">
        <f ca="1">IF('25 Sollumsatz nach Monaten'!BC26=0,"",'25 Sollumsatz nach Monaten'!BC26)</f>
        <v/>
      </c>
      <c r="CT23" s="2145" t="str">
        <f t="shared" ca="1" si="308"/>
        <v/>
      </c>
      <c r="CU23" s="2158" t="str">
        <f t="shared" ca="1" si="309"/>
        <v/>
      </c>
      <c r="CV23" s="2148" t="str">
        <f t="shared" ca="1" si="224"/>
        <v/>
      </c>
      <c r="CW23" s="2161"/>
      <c r="CX23" s="2162"/>
      <c r="CY23" s="2143"/>
      <c r="CZ23" s="2149" t="str">
        <f ca="1">IF('25 Sollumsatz nach Monaten'!BH26=0,"",'25 Sollumsatz nach Monaten'!BH26)</f>
        <v/>
      </c>
      <c r="DA23" s="2150" t="str">
        <f t="shared" ca="1" si="310"/>
        <v/>
      </c>
      <c r="DB23" s="2151" t="str">
        <f t="shared" ca="1" si="311"/>
        <v/>
      </c>
      <c r="DC23" s="2143"/>
      <c r="DD23" s="2149" t="str">
        <f ca="1">IF('25 Sollumsatz nach Monaten'!BI26=0,"",'25 Sollumsatz nach Monaten'!BI26)</f>
        <v/>
      </c>
      <c r="DE23" s="2150" t="str">
        <f t="shared" ca="1" si="312"/>
        <v/>
      </c>
      <c r="DF23" s="2151" t="str">
        <f t="shared" ca="1" si="313"/>
        <v/>
      </c>
      <c r="DG23" s="2142" t="str">
        <f t="shared" ca="1" si="225"/>
        <v/>
      </c>
      <c r="DH23" s="2161"/>
      <c r="DI23" s="2162"/>
      <c r="DJ23" s="2143"/>
      <c r="DK23" s="2144" t="str">
        <f ca="1">IF('25 Sollumsatz nach Monaten'!BN26=0,"",'25 Sollumsatz nach Monaten'!BN26)</f>
        <v/>
      </c>
      <c r="DL23" s="2145" t="str">
        <f t="shared" ca="1" si="314"/>
        <v/>
      </c>
      <c r="DM23" s="2146" t="str">
        <f t="shared" ca="1" si="315"/>
        <v/>
      </c>
      <c r="DN23" s="2143"/>
      <c r="DO23" s="2144" t="str">
        <f ca="1">IF('25 Sollumsatz nach Monaten'!BO26=0,"",'25 Sollumsatz nach Monaten'!BO26)</f>
        <v/>
      </c>
      <c r="DP23" s="2145" t="str">
        <f t="shared" ca="1" si="316"/>
        <v/>
      </c>
      <c r="DQ23" s="2158" t="str">
        <f t="shared" ca="1" si="317"/>
        <v/>
      </c>
      <c r="DR23" s="2148" t="str">
        <f t="shared" ca="1" si="226"/>
        <v/>
      </c>
      <c r="DS23" s="2161"/>
      <c r="DT23" s="2162"/>
      <c r="DU23" s="2143"/>
      <c r="DV23" s="2149" t="str">
        <f ca="1">IF('25 Sollumsatz nach Monaten'!BT26=0,"",'25 Sollumsatz nach Monaten'!BT26)</f>
        <v/>
      </c>
      <c r="DW23" s="2150" t="str">
        <f t="shared" ca="1" si="318"/>
        <v/>
      </c>
      <c r="DX23" s="2151" t="str">
        <f t="shared" ca="1" si="319"/>
        <v/>
      </c>
      <c r="DY23" s="2143"/>
      <c r="DZ23" s="2149" t="str">
        <f ca="1">IF('25 Sollumsatz nach Monaten'!BU26=0,"",'25 Sollumsatz nach Monaten'!BU26)</f>
        <v/>
      </c>
      <c r="EA23" s="2150" t="str">
        <f t="shared" ca="1" si="320"/>
        <v/>
      </c>
      <c r="EB23" s="2151" t="str">
        <f t="shared" ca="1" si="321"/>
        <v/>
      </c>
      <c r="EC23" s="2152" t="str">
        <f t="shared" ca="1" si="227"/>
        <v/>
      </c>
      <c r="ED23" s="2280" t="str">
        <f t="shared" ca="1" si="228"/>
        <v/>
      </c>
      <c r="EE23" s="2153" t="str">
        <f t="shared" ca="1" si="229"/>
        <v/>
      </c>
      <c r="EF23" s="2154" t="str">
        <f t="shared" ca="1" si="230"/>
        <v/>
      </c>
      <c r="EG23" s="2155" t="str">
        <f t="shared" ca="1" si="275"/>
        <v/>
      </c>
      <c r="EH23" s="2282" t="str">
        <f t="shared" ca="1" si="231"/>
        <v/>
      </c>
      <c r="EI23" s="2153" t="str">
        <f t="shared" ca="1" si="232"/>
        <v/>
      </c>
      <c r="EJ23" s="2154" t="str">
        <f t="shared" ca="1" si="233"/>
        <v/>
      </c>
      <c r="EK23" s="2155" t="str">
        <f t="shared" ca="1" si="322"/>
        <v/>
      </c>
      <c r="EL23" s="2160" t="str">
        <f t="shared" ca="1" si="234"/>
        <v/>
      </c>
      <c r="EM23" s="2160" t="str">
        <f t="shared" ca="1" si="235"/>
        <v/>
      </c>
      <c r="EN23" s="2160" t="str">
        <f t="shared" ca="1" si="236"/>
        <v/>
      </c>
      <c r="EO23" s="2152" t="str">
        <f t="shared" ca="1" si="237"/>
        <v/>
      </c>
      <c r="EP23" s="2312" t="str">
        <f ca="1">IF('25 Sollumsatz nach Monaten'!BV26="","",SUM(EQ23:ER23))</f>
        <v/>
      </c>
      <c r="EQ23" s="2312" t="str">
        <f ca="1">IF('25 Sollumsatz nach Monaten'!BV26="","",ED23/'25 Sollumsatz nach Monaten'!BV26)</f>
        <v/>
      </c>
      <c r="ER23" s="2312" t="str">
        <f ca="1">IF('25 Sollumsatz nach Monaten'!BV26="","",EH23/'25 Sollumsatz nach Monaten'!BV26)</f>
        <v/>
      </c>
      <c r="EY23" s="2248"/>
      <c r="EZ23" s="2249"/>
      <c r="FA23" s="2250"/>
      <c r="FB23" s="2251" t="str">
        <f t="shared" si="238"/>
        <v/>
      </c>
      <c r="FC23" s="2252"/>
      <c r="FD23" s="2253"/>
      <c r="FE23" s="2251" t="str">
        <f t="shared" ca="1" si="239"/>
        <v/>
      </c>
      <c r="FF23" s="2254"/>
      <c r="FG23" s="2252"/>
      <c r="FH23" s="2253"/>
      <c r="FI23" s="2251" t="str">
        <f t="shared" ca="1" si="240"/>
        <v/>
      </c>
      <c r="FJ23" s="2248"/>
      <c r="FK23" s="2249"/>
      <c r="FL23" s="2250"/>
      <c r="FM23" s="2251" t="str">
        <f t="shared" si="241"/>
        <v/>
      </c>
      <c r="FN23" s="2252"/>
      <c r="FO23" s="2253"/>
      <c r="FP23" s="2251" t="str">
        <f t="shared" ca="1" si="242"/>
        <v/>
      </c>
      <c r="FQ23" s="2254"/>
      <c r="FR23" s="2252"/>
      <c r="FS23" s="2253"/>
      <c r="FT23" s="2251" t="str">
        <f t="shared" ca="1" si="243"/>
        <v/>
      </c>
      <c r="FU23" s="2248"/>
      <c r="FV23" s="2249"/>
      <c r="FW23" s="2250"/>
      <c r="FX23" s="2251" t="str">
        <f t="shared" si="244"/>
        <v/>
      </c>
      <c r="FY23" s="2252"/>
      <c r="FZ23" s="2253"/>
      <c r="GA23" s="2251" t="str">
        <f t="shared" ca="1" si="245"/>
        <v/>
      </c>
      <c r="GB23" s="2254"/>
      <c r="GC23" s="2252"/>
      <c r="GD23" s="2253"/>
      <c r="GE23" s="2251" t="str">
        <f t="shared" ca="1" si="246"/>
        <v/>
      </c>
      <c r="GF23" s="2248"/>
      <c r="GG23" s="2249"/>
      <c r="GH23" s="2250"/>
      <c r="GI23" s="2251" t="str">
        <f t="shared" si="247"/>
        <v/>
      </c>
      <c r="GJ23" s="2252"/>
      <c r="GK23" s="2253"/>
      <c r="GL23" s="2251" t="str">
        <f t="shared" ca="1" si="248"/>
        <v/>
      </c>
      <c r="GM23" s="2254"/>
      <c r="GN23" s="2252"/>
      <c r="GO23" s="2253"/>
      <c r="GP23" s="2251" t="str">
        <f t="shared" ca="1" si="249"/>
        <v/>
      </c>
      <c r="GQ23" s="2248"/>
      <c r="GR23" s="2249"/>
      <c r="GS23" s="2250"/>
      <c r="GT23" s="2251" t="str">
        <f t="shared" si="250"/>
        <v/>
      </c>
      <c r="GU23" s="2252"/>
      <c r="GV23" s="2253"/>
      <c r="GW23" s="2251" t="str">
        <f t="shared" ca="1" si="251"/>
        <v/>
      </c>
      <c r="GX23" s="2254"/>
      <c r="GY23" s="2252"/>
      <c r="GZ23" s="2253"/>
      <c r="HA23" s="2251" t="str">
        <f t="shared" ca="1" si="252"/>
        <v/>
      </c>
      <c r="HB23" s="2248"/>
      <c r="HC23" s="2249"/>
      <c r="HD23" s="2250"/>
      <c r="HE23" s="2251" t="str">
        <f t="shared" si="253"/>
        <v/>
      </c>
      <c r="HF23" s="2252"/>
      <c r="HG23" s="2253"/>
      <c r="HH23" s="2251" t="str">
        <f t="shared" ca="1" si="254"/>
        <v/>
      </c>
      <c r="HI23" s="2254"/>
      <c r="HJ23" s="2252"/>
      <c r="HK23" s="2253"/>
      <c r="HL23" s="2251" t="str">
        <f t="shared" ca="1" si="255"/>
        <v/>
      </c>
      <c r="HM23" s="2248"/>
      <c r="HN23" s="2249"/>
      <c r="HO23" s="2250"/>
      <c r="HP23" s="2251" t="str">
        <f t="shared" si="256"/>
        <v/>
      </c>
      <c r="HQ23" s="2252"/>
      <c r="HR23" s="2253"/>
      <c r="HS23" s="2251" t="str">
        <f t="shared" ca="1" si="257"/>
        <v/>
      </c>
      <c r="HT23" s="2254"/>
      <c r="HU23" s="2252"/>
      <c r="HV23" s="2253"/>
      <c r="HW23" s="2251" t="str">
        <f t="shared" ca="1" si="258"/>
        <v/>
      </c>
      <c r="HX23" s="2248"/>
      <c r="HY23" s="2249"/>
      <c r="HZ23" s="2250"/>
      <c r="IA23" s="2251" t="str">
        <f t="shared" si="259"/>
        <v/>
      </c>
      <c r="IB23" s="2252"/>
      <c r="IC23" s="2253"/>
      <c r="ID23" s="2251" t="str">
        <f t="shared" ca="1" si="260"/>
        <v/>
      </c>
      <c r="IE23" s="2254"/>
      <c r="IF23" s="2252"/>
      <c r="IG23" s="2253"/>
      <c r="IH23" s="2251" t="str">
        <f t="shared" ca="1" si="261"/>
        <v/>
      </c>
      <c r="II23" s="2248"/>
      <c r="IJ23" s="2249"/>
      <c r="IK23" s="2250"/>
      <c r="IL23" s="2251" t="str">
        <f t="shared" si="262"/>
        <v/>
      </c>
      <c r="IM23" s="2252"/>
      <c r="IN23" s="2253"/>
      <c r="IO23" s="2251" t="str">
        <f t="shared" ca="1" si="263"/>
        <v/>
      </c>
      <c r="IP23" s="2254"/>
      <c r="IQ23" s="2252"/>
      <c r="IR23" s="2253"/>
      <c r="IS23" s="2251" t="str">
        <f t="shared" ca="1" si="264"/>
        <v/>
      </c>
      <c r="IT23" s="2248"/>
      <c r="IU23" s="2249"/>
      <c r="IV23" s="2250"/>
      <c r="IW23" s="2251" t="str">
        <f t="shared" si="265"/>
        <v/>
      </c>
      <c r="IX23" s="2252"/>
      <c r="IY23" s="2253"/>
      <c r="IZ23" s="2251" t="str">
        <f t="shared" ca="1" si="266"/>
        <v/>
      </c>
      <c r="JA23" s="2254"/>
      <c r="JB23" s="2252"/>
      <c r="JC23" s="2253"/>
      <c r="JD23" s="2251" t="str">
        <f t="shared" ca="1" si="267"/>
        <v/>
      </c>
      <c r="JE23" s="2248"/>
      <c r="JF23" s="2249"/>
      <c r="JG23" s="2250"/>
      <c r="JH23" s="2251" t="str">
        <f t="shared" si="268"/>
        <v/>
      </c>
      <c r="JI23" s="2252"/>
      <c r="JJ23" s="2253"/>
      <c r="JK23" s="2251" t="str">
        <f t="shared" ca="1" si="269"/>
        <v/>
      </c>
      <c r="JL23" s="2254"/>
      <c r="JM23" s="2252"/>
      <c r="JN23" s="2253"/>
      <c r="JO23" s="2251" t="str">
        <f t="shared" ca="1" si="270"/>
        <v/>
      </c>
      <c r="JP23" s="2248"/>
      <c r="JQ23" s="2249"/>
      <c r="JR23" s="2250"/>
      <c r="JS23" s="2251" t="str">
        <f t="shared" si="271"/>
        <v/>
      </c>
      <c r="JT23" s="2252"/>
      <c r="JU23" s="2253"/>
      <c r="JV23" s="2251" t="str">
        <f t="shared" ca="1" si="272"/>
        <v/>
      </c>
      <c r="JW23" s="2254"/>
      <c r="JX23" s="2252"/>
      <c r="JY23" s="2253"/>
      <c r="JZ23" s="2251" t="str">
        <f t="shared" ca="1" si="273"/>
        <v/>
      </c>
      <c r="KA23" s="2231"/>
    </row>
    <row r="24" spans="1:287" s="2156" customFormat="1" ht="18" customHeight="1">
      <c r="A24" s="2142" t="str">
        <f ca="1">IF('22 Sollumsatz pro MA '!$A25="","",'22 Sollumsatz pro MA '!$A25)</f>
        <v/>
      </c>
      <c r="B24" s="2161"/>
      <c r="C24" s="2162"/>
      <c r="D24" s="2143"/>
      <c r="E24" s="2144" t="str">
        <f ca="1">IF('25 Sollumsatz nach Monaten'!F27=0,"",'25 Sollumsatz nach Monaten'!F27)</f>
        <v/>
      </c>
      <c r="F24" s="2145" t="str">
        <f t="shared" ca="1" si="276"/>
        <v/>
      </c>
      <c r="G24" s="2146" t="str">
        <f t="shared" ca="1" si="144"/>
        <v/>
      </c>
      <c r="H24" s="2143"/>
      <c r="I24" s="2144" t="str">
        <f ca="1">IF('25 Sollumsatz nach Monaten'!G27=0,"",'25 Sollumsatz nach Monaten'!G27)</f>
        <v/>
      </c>
      <c r="J24" s="2145" t="str">
        <f t="shared" ca="1" si="277"/>
        <v/>
      </c>
      <c r="K24" s="2158" t="str">
        <f t="shared" ca="1" si="146"/>
        <v/>
      </c>
      <c r="L24" s="2148" t="str">
        <f t="shared" ca="1" si="216"/>
        <v/>
      </c>
      <c r="M24" s="2161"/>
      <c r="N24" s="2162"/>
      <c r="O24" s="2143"/>
      <c r="P24" s="2149" t="str">
        <f ca="1">IF('25 Sollumsatz nach Monaten'!L27=0,"",'25 Sollumsatz nach Monaten'!L27)</f>
        <v/>
      </c>
      <c r="Q24" s="2150" t="str">
        <f t="shared" ca="1" si="278"/>
        <v/>
      </c>
      <c r="R24" s="2151" t="str">
        <f t="shared" ca="1" si="279"/>
        <v/>
      </c>
      <c r="S24" s="2143"/>
      <c r="T24" s="2149" t="str">
        <f ca="1">IF('25 Sollumsatz nach Monaten'!M27=0,"",'25 Sollumsatz nach Monaten'!M27)</f>
        <v/>
      </c>
      <c r="U24" s="2150" t="str">
        <f t="shared" ca="1" si="280"/>
        <v/>
      </c>
      <c r="V24" s="2151" t="str">
        <f t="shared" ca="1" si="281"/>
        <v/>
      </c>
      <c r="W24" s="2142" t="str">
        <f t="shared" ca="1" si="217"/>
        <v/>
      </c>
      <c r="X24" s="2161"/>
      <c r="Y24" s="2162"/>
      <c r="Z24" s="2143"/>
      <c r="AA24" s="2144" t="str">
        <f ca="1">IF('25 Sollumsatz nach Monaten'!R27=0,"",'25 Sollumsatz nach Monaten'!R27)</f>
        <v/>
      </c>
      <c r="AB24" s="2145" t="str">
        <f t="shared" ca="1" si="282"/>
        <v/>
      </c>
      <c r="AC24" s="2146" t="str">
        <f t="shared" ca="1" si="283"/>
        <v/>
      </c>
      <c r="AD24" s="2147"/>
      <c r="AE24" s="2144" t="str">
        <f ca="1">IF('25 Sollumsatz nach Monaten'!S27=0,"",'25 Sollumsatz nach Monaten'!S27)</f>
        <v/>
      </c>
      <c r="AF24" s="2145" t="str">
        <f t="shared" ca="1" si="284"/>
        <v/>
      </c>
      <c r="AG24" s="2158" t="str">
        <f t="shared" ca="1" si="285"/>
        <v/>
      </c>
      <c r="AH24" s="2148" t="str">
        <f t="shared" ca="1" si="218"/>
        <v/>
      </c>
      <c r="AI24" s="2161"/>
      <c r="AJ24" s="2162"/>
      <c r="AK24" s="2143"/>
      <c r="AL24" s="2149" t="str">
        <f ca="1">IF('25 Sollumsatz nach Monaten'!X27=0,"",'25 Sollumsatz nach Monaten'!X27)</f>
        <v/>
      </c>
      <c r="AM24" s="2150" t="str">
        <f t="shared" ca="1" si="286"/>
        <v/>
      </c>
      <c r="AN24" s="2151" t="str">
        <f t="shared" ca="1" si="287"/>
        <v/>
      </c>
      <c r="AO24" s="2143"/>
      <c r="AP24" s="2149" t="str">
        <f ca="1">IF('25 Sollumsatz nach Monaten'!Y27=0,"",'25 Sollumsatz nach Monaten'!Y27)</f>
        <v/>
      </c>
      <c r="AQ24" s="2150" t="str">
        <f t="shared" ca="1" si="288"/>
        <v/>
      </c>
      <c r="AR24" s="2151" t="str">
        <f t="shared" ca="1" si="289"/>
        <v/>
      </c>
      <c r="AS24" s="2142" t="str">
        <f t="shared" ca="1" si="219"/>
        <v/>
      </c>
      <c r="AT24" s="2161"/>
      <c r="AU24" s="2162"/>
      <c r="AV24" s="2143"/>
      <c r="AW24" s="2144" t="str">
        <f ca="1">IF('25 Sollumsatz nach Monaten'!AD27=0,"",'25 Sollumsatz nach Monaten'!AD27)</f>
        <v/>
      </c>
      <c r="AX24" s="2145" t="str">
        <f t="shared" ca="1" si="290"/>
        <v/>
      </c>
      <c r="AY24" s="2146" t="str">
        <f t="shared" ca="1" si="291"/>
        <v/>
      </c>
      <c r="AZ24" s="2143"/>
      <c r="BA24" s="2144" t="str">
        <f ca="1">IF('25 Sollumsatz nach Monaten'!AE27=0,"",'25 Sollumsatz nach Monaten'!AE27)</f>
        <v/>
      </c>
      <c r="BB24" s="2145" t="str">
        <f t="shared" ca="1" si="292"/>
        <v/>
      </c>
      <c r="BC24" s="2158" t="str">
        <f t="shared" ca="1" si="293"/>
        <v/>
      </c>
      <c r="BD24" s="2148" t="str">
        <f t="shared" ca="1" si="220"/>
        <v/>
      </c>
      <c r="BE24" s="2161"/>
      <c r="BF24" s="2162"/>
      <c r="BG24" s="2143"/>
      <c r="BH24" s="2149" t="str">
        <f ca="1">IF('25 Sollumsatz nach Monaten'!AJ27=0,"",'25 Sollumsatz nach Monaten'!AJ27)</f>
        <v/>
      </c>
      <c r="BI24" s="2150" t="str">
        <f t="shared" ca="1" si="294"/>
        <v/>
      </c>
      <c r="BJ24" s="2151" t="str">
        <f t="shared" ca="1" si="295"/>
        <v/>
      </c>
      <c r="BK24" s="2143"/>
      <c r="BL24" s="2149" t="str">
        <f ca="1">IF('25 Sollumsatz nach Monaten'!AK27=0,"",'25 Sollumsatz nach Monaten'!AK27)</f>
        <v/>
      </c>
      <c r="BM24" s="2150" t="str">
        <f t="shared" ca="1" si="296"/>
        <v/>
      </c>
      <c r="BN24" s="2151" t="str">
        <f t="shared" ca="1" si="297"/>
        <v/>
      </c>
      <c r="BO24" s="2142" t="str">
        <f t="shared" ca="1" si="221"/>
        <v/>
      </c>
      <c r="BP24" s="2161"/>
      <c r="BQ24" s="2162"/>
      <c r="BR24" s="2143"/>
      <c r="BS24" s="2144" t="str">
        <f ca="1">IF('25 Sollumsatz nach Monaten'!AP27=0,"",'25 Sollumsatz nach Monaten'!AP27)</f>
        <v/>
      </c>
      <c r="BT24" s="2145" t="str">
        <f t="shared" ca="1" si="298"/>
        <v/>
      </c>
      <c r="BU24" s="2146" t="str">
        <f t="shared" ca="1" si="299"/>
        <v/>
      </c>
      <c r="BV24" s="2143"/>
      <c r="BW24" s="2144" t="str">
        <f ca="1">IF('25 Sollumsatz nach Monaten'!AQ27=0,"",'25 Sollumsatz nach Monaten'!AQ27)</f>
        <v/>
      </c>
      <c r="BX24" s="2145" t="str">
        <f t="shared" ca="1" si="300"/>
        <v/>
      </c>
      <c r="BY24" s="2158" t="str">
        <f t="shared" ca="1" si="301"/>
        <v/>
      </c>
      <c r="BZ24" s="2148" t="str">
        <f t="shared" ca="1" si="222"/>
        <v/>
      </c>
      <c r="CA24" s="2161"/>
      <c r="CB24" s="2162"/>
      <c r="CC24" s="2143"/>
      <c r="CD24" s="2149" t="str">
        <f ca="1">IF('25 Sollumsatz nach Monaten'!AV27=0,"",'25 Sollumsatz nach Monaten'!AV27)</f>
        <v/>
      </c>
      <c r="CE24" s="2150" t="str">
        <f t="shared" ca="1" si="302"/>
        <v/>
      </c>
      <c r="CF24" s="2151" t="str">
        <f t="shared" ca="1" si="303"/>
        <v/>
      </c>
      <c r="CG24" s="2143"/>
      <c r="CH24" s="2149" t="str">
        <f ca="1">IF('25 Sollumsatz nach Monaten'!AW27=0,"",'25 Sollumsatz nach Monaten'!AW27)</f>
        <v/>
      </c>
      <c r="CI24" s="2150" t="str">
        <f t="shared" ca="1" si="304"/>
        <v/>
      </c>
      <c r="CJ24" s="2151" t="str">
        <f t="shared" ca="1" si="305"/>
        <v/>
      </c>
      <c r="CK24" s="2142" t="str">
        <f t="shared" ca="1" si="223"/>
        <v/>
      </c>
      <c r="CL24" s="2161"/>
      <c r="CM24" s="2162"/>
      <c r="CN24" s="2143"/>
      <c r="CO24" s="2144" t="str">
        <f ca="1">IF('25 Sollumsatz nach Monaten'!BB27=0,"",'25 Sollumsatz nach Monaten'!BB27)</f>
        <v/>
      </c>
      <c r="CP24" s="2145" t="str">
        <f t="shared" ca="1" si="306"/>
        <v/>
      </c>
      <c r="CQ24" s="2146" t="str">
        <f t="shared" ca="1" si="307"/>
        <v/>
      </c>
      <c r="CR24" s="2143"/>
      <c r="CS24" s="2144" t="str">
        <f ca="1">IF('25 Sollumsatz nach Monaten'!BC27=0,"",'25 Sollumsatz nach Monaten'!BC27)</f>
        <v/>
      </c>
      <c r="CT24" s="2145" t="str">
        <f t="shared" ca="1" si="308"/>
        <v/>
      </c>
      <c r="CU24" s="2158" t="str">
        <f t="shared" ca="1" si="309"/>
        <v/>
      </c>
      <c r="CV24" s="2148" t="str">
        <f t="shared" ca="1" si="224"/>
        <v/>
      </c>
      <c r="CW24" s="2161"/>
      <c r="CX24" s="2162"/>
      <c r="CY24" s="2143"/>
      <c r="CZ24" s="2149" t="str">
        <f ca="1">IF('25 Sollumsatz nach Monaten'!BH27=0,"",'25 Sollumsatz nach Monaten'!BH27)</f>
        <v/>
      </c>
      <c r="DA24" s="2150" t="str">
        <f t="shared" ca="1" si="310"/>
        <v/>
      </c>
      <c r="DB24" s="2151" t="str">
        <f t="shared" ca="1" si="311"/>
        <v/>
      </c>
      <c r="DC24" s="2143"/>
      <c r="DD24" s="2149" t="str">
        <f ca="1">IF('25 Sollumsatz nach Monaten'!BI27=0,"",'25 Sollumsatz nach Monaten'!BI27)</f>
        <v/>
      </c>
      <c r="DE24" s="2150" t="str">
        <f t="shared" ca="1" si="312"/>
        <v/>
      </c>
      <c r="DF24" s="2151" t="str">
        <f t="shared" ca="1" si="313"/>
        <v/>
      </c>
      <c r="DG24" s="2142" t="str">
        <f t="shared" ca="1" si="225"/>
        <v/>
      </c>
      <c r="DH24" s="2161"/>
      <c r="DI24" s="2162"/>
      <c r="DJ24" s="2143"/>
      <c r="DK24" s="2144" t="str">
        <f ca="1">IF('25 Sollumsatz nach Monaten'!BN27=0,"",'25 Sollumsatz nach Monaten'!BN27)</f>
        <v/>
      </c>
      <c r="DL24" s="2145" t="str">
        <f t="shared" ca="1" si="314"/>
        <v/>
      </c>
      <c r="DM24" s="2146" t="str">
        <f t="shared" ca="1" si="315"/>
        <v/>
      </c>
      <c r="DN24" s="2143"/>
      <c r="DO24" s="2144" t="str">
        <f ca="1">IF('25 Sollumsatz nach Monaten'!BO27=0,"",'25 Sollumsatz nach Monaten'!BO27)</f>
        <v/>
      </c>
      <c r="DP24" s="2145" t="str">
        <f t="shared" ca="1" si="316"/>
        <v/>
      </c>
      <c r="DQ24" s="2158" t="str">
        <f t="shared" ca="1" si="317"/>
        <v/>
      </c>
      <c r="DR24" s="2148" t="str">
        <f t="shared" ca="1" si="226"/>
        <v/>
      </c>
      <c r="DS24" s="2161"/>
      <c r="DT24" s="2162"/>
      <c r="DU24" s="2143"/>
      <c r="DV24" s="2149" t="str">
        <f ca="1">IF('25 Sollumsatz nach Monaten'!BT27=0,"",'25 Sollumsatz nach Monaten'!BT27)</f>
        <v/>
      </c>
      <c r="DW24" s="2150" t="str">
        <f t="shared" ca="1" si="318"/>
        <v/>
      </c>
      <c r="DX24" s="2151" t="str">
        <f t="shared" ca="1" si="319"/>
        <v/>
      </c>
      <c r="DY24" s="2143"/>
      <c r="DZ24" s="2149" t="str">
        <f ca="1">IF('25 Sollumsatz nach Monaten'!BU27=0,"",'25 Sollumsatz nach Monaten'!BU27)</f>
        <v/>
      </c>
      <c r="EA24" s="2150" t="str">
        <f t="shared" ca="1" si="320"/>
        <v/>
      </c>
      <c r="EB24" s="2151" t="str">
        <f t="shared" ca="1" si="321"/>
        <v/>
      </c>
      <c r="EC24" s="2152" t="str">
        <f t="shared" ca="1" si="227"/>
        <v/>
      </c>
      <c r="ED24" s="2280" t="str">
        <f t="shared" ca="1" si="228"/>
        <v/>
      </c>
      <c r="EE24" s="2153" t="str">
        <f t="shared" ca="1" si="229"/>
        <v/>
      </c>
      <c r="EF24" s="2154" t="str">
        <f t="shared" ca="1" si="230"/>
        <v/>
      </c>
      <c r="EG24" s="2155" t="str">
        <f t="shared" ca="1" si="275"/>
        <v/>
      </c>
      <c r="EH24" s="2282" t="str">
        <f t="shared" ca="1" si="231"/>
        <v/>
      </c>
      <c r="EI24" s="2153" t="str">
        <f t="shared" ca="1" si="232"/>
        <v/>
      </c>
      <c r="EJ24" s="2154" t="str">
        <f t="shared" ca="1" si="233"/>
        <v/>
      </c>
      <c r="EK24" s="2155" t="str">
        <f t="shared" ca="1" si="322"/>
        <v/>
      </c>
      <c r="EL24" s="2160" t="str">
        <f t="shared" ca="1" si="234"/>
        <v/>
      </c>
      <c r="EM24" s="2160" t="str">
        <f t="shared" ca="1" si="235"/>
        <v/>
      </c>
      <c r="EN24" s="2160" t="str">
        <f t="shared" ca="1" si="236"/>
        <v/>
      </c>
      <c r="EO24" s="2152" t="str">
        <f t="shared" ca="1" si="237"/>
        <v/>
      </c>
      <c r="EP24" s="2312" t="str">
        <f ca="1">IF('25 Sollumsatz nach Monaten'!BV27="","",SUM(EQ24:ER24))</f>
        <v/>
      </c>
      <c r="EQ24" s="2312" t="str">
        <f ca="1">IF('25 Sollumsatz nach Monaten'!BV27="","",ED24/'25 Sollumsatz nach Monaten'!BV27)</f>
        <v/>
      </c>
      <c r="ER24" s="2312" t="str">
        <f ca="1">IF('25 Sollumsatz nach Monaten'!BV27="","",EH24/'25 Sollumsatz nach Monaten'!BV27)</f>
        <v/>
      </c>
      <c r="EY24" s="2248"/>
      <c r="EZ24" s="2249"/>
      <c r="FA24" s="2250"/>
      <c r="FB24" s="2251" t="str">
        <f t="shared" si="238"/>
        <v/>
      </c>
      <c r="FC24" s="2252"/>
      <c r="FD24" s="2253"/>
      <c r="FE24" s="2251" t="str">
        <f t="shared" ca="1" si="239"/>
        <v/>
      </c>
      <c r="FF24" s="2254"/>
      <c r="FG24" s="2252"/>
      <c r="FH24" s="2253"/>
      <c r="FI24" s="2251" t="str">
        <f t="shared" ca="1" si="240"/>
        <v/>
      </c>
      <c r="FJ24" s="2248"/>
      <c r="FK24" s="2249"/>
      <c r="FL24" s="2250"/>
      <c r="FM24" s="2251" t="str">
        <f t="shared" si="241"/>
        <v/>
      </c>
      <c r="FN24" s="2252"/>
      <c r="FO24" s="2253"/>
      <c r="FP24" s="2251" t="str">
        <f t="shared" ca="1" si="242"/>
        <v/>
      </c>
      <c r="FQ24" s="2254"/>
      <c r="FR24" s="2252"/>
      <c r="FS24" s="2253"/>
      <c r="FT24" s="2251" t="str">
        <f t="shared" ca="1" si="243"/>
        <v/>
      </c>
      <c r="FU24" s="2248"/>
      <c r="FV24" s="2249"/>
      <c r="FW24" s="2250"/>
      <c r="FX24" s="2251" t="str">
        <f t="shared" si="244"/>
        <v/>
      </c>
      <c r="FY24" s="2252"/>
      <c r="FZ24" s="2253"/>
      <c r="GA24" s="2251" t="str">
        <f t="shared" ca="1" si="245"/>
        <v/>
      </c>
      <c r="GB24" s="2254"/>
      <c r="GC24" s="2252"/>
      <c r="GD24" s="2253"/>
      <c r="GE24" s="2251" t="str">
        <f t="shared" ca="1" si="246"/>
        <v/>
      </c>
      <c r="GF24" s="2248"/>
      <c r="GG24" s="2249"/>
      <c r="GH24" s="2250"/>
      <c r="GI24" s="2251" t="str">
        <f t="shared" si="247"/>
        <v/>
      </c>
      <c r="GJ24" s="2252"/>
      <c r="GK24" s="2253"/>
      <c r="GL24" s="2251" t="str">
        <f t="shared" ca="1" si="248"/>
        <v/>
      </c>
      <c r="GM24" s="2254"/>
      <c r="GN24" s="2252"/>
      <c r="GO24" s="2253"/>
      <c r="GP24" s="2251" t="str">
        <f t="shared" ca="1" si="249"/>
        <v/>
      </c>
      <c r="GQ24" s="2248"/>
      <c r="GR24" s="2249"/>
      <c r="GS24" s="2250"/>
      <c r="GT24" s="2251" t="str">
        <f t="shared" si="250"/>
        <v/>
      </c>
      <c r="GU24" s="2252"/>
      <c r="GV24" s="2253"/>
      <c r="GW24" s="2251" t="str">
        <f t="shared" ca="1" si="251"/>
        <v/>
      </c>
      <c r="GX24" s="2254"/>
      <c r="GY24" s="2252"/>
      <c r="GZ24" s="2253"/>
      <c r="HA24" s="2251" t="str">
        <f t="shared" ca="1" si="252"/>
        <v/>
      </c>
      <c r="HB24" s="2248"/>
      <c r="HC24" s="2249"/>
      <c r="HD24" s="2250"/>
      <c r="HE24" s="2251" t="str">
        <f t="shared" si="253"/>
        <v/>
      </c>
      <c r="HF24" s="2252"/>
      <c r="HG24" s="2253"/>
      <c r="HH24" s="2251" t="str">
        <f t="shared" ca="1" si="254"/>
        <v/>
      </c>
      <c r="HI24" s="2254"/>
      <c r="HJ24" s="2252"/>
      <c r="HK24" s="2253"/>
      <c r="HL24" s="2251" t="str">
        <f t="shared" ca="1" si="255"/>
        <v/>
      </c>
      <c r="HM24" s="2248"/>
      <c r="HN24" s="2249"/>
      <c r="HO24" s="2250"/>
      <c r="HP24" s="2251" t="str">
        <f t="shared" si="256"/>
        <v/>
      </c>
      <c r="HQ24" s="2252"/>
      <c r="HR24" s="2253"/>
      <c r="HS24" s="2251" t="str">
        <f t="shared" ca="1" si="257"/>
        <v/>
      </c>
      <c r="HT24" s="2254"/>
      <c r="HU24" s="2252"/>
      <c r="HV24" s="2253"/>
      <c r="HW24" s="2251" t="str">
        <f t="shared" ca="1" si="258"/>
        <v/>
      </c>
      <c r="HX24" s="2248"/>
      <c r="HY24" s="2249"/>
      <c r="HZ24" s="2250"/>
      <c r="IA24" s="2251" t="str">
        <f t="shared" si="259"/>
        <v/>
      </c>
      <c r="IB24" s="2252"/>
      <c r="IC24" s="2253"/>
      <c r="ID24" s="2251" t="str">
        <f t="shared" ca="1" si="260"/>
        <v/>
      </c>
      <c r="IE24" s="2254"/>
      <c r="IF24" s="2252"/>
      <c r="IG24" s="2253"/>
      <c r="IH24" s="2251" t="str">
        <f t="shared" ca="1" si="261"/>
        <v/>
      </c>
      <c r="II24" s="2248"/>
      <c r="IJ24" s="2249"/>
      <c r="IK24" s="2250"/>
      <c r="IL24" s="2251" t="str">
        <f t="shared" si="262"/>
        <v/>
      </c>
      <c r="IM24" s="2252"/>
      <c r="IN24" s="2253"/>
      <c r="IO24" s="2251" t="str">
        <f t="shared" ca="1" si="263"/>
        <v/>
      </c>
      <c r="IP24" s="2254"/>
      <c r="IQ24" s="2252"/>
      <c r="IR24" s="2253"/>
      <c r="IS24" s="2251" t="str">
        <f t="shared" ca="1" si="264"/>
        <v/>
      </c>
      <c r="IT24" s="2248"/>
      <c r="IU24" s="2249"/>
      <c r="IV24" s="2250"/>
      <c r="IW24" s="2251" t="str">
        <f t="shared" si="265"/>
        <v/>
      </c>
      <c r="IX24" s="2252"/>
      <c r="IY24" s="2253"/>
      <c r="IZ24" s="2251" t="str">
        <f t="shared" ca="1" si="266"/>
        <v/>
      </c>
      <c r="JA24" s="2254"/>
      <c r="JB24" s="2252"/>
      <c r="JC24" s="2253"/>
      <c r="JD24" s="2251" t="str">
        <f t="shared" ca="1" si="267"/>
        <v/>
      </c>
      <c r="JE24" s="2248"/>
      <c r="JF24" s="2249"/>
      <c r="JG24" s="2250"/>
      <c r="JH24" s="2251" t="str">
        <f t="shared" si="268"/>
        <v/>
      </c>
      <c r="JI24" s="2252"/>
      <c r="JJ24" s="2253"/>
      <c r="JK24" s="2251" t="str">
        <f t="shared" ca="1" si="269"/>
        <v/>
      </c>
      <c r="JL24" s="2254"/>
      <c r="JM24" s="2252"/>
      <c r="JN24" s="2253"/>
      <c r="JO24" s="2251" t="str">
        <f t="shared" ca="1" si="270"/>
        <v/>
      </c>
      <c r="JP24" s="2248"/>
      <c r="JQ24" s="2249"/>
      <c r="JR24" s="2250"/>
      <c r="JS24" s="2251" t="str">
        <f t="shared" si="271"/>
        <v/>
      </c>
      <c r="JT24" s="2252"/>
      <c r="JU24" s="2253"/>
      <c r="JV24" s="2251" t="str">
        <f t="shared" ca="1" si="272"/>
        <v/>
      </c>
      <c r="JW24" s="2254"/>
      <c r="JX24" s="2252"/>
      <c r="JY24" s="2253"/>
      <c r="JZ24" s="2251" t="str">
        <f t="shared" ca="1" si="273"/>
        <v/>
      </c>
      <c r="KA24" s="2231"/>
    </row>
    <row r="25" spans="1:287" s="2156" customFormat="1" ht="18" customHeight="1">
      <c r="A25" s="2142" t="str">
        <f ca="1">IF('22 Sollumsatz pro MA '!$A26="","",'22 Sollumsatz pro MA '!$A26)</f>
        <v/>
      </c>
      <c r="B25" s="2161"/>
      <c r="C25" s="2162"/>
      <c r="D25" s="2143"/>
      <c r="E25" s="2144" t="str">
        <f ca="1">IF('25 Sollumsatz nach Monaten'!F28=0,"",'25 Sollumsatz nach Monaten'!F28)</f>
        <v/>
      </c>
      <c r="F25" s="2145" t="str">
        <f t="shared" ca="1" si="276"/>
        <v/>
      </c>
      <c r="G25" s="2146" t="str">
        <f t="shared" ca="1" si="144"/>
        <v/>
      </c>
      <c r="H25" s="2143"/>
      <c r="I25" s="2144" t="str">
        <f ca="1">IF('25 Sollumsatz nach Monaten'!G28=0,"",'25 Sollumsatz nach Monaten'!G28)</f>
        <v/>
      </c>
      <c r="J25" s="2145" t="str">
        <f t="shared" ca="1" si="277"/>
        <v/>
      </c>
      <c r="K25" s="2158" t="str">
        <f t="shared" ca="1" si="146"/>
        <v/>
      </c>
      <c r="L25" s="2148" t="str">
        <f t="shared" ca="1" si="216"/>
        <v/>
      </c>
      <c r="M25" s="2161"/>
      <c r="N25" s="2162"/>
      <c r="O25" s="2143"/>
      <c r="P25" s="2149" t="str">
        <f ca="1">IF('25 Sollumsatz nach Monaten'!L28=0,"",'25 Sollumsatz nach Monaten'!L28)</f>
        <v/>
      </c>
      <c r="Q25" s="2150" t="str">
        <f t="shared" ca="1" si="278"/>
        <v/>
      </c>
      <c r="R25" s="2151" t="str">
        <f t="shared" ca="1" si="279"/>
        <v/>
      </c>
      <c r="S25" s="2143"/>
      <c r="T25" s="2149" t="str">
        <f ca="1">IF('25 Sollumsatz nach Monaten'!M28=0,"",'25 Sollumsatz nach Monaten'!M28)</f>
        <v/>
      </c>
      <c r="U25" s="2150" t="str">
        <f t="shared" ca="1" si="280"/>
        <v/>
      </c>
      <c r="V25" s="2151" t="str">
        <f t="shared" ca="1" si="281"/>
        <v/>
      </c>
      <c r="W25" s="2142" t="str">
        <f t="shared" ca="1" si="217"/>
        <v/>
      </c>
      <c r="X25" s="2161"/>
      <c r="Y25" s="2162"/>
      <c r="Z25" s="2143"/>
      <c r="AA25" s="2144" t="str">
        <f ca="1">IF('25 Sollumsatz nach Monaten'!R28=0,"",'25 Sollumsatz nach Monaten'!R28)</f>
        <v/>
      </c>
      <c r="AB25" s="2145" t="str">
        <f t="shared" ca="1" si="282"/>
        <v/>
      </c>
      <c r="AC25" s="2146" t="str">
        <f t="shared" ca="1" si="283"/>
        <v/>
      </c>
      <c r="AD25" s="2147"/>
      <c r="AE25" s="2144" t="str">
        <f ca="1">IF('25 Sollumsatz nach Monaten'!S28=0,"",'25 Sollumsatz nach Monaten'!S28)</f>
        <v/>
      </c>
      <c r="AF25" s="2145" t="str">
        <f t="shared" ca="1" si="284"/>
        <v/>
      </c>
      <c r="AG25" s="2158" t="str">
        <f t="shared" ca="1" si="285"/>
        <v/>
      </c>
      <c r="AH25" s="2148" t="str">
        <f t="shared" ca="1" si="218"/>
        <v/>
      </c>
      <c r="AI25" s="2161"/>
      <c r="AJ25" s="2162"/>
      <c r="AK25" s="2143"/>
      <c r="AL25" s="2149" t="str">
        <f ca="1">IF('25 Sollumsatz nach Monaten'!X28=0,"",'25 Sollumsatz nach Monaten'!X28)</f>
        <v/>
      </c>
      <c r="AM25" s="2150" t="str">
        <f t="shared" ca="1" si="286"/>
        <v/>
      </c>
      <c r="AN25" s="2151" t="str">
        <f t="shared" ca="1" si="287"/>
        <v/>
      </c>
      <c r="AO25" s="2143"/>
      <c r="AP25" s="2149" t="str">
        <f ca="1">IF('25 Sollumsatz nach Monaten'!Y28=0,"",'25 Sollumsatz nach Monaten'!Y28)</f>
        <v/>
      </c>
      <c r="AQ25" s="2150" t="str">
        <f t="shared" ca="1" si="288"/>
        <v/>
      </c>
      <c r="AR25" s="2151" t="str">
        <f t="shared" ca="1" si="289"/>
        <v/>
      </c>
      <c r="AS25" s="2142" t="str">
        <f t="shared" ca="1" si="219"/>
        <v/>
      </c>
      <c r="AT25" s="2161"/>
      <c r="AU25" s="2162"/>
      <c r="AV25" s="2143"/>
      <c r="AW25" s="2144" t="str">
        <f ca="1">IF('25 Sollumsatz nach Monaten'!AD28=0,"",'25 Sollumsatz nach Monaten'!AD28)</f>
        <v/>
      </c>
      <c r="AX25" s="2145" t="str">
        <f t="shared" ca="1" si="290"/>
        <v/>
      </c>
      <c r="AY25" s="2146" t="str">
        <f t="shared" ca="1" si="291"/>
        <v/>
      </c>
      <c r="AZ25" s="2143"/>
      <c r="BA25" s="2144" t="str">
        <f ca="1">IF('25 Sollumsatz nach Monaten'!AE28=0,"",'25 Sollumsatz nach Monaten'!AE28)</f>
        <v/>
      </c>
      <c r="BB25" s="2145" t="str">
        <f t="shared" ca="1" si="292"/>
        <v/>
      </c>
      <c r="BC25" s="2158" t="str">
        <f t="shared" ca="1" si="293"/>
        <v/>
      </c>
      <c r="BD25" s="2148" t="str">
        <f t="shared" ca="1" si="220"/>
        <v/>
      </c>
      <c r="BE25" s="2161"/>
      <c r="BF25" s="2162"/>
      <c r="BG25" s="2143"/>
      <c r="BH25" s="2149" t="str">
        <f ca="1">IF('25 Sollumsatz nach Monaten'!AJ28=0,"",'25 Sollumsatz nach Monaten'!AJ28)</f>
        <v/>
      </c>
      <c r="BI25" s="2150" t="str">
        <f t="shared" ca="1" si="294"/>
        <v/>
      </c>
      <c r="BJ25" s="2151" t="str">
        <f t="shared" ca="1" si="295"/>
        <v/>
      </c>
      <c r="BK25" s="2143"/>
      <c r="BL25" s="2149" t="str">
        <f ca="1">IF('25 Sollumsatz nach Monaten'!AK28=0,"",'25 Sollumsatz nach Monaten'!AK28)</f>
        <v/>
      </c>
      <c r="BM25" s="2150" t="str">
        <f t="shared" ca="1" si="296"/>
        <v/>
      </c>
      <c r="BN25" s="2151" t="str">
        <f t="shared" ca="1" si="297"/>
        <v/>
      </c>
      <c r="BO25" s="2142" t="str">
        <f t="shared" ca="1" si="221"/>
        <v/>
      </c>
      <c r="BP25" s="2161"/>
      <c r="BQ25" s="2162"/>
      <c r="BR25" s="2143"/>
      <c r="BS25" s="2144" t="str">
        <f ca="1">IF('25 Sollumsatz nach Monaten'!AP28=0,"",'25 Sollumsatz nach Monaten'!AP28)</f>
        <v/>
      </c>
      <c r="BT25" s="2145" t="str">
        <f t="shared" ca="1" si="298"/>
        <v/>
      </c>
      <c r="BU25" s="2146" t="str">
        <f t="shared" ca="1" si="299"/>
        <v/>
      </c>
      <c r="BV25" s="2143"/>
      <c r="BW25" s="2144" t="str">
        <f ca="1">IF('25 Sollumsatz nach Monaten'!AQ28=0,"",'25 Sollumsatz nach Monaten'!AQ28)</f>
        <v/>
      </c>
      <c r="BX25" s="2145" t="str">
        <f t="shared" ca="1" si="300"/>
        <v/>
      </c>
      <c r="BY25" s="2158" t="str">
        <f t="shared" ca="1" si="301"/>
        <v/>
      </c>
      <c r="BZ25" s="2148" t="str">
        <f t="shared" ca="1" si="222"/>
        <v/>
      </c>
      <c r="CA25" s="2161"/>
      <c r="CB25" s="2162"/>
      <c r="CC25" s="2143"/>
      <c r="CD25" s="2149" t="str">
        <f ca="1">IF('25 Sollumsatz nach Monaten'!AV28=0,"",'25 Sollumsatz nach Monaten'!AV28)</f>
        <v/>
      </c>
      <c r="CE25" s="2150" t="str">
        <f t="shared" ca="1" si="302"/>
        <v/>
      </c>
      <c r="CF25" s="2151" t="str">
        <f t="shared" ca="1" si="303"/>
        <v/>
      </c>
      <c r="CG25" s="2143"/>
      <c r="CH25" s="2149" t="str">
        <f ca="1">IF('25 Sollumsatz nach Monaten'!AW28=0,"",'25 Sollumsatz nach Monaten'!AW28)</f>
        <v/>
      </c>
      <c r="CI25" s="2150" t="str">
        <f t="shared" ca="1" si="304"/>
        <v/>
      </c>
      <c r="CJ25" s="2151" t="str">
        <f t="shared" ca="1" si="305"/>
        <v/>
      </c>
      <c r="CK25" s="2142" t="str">
        <f t="shared" ca="1" si="223"/>
        <v/>
      </c>
      <c r="CL25" s="2161"/>
      <c r="CM25" s="2162"/>
      <c r="CN25" s="2143"/>
      <c r="CO25" s="2144" t="str">
        <f ca="1">IF('25 Sollumsatz nach Monaten'!BB28=0,"",'25 Sollumsatz nach Monaten'!BB28)</f>
        <v/>
      </c>
      <c r="CP25" s="2145" t="str">
        <f t="shared" ca="1" si="306"/>
        <v/>
      </c>
      <c r="CQ25" s="2146" t="str">
        <f t="shared" ca="1" si="307"/>
        <v/>
      </c>
      <c r="CR25" s="2143"/>
      <c r="CS25" s="2144" t="str">
        <f ca="1">IF('25 Sollumsatz nach Monaten'!BC28=0,"",'25 Sollumsatz nach Monaten'!BC28)</f>
        <v/>
      </c>
      <c r="CT25" s="2145" t="str">
        <f t="shared" ca="1" si="308"/>
        <v/>
      </c>
      <c r="CU25" s="2158" t="str">
        <f t="shared" ca="1" si="309"/>
        <v/>
      </c>
      <c r="CV25" s="2148" t="str">
        <f t="shared" ca="1" si="224"/>
        <v/>
      </c>
      <c r="CW25" s="2161"/>
      <c r="CX25" s="2162"/>
      <c r="CY25" s="2143"/>
      <c r="CZ25" s="2149" t="str">
        <f ca="1">IF('25 Sollumsatz nach Monaten'!BH28=0,"",'25 Sollumsatz nach Monaten'!BH28)</f>
        <v/>
      </c>
      <c r="DA25" s="2150" t="str">
        <f t="shared" ca="1" si="310"/>
        <v/>
      </c>
      <c r="DB25" s="2151" t="str">
        <f t="shared" ca="1" si="311"/>
        <v/>
      </c>
      <c r="DC25" s="2143"/>
      <c r="DD25" s="2149" t="str">
        <f ca="1">IF('25 Sollumsatz nach Monaten'!BI28=0,"",'25 Sollumsatz nach Monaten'!BI28)</f>
        <v/>
      </c>
      <c r="DE25" s="2150" t="str">
        <f t="shared" ca="1" si="312"/>
        <v/>
      </c>
      <c r="DF25" s="2151" t="str">
        <f t="shared" ca="1" si="313"/>
        <v/>
      </c>
      <c r="DG25" s="2142" t="str">
        <f t="shared" ca="1" si="225"/>
        <v/>
      </c>
      <c r="DH25" s="2161"/>
      <c r="DI25" s="2162"/>
      <c r="DJ25" s="2143"/>
      <c r="DK25" s="2144" t="str">
        <f ca="1">IF('25 Sollumsatz nach Monaten'!BN28=0,"",'25 Sollumsatz nach Monaten'!BN28)</f>
        <v/>
      </c>
      <c r="DL25" s="2145" t="str">
        <f t="shared" ca="1" si="314"/>
        <v/>
      </c>
      <c r="DM25" s="2146" t="str">
        <f t="shared" ca="1" si="315"/>
        <v/>
      </c>
      <c r="DN25" s="2143"/>
      <c r="DO25" s="2144" t="str">
        <f ca="1">IF('25 Sollumsatz nach Monaten'!BO28=0,"",'25 Sollumsatz nach Monaten'!BO28)</f>
        <v/>
      </c>
      <c r="DP25" s="2145" t="str">
        <f t="shared" ca="1" si="316"/>
        <v/>
      </c>
      <c r="DQ25" s="2158" t="str">
        <f t="shared" ca="1" si="317"/>
        <v/>
      </c>
      <c r="DR25" s="2148" t="str">
        <f t="shared" ca="1" si="226"/>
        <v/>
      </c>
      <c r="DS25" s="2161"/>
      <c r="DT25" s="2162"/>
      <c r="DU25" s="2143"/>
      <c r="DV25" s="2149" t="str">
        <f ca="1">IF('25 Sollumsatz nach Monaten'!BT28=0,"",'25 Sollumsatz nach Monaten'!BT28)</f>
        <v/>
      </c>
      <c r="DW25" s="2150" t="str">
        <f t="shared" ca="1" si="318"/>
        <v/>
      </c>
      <c r="DX25" s="2151" t="str">
        <f t="shared" ca="1" si="319"/>
        <v/>
      </c>
      <c r="DY25" s="2143"/>
      <c r="DZ25" s="2149" t="str">
        <f ca="1">IF('25 Sollumsatz nach Monaten'!BU28=0,"",'25 Sollumsatz nach Monaten'!BU28)</f>
        <v/>
      </c>
      <c r="EA25" s="2150" t="str">
        <f t="shared" ca="1" si="320"/>
        <v/>
      </c>
      <c r="EB25" s="2151" t="str">
        <f t="shared" ca="1" si="321"/>
        <v/>
      </c>
      <c r="EC25" s="2152" t="str">
        <f t="shared" ca="1" si="227"/>
        <v/>
      </c>
      <c r="ED25" s="2280" t="str">
        <f t="shared" ca="1" si="228"/>
        <v/>
      </c>
      <c r="EE25" s="2153" t="str">
        <f t="shared" ca="1" si="229"/>
        <v/>
      </c>
      <c r="EF25" s="2154" t="str">
        <f t="shared" ca="1" si="230"/>
        <v/>
      </c>
      <c r="EG25" s="2155" t="str">
        <f t="shared" ca="1" si="275"/>
        <v/>
      </c>
      <c r="EH25" s="2282" t="str">
        <f t="shared" ca="1" si="231"/>
        <v/>
      </c>
      <c r="EI25" s="2153" t="str">
        <f t="shared" ca="1" si="232"/>
        <v/>
      </c>
      <c r="EJ25" s="2154" t="str">
        <f t="shared" ca="1" si="233"/>
        <v/>
      </c>
      <c r="EK25" s="2155" t="str">
        <f t="shared" ca="1" si="322"/>
        <v/>
      </c>
      <c r="EL25" s="2160" t="str">
        <f t="shared" ca="1" si="234"/>
        <v/>
      </c>
      <c r="EM25" s="2160" t="str">
        <f t="shared" ca="1" si="235"/>
        <v/>
      </c>
      <c r="EN25" s="2160" t="str">
        <f t="shared" ca="1" si="236"/>
        <v/>
      </c>
      <c r="EO25" s="2152" t="str">
        <f t="shared" ca="1" si="237"/>
        <v/>
      </c>
      <c r="EP25" s="2312" t="str">
        <f ca="1">IF('25 Sollumsatz nach Monaten'!BV28="","",SUM(EQ25:ER25))</f>
        <v/>
      </c>
      <c r="EQ25" s="2312" t="str">
        <f ca="1">IF('25 Sollumsatz nach Monaten'!BV28="","",ED25/'25 Sollumsatz nach Monaten'!BV28)</f>
        <v/>
      </c>
      <c r="ER25" s="2312" t="str">
        <f ca="1">IF('25 Sollumsatz nach Monaten'!BV28="","",EH25/'25 Sollumsatz nach Monaten'!BV28)</f>
        <v/>
      </c>
      <c r="EY25" s="2248"/>
      <c r="EZ25" s="2249"/>
      <c r="FA25" s="2250"/>
      <c r="FB25" s="2251" t="str">
        <f t="shared" si="238"/>
        <v/>
      </c>
      <c r="FC25" s="2252"/>
      <c r="FD25" s="2253"/>
      <c r="FE25" s="2251" t="str">
        <f t="shared" ca="1" si="239"/>
        <v/>
      </c>
      <c r="FF25" s="2254"/>
      <c r="FG25" s="2252"/>
      <c r="FH25" s="2253"/>
      <c r="FI25" s="2251" t="str">
        <f t="shared" ca="1" si="240"/>
        <v/>
      </c>
      <c r="FJ25" s="2248"/>
      <c r="FK25" s="2249"/>
      <c r="FL25" s="2250"/>
      <c r="FM25" s="2251" t="str">
        <f t="shared" si="241"/>
        <v/>
      </c>
      <c r="FN25" s="2252"/>
      <c r="FO25" s="2253"/>
      <c r="FP25" s="2251" t="str">
        <f t="shared" ca="1" si="242"/>
        <v/>
      </c>
      <c r="FQ25" s="2254"/>
      <c r="FR25" s="2252"/>
      <c r="FS25" s="2253"/>
      <c r="FT25" s="2251" t="str">
        <f t="shared" ca="1" si="243"/>
        <v/>
      </c>
      <c r="FU25" s="2248"/>
      <c r="FV25" s="2249"/>
      <c r="FW25" s="2250"/>
      <c r="FX25" s="2251" t="str">
        <f t="shared" si="244"/>
        <v/>
      </c>
      <c r="FY25" s="2252"/>
      <c r="FZ25" s="2253"/>
      <c r="GA25" s="2251" t="str">
        <f t="shared" ca="1" si="245"/>
        <v/>
      </c>
      <c r="GB25" s="2254"/>
      <c r="GC25" s="2252"/>
      <c r="GD25" s="2253"/>
      <c r="GE25" s="2251" t="str">
        <f t="shared" ca="1" si="246"/>
        <v/>
      </c>
      <c r="GF25" s="2248"/>
      <c r="GG25" s="2249"/>
      <c r="GH25" s="2250"/>
      <c r="GI25" s="2251" t="str">
        <f t="shared" si="247"/>
        <v/>
      </c>
      <c r="GJ25" s="2252"/>
      <c r="GK25" s="2253"/>
      <c r="GL25" s="2251" t="str">
        <f t="shared" ca="1" si="248"/>
        <v/>
      </c>
      <c r="GM25" s="2254"/>
      <c r="GN25" s="2252"/>
      <c r="GO25" s="2253"/>
      <c r="GP25" s="2251" t="str">
        <f t="shared" ca="1" si="249"/>
        <v/>
      </c>
      <c r="GQ25" s="2248"/>
      <c r="GR25" s="2249"/>
      <c r="GS25" s="2250"/>
      <c r="GT25" s="2251" t="str">
        <f t="shared" si="250"/>
        <v/>
      </c>
      <c r="GU25" s="2252"/>
      <c r="GV25" s="2253"/>
      <c r="GW25" s="2251" t="str">
        <f t="shared" ca="1" si="251"/>
        <v/>
      </c>
      <c r="GX25" s="2254"/>
      <c r="GY25" s="2252"/>
      <c r="GZ25" s="2253"/>
      <c r="HA25" s="2251" t="str">
        <f t="shared" ca="1" si="252"/>
        <v/>
      </c>
      <c r="HB25" s="2248"/>
      <c r="HC25" s="2249"/>
      <c r="HD25" s="2250"/>
      <c r="HE25" s="2251" t="str">
        <f t="shared" si="253"/>
        <v/>
      </c>
      <c r="HF25" s="2252"/>
      <c r="HG25" s="2253"/>
      <c r="HH25" s="2251" t="str">
        <f t="shared" ca="1" si="254"/>
        <v/>
      </c>
      <c r="HI25" s="2254"/>
      <c r="HJ25" s="2252"/>
      <c r="HK25" s="2253"/>
      <c r="HL25" s="2251" t="str">
        <f t="shared" ca="1" si="255"/>
        <v/>
      </c>
      <c r="HM25" s="2248"/>
      <c r="HN25" s="2249"/>
      <c r="HO25" s="2250"/>
      <c r="HP25" s="2251" t="str">
        <f t="shared" si="256"/>
        <v/>
      </c>
      <c r="HQ25" s="2252"/>
      <c r="HR25" s="2253"/>
      <c r="HS25" s="2251" t="str">
        <f t="shared" ca="1" si="257"/>
        <v/>
      </c>
      <c r="HT25" s="2254"/>
      <c r="HU25" s="2252"/>
      <c r="HV25" s="2253"/>
      <c r="HW25" s="2251" t="str">
        <f t="shared" ca="1" si="258"/>
        <v/>
      </c>
      <c r="HX25" s="2248"/>
      <c r="HY25" s="2249"/>
      <c r="HZ25" s="2250"/>
      <c r="IA25" s="2251" t="str">
        <f t="shared" si="259"/>
        <v/>
      </c>
      <c r="IB25" s="2252"/>
      <c r="IC25" s="2253"/>
      <c r="ID25" s="2251" t="str">
        <f t="shared" ca="1" si="260"/>
        <v/>
      </c>
      <c r="IE25" s="2254"/>
      <c r="IF25" s="2252"/>
      <c r="IG25" s="2253"/>
      <c r="IH25" s="2251" t="str">
        <f t="shared" ca="1" si="261"/>
        <v/>
      </c>
      <c r="II25" s="2248"/>
      <c r="IJ25" s="2249"/>
      <c r="IK25" s="2250"/>
      <c r="IL25" s="2251" t="str">
        <f t="shared" si="262"/>
        <v/>
      </c>
      <c r="IM25" s="2252"/>
      <c r="IN25" s="2253"/>
      <c r="IO25" s="2251" t="str">
        <f t="shared" ca="1" si="263"/>
        <v/>
      </c>
      <c r="IP25" s="2254"/>
      <c r="IQ25" s="2252"/>
      <c r="IR25" s="2253"/>
      <c r="IS25" s="2251" t="str">
        <f t="shared" ca="1" si="264"/>
        <v/>
      </c>
      <c r="IT25" s="2248"/>
      <c r="IU25" s="2249"/>
      <c r="IV25" s="2250"/>
      <c r="IW25" s="2251" t="str">
        <f t="shared" si="265"/>
        <v/>
      </c>
      <c r="IX25" s="2252"/>
      <c r="IY25" s="2253"/>
      <c r="IZ25" s="2251" t="str">
        <f t="shared" ca="1" si="266"/>
        <v/>
      </c>
      <c r="JA25" s="2254"/>
      <c r="JB25" s="2252"/>
      <c r="JC25" s="2253"/>
      <c r="JD25" s="2251" t="str">
        <f t="shared" ca="1" si="267"/>
        <v/>
      </c>
      <c r="JE25" s="2248"/>
      <c r="JF25" s="2249"/>
      <c r="JG25" s="2250"/>
      <c r="JH25" s="2251" t="str">
        <f t="shared" si="268"/>
        <v/>
      </c>
      <c r="JI25" s="2252"/>
      <c r="JJ25" s="2253"/>
      <c r="JK25" s="2251" t="str">
        <f t="shared" ca="1" si="269"/>
        <v/>
      </c>
      <c r="JL25" s="2254"/>
      <c r="JM25" s="2252"/>
      <c r="JN25" s="2253"/>
      <c r="JO25" s="2251" t="str">
        <f t="shared" ca="1" si="270"/>
        <v/>
      </c>
      <c r="JP25" s="2248"/>
      <c r="JQ25" s="2249"/>
      <c r="JR25" s="2250"/>
      <c r="JS25" s="2251" t="str">
        <f t="shared" si="271"/>
        <v/>
      </c>
      <c r="JT25" s="2252"/>
      <c r="JU25" s="2253"/>
      <c r="JV25" s="2251" t="str">
        <f t="shared" ca="1" si="272"/>
        <v/>
      </c>
      <c r="JW25" s="2254"/>
      <c r="JX25" s="2252"/>
      <c r="JY25" s="2253"/>
      <c r="JZ25" s="2251" t="str">
        <f t="shared" ca="1" si="273"/>
        <v/>
      </c>
      <c r="KA25" s="2231"/>
    </row>
    <row r="26" spans="1:287" ht="9.6" customHeight="1"/>
    <row r="27" spans="1:287" ht="9.6" customHeight="1"/>
    <row r="28" spans="1:287" s="2156" customFormat="1" ht="18" customHeight="1">
      <c r="A28" s="2142" t="str">
        <f ca="1">IF('22 Sollumsatz pro MA '!$A31="","",'22 Sollumsatz pro MA '!$A31)</f>
        <v/>
      </c>
      <c r="B28" s="2161"/>
      <c r="C28" s="2162"/>
      <c r="D28" s="2143"/>
      <c r="E28" s="2144" t="str">
        <f ca="1">IF('25 Sollumsatz nach Monaten'!F31=0,"",'25 Sollumsatz nach Monaten'!F31)</f>
        <v/>
      </c>
      <c r="F28" s="2145" t="str">
        <f t="shared" ref="F28:F43" ca="1" si="323">IF(E28="","",IF(D28="","",D28-E28))</f>
        <v/>
      </c>
      <c r="G28" s="2146" t="str">
        <f t="shared" ref="G28:G43" ca="1" si="324">IF(E28="","",IF(D28="","",IF(F28&lt;0,"",IF(B28&gt;0,F28*B28,IF(G$5&gt;0,F28*G$5,F28*$B$5)))))</f>
        <v/>
      </c>
      <c r="H28" s="2143"/>
      <c r="I28" s="2144" t="str">
        <f ca="1">IF('25 Sollumsatz nach Monaten'!G31=0,"",'25 Sollumsatz nach Monaten'!G31)</f>
        <v/>
      </c>
      <c r="J28" s="2145" t="str">
        <f t="shared" ref="J28:J43" ca="1" si="325">IF(I28="","",IF(H28="","",H28-I28))</f>
        <v/>
      </c>
      <c r="K28" s="2158" t="str">
        <f t="shared" ref="K28:K43" ca="1" si="326">IF(I28="","",IF(H28="","",IF(J28&lt;0,"",IF(C28&gt;0,J28*C28,IF(K$5&gt;0,J28*K$5,J28*$C$5)))))</f>
        <v/>
      </c>
      <c r="L28" s="2148" t="str">
        <f t="shared" ca="1" si="216"/>
        <v/>
      </c>
      <c r="M28" s="2161"/>
      <c r="N28" s="2162"/>
      <c r="O28" s="2143"/>
      <c r="P28" s="2149" t="str">
        <f ca="1">IF('25 Sollumsatz nach Monaten'!L31=0,"",'25 Sollumsatz nach Monaten'!L31)</f>
        <v/>
      </c>
      <c r="Q28" s="2150" t="str">
        <f t="shared" ref="Q28:Q43" ca="1" si="327">IF(P28="","",IF(O28="","",O28-P28))</f>
        <v/>
      </c>
      <c r="R28" s="2151" t="str">
        <f t="shared" ref="R28:R43" ca="1" si="328">IF(P28="","",IF(O28="","",IF(Q28&lt;0,"",IF(M28&gt;0,Q28*M28,IF(R$6&gt;0,Q28*R$6,Q28*$B$5)))))</f>
        <v/>
      </c>
      <c r="S28" s="2143"/>
      <c r="T28" s="2149" t="str">
        <f ca="1">IF('25 Sollumsatz nach Monaten'!M31=0,"",'25 Sollumsatz nach Monaten'!M31)</f>
        <v/>
      </c>
      <c r="U28" s="2150" t="str">
        <f t="shared" ref="U28:U43" ca="1" si="329">IF(T28="","",IF(S28="","",S28-T28))</f>
        <v/>
      </c>
      <c r="V28" s="2151" t="str">
        <f t="shared" ref="V28:V43" ca="1" si="330">IF(T28="","",IF(S28="","",IF(U28&lt;0,"",IF(N28&gt;0,U28*N28,IF(V$6&gt;0,U28*V$6,U28*$C$5)))))</f>
        <v/>
      </c>
      <c r="W28" s="2142" t="str">
        <f t="shared" ca="1" si="217"/>
        <v/>
      </c>
      <c r="X28" s="2161"/>
      <c r="Y28" s="2162"/>
      <c r="Z28" s="2143"/>
      <c r="AA28" s="2144" t="str">
        <f ca="1">IF('25 Sollumsatz nach Monaten'!R31=0,"",'25 Sollumsatz nach Monaten'!R31)</f>
        <v/>
      </c>
      <c r="AB28" s="2145" t="str">
        <f t="shared" ref="AB28:AB43" ca="1" si="331">IF(AA28="","",IF(Z28="","",Z28-AA28))</f>
        <v/>
      </c>
      <c r="AC28" s="2146" t="str">
        <f t="shared" ref="AC28:AC43" ca="1" si="332">IF(AA28="","",IF(Z28="","",IF(AB28&lt;0,"",IF(X28&gt;0,AB28*X28,IF(AC$6&gt;0,AB28*AC$6,AB28*$B$5)))))</f>
        <v/>
      </c>
      <c r="AD28" s="2147"/>
      <c r="AE28" s="2144" t="str">
        <f ca="1">IF('25 Sollumsatz nach Monaten'!S31=0,"",'25 Sollumsatz nach Monaten'!S31)</f>
        <v/>
      </c>
      <c r="AF28" s="2145" t="str">
        <f t="shared" ref="AF28:AF43" ca="1" si="333">IF(AE28="","",IF(AD28="","",AD28-AE28))</f>
        <v/>
      </c>
      <c r="AG28" s="2158" t="str">
        <f t="shared" ref="AG28:AG43" ca="1" si="334">IF(AE28="","",IF(AD28="","",IF(AF28&lt;0,"",IF(Y28&gt;0,AF28*Y28,IF(AG$6&gt;0,AF28*AG$6,AF28*$C$5)))))</f>
        <v/>
      </c>
      <c r="AH28" s="2148" t="str">
        <f t="shared" ca="1" si="218"/>
        <v/>
      </c>
      <c r="AI28" s="2161"/>
      <c r="AJ28" s="2162"/>
      <c r="AK28" s="2143"/>
      <c r="AL28" s="2149" t="str">
        <f ca="1">IF('25 Sollumsatz nach Monaten'!X31=0,"",'25 Sollumsatz nach Monaten'!X31)</f>
        <v/>
      </c>
      <c r="AM28" s="2150" t="str">
        <f t="shared" ref="AM28:AM43" ca="1" si="335">IF(AL28="","",IF(AK28="","",AK28-AL28))</f>
        <v/>
      </c>
      <c r="AN28" s="2151" t="str">
        <f t="shared" ref="AN28:AN43" ca="1" si="336">IF(AL28="","",IF(AK28="","",IF(AM28&lt;0,"",IF(AI28&gt;0,AM28*AI28,IF(AN$6&gt;0,AM28*AN$6,AM28*$B$5)))))</f>
        <v/>
      </c>
      <c r="AO28" s="2143"/>
      <c r="AP28" s="2149" t="str">
        <f ca="1">IF('25 Sollumsatz nach Monaten'!Y31=0,"",'25 Sollumsatz nach Monaten'!Y31)</f>
        <v/>
      </c>
      <c r="AQ28" s="2150" t="str">
        <f t="shared" ref="AQ28:AQ43" ca="1" si="337">IF(AP28="","",IF(AO28="","",AO28-AP28))</f>
        <v/>
      </c>
      <c r="AR28" s="2151" t="str">
        <f t="shared" ref="AR28:AR43" ca="1" si="338">IF(AP28="","",IF(AO28="","",IF(AQ28&lt;0,"",IF(AJ28&gt;0,AQ28*AJ28,IF(AR$6&gt;0,AQ28*AR$6,AQ28*$C$5)))))</f>
        <v/>
      </c>
      <c r="AS28" s="2142" t="str">
        <f t="shared" ca="1" si="219"/>
        <v/>
      </c>
      <c r="AT28" s="2161"/>
      <c r="AU28" s="2162"/>
      <c r="AV28" s="2143"/>
      <c r="AW28" s="2144" t="str">
        <f ca="1">IF('25 Sollumsatz nach Monaten'!AD31=0,"",'25 Sollumsatz nach Monaten'!AD31)</f>
        <v/>
      </c>
      <c r="AX28" s="2145" t="str">
        <f t="shared" ref="AX28:AX43" ca="1" si="339">IF(AW28="","",IF(AV28="","",AV28-AW28))</f>
        <v/>
      </c>
      <c r="AY28" s="2146" t="str">
        <f t="shared" ref="AY28:AY43" ca="1" si="340">IF(AW28="","",IF(AV28="","",IF(AX28&lt;0,"",IF(AT28&gt;0,AX28*AT28,IF(AY$6&gt;0,AX28*AY$6,AX28*$B$5)))))</f>
        <v/>
      </c>
      <c r="AZ28" s="2143"/>
      <c r="BA28" s="2144" t="str">
        <f ca="1">IF('25 Sollumsatz nach Monaten'!AE31=0,"",'25 Sollumsatz nach Monaten'!AE31)</f>
        <v/>
      </c>
      <c r="BB28" s="2145" t="str">
        <f t="shared" ref="BB28:BB43" ca="1" si="341">IF(BA28="","",IF(AZ28="","",AZ28-BA28))</f>
        <v/>
      </c>
      <c r="BC28" s="2158" t="str">
        <f t="shared" ref="BC28:BC43" ca="1" si="342">IF(BA28="","",IF(AZ28="","",IF(BB28&lt;0,"",IF(AU28&gt;0,BB28*AU28,IF(BC$6&gt;0,BB28*BC$6,BB28*$C$5)))))</f>
        <v/>
      </c>
      <c r="BD28" s="2148" t="str">
        <f t="shared" ca="1" si="220"/>
        <v/>
      </c>
      <c r="BE28" s="2161"/>
      <c r="BF28" s="2162"/>
      <c r="BG28" s="2143"/>
      <c r="BH28" s="2149" t="str">
        <f ca="1">IF('25 Sollumsatz nach Monaten'!AJ31=0,"",'25 Sollumsatz nach Monaten'!AJ31)</f>
        <v/>
      </c>
      <c r="BI28" s="2150" t="str">
        <f t="shared" ref="BI28:BI43" ca="1" si="343">IF(BH28="","",IF(BG28="","",BG28-BH28))</f>
        <v/>
      </c>
      <c r="BJ28" s="2151" t="str">
        <f t="shared" ref="BJ28:BJ43" ca="1" si="344">IF(BH28="","",IF(BG28="","",IF(BI28&lt;0,"",IF(BE28&gt;0,BI28*BE28,IF(BJ$6&gt;0,BI28*BJ$6,BI28*$B$5)))))</f>
        <v/>
      </c>
      <c r="BK28" s="2143"/>
      <c r="BL28" s="2149" t="str">
        <f ca="1">IF('25 Sollumsatz nach Monaten'!AK31=0,"",'25 Sollumsatz nach Monaten'!AK31)</f>
        <v/>
      </c>
      <c r="BM28" s="2150" t="str">
        <f t="shared" ref="BM28:BM43" ca="1" si="345">IF(BL28="","",IF(BK28="","",BK28-BL28))</f>
        <v/>
      </c>
      <c r="BN28" s="2151" t="str">
        <f t="shared" ref="BN28:BN43" ca="1" si="346">IF(BL28="","",IF(BK28="","",IF(BM28&lt;0,"",IF(BF28&gt;0,BM28*BF28,IF(BN$6&gt;0,BM28*BN$6,BM28*$C$5)))))</f>
        <v/>
      </c>
      <c r="BO28" s="2142" t="str">
        <f t="shared" ca="1" si="221"/>
        <v/>
      </c>
      <c r="BP28" s="2161"/>
      <c r="BQ28" s="2162"/>
      <c r="BR28" s="2143"/>
      <c r="BS28" s="2144" t="str">
        <f ca="1">IF('25 Sollumsatz nach Monaten'!AP31=0,"",'25 Sollumsatz nach Monaten'!AP31)</f>
        <v/>
      </c>
      <c r="BT28" s="2145" t="str">
        <f t="shared" ref="BT28:BT43" ca="1" si="347">IF(BS28="","",IF(BR28="","",BR28-BS28))</f>
        <v/>
      </c>
      <c r="BU28" s="2146" t="str">
        <f t="shared" ref="BU28:BU43" ca="1" si="348">IF(BS28="","",IF(BR28="","",IF(BT28&lt;0,"",IF(BP28&gt;0,BT28*BP28,IF(BU$6&gt;0,BT28*BU$6,BT28*$B$5)))))</f>
        <v/>
      </c>
      <c r="BV28" s="2143"/>
      <c r="BW28" s="2144" t="str">
        <f ca="1">IF('25 Sollumsatz nach Monaten'!AQ31=0,"",'25 Sollumsatz nach Monaten'!AQ31)</f>
        <v/>
      </c>
      <c r="BX28" s="2145" t="str">
        <f t="shared" ref="BX28:BX43" ca="1" si="349">IF(BW28="","",IF(BV28="","",BV28-BW28))</f>
        <v/>
      </c>
      <c r="BY28" s="2158" t="str">
        <f t="shared" ref="BY28:BY43" ca="1" si="350">IF(BW28="","",IF(BV28="","",IF(BX28&lt;0,"",IF(BQ28&gt;0,BX28*BQ28,IF(BY$6&gt;0,BX28*BY$6,BX28*$C$5)))))</f>
        <v/>
      </c>
      <c r="BZ28" s="2148" t="str">
        <f t="shared" ca="1" si="222"/>
        <v/>
      </c>
      <c r="CA28" s="2161"/>
      <c r="CB28" s="2162"/>
      <c r="CC28" s="2143"/>
      <c r="CD28" s="2149" t="str">
        <f ca="1">IF('25 Sollumsatz nach Monaten'!AV31=0,"",'25 Sollumsatz nach Monaten'!AV31)</f>
        <v/>
      </c>
      <c r="CE28" s="2150" t="str">
        <f t="shared" ref="CE28:CE43" ca="1" si="351">IF(CD28="","",IF(CC28="","",CC28-CD28))</f>
        <v/>
      </c>
      <c r="CF28" s="2151" t="str">
        <f t="shared" ref="CF28:CF43" ca="1" si="352">IF(CD28="","",IF(CC28="","",IF(CE28&lt;0,"",IF(CA28&gt;0,CE28*CA28,IF(CF$6&gt;0,CE28*CF$6,CE28*$B$5)))))</f>
        <v/>
      </c>
      <c r="CG28" s="2143"/>
      <c r="CH28" s="2149" t="str">
        <f ca="1">IF('25 Sollumsatz nach Monaten'!AW31=0,"",'25 Sollumsatz nach Monaten'!AW31)</f>
        <v/>
      </c>
      <c r="CI28" s="2150" t="str">
        <f t="shared" ref="CI28:CI43" ca="1" si="353">IF(CH28="","",IF(CG28="","",CG28-CH28))</f>
        <v/>
      </c>
      <c r="CJ28" s="2151" t="str">
        <f t="shared" ref="CJ28:CJ43" ca="1" si="354">IF(CH28="","",IF(CG28="","",IF(CI28&lt;0,"",IF(CB28&gt;0,CI28*CB28,IF(CJ$6&gt;0,CI28*CJ$6,CI28*$C$5)))))</f>
        <v/>
      </c>
      <c r="CK28" s="2142" t="str">
        <f t="shared" ca="1" si="223"/>
        <v/>
      </c>
      <c r="CL28" s="2161"/>
      <c r="CM28" s="2162"/>
      <c r="CN28" s="2143"/>
      <c r="CO28" s="2144" t="str">
        <f ca="1">IF('25 Sollumsatz nach Monaten'!BB31=0,"",'25 Sollumsatz nach Monaten'!BB31)</f>
        <v/>
      </c>
      <c r="CP28" s="2145" t="str">
        <f t="shared" ref="CP28:CP43" ca="1" si="355">IF(CO28="","",IF(CN28="","",CN28-CO28))</f>
        <v/>
      </c>
      <c r="CQ28" s="2146" t="str">
        <f t="shared" ref="CQ28:CQ43" ca="1" si="356">IF(CO28="","",IF(CN28="","",IF(CP28&lt;0,"",IF(CL28&gt;0,CP28*CL28,IF(CQ$6&gt;0,CP28*CQ$6,CP28*$B$5)))))</f>
        <v/>
      </c>
      <c r="CR28" s="2143"/>
      <c r="CS28" s="2144" t="str">
        <f ca="1">IF('25 Sollumsatz nach Monaten'!BC31=0,"",'25 Sollumsatz nach Monaten'!BC31)</f>
        <v/>
      </c>
      <c r="CT28" s="2145" t="str">
        <f t="shared" ref="CT28:CT43" ca="1" si="357">IF(CS28="","",IF(CR28="","",CR28-CS28))</f>
        <v/>
      </c>
      <c r="CU28" s="2158" t="str">
        <f t="shared" ref="CU28:CU43" ca="1" si="358">IF(CS28="","",IF(CR28="","",IF(CT28&lt;0,"",IF(CM28&gt;0,CT28*CM28,IF(CU$6&gt;0,CT28*CU$6,CT28*$C$5)))))</f>
        <v/>
      </c>
      <c r="CV28" s="2148" t="str">
        <f t="shared" ca="1" si="224"/>
        <v/>
      </c>
      <c r="CW28" s="2161"/>
      <c r="CX28" s="2162"/>
      <c r="CY28" s="2143"/>
      <c r="CZ28" s="2149" t="str">
        <f ca="1">IF('25 Sollumsatz nach Monaten'!BH31=0,"",'25 Sollumsatz nach Monaten'!BH31)</f>
        <v/>
      </c>
      <c r="DA28" s="2150" t="str">
        <f t="shared" ref="DA28:DA43" ca="1" si="359">IF(CZ28="","",IF(CY28="","",CY28-CZ28))</f>
        <v/>
      </c>
      <c r="DB28" s="2151" t="str">
        <f t="shared" ref="DB28:DB43" ca="1" si="360">IF(CZ28="","",IF(CY28="","",IF(DA28&lt;0,"",IF(CW28&gt;0,DA28*CW28,IF(DB$6&gt;0,DA28*DB$6,DA28*$B$5)))))</f>
        <v/>
      </c>
      <c r="DC28" s="2143"/>
      <c r="DD28" s="2149" t="str">
        <f ca="1">IF('25 Sollumsatz nach Monaten'!BI31=0,"",'25 Sollumsatz nach Monaten'!BI31)</f>
        <v/>
      </c>
      <c r="DE28" s="2150" t="str">
        <f t="shared" ref="DE28:DE43" ca="1" si="361">IF(DD28="","",IF(DC28="","",DC28-DD28))</f>
        <v/>
      </c>
      <c r="DF28" s="2151" t="str">
        <f t="shared" ref="DF28:DF43" ca="1" si="362">IF(DD28="","",IF(DC28="","",IF(DE28&lt;0,"",IF(CX28&gt;0,DE28*CX28,IF(DF$6&gt;0,DE28*DF$6,DE28*$C$5)))))</f>
        <v/>
      </c>
      <c r="DG28" s="2142" t="str">
        <f t="shared" ca="1" si="225"/>
        <v/>
      </c>
      <c r="DH28" s="2161"/>
      <c r="DI28" s="2162"/>
      <c r="DJ28" s="2143"/>
      <c r="DK28" s="2144" t="str">
        <f ca="1">IF('25 Sollumsatz nach Monaten'!BN31=0,"",'25 Sollumsatz nach Monaten'!BN31)</f>
        <v/>
      </c>
      <c r="DL28" s="2145" t="str">
        <f t="shared" ref="DL28:DL43" ca="1" si="363">IF(DK28="","",IF(DJ28="","",DJ28-DK28))</f>
        <v/>
      </c>
      <c r="DM28" s="2146" t="str">
        <f t="shared" ref="DM28:DM43" ca="1" si="364">IF(DK28="","",IF(DJ28="","",IF(DL28&lt;0,"",IF(DH28&gt;0,DL28*DH28,IF(DM$6&gt;0,DL28*DM$6,DL28*$B$5)))))</f>
        <v/>
      </c>
      <c r="DN28" s="2143"/>
      <c r="DO28" s="2144" t="str">
        <f ca="1">IF('25 Sollumsatz nach Monaten'!BO31=0,"",'25 Sollumsatz nach Monaten'!BO31)</f>
        <v/>
      </c>
      <c r="DP28" s="2145" t="str">
        <f t="shared" ref="DP28:DP43" ca="1" si="365">IF(DO28="","",IF(DN28="","",DN28-DO28))</f>
        <v/>
      </c>
      <c r="DQ28" s="2158" t="str">
        <f t="shared" ref="DQ28:DQ43" ca="1" si="366">IF(DO28="","",IF(DN28="","",IF(DP28&lt;0,"",IF(DI28&gt;0,DP28*DI28,IF(DQ$6&gt;0,DP28*DQ$6,DP28*$C$5)))))</f>
        <v/>
      </c>
      <c r="DR28" s="2148" t="str">
        <f t="shared" ca="1" si="226"/>
        <v/>
      </c>
      <c r="DS28" s="2161"/>
      <c r="DT28" s="2162"/>
      <c r="DU28" s="2143"/>
      <c r="DV28" s="2149" t="str">
        <f ca="1">IF('25 Sollumsatz nach Monaten'!BT31=0,"",'25 Sollumsatz nach Monaten'!BT31)</f>
        <v/>
      </c>
      <c r="DW28" s="2150" t="str">
        <f t="shared" ref="DW28:DW43" ca="1" si="367">IF(DV28="","",IF(DU28="","",DU28-DV28))</f>
        <v/>
      </c>
      <c r="DX28" s="2151" t="str">
        <f t="shared" ref="DX28:DX43" ca="1" si="368">IF(DV28="","",IF(DU28="","",IF(DW28&lt;0,"",IF(DS28&gt;0,DW28*DS28,IF(DX$6&gt;0,DW28*DX$6,DW28*$B$5)))))</f>
        <v/>
      </c>
      <c r="DY28" s="2143"/>
      <c r="DZ28" s="2149" t="str">
        <f ca="1">IF('25 Sollumsatz nach Monaten'!BU31=0,"",'25 Sollumsatz nach Monaten'!BU31)</f>
        <v/>
      </c>
      <c r="EA28" s="2150" t="str">
        <f t="shared" ref="EA28:EA43" ca="1" si="369">IF(DZ28="","",IF(DY28="","",DY28-DZ28))</f>
        <v/>
      </c>
      <c r="EB28" s="2151" t="str">
        <f t="shared" ref="EB28:EB43" ca="1" si="370">IF(DZ28="","",IF(DY28="","",IF(EA28&lt;0,"",IF(DT28&gt;0,EA28*DT28,IF(EB$6&gt;0,EA28*EB$6,EA28*$C$5)))))</f>
        <v/>
      </c>
      <c r="EC28" s="2152" t="str">
        <f t="shared" ca="1" si="227"/>
        <v/>
      </c>
      <c r="ED28" s="2280" t="str">
        <f t="shared" ref="ED28:ED43" ca="1" si="371">IF(EC28="","",SUM(DU28,DJ28,CY28,CN28,CC28,BR28,BG28,AV28,AK28,Z28,O28,D28))</f>
        <v/>
      </c>
      <c r="EE28" s="2153" t="str">
        <f t="shared" ref="EE28:EE43" ca="1" si="372">IF(EC28="","",SUM(DV28,DK28,CZ28,CO28,CD28,BS28,BH28,AW28,AL28,AA28,P28,E28))</f>
        <v/>
      </c>
      <c r="EF28" s="2154" t="str">
        <f t="shared" ref="EF28:EF43" ca="1" si="373">IF(EE28="","",IF(ED28="","",ED28-EE28))</f>
        <v/>
      </c>
      <c r="EG28" s="2155" t="str">
        <f t="shared" ca="1" si="275"/>
        <v/>
      </c>
      <c r="EH28" s="2282" t="str">
        <f t="shared" ref="EH28:EH43" ca="1" si="374">IF(EC28="","",SUM(DY28,DN28,DC28,CR28,CG28,BV28,BK28,AZ28,AO28,AD28,S28,H28))</f>
        <v/>
      </c>
      <c r="EI28" s="2153" t="str">
        <f t="shared" ref="EI28:EI43" ca="1" si="375">IF(EC28="","",SUM(DZ28,DO28,DD28,CS28,CH28,BW28,BL28,BA28,AP28,AE28,T28,I28))</f>
        <v/>
      </c>
      <c r="EJ28" s="2154" t="str">
        <f t="shared" ref="EJ28:EJ43" ca="1" si="376">IF(EI28="","",IF(EH28="","",EH28-EI28))</f>
        <v/>
      </c>
      <c r="EK28" s="2155" t="str">
        <f t="shared" ref="EK28:EK43" ca="1" si="377">IF(EC28="","",IF(SUM(EB28,DQ28,DF28,CU28,CJ28,BY28,BN28,BC28,AR28,AG28,V28,K28)=0,"",SUM(EB28,DQ28,DF28,CU28,CJ28,BY28,BN28,BC28,AR28,AG28,V28,K28)))</f>
        <v/>
      </c>
      <c r="EL28" s="2160" t="str">
        <f t="shared" ref="EL28:EL43" ca="1" si="378">IF(COUNTIF($EY28:$JZ28,3)=0,"",COUNTIF($EY28:$JZ28,3))</f>
        <v/>
      </c>
      <c r="EM28" s="2160" t="str">
        <f t="shared" ref="EM28:EM43" ca="1" si="379">IF(COUNTIF($EY28:$JZ28,1)=0,"",COUNTIF($EY28:$JZ28,1))</f>
        <v/>
      </c>
      <c r="EN28" s="2160" t="str">
        <f t="shared" ref="EN28:EN43" ca="1" si="380">IF(COUNTIF($EY28:$JZ28,2)=0,"",COUNTIF($EY28:$JZ28,2))</f>
        <v/>
      </c>
      <c r="EO28" s="2152" t="str">
        <f t="shared" ca="1" si="237"/>
        <v/>
      </c>
      <c r="EP28" s="2312" t="str">
        <f ca="1">IF('25 Sollumsatz nach Monaten'!BV31="","",SUM(EQ28:ER28))</f>
        <v/>
      </c>
      <c r="EQ28" s="2312" t="str">
        <f ca="1">IF('25 Sollumsatz nach Monaten'!BV31="","",ED28/'25 Sollumsatz nach Monaten'!BV31)</f>
        <v/>
      </c>
      <c r="ER28" s="2312" t="str">
        <f ca="1">IF('25 Sollumsatz nach Monaten'!BV31="","",EH28/'25 Sollumsatz nach Monaten'!BV31)</f>
        <v/>
      </c>
      <c r="EY28" s="2248"/>
      <c r="EZ28" s="2249"/>
      <c r="FA28" s="2250"/>
      <c r="FB28" s="2251" t="str">
        <f t="shared" ref="FB28:FB43" si="381">IF(D28="","",3)</f>
        <v/>
      </c>
      <c r="FC28" s="2252"/>
      <c r="FD28" s="2253"/>
      <c r="FE28" s="2251" t="str">
        <f t="shared" ref="FE28:FE43" ca="1" si="382">IF(G28="","",1)</f>
        <v/>
      </c>
      <c r="FF28" s="2254"/>
      <c r="FG28" s="2252"/>
      <c r="FH28" s="2253"/>
      <c r="FI28" s="2251" t="str">
        <f t="shared" ref="FI28:FI43" ca="1" si="383">IF(K28="","",2)</f>
        <v/>
      </c>
      <c r="FJ28" s="2248"/>
      <c r="FK28" s="2249"/>
      <c r="FL28" s="2250"/>
      <c r="FM28" s="2251" t="str">
        <f t="shared" ref="FM28:FM43" si="384">IF(O28="","",3)</f>
        <v/>
      </c>
      <c r="FN28" s="2252"/>
      <c r="FO28" s="2253"/>
      <c r="FP28" s="2251" t="str">
        <f t="shared" ref="FP28:FP43" ca="1" si="385">IF(R28="","",1)</f>
        <v/>
      </c>
      <c r="FQ28" s="2254"/>
      <c r="FR28" s="2252"/>
      <c r="FS28" s="2253"/>
      <c r="FT28" s="2251" t="str">
        <f t="shared" ref="FT28:FT43" ca="1" si="386">IF(V28="","",2)</f>
        <v/>
      </c>
      <c r="FU28" s="2248"/>
      <c r="FV28" s="2249"/>
      <c r="FW28" s="2250"/>
      <c r="FX28" s="2251" t="str">
        <f t="shared" ref="FX28:FX43" si="387">IF(Z28="","",3)</f>
        <v/>
      </c>
      <c r="FY28" s="2252"/>
      <c r="FZ28" s="2253"/>
      <c r="GA28" s="2251" t="str">
        <f t="shared" ref="GA28:GA43" ca="1" si="388">IF(AC28="","",1)</f>
        <v/>
      </c>
      <c r="GB28" s="2254"/>
      <c r="GC28" s="2252"/>
      <c r="GD28" s="2253"/>
      <c r="GE28" s="2251" t="str">
        <f t="shared" ref="GE28:GE43" ca="1" si="389">IF(AG28="","",2)</f>
        <v/>
      </c>
      <c r="GF28" s="2248"/>
      <c r="GG28" s="2249"/>
      <c r="GH28" s="2250"/>
      <c r="GI28" s="2251" t="str">
        <f t="shared" ref="GI28:GI43" si="390">IF(AK28="","",3)</f>
        <v/>
      </c>
      <c r="GJ28" s="2252"/>
      <c r="GK28" s="2253"/>
      <c r="GL28" s="2251" t="str">
        <f t="shared" ref="GL28:GL43" ca="1" si="391">IF(AN28="","",1)</f>
        <v/>
      </c>
      <c r="GM28" s="2254"/>
      <c r="GN28" s="2252"/>
      <c r="GO28" s="2253"/>
      <c r="GP28" s="2251" t="str">
        <f t="shared" ref="GP28:GP43" ca="1" si="392">IF(AR28="","",2)</f>
        <v/>
      </c>
      <c r="GQ28" s="2248"/>
      <c r="GR28" s="2249"/>
      <c r="GS28" s="2250"/>
      <c r="GT28" s="2251" t="str">
        <f t="shared" ref="GT28:GT43" si="393">IF(AV28="","",3)</f>
        <v/>
      </c>
      <c r="GU28" s="2252"/>
      <c r="GV28" s="2253"/>
      <c r="GW28" s="2251" t="str">
        <f t="shared" ref="GW28:GW43" ca="1" si="394">IF(AY28="","",1)</f>
        <v/>
      </c>
      <c r="GX28" s="2254"/>
      <c r="GY28" s="2252"/>
      <c r="GZ28" s="2253"/>
      <c r="HA28" s="2251" t="str">
        <f t="shared" ref="HA28:HA43" ca="1" si="395">IF(BC28="","",2)</f>
        <v/>
      </c>
      <c r="HB28" s="2248"/>
      <c r="HC28" s="2249"/>
      <c r="HD28" s="2250"/>
      <c r="HE28" s="2251" t="str">
        <f t="shared" ref="HE28:HE43" si="396">IF(BG28="","",3)</f>
        <v/>
      </c>
      <c r="HF28" s="2252"/>
      <c r="HG28" s="2253"/>
      <c r="HH28" s="2251" t="str">
        <f t="shared" ref="HH28:HH43" ca="1" si="397">IF(BJ28="","",1)</f>
        <v/>
      </c>
      <c r="HI28" s="2254"/>
      <c r="HJ28" s="2252"/>
      <c r="HK28" s="2253"/>
      <c r="HL28" s="2251" t="str">
        <f t="shared" ref="HL28:HL43" ca="1" si="398">IF(BN28="","",2)</f>
        <v/>
      </c>
      <c r="HM28" s="2248"/>
      <c r="HN28" s="2249"/>
      <c r="HO28" s="2250"/>
      <c r="HP28" s="2251" t="str">
        <f t="shared" ref="HP28:HP43" si="399">IF(BR28="","",3)</f>
        <v/>
      </c>
      <c r="HQ28" s="2252"/>
      <c r="HR28" s="2253"/>
      <c r="HS28" s="2251" t="str">
        <f t="shared" ref="HS28:HS43" ca="1" si="400">IF(BU28="","",1)</f>
        <v/>
      </c>
      <c r="HT28" s="2254"/>
      <c r="HU28" s="2252"/>
      <c r="HV28" s="2253"/>
      <c r="HW28" s="2251" t="str">
        <f t="shared" ref="HW28:HW43" ca="1" si="401">IF(BY28="","",2)</f>
        <v/>
      </c>
      <c r="HX28" s="2248"/>
      <c r="HY28" s="2249"/>
      <c r="HZ28" s="2250"/>
      <c r="IA28" s="2251" t="str">
        <f t="shared" ref="IA28:IA43" si="402">IF(CC28="","",3)</f>
        <v/>
      </c>
      <c r="IB28" s="2252"/>
      <c r="IC28" s="2253"/>
      <c r="ID28" s="2251" t="str">
        <f t="shared" ref="ID28:ID43" ca="1" si="403">IF(CF28="","",1)</f>
        <v/>
      </c>
      <c r="IE28" s="2254"/>
      <c r="IF28" s="2252"/>
      <c r="IG28" s="2253"/>
      <c r="IH28" s="2251" t="str">
        <f t="shared" ref="IH28:IH43" ca="1" si="404">IF(CJ28="","",2)</f>
        <v/>
      </c>
      <c r="II28" s="2248"/>
      <c r="IJ28" s="2249"/>
      <c r="IK28" s="2250"/>
      <c r="IL28" s="2251" t="str">
        <f t="shared" ref="IL28:IL43" si="405">IF(CN28="","",3)</f>
        <v/>
      </c>
      <c r="IM28" s="2252"/>
      <c r="IN28" s="2253"/>
      <c r="IO28" s="2251" t="str">
        <f t="shared" ref="IO28:IO43" ca="1" si="406">IF(CQ28="","",1)</f>
        <v/>
      </c>
      <c r="IP28" s="2254"/>
      <c r="IQ28" s="2252"/>
      <c r="IR28" s="2253"/>
      <c r="IS28" s="2251" t="str">
        <f t="shared" ref="IS28:IS43" ca="1" si="407">IF(CU28="","",2)</f>
        <v/>
      </c>
      <c r="IT28" s="2248"/>
      <c r="IU28" s="2249"/>
      <c r="IV28" s="2250"/>
      <c r="IW28" s="2251" t="str">
        <f t="shared" ref="IW28:IW43" si="408">IF(CY28="","",3)</f>
        <v/>
      </c>
      <c r="IX28" s="2252"/>
      <c r="IY28" s="2253"/>
      <c r="IZ28" s="2251" t="str">
        <f t="shared" ref="IZ28:IZ43" ca="1" si="409">IF(DB28="","",1)</f>
        <v/>
      </c>
      <c r="JA28" s="2254"/>
      <c r="JB28" s="2252"/>
      <c r="JC28" s="2253"/>
      <c r="JD28" s="2251" t="str">
        <f t="shared" ref="JD28:JD43" ca="1" si="410">IF(DF28="","",2)</f>
        <v/>
      </c>
      <c r="JE28" s="2248"/>
      <c r="JF28" s="2249"/>
      <c r="JG28" s="2250"/>
      <c r="JH28" s="2251" t="str">
        <f t="shared" ref="JH28:JH43" si="411">IF(DJ28="","",3)</f>
        <v/>
      </c>
      <c r="JI28" s="2252"/>
      <c r="JJ28" s="2253"/>
      <c r="JK28" s="2251" t="str">
        <f t="shared" ref="JK28:JK43" ca="1" si="412">IF(DM28="","",1)</f>
        <v/>
      </c>
      <c r="JL28" s="2254"/>
      <c r="JM28" s="2252"/>
      <c r="JN28" s="2253"/>
      <c r="JO28" s="2251" t="str">
        <f t="shared" ref="JO28:JO43" ca="1" si="413">IF(DQ28="","",2)</f>
        <v/>
      </c>
      <c r="JP28" s="2248"/>
      <c r="JQ28" s="2249"/>
      <c r="JR28" s="2250"/>
      <c r="JS28" s="2251" t="str">
        <f t="shared" ref="JS28:JS43" si="414">IF(DU28="","",3)</f>
        <v/>
      </c>
      <c r="JT28" s="2252"/>
      <c r="JU28" s="2253"/>
      <c r="JV28" s="2251" t="str">
        <f t="shared" ref="JV28:JV43" ca="1" si="415">IF(DX28="","",1)</f>
        <v/>
      </c>
      <c r="JW28" s="2254"/>
      <c r="JX28" s="2252"/>
      <c r="JY28" s="2253"/>
      <c r="JZ28" s="2251" t="str">
        <f t="shared" ref="JZ28:JZ43" ca="1" si="416">IF(EB28="","",2)</f>
        <v/>
      </c>
      <c r="KA28" s="2231"/>
    </row>
    <row r="29" spans="1:287" s="2156" customFormat="1" ht="18" customHeight="1">
      <c r="A29" s="2142" t="str">
        <f ca="1">IF('22 Sollumsatz pro MA '!$A32="","",'22 Sollumsatz pro MA '!$A32)</f>
        <v/>
      </c>
      <c r="B29" s="2161"/>
      <c r="C29" s="2162"/>
      <c r="D29" s="2143"/>
      <c r="E29" s="2144" t="str">
        <f ca="1">IF('25 Sollumsatz nach Monaten'!F32=0,"",'25 Sollumsatz nach Monaten'!F32)</f>
        <v/>
      </c>
      <c r="F29" s="2145" t="str">
        <f t="shared" ca="1" si="323"/>
        <v/>
      </c>
      <c r="G29" s="2146" t="str">
        <f t="shared" ca="1" si="324"/>
        <v/>
      </c>
      <c r="H29" s="2143"/>
      <c r="I29" s="2144" t="str">
        <f ca="1">IF('25 Sollumsatz nach Monaten'!G32=0,"",'25 Sollumsatz nach Monaten'!G32)</f>
        <v/>
      </c>
      <c r="J29" s="2145" t="str">
        <f t="shared" ca="1" si="325"/>
        <v/>
      </c>
      <c r="K29" s="2158" t="str">
        <f t="shared" ca="1" si="326"/>
        <v/>
      </c>
      <c r="L29" s="2148" t="str">
        <f t="shared" ca="1" si="216"/>
        <v/>
      </c>
      <c r="M29" s="2161"/>
      <c r="N29" s="2162"/>
      <c r="O29" s="2143"/>
      <c r="P29" s="2149" t="str">
        <f ca="1">IF('25 Sollumsatz nach Monaten'!L32=0,"",'25 Sollumsatz nach Monaten'!L32)</f>
        <v/>
      </c>
      <c r="Q29" s="2150" t="str">
        <f t="shared" ca="1" si="327"/>
        <v/>
      </c>
      <c r="R29" s="2151" t="str">
        <f t="shared" ca="1" si="328"/>
        <v/>
      </c>
      <c r="S29" s="2143"/>
      <c r="T29" s="2149" t="str">
        <f ca="1">IF('25 Sollumsatz nach Monaten'!M32=0,"",'25 Sollumsatz nach Monaten'!M32)</f>
        <v/>
      </c>
      <c r="U29" s="2150" t="str">
        <f t="shared" ca="1" si="329"/>
        <v/>
      </c>
      <c r="V29" s="2151" t="str">
        <f t="shared" ca="1" si="330"/>
        <v/>
      </c>
      <c r="W29" s="2142" t="str">
        <f t="shared" ca="1" si="217"/>
        <v/>
      </c>
      <c r="X29" s="2161"/>
      <c r="Y29" s="2162"/>
      <c r="Z29" s="2143"/>
      <c r="AA29" s="2144" t="str">
        <f ca="1">IF('25 Sollumsatz nach Monaten'!R32=0,"",'25 Sollumsatz nach Monaten'!R32)</f>
        <v/>
      </c>
      <c r="AB29" s="2145" t="str">
        <f t="shared" ca="1" si="331"/>
        <v/>
      </c>
      <c r="AC29" s="2146" t="str">
        <f t="shared" ca="1" si="332"/>
        <v/>
      </c>
      <c r="AD29" s="2147"/>
      <c r="AE29" s="2144" t="str">
        <f ca="1">IF('25 Sollumsatz nach Monaten'!S32=0,"",'25 Sollumsatz nach Monaten'!S32)</f>
        <v/>
      </c>
      <c r="AF29" s="2145" t="str">
        <f t="shared" ca="1" si="333"/>
        <v/>
      </c>
      <c r="AG29" s="2158" t="str">
        <f t="shared" ca="1" si="334"/>
        <v/>
      </c>
      <c r="AH29" s="2148" t="str">
        <f t="shared" ca="1" si="218"/>
        <v/>
      </c>
      <c r="AI29" s="2161"/>
      <c r="AJ29" s="2162"/>
      <c r="AK29" s="2143"/>
      <c r="AL29" s="2149" t="str">
        <f ca="1">IF('25 Sollumsatz nach Monaten'!X32=0,"",'25 Sollumsatz nach Monaten'!X32)</f>
        <v/>
      </c>
      <c r="AM29" s="2150" t="str">
        <f t="shared" ca="1" si="335"/>
        <v/>
      </c>
      <c r="AN29" s="2151" t="str">
        <f t="shared" ca="1" si="336"/>
        <v/>
      </c>
      <c r="AO29" s="2143"/>
      <c r="AP29" s="2149" t="str">
        <f ca="1">IF('25 Sollumsatz nach Monaten'!Y32=0,"",'25 Sollumsatz nach Monaten'!Y32)</f>
        <v/>
      </c>
      <c r="AQ29" s="2150" t="str">
        <f t="shared" ca="1" si="337"/>
        <v/>
      </c>
      <c r="AR29" s="2151" t="str">
        <f t="shared" ca="1" si="338"/>
        <v/>
      </c>
      <c r="AS29" s="2142" t="str">
        <f t="shared" ca="1" si="219"/>
        <v/>
      </c>
      <c r="AT29" s="2161"/>
      <c r="AU29" s="2162"/>
      <c r="AV29" s="2143"/>
      <c r="AW29" s="2144" t="str">
        <f ca="1">IF('25 Sollumsatz nach Monaten'!AD32=0,"",'25 Sollumsatz nach Monaten'!AD32)</f>
        <v/>
      </c>
      <c r="AX29" s="2145" t="str">
        <f t="shared" ca="1" si="339"/>
        <v/>
      </c>
      <c r="AY29" s="2146" t="str">
        <f t="shared" ca="1" si="340"/>
        <v/>
      </c>
      <c r="AZ29" s="2143"/>
      <c r="BA29" s="2144" t="str">
        <f ca="1">IF('25 Sollumsatz nach Monaten'!AE32=0,"",'25 Sollumsatz nach Monaten'!AE32)</f>
        <v/>
      </c>
      <c r="BB29" s="2145" t="str">
        <f t="shared" ca="1" si="341"/>
        <v/>
      </c>
      <c r="BC29" s="2158" t="str">
        <f t="shared" ca="1" si="342"/>
        <v/>
      </c>
      <c r="BD29" s="2148" t="str">
        <f t="shared" ca="1" si="220"/>
        <v/>
      </c>
      <c r="BE29" s="2161"/>
      <c r="BF29" s="2162"/>
      <c r="BG29" s="2143"/>
      <c r="BH29" s="2149" t="str">
        <f ca="1">IF('25 Sollumsatz nach Monaten'!AJ32=0,"",'25 Sollumsatz nach Monaten'!AJ32)</f>
        <v/>
      </c>
      <c r="BI29" s="2150" t="str">
        <f t="shared" ca="1" si="343"/>
        <v/>
      </c>
      <c r="BJ29" s="2151" t="str">
        <f t="shared" ca="1" si="344"/>
        <v/>
      </c>
      <c r="BK29" s="2143"/>
      <c r="BL29" s="2149" t="str">
        <f ca="1">IF('25 Sollumsatz nach Monaten'!AK32=0,"",'25 Sollumsatz nach Monaten'!AK32)</f>
        <v/>
      </c>
      <c r="BM29" s="2150" t="str">
        <f t="shared" ca="1" si="345"/>
        <v/>
      </c>
      <c r="BN29" s="2151" t="str">
        <f t="shared" ca="1" si="346"/>
        <v/>
      </c>
      <c r="BO29" s="2142" t="str">
        <f t="shared" ca="1" si="221"/>
        <v/>
      </c>
      <c r="BP29" s="2161"/>
      <c r="BQ29" s="2162"/>
      <c r="BR29" s="2143"/>
      <c r="BS29" s="2144" t="str">
        <f ca="1">IF('25 Sollumsatz nach Monaten'!AP32=0,"",'25 Sollumsatz nach Monaten'!AP32)</f>
        <v/>
      </c>
      <c r="BT29" s="2145" t="str">
        <f t="shared" ca="1" si="347"/>
        <v/>
      </c>
      <c r="BU29" s="2146" t="str">
        <f t="shared" ca="1" si="348"/>
        <v/>
      </c>
      <c r="BV29" s="2143"/>
      <c r="BW29" s="2144" t="str">
        <f ca="1">IF('25 Sollumsatz nach Monaten'!AQ32=0,"",'25 Sollumsatz nach Monaten'!AQ32)</f>
        <v/>
      </c>
      <c r="BX29" s="2145" t="str">
        <f t="shared" ca="1" si="349"/>
        <v/>
      </c>
      <c r="BY29" s="2158" t="str">
        <f t="shared" ca="1" si="350"/>
        <v/>
      </c>
      <c r="BZ29" s="2148" t="str">
        <f t="shared" ca="1" si="222"/>
        <v/>
      </c>
      <c r="CA29" s="2161"/>
      <c r="CB29" s="2162"/>
      <c r="CC29" s="2143"/>
      <c r="CD29" s="2149" t="str">
        <f ca="1">IF('25 Sollumsatz nach Monaten'!AV32=0,"",'25 Sollumsatz nach Monaten'!AV32)</f>
        <v/>
      </c>
      <c r="CE29" s="2150" t="str">
        <f t="shared" ca="1" si="351"/>
        <v/>
      </c>
      <c r="CF29" s="2151" t="str">
        <f t="shared" ca="1" si="352"/>
        <v/>
      </c>
      <c r="CG29" s="2143"/>
      <c r="CH29" s="2149" t="str">
        <f ca="1">IF('25 Sollumsatz nach Monaten'!AW32=0,"",'25 Sollumsatz nach Monaten'!AW32)</f>
        <v/>
      </c>
      <c r="CI29" s="2150" t="str">
        <f t="shared" ca="1" si="353"/>
        <v/>
      </c>
      <c r="CJ29" s="2151" t="str">
        <f t="shared" ca="1" si="354"/>
        <v/>
      </c>
      <c r="CK29" s="2142" t="str">
        <f t="shared" ca="1" si="223"/>
        <v/>
      </c>
      <c r="CL29" s="2161"/>
      <c r="CM29" s="2162"/>
      <c r="CN29" s="2143"/>
      <c r="CO29" s="2144" t="str">
        <f ca="1">IF('25 Sollumsatz nach Monaten'!BB32=0,"",'25 Sollumsatz nach Monaten'!BB32)</f>
        <v/>
      </c>
      <c r="CP29" s="2145" t="str">
        <f t="shared" ca="1" si="355"/>
        <v/>
      </c>
      <c r="CQ29" s="2146" t="str">
        <f t="shared" ca="1" si="356"/>
        <v/>
      </c>
      <c r="CR29" s="2143"/>
      <c r="CS29" s="2144" t="str">
        <f ca="1">IF('25 Sollumsatz nach Monaten'!BC32=0,"",'25 Sollumsatz nach Monaten'!BC32)</f>
        <v/>
      </c>
      <c r="CT29" s="2145" t="str">
        <f t="shared" ca="1" si="357"/>
        <v/>
      </c>
      <c r="CU29" s="2158" t="str">
        <f t="shared" ca="1" si="358"/>
        <v/>
      </c>
      <c r="CV29" s="2148" t="str">
        <f t="shared" ca="1" si="224"/>
        <v/>
      </c>
      <c r="CW29" s="2161"/>
      <c r="CX29" s="2162"/>
      <c r="CY29" s="2143"/>
      <c r="CZ29" s="2149" t="str">
        <f ca="1">IF('25 Sollumsatz nach Monaten'!BH32=0,"",'25 Sollumsatz nach Monaten'!BH32)</f>
        <v/>
      </c>
      <c r="DA29" s="2150" t="str">
        <f t="shared" ca="1" si="359"/>
        <v/>
      </c>
      <c r="DB29" s="2151" t="str">
        <f t="shared" ca="1" si="360"/>
        <v/>
      </c>
      <c r="DC29" s="2143"/>
      <c r="DD29" s="2149" t="str">
        <f ca="1">IF('25 Sollumsatz nach Monaten'!BI32=0,"",'25 Sollumsatz nach Monaten'!BI32)</f>
        <v/>
      </c>
      <c r="DE29" s="2150" t="str">
        <f t="shared" ca="1" si="361"/>
        <v/>
      </c>
      <c r="DF29" s="2151" t="str">
        <f t="shared" ca="1" si="362"/>
        <v/>
      </c>
      <c r="DG29" s="2142" t="str">
        <f t="shared" ca="1" si="225"/>
        <v/>
      </c>
      <c r="DH29" s="2161"/>
      <c r="DI29" s="2162"/>
      <c r="DJ29" s="2143"/>
      <c r="DK29" s="2144" t="str">
        <f ca="1">IF('25 Sollumsatz nach Monaten'!BN32=0,"",'25 Sollumsatz nach Monaten'!BN32)</f>
        <v/>
      </c>
      <c r="DL29" s="2145" t="str">
        <f t="shared" ca="1" si="363"/>
        <v/>
      </c>
      <c r="DM29" s="2146" t="str">
        <f t="shared" ca="1" si="364"/>
        <v/>
      </c>
      <c r="DN29" s="2143"/>
      <c r="DO29" s="2144" t="str">
        <f ca="1">IF('25 Sollumsatz nach Monaten'!BO32=0,"",'25 Sollumsatz nach Monaten'!BO32)</f>
        <v/>
      </c>
      <c r="DP29" s="2145" t="str">
        <f t="shared" ca="1" si="365"/>
        <v/>
      </c>
      <c r="DQ29" s="2158" t="str">
        <f t="shared" ca="1" si="366"/>
        <v/>
      </c>
      <c r="DR29" s="2148" t="str">
        <f t="shared" ca="1" si="226"/>
        <v/>
      </c>
      <c r="DS29" s="2161"/>
      <c r="DT29" s="2162"/>
      <c r="DU29" s="2143"/>
      <c r="DV29" s="2149" t="str">
        <f ca="1">IF('25 Sollumsatz nach Monaten'!BT32=0,"",'25 Sollumsatz nach Monaten'!BT32)</f>
        <v/>
      </c>
      <c r="DW29" s="2150" t="str">
        <f t="shared" ca="1" si="367"/>
        <v/>
      </c>
      <c r="DX29" s="2151" t="str">
        <f t="shared" ca="1" si="368"/>
        <v/>
      </c>
      <c r="DY29" s="2143"/>
      <c r="DZ29" s="2149" t="str">
        <f ca="1">IF('25 Sollumsatz nach Monaten'!BU32=0,"",'25 Sollumsatz nach Monaten'!BU32)</f>
        <v/>
      </c>
      <c r="EA29" s="2150" t="str">
        <f t="shared" ca="1" si="369"/>
        <v/>
      </c>
      <c r="EB29" s="2151" t="str">
        <f t="shared" ca="1" si="370"/>
        <v/>
      </c>
      <c r="EC29" s="2152" t="str">
        <f t="shared" ca="1" si="227"/>
        <v/>
      </c>
      <c r="ED29" s="2280" t="str">
        <f t="shared" ca="1" si="371"/>
        <v/>
      </c>
      <c r="EE29" s="2153" t="str">
        <f t="shared" ca="1" si="372"/>
        <v/>
      </c>
      <c r="EF29" s="2154" t="str">
        <f t="shared" ca="1" si="373"/>
        <v/>
      </c>
      <c r="EG29" s="2155" t="str">
        <f t="shared" ca="1" si="275"/>
        <v/>
      </c>
      <c r="EH29" s="2282" t="str">
        <f t="shared" ca="1" si="374"/>
        <v/>
      </c>
      <c r="EI29" s="2153" t="str">
        <f t="shared" ca="1" si="375"/>
        <v/>
      </c>
      <c r="EJ29" s="2154" t="str">
        <f t="shared" ca="1" si="376"/>
        <v/>
      </c>
      <c r="EK29" s="2155" t="str">
        <f t="shared" ca="1" si="377"/>
        <v/>
      </c>
      <c r="EL29" s="2160" t="str">
        <f t="shared" ca="1" si="378"/>
        <v/>
      </c>
      <c r="EM29" s="2160" t="str">
        <f t="shared" ca="1" si="379"/>
        <v/>
      </c>
      <c r="EN29" s="2160" t="str">
        <f t="shared" ca="1" si="380"/>
        <v/>
      </c>
      <c r="EO29" s="2152" t="str">
        <f t="shared" ca="1" si="237"/>
        <v/>
      </c>
      <c r="EP29" s="2312" t="str">
        <f ca="1">IF('25 Sollumsatz nach Monaten'!BV32="","",SUM(EQ29:ER29))</f>
        <v/>
      </c>
      <c r="EQ29" s="2312" t="str">
        <f ca="1">IF('25 Sollumsatz nach Monaten'!BV32="","",ED29/'25 Sollumsatz nach Monaten'!BV32)</f>
        <v/>
      </c>
      <c r="ER29" s="2312" t="str">
        <f ca="1">IF('25 Sollumsatz nach Monaten'!BV32="","",EH29/'25 Sollumsatz nach Monaten'!BV32)</f>
        <v/>
      </c>
      <c r="EY29" s="2248"/>
      <c r="EZ29" s="2249"/>
      <c r="FA29" s="2250"/>
      <c r="FB29" s="2251" t="str">
        <f t="shared" si="381"/>
        <v/>
      </c>
      <c r="FC29" s="2252"/>
      <c r="FD29" s="2253"/>
      <c r="FE29" s="2251" t="str">
        <f t="shared" ca="1" si="382"/>
        <v/>
      </c>
      <c r="FF29" s="2254"/>
      <c r="FG29" s="2252"/>
      <c r="FH29" s="2253"/>
      <c r="FI29" s="2251" t="str">
        <f t="shared" ca="1" si="383"/>
        <v/>
      </c>
      <c r="FJ29" s="2248"/>
      <c r="FK29" s="2249"/>
      <c r="FL29" s="2250"/>
      <c r="FM29" s="2251" t="str">
        <f t="shared" si="384"/>
        <v/>
      </c>
      <c r="FN29" s="2252"/>
      <c r="FO29" s="2253"/>
      <c r="FP29" s="2251" t="str">
        <f t="shared" ca="1" si="385"/>
        <v/>
      </c>
      <c r="FQ29" s="2254"/>
      <c r="FR29" s="2252"/>
      <c r="FS29" s="2253"/>
      <c r="FT29" s="2251" t="str">
        <f t="shared" ca="1" si="386"/>
        <v/>
      </c>
      <c r="FU29" s="2248"/>
      <c r="FV29" s="2249"/>
      <c r="FW29" s="2250"/>
      <c r="FX29" s="2251" t="str">
        <f t="shared" si="387"/>
        <v/>
      </c>
      <c r="FY29" s="2252"/>
      <c r="FZ29" s="2253"/>
      <c r="GA29" s="2251" t="str">
        <f t="shared" ca="1" si="388"/>
        <v/>
      </c>
      <c r="GB29" s="2254"/>
      <c r="GC29" s="2252"/>
      <c r="GD29" s="2253"/>
      <c r="GE29" s="2251" t="str">
        <f t="shared" ca="1" si="389"/>
        <v/>
      </c>
      <c r="GF29" s="2248"/>
      <c r="GG29" s="2249"/>
      <c r="GH29" s="2250"/>
      <c r="GI29" s="2251" t="str">
        <f t="shared" si="390"/>
        <v/>
      </c>
      <c r="GJ29" s="2252"/>
      <c r="GK29" s="2253"/>
      <c r="GL29" s="2251" t="str">
        <f t="shared" ca="1" si="391"/>
        <v/>
      </c>
      <c r="GM29" s="2254"/>
      <c r="GN29" s="2252"/>
      <c r="GO29" s="2253"/>
      <c r="GP29" s="2251" t="str">
        <f t="shared" ca="1" si="392"/>
        <v/>
      </c>
      <c r="GQ29" s="2248"/>
      <c r="GR29" s="2249"/>
      <c r="GS29" s="2250"/>
      <c r="GT29" s="2251" t="str">
        <f t="shared" si="393"/>
        <v/>
      </c>
      <c r="GU29" s="2252"/>
      <c r="GV29" s="2253"/>
      <c r="GW29" s="2251" t="str">
        <f t="shared" ca="1" si="394"/>
        <v/>
      </c>
      <c r="GX29" s="2254"/>
      <c r="GY29" s="2252"/>
      <c r="GZ29" s="2253"/>
      <c r="HA29" s="2251" t="str">
        <f t="shared" ca="1" si="395"/>
        <v/>
      </c>
      <c r="HB29" s="2248"/>
      <c r="HC29" s="2249"/>
      <c r="HD29" s="2250"/>
      <c r="HE29" s="2251" t="str">
        <f t="shared" si="396"/>
        <v/>
      </c>
      <c r="HF29" s="2252"/>
      <c r="HG29" s="2253"/>
      <c r="HH29" s="2251" t="str">
        <f t="shared" ca="1" si="397"/>
        <v/>
      </c>
      <c r="HI29" s="2254"/>
      <c r="HJ29" s="2252"/>
      <c r="HK29" s="2253"/>
      <c r="HL29" s="2251" t="str">
        <f t="shared" ca="1" si="398"/>
        <v/>
      </c>
      <c r="HM29" s="2248"/>
      <c r="HN29" s="2249"/>
      <c r="HO29" s="2250"/>
      <c r="HP29" s="2251" t="str">
        <f t="shared" si="399"/>
        <v/>
      </c>
      <c r="HQ29" s="2252"/>
      <c r="HR29" s="2253"/>
      <c r="HS29" s="2251" t="str">
        <f t="shared" ca="1" si="400"/>
        <v/>
      </c>
      <c r="HT29" s="2254"/>
      <c r="HU29" s="2252"/>
      <c r="HV29" s="2253"/>
      <c r="HW29" s="2251" t="str">
        <f t="shared" ca="1" si="401"/>
        <v/>
      </c>
      <c r="HX29" s="2248"/>
      <c r="HY29" s="2249"/>
      <c r="HZ29" s="2250"/>
      <c r="IA29" s="2251" t="str">
        <f t="shared" si="402"/>
        <v/>
      </c>
      <c r="IB29" s="2252"/>
      <c r="IC29" s="2253"/>
      <c r="ID29" s="2251" t="str">
        <f t="shared" ca="1" si="403"/>
        <v/>
      </c>
      <c r="IE29" s="2254"/>
      <c r="IF29" s="2252"/>
      <c r="IG29" s="2253"/>
      <c r="IH29" s="2251" t="str">
        <f t="shared" ca="1" si="404"/>
        <v/>
      </c>
      <c r="II29" s="2248"/>
      <c r="IJ29" s="2249"/>
      <c r="IK29" s="2250"/>
      <c r="IL29" s="2251" t="str">
        <f t="shared" si="405"/>
        <v/>
      </c>
      <c r="IM29" s="2252"/>
      <c r="IN29" s="2253"/>
      <c r="IO29" s="2251" t="str">
        <f t="shared" ca="1" si="406"/>
        <v/>
      </c>
      <c r="IP29" s="2254"/>
      <c r="IQ29" s="2252"/>
      <c r="IR29" s="2253"/>
      <c r="IS29" s="2251" t="str">
        <f t="shared" ca="1" si="407"/>
        <v/>
      </c>
      <c r="IT29" s="2248"/>
      <c r="IU29" s="2249"/>
      <c r="IV29" s="2250"/>
      <c r="IW29" s="2251" t="str">
        <f t="shared" si="408"/>
        <v/>
      </c>
      <c r="IX29" s="2252"/>
      <c r="IY29" s="2253"/>
      <c r="IZ29" s="2251" t="str">
        <f t="shared" ca="1" si="409"/>
        <v/>
      </c>
      <c r="JA29" s="2254"/>
      <c r="JB29" s="2252"/>
      <c r="JC29" s="2253"/>
      <c r="JD29" s="2251" t="str">
        <f t="shared" ca="1" si="410"/>
        <v/>
      </c>
      <c r="JE29" s="2248"/>
      <c r="JF29" s="2249"/>
      <c r="JG29" s="2250"/>
      <c r="JH29" s="2251" t="str">
        <f t="shared" si="411"/>
        <v/>
      </c>
      <c r="JI29" s="2252"/>
      <c r="JJ29" s="2253"/>
      <c r="JK29" s="2251" t="str">
        <f t="shared" ca="1" si="412"/>
        <v/>
      </c>
      <c r="JL29" s="2254"/>
      <c r="JM29" s="2252"/>
      <c r="JN29" s="2253"/>
      <c r="JO29" s="2251" t="str">
        <f t="shared" ca="1" si="413"/>
        <v/>
      </c>
      <c r="JP29" s="2248"/>
      <c r="JQ29" s="2249"/>
      <c r="JR29" s="2250"/>
      <c r="JS29" s="2251" t="str">
        <f t="shared" si="414"/>
        <v/>
      </c>
      <c r="JT29" s="2252"/>
      <c r="JU29" s="2253"/>
      <c r="JV29" s="2251" t="str">
        <f t="shared" ca="1" si="415"/>
        <v/>
      </c>
      <c r="JW29" s="2254"/>
      <c r="JX29" s="2252"/>
      <c r="JY29" s="2253"/>
      <c r="JZ29" s="2251" t="str">
        <f t="shared" ca="1" si="416"/>
        <v/>
      </c>
      <c r="KA29" s="2231"/>
    </row>
    <row r="30" spans="1:287" s="2156" customFormat="1" ht="18" customHeight="1">
      <c r="A30" s="2142" t="str">
        <f ca="1">IF('22 Sollumsatz pro MA '!$A33="","",'22 Sollumsatz pro MA '!$A33)</f>
        <v/>
      </c>
      <c r="B30" s="2161"/>
      <c r="C30" s="2162"/>
      <c r="D30" s="2143"/>
      <c r="E30" s="2144" t="str">
        <f ca="1">IF('25 Sollumsatz nach Monaten'!F33=0,"",'25 Sollumsatz nach Monaten'!F33)</f>
        <v/>
      </c>
      <c r="F30" s="2145" t="str">
        <f t="shared" ca="1" si="323"/>
        <v/>
      </c>
      <c r="G30" s="2146" t="str">
        <f t="shared" ca="1" si="324"/>
        <v/>
      </c>
      <c r="H30" s="2143"/>
      <c r="I30" s="2144" t="str">
        <f ca="1">IF('25 Sollumsatz nach Monaten'!G33=0,"",'25 Sollumsatz nach Monaten'!G33)</f>
        <v/>
      </c>
      <c r="J30" s="2145" t="str">
        <f t="shared" ca="1" si="325"/>
        <v/>
      </c>
      <c r="K30" s="2158" t="str">
        <f t="shared" ca="1" si="326"/>
        <v/>
      </c>
      <c r="L30" s="2148" t="str">
        <f t="shared" ca="1" si="216"/>
        <v/>
      </c>
      <c r="M30" s="2161"/>
      <c r="N30" s="2162"/>
      <c r="O30" s="2143"/>
      <c r="P30" s="2149" t="str">
        <f ca="1">IF('25 Sollumsatz nach Monaten'!L33=0,"",'25 Sollumsatz nach Monaten'!L33)</f>
        <v/>
      </c>
      <c r="Q30" s="2150" t="str">
        <f t="shared" ca="1" si="327"/>
        <v/>
      </c>
      <c r="R30" s="2151" t="str">
        <f t="shared" ca="1" si="328"/>
        <v/>
      </c>
      <c r="S30" s="2143"/>
      <c r="T30" s="2149" t="str">
        <f ca="1">IF('25 Sollumsatz nach Monaten'!M33=0,"",'25 Sollumsatz nach Monaten'!M33)</f>
        <v/>
      </c>
      <c r="U30" s="2150" t="str">
        <f t="shared" ca="1" si="329"/>
        <v/>
      </c>
      <c r="V30" s="2151" t="str">
        <f t="shared" ca="1" si="330"/>
        <v/>
      </c>
      <c r="W30" s="2142" t="str">
        <f t="shared" ca="1" si="217"/>
        <v/>
      </c>
      <c r="X30" s="2161"/>
      <c r="Y30" s="2162"/>
      <c r="Z30" s="2143"/>
      <c r="AA30" s="2144" t="str">
        <f ca="1">IF('25 Sollumsatz nach Monaten'!R33=0,"",'25 Sollumsatz nach Monaten'!R33)</f>
        <v/>
      </c>
      <c r="AB30" s="2145" t="str">
        <f t="shared" ca="1" si="331"/>
        <v/>
      </c>
      <c r="AC30" s="2146" t="str">
        <f t="shared" ca="1" si="332"/>
        <v/>
      </c>
      <c r="AD30" s="2147"/>
      <c r="AE30" s="2144" t="str">
        <f ca="1">IF('25 Sollumsatz nach Monaten'!S33=0,"",'25 Sollumsatz nach Monaten'!S33)</f>
        <v/>
      </c>
      <c r="AF30" s="2145" t="str">
        <f t="shared" ca="1" si="333"/>
        <v/>
      </c>
      <c r="AG30" s="2158" t="str">
        <f t="shared" ca="1" si="334"/>
        <v/>
      </c>
      <c r="AH30" s="2148" t="str">
        <f t="shared" ca="1" si="218"/>
        <v/>
      </c>
      <c r="AI30" s="2161"/>
      <c r="AJ30" s="2162"/>
      <c r="AK30" s="2143"/>
      <c r="AL30" s="2149" t="str">
        <f ca="1">IF('25 Sollumsatz nach Monaten'!X33=0,"",'25 Sollumsatz nach Monaten'!X33)</f>
        <v/>
      </c>
      <c r="AM30" s="2150" t="str">
        <f t="shared" ca="1" si="335"/>
        <v/>
      </c>
      <c r="AN30" s="2151" t="str">
        <f t="shared" ca="1" si="336"/>
        <v/>
      </c>
      <c r="AO30" s="2143"/>
      <c r="AP30" s="2149" t="str">
        <f ca="1">IF('25 Sollumsatz nach Monaten'!Y33=0,"",'25 Sollumsatz nach Monaten'!Y33)</f>
        <v/>
      </c>
      <c r="AQ30" s="2150" t="str">
        <f t="shared" ca="1" si="337"/>
        <v/>
      </c>
      <c r="AR30" s="2151" t="str">
        <f t="shared" ca="1" si="338"/>
        <v/>
      </c>
      <c r="AS30" s="2142" t="str">
        <f t="shared" ca="1" si="219"/>
        <v/>
      </c>
      <c r="AT30" s="2161"/>
      <c r="AU30" s="2162"/>
      <c r="AV30" s="2143"/>
      <c r="AW30" s="2144" t="str">
        <f ca="1">IF('25 Sollumsatz nach Monaten'!AD33=0,"",'25 Sollumsatz nach Monaten'!AD33)</f>
        <v/>
      </c>
      <c r="AX30" s="2145" t="str">
        <f t="shared" ca="1" si="339"/>
        <v/>
      </c>
      <c r="AY30" s="2146" t="str">
        <f t="shared" ca="1" si="340"/>
        <v/>
      </c>
      <c r="AZ30" s="2143"/>
      <c r="BA30" s="2144" t="str">
        <f ca="1">IF('25 Sollumsatz nach Monaten'!AE33=0,"",'25 Sollumsatz nach Monaten'!AE33)</f>
        <v/>
      </c>
      <c r="BB30" s="2145" t="str">
        <f t="shared" ca="1" si="341"/>
        <v/>
      </c>
      <c r="BC30" s="2158" t="str">
        <f t="shared" ca="1" si="342"/>
        <v/>
      </c>
      <c r="BD30" s="2148" t="str">
        <f t="shared" ca="1" si="220"/>
        <v/>
      </c>
      <c r="BE30" s="2161"/>
      <c r="BF30" s="2162"/>
      <c r="BG30" s="2143"/>
      <c r="BH30" s="2149" t="str">
        <f ca="1">IF('25 Sollumsatz nach Monaten'!AJ33=0,"",'25 Sollumsatz nach Monaten'!AJ33)</f>
        <v/>
      </c>
      <c r="BI30" s="2150" t="str">
        <f t="shared" ca="1" si="343"/>
        <v/>
      </c>
      <c r="BJ30" s="2151" t="str">
        <f t="shared" ca="1" si="344"/>
        <v/>
      </c>
      <c r="BK30" s="2143"/>
      <c r="BL30" s="2149" t="str">
        <f ca="1">IF('25 Sollumsatz nach Monaten'!AK33=0,"",'25 Sollumsatz nach Monaten'!AK33)</f>
        <v/>
      </c>
      <c r="BM30" s="2150" t="str">
        <f t="shared" ca="1" si="345"/>
        <v/>
      </c>
      <c r="BN30" s="2151" t="str">
        <f t="shared" ca="1" si="346"/>
        <v/>
      </c>
      <c r="BO30" s="2142" t="str">
        <f t="shared" ca="1" si="221"/>
        <v/>
      </c>
      <c r="BP30" s="2161"/>
      <c r="BQ30" s="2162"/>
      <c r="BR30" s="2143"/>
      <c r="BS30" s="2144" t="str">
        <f ca="1">IF('25 Sollumsatz nach Monaten'!AP33=0,"",'25 Sollumsatz nach Monaten'!AP33)</f>
        <v/>
      </c>
      <c r="BT30" s="2145" t="str">
        <f t="shared" ca="1" si="347"/>
        <v/>
      </c>
      <c r="BU30" s="2146" t="str">
        <f t="shared" ca="1" si="348"/>
        <v/>
      </c>
      <c r="BV30" s="2143"/>
      <c r="BW30" s="2144" t="str">
        <f ca="1">IF('25 Sollumsatz nach Monaten'!AQ33=0,"",'25 Sollumsatz nach Monaten'!AQ33)</f>
        <v/>
      </c>
      <c r="BX30" s="2145" t="str">
        <f t="shared" ca="1" si="349"/>
        <v/>
      </c>
      <c r="BY30" s="2158" t="str">
        <f t="shared" ca="1" si="350"/>
        <v/>
      </c>
      <c r="BZ30" s="2148" t="str">
        <f t="shared" ca="1" si="222"/>
        <v/>
      </c>
      <c r="CA30" s="2161"/>
      <c r="CB30" s="2162"/>
      <c r="CC30" s="2143"/>
      <c r="CD30" s="2149" t="str">
        <f ca="1">IF('25 Sollumsatz nach Monaten'!AV33=0,"",'25 Sollumsatz nach Monaten'!AV33)</f>
        <v/>
      </c>
      <c r="CE30" s="2150" t="str">
        <f t="shared" ca="1" si="351"/>
        <v/>
      </c>
      <c r="CF30" s="2151" t="str">
        <f t="shared" ca="1" si="352"/>
        <v/>
      </c>
      <c r="CG30" s="2143"/>
      <c r="CH30" s="2149" t="str">
        <f ca="1">IF('25 Sollumsatz nach Monaten'!AW33=0,"",'25 Sollumsatz nach Monaten'!AW33)</f>
        <v/>
      </c>
      <c r="CI30" s="2150" t="str">
        <f t="shared" ca="1" si="353"/>
        <v/>
      </c>
      <c r="CJ30" s="2151" t="str">
        <f t="shared" ca="1" si="354"/>
        <v/>
      </c>
      <c r="CK30" s="2142" t="str">
        <f t="shared" ca="1" si="223"/>
        <v/>
      </c>
      <c r="CL30" s="2161"/>
      <c r="CM30" s="2162"/>
      <c r="CN30" s="2143"/>
      <c r="CO30" s="2144" t="str">
        <f ca="1">IF('25 Sollumsatz nach Monaten'!BB33=0,"",'25 Sollumsatz nach Monaten'!BB33)</f>
        <v/>
      </c>
      <c r="CP30" s="2145" t="str">
        <f t="shared" ca="1" si="355"/>
        <v/>
      </c>
      <c r="CQ30" s="2146" t="str">
        <f t="shared" ca="1" si="356"/>
        <v/>
      </c>
      <c r="CR30" s="2143"/>
      <c r="CS30" s="2144" t="str">
        <f ca="1">IF('25 Sollumsatz nach Monaten'!BC33=0,"",'25 Sollumsatz nach Monaten'!BC33)</f>
        <v/>
      </c>
      <c r="CT30" s="2145" t="str">
        <f t="shared" ca="1" si="357"/>
        <v/>
      </c>
      <c r="CU30" s="2158" t="str">
        <f t="shared" ca="1" si="358"/>
        <v/>
      </c>
      <c r="CV30" s="2148" t="str">
        <f t="shared" ca="1" si="224"/>
        <v/>
      </c>
      <c r="CW30" s="2161"/>
      <c r="CX30" s="2162"/>
      <c r="CY30" s="2143"/>
      <c r="CZ30" s="2149" t="str">
        <f ca="1">IF('25 Sollumsatz nach Monaten'!BH33=0,"",'25 Sollumsatz nach Monaten'!BH33)</f>
        <v/>
      </c>
      <c r="DA30" s="2150" t="str">
        <f t="shared" ca="1" si="359"/>
        <v/>
      </c>
      <c r="DB30" s="2151" t="str">
        <f t="shared" ca="1" si="360"/>
        <v/>
      </c>
      <c r="DC30" s="2143"/>
      <c r="DD30" s="2149" t="str">
        <f ca="1">IF('25 Sollumsatz nach Monaten'!BI33=0,"",'25 Sollumsatz nach Monaten'!BI33)</f>
        <v/>
      </c>
      <c r="DE30" s="2150" t="str">
        <f t="shared" ca="1" si="361"/>
        <v/>
      </c>
      <c r="DF30" s="2151" t="str">
        <f t="shared" ca="1" si="362"/>
        <v/>
      </c>
      <c r="DG30" s="2142" t="str">
        <f t="shared" ca="1" si="225"/>
        <v/>
      </c>
      <c r="DH30" s="2161"/>
      <c r="DI30" s="2162"/>
      <c r="DJ30" s="2143"/>
      <c r="DK30" s="2144" t="str">
        <f ca="1">IF('25 Sollumsatz nach Monaten'!BN33=0,"",'25 Sollumsatz nach Monaten'!BN33)</f>
        <v/>
      </c>
      <c r="DL30" s="2145" t="str">
        <f t="shared" ca="1" si="363"/>
        <v/>
      </c>
      <c r="DM30" s="2146" t="str">
        <f t="shared" ca="1" si="364"/>
        <v/>
      </c>
      <c r="DN30" s="2143"/>
      <c r="DO30" s="2144" t="str">
        <f ca="1">IF('25 Sollumsatz nach Monaten'!BO33=0,"",'25 Sollumsatz nach Monaten'!BO33)</f>
        <v/>
      </c>
      <c r="DP30" s="2145" t="str">
        <f t="shared" ca="1" si="365"/>
        <v/>
      </c>
      <c r="DQ30" s="2158" t="str">
        <f t="shared" ca="1" si="366"/>
        <v/>
      </c>
      <c r="DR30" s="2148" t="str">
        <f t="shared" ca="1" si="226"/>
        <v/>
      </c>
      <c r="DS30" s="2161"/>
      <c r="DT30" s="2162"/>
      <c r="DU30" s="2143"/>
      <c r="DV30" s="2149" t="str">
        <f ca="1">IF('25 Sollumsatz nach Monaten'!BT33=0,"",'25 Sollumsatz nach Monaten'!BT33)</f>
        <v/>
      </c>
      <c r="DW30" s="2150" t="str">
        <f t="shared" ca="1" si="367"/>
        <v/>
      </c>
      <c r="DX30" s="2151" t="str">
        <f t="shared" ca="1" si="368"/>
        <v/>
      </c>
      <c r="DY30" s="2143"/>
      <c r="DZ30" s="2149" t="str">
        <f ca="1">IF('25 Sollumsatz nach Monaten'!BU33=0,"",'25 Sollumsatz nach Monaten'!BU33)</f>
        <v/>
      </c>
      <c r="EA30" s="2150" t="str">
        <f t="shared" ca="1" si="369"/>
        <v/>
      </c>
      <c r="EB30" s="2151" t="str">
        <f t="shared" ca="1" si="370"/>
        <v/>
      </c>
      <c r="EC30" s="2152" t="str">
        <f t="shared" ca="1" si="227"/>
        <v/>
      </c>
      <c r="ED30" s="2280" t="str">
        <f t="shared" ca="1" si="371"/>
        <v/>
      </c>
      <c r="EE30" s="2153" t="str">
        <f t="shared" ca="1" si="372"/>
        <v/>
      </c>
      <c r="EF30" s="2154" t="str">
        <f t="shared" ca="1" si="373"/>
        <v/>
      </c>
      <c r="EG30" s="2155" t="str">
        <f t="shared" ca="1" si="275"/>
        <v/>
      </c>
      <c r="EH30" s="2282" t="str">
        <f t="shared" ca="1" si="374"/>
        <v/>
      </c>
      <c r="EI30" s="2153" t="str">
        <f t="shared" ca="1" si="375"/>
        <v/>
      </c>
      <c r="EJ30" s="2154" t="str">
        <f t="shared" ca="1" si="376"/>
        <v/>
      </c>
      <c r="EK30" s="2155" t="str">
        <f t="shared" ca="1" si="377"/>
        <v/>
      </c>
      <c r="EL30" s="2160" t="str">
        <f t="shared" ca="1" si="378"/>
        <v/>
      </c>
      <c r="EM30" s="2160" t="str">
        <f t="shared" ca="1" si="379"/>
        <v/>
      </c>
      <c r="EN30" s="2160" t="str">
        <f t="shared" ca="1" si="380"/>
        <v/>
      </c>
      <c r="EO30" s="2152" t="str">
        <f t="shared" ca="1" si="237"/>
        <v/>
      </c>
      <c r="EP30" s="2312" t="str">
        <f ca="1">IF('25 Sollumsatz nach Monaten'!BV33="","",SUM(EQ30:ER30))</f>
        <v/>
      </c>
      <c r="EQ30" s="2312" t="str">
        <f ca="1">IF('25 Sollumsatz nach Monaten'!BV33="","",ED30/'25 Sollumsatz nach Monaten'!BV33)</f>
        <v/>
      </c>
      <c r="ER30" s="2312" t="str">
        <f ca="1">IF('25 Sollumsatz nach Monaten'!BV33="","",EH30/'25 Sollumsatz nach Monaten'!BV33)</f>
        <v/>
      </c>
      <c r="EY30" s="2248"/>
      <c r="EZ30" s="2249"/>
      <c r="FA30" s="2250"/>
      <c r="FB30" s="2251" t="str">
        <f t="shared" si="381"/>
        <v/>
      </c>
      <c r="FC30" s="2252"/>
      <c r="FD30" s="2253"/>
      <c r="FE30" s="2251" t="str">
        <f t="shared" ca="1" si="382"/>
        <v/>
      </c>
      <c r="FF30" s="2254"/>
      <c r="FG30" s="2252"/>
      <c r="FH30" s="2253"/>
      <c r="FI30" s="2251" t="str">
        <f t="shared" ca="1" si="383"/>
        <v/>
      </c>
      <c r="FJ30" s="2248"/>
      <c r="FK30" s="2249"/>
      <c r="FL30" s="2250"/>
      <c r="FM30" s="2251" t="str">
        <f t="shared" si="384"/>
        <v/>
      </c>
      <c r="FN30" s="2252"/>
      <c r="FO30" s="2253"/>
      <c r="FP30" s="2251" t="str">
        <f t="shared" ca="1" si="385"/>
        <v/>
      </c>
      <c r="FQ30" s="2254"/>
      <c r="FR30" s="2252"/>
      <c r="FS30" s="2253"/>
      <c r="FT30" s="2251" t="str">
        <f t="shared" ca="1" si="386"/>
        <v/>
      </c>
      <c r="FU30" s="2248"/>
      <c r="FV30" s="2249"/>
      <c r="FW30" s="2250"/>
      <c r="FX30" s="2251" t="str">
        <f t="shared" si="387"/>
        <v/>
      </c>
      <c r="FY30" s="2252"/>
      <c r="FZ30" s="2253"/>
      <c r="GA30" s="2251" t="str">
        <f t="shared" ca="1" si="388"/>
        <v/>
      </c>
      <c r="GB30" s="2254"/>
      <c r="GC30" s="2252"/>
      <c r="GD30" s="2253"/>
      <c r="GE30" s="2251" t="str">
        <f t="shared" ca="1" si="389"/>
        <v/>
      </c>
      <c r="GF30" s="2248"/>
      <c r="GG30" s="2249"/>
      <c r="GH30" s="2250"/>
      <c r="GI30" s="2251" t="str">
        <f t="shared" si="390"/>
        <v/>
      </c>
      <c r="GJ30" s="2252"/>
      <c r="GK30" s="2253"/>
      <c r="GL30" s="2251" t="str">
        <f t="shared" ca="1" si="391"/>
        <v/>
      </c>
      <c r="GM30" s="2254"/>
      <c r="GN30" s="2252"/>
      <c r="GO30" s="2253"/>
      <c r="GP30" s="2251" t="str">
        <f t="shared" ca="1" si="392"/>
        <v/>
      </c>
      <c r="GQ30" s="2248"/>
      <c r="GR30" s="2249"/>
      <c r="GS30" s="2250"/>
      <c r="GT30" s="2251" t="str">
        <f t="shared" si="393"/>
        <v/>
      </c>
      <c r="GU30" s="2252"/>
      <c r="GV30" s="2253"/>
      <c r="GW30" s="2251" t="str">
        <f t="shared" ca="1" si="394"/>
        <v/>
      </c>
      <c r="GX30" s="2254"/>
      <c r="GY30" s="2252"/>
      <c r="GZ30" s="2253"/>
      <c r="HA30" s="2251" t="str">
        <f t="shared" ca="1" si="395"/>
        <v/>
      </c>
      <c r="HB30" s="2248"/>
      <c r="HC30" s="2249"/>
      <c r="HD30" s="2250"/>
      <c r="HE30" s="2251" t="str">
        <f t="shared" si="396"/>
        <v/>
      </c>
      <c r="HF30" s="2252"/>
      <c r="HG30" s="2253"/>
      <c r="HH30" s="2251" t="str">
        <f t="shared" ca="1" si="397"/>
        <v/>
      </c>
      <c r="HI30" s="2254"/>
      <c r="HJ30" s="2252"/>
      <c r="HK30" s="2253"/>
      <c r="HL30" s="2251" t="str">
        <f t="shared" ca="1" si="398"/>
        <v/>
      </c>
      <c r="HM30" s="2248"/>
      <c r="HN30" s="2249"/>
      <c r="HO30" s="2250"/>
      <c r="HP30" s="2251" t="str">
        <f t="shared" si="399"/>
        <v/>
      </c>
      <c r="HQ30" s="2252"/>
      <c r="HR30" s="2253"/>
      <c r="HS30" s="2251" t="str">
        <f t="shared" ca="1" si="400"/>
        <v/>
      </c>
      <c r="HT30" s="2254"/>
      <c r="HU30" s="2252"/>
      <c r="HV30" s="2253"/>
      <c r="HW30" s="2251" t="str">
        <f t="shared" ca="1" si="401"/>
        <v/>
      </c>
      <c r="HX30" s="2248"/>
      <c r="HY30" s="2249"/>
      <c r="HZ30" s="2250"/>
      <c r="IA30" s="2251" t="str">
        <f t="shared" si="402"/>
        <v/>
      </c>
      <c r="IB30" s="2252"/>
      <c r="IC30" s="2253"/>
      <c r="ID30" s="2251" t="str">
        <f t="shared" ca="1" si="403"/>
        <v/>
      </c>
      <c r="IE30" s="2254"/>
      <c r="IF30" s="2252"/>
      <c r="IG30" s="2253"/>
      <c r="IH30" s="2251" t="str">
        <f t="shared" ca="1" si="404"/>
        <v/>
      </c>
      <c r="II30" s="2248"/>
      <c r="IJ30" s="2249"/>
      <c r="IK30" s="2250"/>
      <c r="IL30" s="2251" t="str">
        <f t="shared" si="405"/>
        <v/>
      </c>
      <c r="IM30" s="2252"/>
      <c r="IN30" s="2253"/>
      <c r="IO30" s="2251" t="str">
        <f t="shared" ca="1" si="406"/>
        <v/>
      </c>
      <c r="IP30" s="2254"/>
      <c r="IQ30" s="2252"/>
      <c r="IR30" s="2253"/>
      <c r="IS30" s="2251" t="str">
        <f t="shared" ca="1" si="407"/>
        <v/>
      </c>
      <c r="IT30" s="2248"/>
      <c r="IU30" s="2249"/>
      <c r="IV30" s="2250"/>
      <c r="IW30" s="2251" t="str">
        <f t="shared" si="408"/>
        <v/>
      </c>
      <c r="IX30" s="2252"/>
      <c r="IY30" s="2253"/>
      <c r="IZ30" s="2251" t="str">
        <f t="shared" ca="1" si="409"/>
        <v/>
      </c>
      <c r="JA30" s="2254"/>
      <c r="JB30" s="2252"/>
      <c r="JC30" s="2253"/>
      <c r="JD30" s="2251" t="str">
        <f t="shared" ca="1" si="410"/>
        <v/>
      </c>
      <c r="JE30" s="2248"/>
      <c r="JF30" s="2249"/>
      <c r="JG30" s="2250"/>
      <c r="JH30" s="2251" t="str">
        <f t="shared" si="411"/>
        <v/>
      </c>
      <c r="JI30" s="2252"/>
      <c r="JJ30" s="2253"/>
      <c r="JK30" s="2251" t="str">
        <f t="shared" ca="1" si="412"/>
        <v/>
      </c>
      <c r="JL30" s="2254"/>
      <c r="JM30" s="2252"/>
      <c r="JN30" s="2253"/>
      <c r="JO30" s="2251" t="str">
        <f t="shared" ca="1" si="413"/>
        <v/>
      </c>
      <c r="JP30" s="2248"/>
      <c r="JQ30" s="2249"/>
      <c r="JR30" s="2250"/>
      <c r="JS30" s="2251" t="str">
        <f t="shared" si="414"/>
        <v/>
      </c>
      <c r="JT30" s="2252"/>
      <c r="JU30" s="2253"/>
      <c r="JV30" s="2251" t="str">
        <f t="shared" ca="1" si="415"/>
        <v/>
      </c>
      <c r="JW30" s="2254"/>
      <c r="JX30" s="2252"/>
      <c r="JY30" s="2253"/>
      <c r="JZ30" s="2251" t="str">
        <f t="shared" ca="1" si="416"/>
        <v/>
      </c>
      <c r="KA30" s="2231"/>
    </row>
    <row r="31" spans="1:287" s="2156" customFormat="1" ht="18" customHeight="1">
      <c r="A31" s="2142" t="str">
        <f ca="1">IF('22 Sollumsatz pro MA '!$A34="","",'22 Sollumsatz pro MA '!$A34)</f>
        <v/>
      </c>
      <c r="B31" s="2161"/>
      <c r="C31" s="2162"/>
      <c r="D31" s="2143"/>
      <c r="E31" s="2144" t="str">
        <f ca="1">IF('25 Sollumsatz nach Monaten'!F34=0,"",'25 Sollumsatz nach Monaten'!F34)</f>
        <v/>
      </c>
      <c r="F31" s="2145" t="str">
        <f t="shared" ca="1" si="323"/>
        <v/>
      </c>
      <c r="G31" s="2146" t="str">
        <f t="shared" ca="1" si="324"/>
        <v/>
      </c>
      <c r="H31" s="2143"/>
      <c r="I31" s="2144" t="str">
        <f ca="1">IF('25 Sollumsatz nach Monaten'!G34=0,"",'25 Sollumsatz nach Monaten'!G34)</f>
        <v/>
      </c>
      <c r="J31" s="2145" t="str">
        <f t="shared" ca="1" si="325"/>
        <v/>
      </c>
      <c r="K31" s="2158" t="str">
        <f t="shared" ca="1" si="326"/>
        <v/>
      </c>
      <c r="L31" s="2148" t="str">
        <f t="shared" ca="1" si="216"/>
        <v/>
      </c>
      <c r="M31" s="2161"/>
      <c r="N31" s="2162"/>
      <c r="O31" s="2143"/>
      <c r="P31" s="2149" t="str">
        <f ca="1">IF('25 Sollumsatz nach Monaten'!L34=0,"",'25 Sollumsatz nach Monaten'!L34)</f>
        <v/>
      </c>
      <c r="Q31" s="2150" t="str">
        <f t="shared" ca="1" si="327"/>
        <v/>
      </c>
      <c r="R31" s="2151" t="str">
        <f t="shared" ca="1" si="328"/>
        <v/>
      </c>
      <c r="S31" s="2143"/>
      <c r="T31" s="2149" t="str">
        <f ca="1">IF('25 Sollumsatz nach Monaten'!M34=0,"",'25 Sollumsatz nach Monaten'!M34)</f>
        <v/>
      </c>
      <c r="U31" s="2150" t="str">
        <f t="shared" ca="1" si="329"/>
        <v/>
      </c>
      <c r="V31" s="2151" t="str">
        <f t="shared" ca="1" si="330"/>
        <v/>
      </c>
      <c r="W31" s="2142" t="str">
        <f t="shared" ca="1" si="217"/>
        <v/>
      </c>
      <c r="X31" s="2161"/>
      <c r="Y31" s="2162"/>
      <c r="Z31" s="2143"/>
      <c r="AA31" s="2144" t="str">
        <f ca="1">IF('25 Sollumsatz nach Monaten'!R34=0,"",'25 Sollumsatz nach Monaten'!R34)</f>
        <v/>
      </c>
      <c r="AB31" s="2145" t="str">
        <f t="shared" ca="1" si="331"/>
        <v/>
      </c>
      <c r="AC31" s="2146" t="str">
        <f t="shared" ca="1" si="332"/>
        <v/>
      </c>
      <c r="AD31" s="2147"/>
      <c r="AE31" s="2144" t="str">
        <f ca="1">IF('25 Sollumsatz nach Monaten'!S34=0,"",'25 Sollumsatz nach Monaten'!S34)</f>
        <v/>
      </c>
      <c r="AF31" s="2145" t="str">
        <f t="shared" ca="1" si="333"/>
        <v/>
      </c>
      <c r="AG31" s="2158" t="str">
        <f t="shared" ca="1" si="334"/>
        <v/>
      </c>
      <c r="AH31" s="2148" t="str">
        <f t="shared" ca="1" si="218"/>
        <v/>
      </c>
      <c r="AI31" s="2161"/>
      <c r="AJ31" s="2162"/>
      <c r="AK31" s="2143"/>
      <c r="AL31" s="2149" t="str">
        <f ca="1">IF('25 Sollumsatz nach Monaten'!X34=0,"",'25 Sollumsatz nach Monaten'!X34)</f>
        <v/>
      </c>
      <c r="AM31" s="2150" t="str">
        <f t="shared" ca="1" si="335"/>
        <v/>
      </c>
      <c r="AN31" s="2151" t="str">
        <f t="shared" ca="1" si="336"/>
        <v/>
      </c>
      <c r="AO31" s="2143"/>
      <c r="AP31" s="2149" t="str">
        <f ca="1">IF('25 Sollumsatz nach Monaten'!Y34=0,"",'25 Sollumsatz nach Monaten'!Y34)</f>
        <v/>
      </c>
      <c r="AQ31" s="2150" t="str">
        <f t="shared" ca="1" si="337"/>
        <v/>
      </c>
      <c r="AR31" s="2151" t="str">
        <f t="shared" ca="1" si="338"/>
        <v/>
      </c>
      <c r="AS31" s="2142" t="str">
        <f t="shared" ca="1" si="219"/>
        <v/>
      </c>
      <c r="AT31" s="2161"/>
      <c r="AU31" s="2162"/>
      <c r="AV31" s="2143"/>
      <c r="AW31" s="2144" t="str">
        <f ca="1">IF('25 Sollumsatz nach Monaten'!AD34=0,"",'25 Sollumsatz nach Monaten'!AD34)</f>
        <v/>
      </c>
      <c r="AX31" s="2145" t="str">
        <f t="shared" ca="1" si="339"/>
        <v/>
      </c>
      <c r="AY31" s="2146" t="str">
        <f t="shared" ca="1" si="340"/>
        <v/>
      </c>
      <c r="AZ31" s="2143"/>
      <c r="BA31" s="2144" t="str">
        <f ca="1">IF('25 Sollumsatz nach Monaten'!AE34=0,"",'25 Sollumsatz nach Monaten'!AE34)</f>
        <v/>
      </c>
      <c r="BB31" s="2145" t="str">
        <f t="shared" ca="1" si="341"/>
        <v/>
      </c>
      <c r="BC31" s="2158" t="str">
        <f t="shared" ca="1" si="342"/>
        <v/>
      </c>
      <c r="BD31" s="2148" t="str">
        <f t="shared" ca="1" si="220"/>
        <v/>
      </c>
      <c r="BE31" s="2161"/>
      <c r="BF31" s="2162"/>
      <c r="BG31" s="2143"/>
      <c r="BH31" s="2149" t="str">
        <f ca="1">IF('25 Sollumsatz nach Monaten'!AJ34=0,"",'25 Sollumsatz nach Monaten'!AJ34)</f>
        <v/>
      </c>
      <c r="BI31" s="2150" t="str">
        <f t="shared" ca="1" si="343"/>
        <v/>
      </c>
      <c r="BJ31" s="2151" t="str">
        <f t="shared" ca="1" si="344"/>
        <v/>
      </c>
      <c r="BK31" s="2143"/>
      <c r="BL31" s="2149" t="str">
        <f ca="1">IF('25 Sollumsatz nach Monaten'!AK34=0,"",'25 Sollumsatz nach Monaten'!AK34)</f>
        <v/>
      </c>
      <c r="BM31" s="2150" t="str">
        <f t="shared" ca="1" si="345"/>
        <v/>
      </c>
      <c r="BN31" s="2151" t="str">
        <f t="shared" ca="1" si="346"/>
        <v/>
      </c>
      <c r="BO31" s="2142" t="str">
        <f t="shared" ca="1" si="221"/>
        <v/>
      </c>
      <c r="BP31" s="2161"/>
      <c r="BQ31" s="2162"/>
      <c r="BR31" s="2143"/>
      <c r="BS31" s="2144" t="str">
        <f ca="1">IF('25 Sollumsatz nach Monaten'!AP34=0,"",'25 Sollumsatz nach Monaten'!AP34)</f>
        <v/>
      </c>
      <c r="BT31" s="2145" t="str">
        <f t="shared" ca="1" si="347"/>
        <v/>
      </c>
      <c r="BU31" s="2146" t="str">
        <f t="shared" ca="1" si="348"/>
        <v/>
      </c>
      <c r="BV31" s="2143"/>
      <c r="BW31" s="2144" t="str">
        <f ca="1">IF('25 Sollumsatz nach Monaten'!AQ34=0,"",'25 Sollumsatz nach Monaten'!AQ34)</f>
        <v/>
      </c>
      <c r="BX31" s="2145" t="str">
        <f t="shared" ca="1" si="349"/>
        <v/>
      </c>
      <c r="BY31" s="2158" t="str">
        <f t="shared" ca="1" si="350"/>
        <v/>
      </c>
      <c r="BZ31" s="2148" t="str">
        <f t="shared" ca="1" si="222"/>
        <v/>
      </c>
      <c r="CA31" s="2161"/>
      <c r="CB31" s="2162"/>
      <c r="CC31" s="2143"/>
      <c r="CD31" s="2149" t="str">
        <f ca="1">IF('25 Sollumsatz nach Monaten'!AV34=0,"",'25 Sollumsatz nach Monaten'!AV34)</f>
        <v/>
      </c>
      <c r="CE31" s="2150" t="str">
        <f t="shared" ca="1" si="351"/>
        <v/>
      </c>
      <c r="CF31" s="2151" t="str">
        <f t="shared" ca="1" si="352"/>
        <v/>
      </c>
      <c r="CG31" s="2143"/>
      <c r="CH31" s="2149" t="str">
        <f ca="1">IF('25 Sollumsatz nach Monaten'!AW34=0,"",'25 Sollumsatz nach Monaten'!AW34)</f>
        <v/>
      </c>
      <c r="CI31" s="2150" t="str">
        <f t="shared" ca="1" si="353"/>
        <v/>
      </c>
      <c r="CJ31" s="2151" t="str">
        <f t="shared" ca="1" si="354"/>
        <v/>
      </c>
      <c r="CK31" s="2142" t="str">
        <f t="shared" ca="1" si="223"/>
        <v/>
      </c>
      <c r="CL31" s="2161"/>
      <c r="CM31" s="2162"/>
      <c r="CN31" s="2143"/>
      <c r="CO31" s="2144" t="str">
        <f ca="1">IF('25 Sollumsatz nach Monaten'!BB34=0,"",'25 Sollumsatz nach Monaten'!BB34)</f>
        <v/>
      </c>
      <c r="CP31" s="2145" t="str">
        <f t="shared" ca="1" si="355"/>
        <v/>
      </c>
      <c r="CQ31" s="2146" t="str">
        <f t="shared" ca="1" si="356"/>
        <v/>
      </c>
      <c r="CR31" s="2143"/>
      <c r="CS31" s="2144" t="str">
        <f ca="1">IF('25 Sollumsatz nach Monaten'!BC34=0,"",'25 Sollumsatz nach Monaten'!BC34)</f>
        <v/>
      </c>
      <c r="CT31" s="2145" t="str">
        <f t="shared" ca="1" si="357"/>
        <v/>
      </c>
      <c r="CU31" s="2158" t="str">
        <f t="shared" ca="1" si="358"/>
        <v/>
      </c>
      <c r="CV31" s="2148" t="str">
        <f t="shared" ca="1" si="224"/>
        <v/>
      </c>
      <c r="CW31" s="2161"/>
      <c r="CX31" s="2162"/>
      <c r="CY31" s="2143"/>
      <c r="CZ31" s="2149" t="str">
        <f ca="1">IF('25 Sollumsatz nach Monaten'!BH34=0,"",'25 Sollumsatz nach Monaten'!BH34)</f>
        <v/>
      </c>
      <c r="DA31" s="2150" t="str">
        <f t="shared" ca="1" si="359"/>
        <v/>
      </c>
      <c r="DB31" s="2151" t="str">
        <f t="shared" ca="1" si="360"/>
        <v/>
      </c>
      <c r="DC31" s="2143"/>
      <c r="DD31" s="2149" t="str">
        <f ca="1">IF('25 Sollumsatz nach Monaten'!BI34=0,"",'25 Sollumsatz nach Monaten'!BI34)</f>
        <v/>
      </c>
      <c r="DE31" s="2150" t="str">
        <f t="shared" ca="1" si="361"/>
        <v/>
      </c>
      <c r="DF31" s="2151" t="str">
        <f t="shared" ca="1" si="362"/>
        <v/>
      </c>
      <c r="DG31" s="2142" t="str">
        <f t="shared" ca="1" si="225"/>
        <v/>
      </c>
      <c r="DH31" s="2161"/>
      <c r="DI31" s="2162"/>
      <c r="DJ31" s="2143"/>
      <c r="DK31" s="2144" t="str">
        <f ca="1">IF('25 Sollumsatz nach Monaten'!BN34=0,"",'25 Sollumsatz nach Monaten'!BN34)</f>
        <v/>
      </c>
      <c r="DL31" s="2145" t="str">
        <f t="shared" ca="1" si="363"/>
        <v/>
      </c>
      <c r="DM31" s="2146" t="str">
        <f t="shared" ca="1" si="364"/>
        <v/>
      </c>
      <c r="DN31" s="2143"/>
      <c r="DO31" s="2144" t="str">
        <f ca="1">IF('25 Sollumsatz nach Monaten'!BO34=0,"",'25 Sollumsatz nach Monaten'!BO34)</f>
        <v/>
      </c>
      <c r="DP31" s="2145" t="str">
        <f t="shared" ca="1" si="365"/>
        <v/>
      </c>
      <c r="DQ31" s="2158" t="str">
        <f t="shared" ca="1" si="366"/>
        <v/>
      </c>
      <c r="DR31" s="2148" t="str">
        <f t="shared" ca="1" si="226"/>
        <v/>
      </c>
      <c r="DS31" s="2161"/>
      <c r="DT31" s="2162"/>
      <c r="DU31" s="2143"/>
      <c r="DV31" s="2149" t="str">
        <f ca="1">IF('25 Sollumsatz nach Monaten'!BT34=0,"",'25 Sollumsatz nach Monaten'!BT34)</f>
        <v/>
      </c>
      <c r="DW31" s="2150" t="str">
        <f t="shared" ca="1" si="367"/>
        <v/>
      </c>
      <c r="DX31" s="2151" t="str">
        <f t="shared" ca="1" si="368"/>
        <v/>
      </c>
      <c r="DY31" s="2143"/>
      <c r="DZ31" s="2149" t="str">
        <f ca="1">IF('25 Sollumsatz nach Monaten'!BU34=0,"",'25 Sollumsatz nach Monaten'!BU34)</f>
        <v/>
      </c>
      <c r="EA31" s="2150" t="str">
        <f t="shared" ca="1" si="369"/>
        <v/>
      </c>
      <c r="EB31" s="2151" t="str">
        <f t="shared" ca="1" si="370"/>
        <v/>
      </c>
      <c r="EC31" s="2152" t="str">
        <f t="shared" ca="1" si="227"/>
        <v/>
      </c>
      <c r="ED31" s="2280" t="str">
        <f t="shared" ca="1" si="371"/>
        <v/>
      </c>
      <c r="EE31" s="2153" t="str">
        <f t="shared" ca="1" si="372"/>
        <v/>
      </c>
      <c r="EF31" s="2154" t="str">
        <f t="shared" ca="1" si="373"/>
        <v/>
      </c>
      <c r="EG31" s="2155" t="str">
        <f t="shared" ca="1" si="275"/>
        <v/>
      </c>
      <c r="EH31" s="2282" t="str">
        <f t="shared" ca="1" si="374"/>
        <v/>
      </c>
      <c r="EI31" s="2153" t="str">
        <f t="shared" ca="1" si="375"/>
        <v/>
      </c>
      <c r="EJ31" s="2154" t="str">
        <f t="shared" ca="1" si="376"/>
        <v/>
      </c>
      <c r="EK31" s="2155" t="str">
        <f t="shared" ca="1" si="377"/>
        <v/>
      </c>
      <c r="EL31" s="2160" t="str">
        <f t="shared" ca="1" si="378"/>
        <v/>
      </c>
      <c r="EM31" s="2160" t="str">
        <f t="shared" ca="1" si="379"/>
        <v/>
      </c>
      <c r="EN31" s="2160" t="str">
        <f t="shared" ca="1" si="380"/>
        <v/>
      </c>
      <c r="EO31" s="2152" t="str">
        <f t="shared" ca="1" si="237"/>
        <v/>
      </c>
      <c r="EP31" s="2312" t="str">
        <f ca="1">IF('25 Sollumsatz nach Monaten'!BV34="","",SUM(EQ31:ER31))</f>
        <v/>
      </c>
      <c r="EQ31" s="2312" t="str">
        <f ca="1">IF('25 Sollumsatz nach Monaten'!BV34="","",ED31/'25 Sollumsatz nach Monaten'!BV34)</f>
        <v/>
      </c>
      <c r="ER31" s="2312" t="str">
        <f ca="1">IF('25 Sollumsatz nach Monaten'!BV34="","",EH31/'25 Sollumsatz nach Monaten'!BV34)</f>
        <v/>
      </c>
      <c r="EY31" s="2248"/>
      <c r="EZ31" s="2249"/>
      <c r="FA31" s="2250"/>
      <c r="FB31" s="2251" t="str">
        <f t="shared" si="381"/>
        <v/>
      </c>
      <c r="FC31" s="2252"/>
      <c r="FD31" s="2253"/>
      <c r="FE31" s="2251" t="str">
        <f t="shared" ca="1" si="382"/>
        <v/>
      </c>
      <c r="FF31" s="2254"/>
      <c r="FG31" s="2252"/>
      <c r="FH31" s="2253"/>
      <c r="FI31" s="2251" t="str">
        <f t="shared" ca="1" si="383"/>
        <v/>
      </c>
      <c r="FJ31" s="2248"/>
      <c r="FK31" s="2249"/>
      <c r="FL31" s="2250"/>
      <c r="FM31" s="2251" t="str">
        <f t="shared" si="384"/>
        <v/>
      </c>
      <c r="FN31" s="2252"/>
      <c r="FO31" s="2253"/>
      <c r="FP31" s="2251" t="str">
        <f t="shared" ca="1" si="385"/>
        <v/>
      </c>
      <c r="FQ31" s="2254"/>
      <c r="FR31" s="2252"/>
      <c r="FS31" s="2253"/>
      <c r="FT31" s="2251" t="str">
        <f t="shared" ca="1" si="386"/>
        <v/>
      </c>
      <c r="FU31" s="2248"/>
      <c r="FV31" s="2249"/>
      <c r="FW31" s="2250"/>
      <c r="FX31" s="2251" t="str">
        <f t="shared" si="387"/>
        <v/>
      </c>
      <c r="FY31" s="2252"/>
      <c r="FZ31" s="2253"/>
      <c r="GA31" s="2251" t="str">
        <f t="shared" ca="1" si="388"/>
        <v/>
      </c>
      <c r="GB31" s="2254"/>
      <c r="GC31" s="2252"/>
      <c r="GD31" s="2253"/>
      <c r="GE31" s="2251" t="str">
        <f t="shared" ca="1" si="389"/>
        <v/>
      </c>
      <c r="GF31" s="2248"/>
      <c r="GG31" s="2249"/>
      <c r="GH31" s="2250"/>
      <c r="GI31" s="2251" t="str">
        <f t="shared" si="390"/>
        <v/>
      </c>
      <c r="GJ31" s="2252"/>
      <c r="GK31" s="2253"/>
      <c r="GL31" s="2251" t="str">
        <f t="shared" ca="1" si="391"/>
        <v/>
      </c>
      <c r="GM31" s="2254"/>
      <c r="GN31" s="2252"/>
      <c r="GO31" s="2253"/>
      <c r="GP31" s="2251" t="str">
        <f t="shared" ca="1" si="392"/>
        <v/>
      </c>
      <c r="GQ31" s="2248"/>
      <c r="GR31" s="2249"/>
      <c r="GS31" s="2250"/>
      <c r="GT31" s="2251" t="str">
        <f t="shared" si="393"/>
        <v/>
      </c>
      <c r="GU31" s="2252"/>
      <c r="GV31" s="2253"/>
      <c r="GW31" s="2251" t="str">
        <f t="shared" ca="1" si="394"/>
        <v/>
      </c>
      <c r="GX31" s="2254"/>
      <c r="GY31" s="2252"/>
      <c r="GZ31" s="2253"/>
      <c r="HA31" s="2251" t="str">
        <f t="shared" ca="1" si="395"/>
        <v/>
      </c>
      <c r="HB31" s="2248"/>
      <c r="HC31" s="2249"/>
      <c r="HD31" s="2250"/>
      <c r="HE31" s="2251" t="str">
        <f t="shared" si="396"/>
        <v/>
      </c>
      <c r="HF31" s="2252"/>
      <c r="HG31" s="2253"/>
      <c r="HH31" s="2251" t="str">
        <f t="shared" ca="1" si="397"/>
        <v/>
      </c>
      <c r="HI31" s="2254"/>
      <c r="HJ31" s="2252"/>
      <c r="HK31" s="2253"/>
      <c r="HL31" s="2251" t="str">
        <f t="shared" ca="1" si="398"/>
        <v/>
      </c>
      <c r="HM31" s="2248"/>
      <c r="HN31" s="2249"/>
      <c r="HO31" s="2250"/>
      <c r="HP31" s="2251" t="str">
        <f t="shared" si="399"/>
        <v/>
      </c>
      <c r="HQ31" s="2252"/>
      <c r="HR31" s="2253"/>
      <c r="HS31" s="2251" t="str">
        <f t="shared" ca="1" si="400"/>
        <v/>
      </c>
      <c r="HT31" s="2254"/>
      <c r="HU31" s="2252"/>
      <c r="HV31" s="2253"/>
      <c r="HW31" s="2251" t="str">
        <f t="shared" ca="1" si="401"/>
        <v/>
      </c>
      <c r="HX31" s="2248"/>
      <c r="HY31" s="2249"/>
      <c r="HZ31" s="2250"/>
      <c r="IA31" s="2251" t="str">
        <f t="shared" si="402"/>
        <v/>
      </c>
      <c r="IB31" s="2252"/>
      <c r="IC31" s="2253"/>
      <c r="ID31" s="2251" t="str">
        <f t="shared" ca="1" si="403"/>
        <v/>
      </c>
      <c r="IE31" s="2254"/>
      <c r="IF31" s="2252"/>
      <c r="IG31" s="2253"/>
      <c r="IH31" s="2251" t="str">
        <f t="shared" ca="1" si="404"/>
        <v/>
      </c>
      <c r="II31" s="2248"/>
      <c r="IJ31" s="2249"/>
      <c r="IK31" s="2250"/>
      <c r="IL31" s="2251" t="str">
        <f t="shared" si="405"/>
        <v/>
      </c>
      <c r="IM31" s="2252"/>
      <c r="IN31" s="2253"/>
      <c r="IO31" s="2251" t="str">
        <f t="shared" ca="1" si="406"/>
        <v/>
      </c>
      <c r="IP31" s="2254"/>
      <c r="IQ31" s="2252"/>
      <c r="IR31" s="2253"/>
      <c r="IS31" s="2251" t="str">
        <f t="shared" ca="1" si="407"/>
        <v/>
      </c>
      <c r="IT31" s="2248"/>
      <c r="IU31" s="2249"/>
      <c r="IV31" s="2250"/>
      <c r="IW31" s="2251" t="str">
        <f t="shared" si="408"/>
        <v/>
      </c>
      <c r="IX31" s="2252"/>
      <c r="IY31" s="2253"/>
      <c r="IZ31" s="2251" t="str">
        <f t="shared" ca="1" si="409"/>
        <v/>
      </c>
      <c r="JA31" s="2254"/>
      <c r="JB31" s="2252"/>
      <c r="JC31" s="2253"/>
      <c r="JD31" s="2251" t="str">
        <f t="shared" ca="1" si="410"/>
        <v/>
      </c>
      <c r="JE31" s="2248"/>
      <c r="JF31" s="2249"/>
      <c r="JG31" s="2250"/>
      <c r="JH31" s="2251" t="str">
        <f t="shared" si="411"/>
        <v/>
      </c>
      <c r="JI31" s="2252"/>
      <c r="JJ31" s="2253"/>
      <c r="JK31" s="2251" t="str">
        <f t="shared" ca="1" si="412"/>
        <v/>
      </c>
      <c r="JL31" s="2254"/>
      <c r="JM31" s="2252"/>
      <c r="JN31" s="2253"/>
      <c r="JO31" s="2251" t="str">
        <f t="shared" ca="1" si="413"/>
        <v/>
      </c>
      <c r="JP31" s="2248"/>
      <c r="JQ31" s="2249"/>
      <c r="JR31" s="2250"/>
      <c r="JS31" s="2251" t="str">
        <f t="shared" si="414"/>
        <v/>
      </c>
      <c r="JT31" s="2252"/>
      <c r="JU31" s="2253"/>
      <c r="JV31" s="2251" t="str">
        <f t="shared" ca="1" si="415"/>
        <v/>
      </c>
      <c r="JW31" s="2254"/>
      <c r="JX31" s="2252"/>
      <c r="JY31" s="2253"/>
      <c r="JZ31" s="2251" t="str">
        <f t="shared" ca="1" si="416"/>
        <v/>
      </c>
      <c r="KA31" s="2231"/>
    </row>
    <row r="32" spans="1:287" s="2156" customFormat="1" ht="18" customHeight="1">
      <c r="A32" s="2142" t="str">
        <f ca="1">IF('22 Sollumsatz pro MA '!$A35="","",'22 Sollumsatz pro MA '!$A35)</f>
        <v/>
      </c>
      <c r="B32" s="2161"/>
      <c r="C32" s="2162"/>
      <c r="D32" s="2143"/>
      <c r="E32" s="2144" t="str">
        <f ca="1">IF('25 Sollumsatz nach Monaten'!F35=0,"",'25 Sollumsatz nach Monaten'!F35)</f>
        <v/>
      </c>
      <c r="F32" s="2145" t="str">
        <f t="shared" ca="1" si="323"/>
        <v/>
      </c>
      <c r="G32" s="2146" t="str">
        <f t="shared" ca="1" si="324"/>
        <v/>
      </c>
      <c r="H32" s="2143"/>
      <c r="I32" s="2144" t="str">
        <f ca="1">IF('25 Sollumsatz nach Monaten'!G35=0,"",'25 Sollumsatz nach Monaten'!G35)</f>
        <v/>
      </c>
      <c r="J32" s="2145" t="str">
        <f t="shared" ca="1" si="325"/>
        <v/>
      </c>
      <c r="K32" s="2158" t="str">
        <f t="shared" ca="1" si="326"/>
        <v/>
      </c>
      <c r="L32" s="2148" t="str">
        <f t="shared" ca="1" si="216"/>
        <v/>
      </c>
      <c r="M32" s="2161"/>
      <c r="N32" s="2162"/>
      <c r="O32" s="2143"/>
      <c r="P32" s="2149" t="str">
        <f ca="1">IF('25 Sollumsatz nach Monaten'!L35=0,"",'25 Sollumsatz nach Monaten'!L35)</f>
        <v/>
      </c>
      <c r="Q32" s="2150" t="str">
        <f t="shared" ca="1" si="327"/>
        <v/>
      </c>
      <c r="R32" s="2151" t="str">
        <f t="shared" ca="1" si="328"/>
        <v/>
      </c>
      <c r="S32" s="2143"/>
      <c r="T32" s="2149" t="str">
        <f ca="1">IF('25 Sollumsatz nach Monaten'!M35=0,"",'25 Sollumsatz nach Monaten'!M35)</f>
        <v/>
      </c>
      <c r="U32" s="2150" t="str">
        <f t="shared" ca="1" si="329"/>
        <v/>
      </c>
      <c r="V32" s="2151" t="str">
        <f t="shared" ca="1" si="330"/>
        <v/>
      </c>
      <c r="W32" s="2142" t="str">
        <f t="shared" ca="1" si="217"/>
        <v/>
      </c>
      <c r="X32" s="2161"/>
      <c r="Y32" s="2162"/>
      <c r="Z32" s="2143"/>
      <c r="AA32" s="2144" t="str">
        <f ca="1">IF('25 Sollumsatz nach Monaten'!R35=0,"",'25 Sollumsatz nach Monaten'!R35)</f>
        <v/>
      </c>
      <c r="AB32" s="2145" t="str">
        <f t="shared" ca="1" si="331"/>
        <v/>
      </c>
      <c r="AC32" s="2146" t="str">
        <f t="shared" ca="1" si="332"/>
        <v/>
      </c>
      <c r="AD32" s="2147"/>
      <c r="AE32" s="2144" t="str">
        <f ca="1">IF('25 Sollumsatz nach Monaten'!S35=0,"",'25 Sollumsatz nach Monaten'!S35)</f>
        <v/>
      </c>
      <c r="AF32" s="2145" t="str">
        <f t="shared" ca="1" si="333"/>
        <v/>
      </c>
      <c r="AG32" s="2158" t="str">
        <f t="shared" ca="1" si="334"/>
        <v/>
      </c>
      <c r="AH32" s="2148" t="str">
        <f t="shared" ca="1" si="218"/>
        <v/>
      </c>
      <c r="AI32" s="2161"/>
      <c r="AJ32" s="2162"/>
      <c r="AK32" s="2143"/>
      <c r="AL32" s="2149" t="str">
        <f ca="1">IF('25 Sollumsatz nach Monaten'!X35=0,"",'25 Sollumsatz nach Monaten'!X35)</f>
        <v/>
      </c>
      <c r="AM32" s="2150" t="str">
        <f t="shared" ca="1" si="335"/>
        <v/>
      </c>
      <c r="AN32" s="2151" t="str">
        <f t="shared" ca="1" si="336"/>
        <v/>
      </c>
      <c r="AO32" s="2143"/>
      <c r="AP32" s="2149" t="str">
        <f ca="1">IF('25 Sollumsatz nach Monaten'!Y35=0,"",'25 Sollumsatz nach Monaten'!Y35)</f>
        <v/>
      </c>
      <c r="AQ32" s="2150" t="str">
        <f t="shared" ca="1" si="337"/>
        <v/>
      </c>
      <c r="AR32" s="2151" t="str">
        <f t="shared" ca="1" si="338"/>
        <v/>
      </c>
      <c r="AS32" s="2142" t="str">
        <f t="shared" ca="1" si="219"/>
        <v/>
      </c>
      <c r="AT32" s="2161"/>
      <c r="AU32" s="2162"/>
      <c r="AV32" s="2143"/>
      <c r="AW32" s="2144" t="str">
        <f ca="1">IF('25 Sollumsatz nach Monaten'!AD35=0,"",'25 Sollumsatz nach Monaten'!AD35)</f>
        <v/>
      </c>
      <c r="AX32" s="2145" t="str">
        <f t="shared" ca="1" si="339"/>
        <v/>
      </c>
      <c r="AY32" s="2146" t="str">
        <f t="shared" ca="1" si="340"/>
        <v/>
      </c>
      <c r="AZ32" s="2143"/>
      <c r="BA32" s="2144" t="str">
        <f ca="1">IF('25 Sollumsatz nach Monaten'!AE35=0,"",'25 Sollumsatz nach Monaten'!AE35)</f>
        <v/>
      </c>
      <c r="BB32" s="2145" t="str">
        <f t="shared" ca="1" si="341"/>
        <v/>
      </c>
      <c r="BC32" s="2158" t="str">
        <f t="shared" ca="1" si="342"/>
        <v/>
      </c>
      <c r="BD32" s="2148" t="str">
        <f t="shared" ca="1" si="220"/>
        <v/>
      </c>
      <c r="BE32" s="2161"/>
      <c r="BF32" s="2162"/>
      <c r="BG32" s="2143"/>
      <c r="BH32" s="2149" t="str">
        <f ca="1">IF('25 Sollumsatz nach Monaten'!AJ35=0,"",'25 Sollumsatz nach Monaten'!AJ35)</f>
        <v/>
      </c>
      <c r="BI32" s="2150" t="str">
        <f t="shared" ca="1" si="343"/>
        <v/>
      </c>
      <c r="BJ32" s="2151" t="str">
        <f t="shared" ca="1" si="344"/>
        <v/>
      </c>
      <c r="BK32" s="2143"/>
      <c r="BL32" s="2149" t="str">
        <f ca="1">IF('25 Sollumsatz nach Monaten'!AK35=0,"",'25 Sollumsatz nach Monaten'!AK35)</f>
        <v/>
      </c>
      <c r="BM32" s="2150" t="str">
        <f t="shared" ca="1" si="345"/>
        <v/>
      </c>
      <c r="BN32" s="2151" t="str">
        <f t="shared" ca="1" si="346"/>
        <v/>
      </c>
      <c r="BO32" s="2142" t="str">
        <f t="shared" ca="1" si="221"/>
        <v/>
      </c>
      <c r="BP32" s="2161"/>
      <c r="BQ32" s="2162"/>
      <c r="BR32" s="2143"/>
      <c r="BS32" s="2144" t="str">
        <f ca="1">IF('25 Sollumsatz nach Monaten'!AP35=0,"",'25 Sollumsatz nach Monaten'!AP35)</f>
        <v/>
      </c>
      <c r="BT32" s="2145" t="str">
        <f t="shared" ca="1" si="347"/>
        <v/>
      </c>
      <c r="BU32" s="2146" t="str">
        <f t="shared" ca="1" si="348"/>
        <v/>
      </c>
      <c r="BV32" s="2143"/>
      <c r="BW32" s="2144" t="str">
        <f ca="1">IF('25 Sollumsatz nach Monaten'!AQ35=0,"",'25 Sollumsatz nach Monaten'!AQ35)</f>
        <v/>
      </c>
      <c r="BX32" s="2145" t="str">
        <f t="shared" ca="1" si="349"/>
        <v/>
      </c>
      <c r="BY32" s="2158" t="str">
        <f t="shared" ca="1" si="350"/>
        <v/>
      </c>
      <c r="BZ32" s="2148" t="str">
        <f t="shared" ca="1" si="222"/>
        <v/>
      </c>
      <c r="CA32" s="2161"/>
      <c r="CB32" s="2162"/>
      <c r="CC32" s="2143"/>
      <c r="CD32" s="2149" t="str">
        <f ca="1">IF('25 Sollumsatz nach Monaten'!AV35=0,"",'25 Sollumsatz nach Monaten'!AV35)</f>
        <v/>
      </c>
      <c r="CE32" s="2150" t="str">
        <f t="shared" ca="1" si="351"/>
        <v/>
      </c>
      <c r="CF32" s="2151" t="str">
        <f t="shared" ca="1" si="352"/>
        <v/>
      </c>
      <c r="CG32" s="2143"/>
      <c r="CH32" s="2149" t="str">
        <f ca="1">IF('25 Sollumsatz nach Monaten'!AW35=0,"",'25 Sollumsatz nach Monaten'!AW35)</f>
        <v/>
      </c>
      <c r="CI32" s="2150" t="str">
        <f t="shared" ca="1" si="353"/>
        <v/>
      </c>
      <c r="CJ32" s="2151" t="str">
        <f t="shared" ca="1" si="354"/>
        <v/>
      </c>
      <c r="CK32" s="2142" t="str">
        <f t="shared" ca="1" si="223"/>
        <v/>
      </c>
      <c r="CL32" s="2161"/>
      <c r="CM32" s="2162"/>
      <c r="CN32" s="2143"/>
      <c r="CO32" s="2144" t="str">
        <f ca="1">IF('25 Sollumsatz nach Monaten'!BB35=0,"",'25 Sollumsatz nach Monaten'!BB35)</f>
        <v/>
      </c>
      <c r="CP32" s="2145" t="str">
        <f t="shared" ca="1" si="355"/>
        <v/>
      </c>
      <c r="CQ32" s="2146" t="str">
        <f t="shared" ca="1" si="356"/>
        <v/>
      </c>
      <c r="CR32" s="2143"/>
      <c r="CS32" s="2144" t="str">
        <f ca="1">IF('25 Sollumsatz nach Monaten'!BC35=0,"",'25 Sollumsatz nach Monaten'!BC35)</f>
        <v/>
      </c>
      <c r="CT32" s="2145" t="str">
        <f t="shared" ca="1" si="357"/>
        <v/>
      </c>
      <c r="CU32" s="2158" t="str">
        <f t="shared" ca="1" si="358"/>
        <v/>
      </c>
      <c r="CV32" s="2148" t="str">
        <f t="shared" ca="1" si="224"/>
        <v/>
      </c>
      <c r="CW32" s="2161"/>
      <c r="CX32" s="2162"/>
      <c r="CY32" s="2143"/>
      <c r="CZ32" s="2149" t="str">
        <f ca="1">IF('25 Sollumsatz nach Monaten'!BH35=0,"",'25 Sollumsatz nach Monaten'!BH35)</f>
        <v/>
      </c>
      <c r="DA32" s="2150" t="str">
        <f t="shared" ca="1" si="359"/>
        <v/>
      </c>
      <c r="DB32" s="2151" t="str">
        <f t="shared" ca="1" si="360"/>
        <v/>
      </c>
      <c r="DC32" s="2143"/>
      <c r="DD32" s="2149" t="str">
        <f ca="1">IF('25 Sollumsatz nach Monaten'!BI35=0,"",'25 Sollumsatz nach Monaten'!BI35)</f>
        <v/>
      </c>
      <c r="DE32" s="2150" t="str">
        <f t="shared" ca="1" si="361"/>
        <v/>
      </c>
      <c r="DF32" s="2151" t="str">
        <f t="shared" ca="1" si="362"/>
        <v/>
      </c>
      <c r="DG32" s="2142" t="str">
        <f t="shared" ca="1" si="225"/>
        <v/>
      </c>
      <c r="DH32" s="2161"/>
      <c r="DI32" s="2162"/>
      <c r="DJ32" s="2143"/>
      <c r="DK32" s="2144" t="str">
        <f ca="1">IF('25 Sollumsatz nach Monaten'!BN35=0,"",'25 Sollumsatz nach Monaten'!BN35)</f>
        <v/>
      </c>
      <c r="DL32" s="2145" t="str">
        <f t="shared" ca="1" si="363"/>
        <v/>
      </c>
      <c r="DM32" s="2146" t="str">
        <f t="shared" ca="1" si="364"/>
        <v/>
      </c>
      <c r="DN32" s="2143"/>
      <c r="DO32" s="2144" t="str">
        <f ca="1">IF('25 Sollumsatz nach Monaten'!BO35=0,"",'25 Sollumsatz nach Monaten'!BO35)</f>
        <v/>
      </c>
      <c r="DP32" s="2145" t="str">
        <f t="shared" ca="1" si="365"/>
        <v/>
      </c>
      <c r="DQ32" s="2158" t="str">
        <f t="shared" ca="1" si="366"/>
        <v/>
      </c>
      <c r="DR32" s="2148" t="str">
        <f t="shared" ca="1" si="226"/>
        <v/>
      </c>
      <c r="DS32" s="2161"/>
      <c r="DT32" s="2162"/>
      <c r="DU32" s="2143"/>
      <c r="DV32" s="2149" t="str">
        <f ca="1">IF('25 Sollumsatz nach Monaten'!BT35=0,"",'25 Sollumsatz nach Monaten'!BT35)</f>
        <v/>
      </c>
      <c r="DW32" s="2150" t="str">
        <f t="shared" ca="1" si="367"/>
        <v/>
      </c>
      <c r="DX32" s="2151" t="str">
        <f t="shared" ca="1" si="368"/>
        <v/>
      </c>
      <c r="DY32" s="2143"/>
      <c r="DZ32" s="2149" t="str">
        <f ca="1">IF('25 Sollumsatz nach Monaten'!BU35=0,"",'25 Sollumsatz nach Monaten'!BU35)</f>
        <v/>
      </c>
      <c r="EA32" s="2150" t="str">
        <f t="shared" ca="1" si="369"/>
        <v/>
      </c>
      <c r="EB32" s="2151" t="str">
        <f t="shared" ca="1" si="370"/>
        <v/>
      </c>
      <c r="EC32" s="2152" t="str">
        <f t="shared" ca="1" si="227"/>
        <v/>
      </c>
      <c r="ED32" s="2280" t="str">
        <f t="shared" ca="1" si="371"/>
        <v/>
      </c>
      <c r="EE32" s="2153" t="str">
        <f t="shared" ca="1" si="372"/>
        <v/>
      </c>
      <c r="EF32" s="2154" t="str">
        <f t="shared" ca="1" si="373"/>
        <v/>
      </c>
      <c r="EG32" s="2155" t="str">
        <f t="shared" ca="1" si="275"/>
        <v/>
      </c>
      <c r="EH32" s="2282" t="str">
        <f t="shared" ca="1" si="374"/>
        <v/>
      </c>
      <c r="EI32" s="2153" t="str">
        <f t="shared" ca="1" si="375"/>
        <v/>
      </c>
      <c r="EJ32" s="2154" t="str">
        <f t="shared" ca="1" si="376"/>
        <v/>
      </c>
      <c r="EK32" s="2155" t="str">
        <f t="shared" ca="1" si="377"/>
        <v/>
      </c>
      <c r="EL32" s="2160" t="str">
        <f t="shared" ca="1" si="378"/>
        <v/>
      </c>
      <c r="EM32" s="2160" t="str">
        <f t="shared" ca="1" si="379"/>
        <v/>
      </c>
      <c r="EN32" s="2160" t="str">
        <f t="shared" ca="1" si="380"/>
        <v/>
      </c>
      <c r="EO32" s="2152" t="str">
        <f t="shared" ca="1" si="237"/>
        <v/>
      </c>
      <c r="EP32" s="2312" t="str">
        <f ca="1">IF('25 Sollumsatz nach Monaten'!BV35="","",SUM(EQ32:ER32))</f>
        <v/>
      </c>
      <c r="EQ32" s="2312" t="str">
        <f ca="1">IF('25 Sollumsatz nach Monaten'!BV35="","",ED32/'25 Sollumsatz nach Monaten'!BV35)</f>
        <v/>
      </c>
      <c r="ER32" s="2312" t="str">
        <f ca="1">IF('25 Sollumsatz nach Monaten'!BV35="","",EH32/'25 Sollumsatz nach Monaten'!BV35)</f>
        <v/>
      </c>
      <c r="EY32" s="2248"/>
      <c r="EZ32" s="2249"/>
      <c r="FA32" s="2250"/>
      <c r="FB32" s="2251" t="str">
        <f t="shared" si="381"/>
        <v/>
      </c>
      <c r="FC32" s="2252"/>
      <c r="FD32" s="2253"/>
      <c r="FE32" s="2251" t="str">
        <f t="shared" ca="1" si="382"/>
        <v/>
      </c>
      <c r="FF32" s="2254"/>
      <c r="FG32" s="2252"/>
      <c r="FH32" s="2253"/>
      <c r="FI32" s="2251" t="str">
        <f t="shared" ca="1" si="383"/>
        <v/>
      </c>
      <c r="FJ32" s="2248"/>
      <c r="FK32" s="2249"/>
      <c r="FL32" s="2250"/>
      <c r="FM32" s="2251" t="str">
        <f t="shared" si="384"/>
        <v/>
      </c>
      <c r="FN32" s="2252"/>
      <c r="FO32" s="2253"/>
      <c r="FP32" s="2251" t="str">
        <f t="shared" ca="1" si="385"/>
        <v/>
      </c>
      <c r="FQ32" s="2254"/>
      <c r="FR32" s="2252"/>
      <c r="FS32" s="2253"/>
      <c r="FT32" s="2251" t="str">
        <f t="shared" ca="1" si="386"/>
        <v/>
      </c>
      <c r="FU32" s="2248"/>
      <c r="FV32" s="2249"/>
      <c r="FW32" s="2250"/>
      <c r="FX32" s="2251" t="str">
        <f t="shared" si="387"/>
        <v/>
      </c>
      <c r="FY32" s="2252"/>
      <c r="FZ32" s="2253"/>
      <c r="GA32" s="2251" t="str">
        <f t="shared" ca="1" si="388"/>
        <v/>
      </c>
      <c r="GB32" s="2254"/>
      <c r="GC32" s="2252"/>
      <c r="GD32" s="2253"/>
      <c r="GE32" s="2251" t="str">
        <f t="shared" ca="1" si="389"/>
        <v/>
      </c>
      <c r="GF32" s="2248"/>
      <c r="GG32" s="2249"/>
      <c r="GH32" s="2250"/>
      <c r="GI32" s="2251" t="str">
        <f t="shared" si="390"/>
        <v/>
      </c>
      <c r="GJ32" s="2252"/>
      <c r="GK32" s="2253"/>
      <c r="GL32" s="2251" t="str">
        <f t="shared" ca="1" si="391"/>
        <v/>
      </c>
      <c r="GM32" s="2254"/>
      <c r="GN32" s="2252"/>
      <c r="GO32" s="2253"/>
      <c r="GP32" s="2251" t="str">
        <f t="shared" ca="1" si="392"/>
        <v/>
      </c>
      <c r="GQ32" s="2248"/>
      <c r="GR32" s="2249"/>
      <c r="GS32" s="2250"/>
      <c r="GT32" s="2251" t="str">
        <f t="shared" si="393"/>
        <v/>
      </c>
      <c r="GU32" s="2252"/>
      <c r="GV32" s="2253"/>
      <c r="GW32" s="2251" t="str">
        <f t="shared" ca="1" si="394"/>
        <v/>
      </c>
      <c r="GX32" s="2254"/>
      <c r="GY32" s="2252"/>
      <c r="GZ32" s="2253"/>
      <c r="HA32" s="2251" t="str">
        <f t="shared" ca="1" si="395"/>
        <v/>
      </c>
      <c r="HB32" s="2248"/>
      <c r="HC32" s="2249"/>
      <c r="HD32" s="2250"/>
      <c r="HE32" s="2251" t="str">
        <f t="shared" si="396"/>
        <v/>
      </c>
      <c r="HF32" s="2252"/>
      <c r="HG32" s="2253"/>
      <c r="HH32" s="2251" t="str">
        <f t="shared" ca="1" si="397"/>
        <v/>
      </c>
      <c r="HI32" s="2254"/>
      <c r="HJ32" s="2252"/>
      <c r="HK32" s="2253"/>
      <c r="HL32" s="2251" t="str">
        <f t="shared" ca="1" si="398"/>
        <v/>
      </c>
      <c r="HM32" s="2248"/>
      <c r="HN32" s="2249"/>
      <c r="HO32" s="2250"/>
      <c r="HP32" s="2251" t="str">
        <f t="shared" si="399"/>
        <v/>
      </c>
      <c r="HQ32" s="2252"/>
      <c r="HR32" s="2253"/>
      <c r="HS32" s="2251" t="str">
        <f t="shared" ca="1" si="400"/>
        <v/>
      </c>
      <c r="HT32" s="2254"/>
      <c r="HU32" s="2252"/>
      <c r="HV32" s="2253"/>
      <c r="HW32" s="2251" t="str">
        <f t="shared" ca="1" si="401"/>
        <v/>
      </c>
      <c r="HX32" s="2248"/>
      <c r="HY32" s="2249"/>
      <c r="HZ32" s="2250"/>
      <c r="IA32" s="2251" t="str">
        <f t="shared" si="402"/>
        <v/>
      </c>
      <c r="IB32" s="2252"/>
      <c r="IC32" s="2253"/>
      <c r="ID32" s="2251" t="str">
        <f t="shared" ca="1" si="403"/>
        <v/>
      </c>
      <c r="IE32" s="2254"/>
      <c r="IF32" s="2252"/>
      <c r="IG32" s="2253"/>
      <c r="IH32" s="2251" t="str">
        <f t="shared" ca="1" si="404"/>
        <v/>
      </c>
      <c r="II32" s="2248"/>
      <c r="IJ32" s="2249"/>
      <c r="IK32" s="2250"/>
      <c r="IL32" s="2251" t="str">
        <f t="shared" si="405"/>
        <v/>
      </c>
      <c r="IM32" s="2252"/>
      <c r="IN32" s="2253"/>
      <c r="IO32" s="2251" t="str">
        <f t="shared" ca="1" si="406"/>
        <v/>
      </c>
      <c r="IP32" s="2254"/>
      <c r="IQ32" s="2252"/>
      <c r="IR32" s="2253"/>
      <c r="IS32" s="2251" t="str">
        <f t="shared" ca="1" si="407"/>
        <v/>
      </c>
      <c r="IT32" s="2248"/>
      <c r="IU32" s="2249"/>
      <c r="IV32" s="2250"/>
      <c r="IW32" s="2251" t="str">
        <f t="shared" si="408"/>
        <v/>
      </c>
      <c r="IX32" s="2252"/>
      <c r="IY32" s="2253"/>
      <c r="IZ32" s="2251" t="str">
        <f t="shared" ca="1" si="409"/>
        <v/>
      </c>
      <c r="JA32" s="2254"/>
      <c r="JB32" s="2252"/>
      <c r="JC32" s="2253"/>
      <c r="JD32" s="2251" t="str">
        <f t="shared" ca="1" si="410"/>
        <v/>
      </c>
      <c r="JE32" s="2248"/>
      <c r="JF32" s="2249"/>
      <c r="JG32" s="2250"/>
      <c r="JH32" s="2251" t="str">
        <f t="shared" si="411"/>
        <v/>
      </c>
      <c r="JI32" s="2252"/>
      <c r="JJ32" s="2253"/>
      <c r="JK32" s="2251" t="str">
        <f t="shared" ca="1" si="412"/>
        <v/>
      </c>
      <c r="JL32" s="2254"/>
      <c r="JM32" s="2252"/>
      <c r="JN32" s="2253"/>
      <c r="JO32" s="2251" t="str">
        <f t="shared" ca="1" si="413"/>
        <v/>
      </c>
      <c r="JP32" s="2248"/>
      <c r="JQ32" s="2249"/>
      <c r="JR32" s="2250"/>
      <c r="JS32" s="2251" t="str">
        <f t="shared" si="414"/>
        <v/>
      </c>
      <c r="JT32" s="2252"/>
      <c r="JU32" s="2253"/>
      <c r="JV32" s="2251" t="str">
        <f t="shared" ca="1" si="415"/>
        <v/>
      </c>
      <c r="JW32" s="2254"/>
      <c r="JX32" s="2252"/>
      <c r="JY32" s="2253"/>
      <c r="JZ32" s="2251" t="str">
        <f t="shared" ca="1" si="416"/>
        <v/>
      </c>
      <c r="KA32" s="2231"/>
    </row>
    <row r="33" spans="1:287" s="2156" customFormat="1" ht="18" customHeight="1">
      <c r="A33" s="2142" t="str">
        <f ca="1">IF('22 Sollumsatz pro MA '!$A36="","",'22 Sollumsatz pro MA '!$A36)</f>
        <v/>
      </c>
      <c r="B33" s="2161"/>
      <c r="C33" s="2162"/>
      <c r="D33" s="2143"/>
      <c r="E33" s="2144" t="str">
        <f ca="1">IF('25 Sollumsatz nach Monaten'!F36=0,"",'25 Sollumsatz nach Monaten'!F36)</f>
        <v/>
      </c>
      <c r="F33" s="2145" t="str">
        <f t="shared" ca="1" si="323"/>
        <v/>
      </c>
      <c r="G33" s="2146" t="str">
        <f t="shared" ca="1" si="324"/>
        <v/>
      </c>
      <c r="H33" s="2143"/>
      <c r="I33" s="2144" t="str">
        <f ca="1">IF('25 Sollumsatz nach Monaten'!G36=0,"",'25 Sollumsatz nach Monaten'!G36)</f>
        <v/>
      </c>
      <c r="J33" s="2145" t="str">
        <f t="shared" ca="1" si="325"/>
        <v/>
      </c>
      <c r="K33" s="2158" t="str">
        <f t="shared" ca="1" si="326"/>
        <v/>
      </c>
      <c r="L33" s="2148" t="str">
        <f t="shared" ca="1" si="216"/>
        <v/>
      </c>
      <c r="M33" s="2161"/>
      <c r="N33" s="2162"/>
      <c r="O33" s="2143"/>
      <c r="P33" s="2149" t="str">
        <f ca="1">IF('25 Sollumsatz nach Monaten'!L36=0,"",'25 Sollumsatz nach Monaten'!L36)</f>
        <v/>
      </c>
      <c r="Q33" s="2150" t="str">
        <f t="shared" ca="1" si="327"/>
        <v/>
      </c>
      <c r="R33" s="2151" t="str">
        <f t="shared" ca="1" si="328"/>
        <v/>
      </c>
      <c r="S33" s="2143"/>
      <c r="T33" s="2149" t="str">
        <f ca="1">IF('25 Sollumsatz nach Monaten'!M36=0,"",'25 Sollumsatz nach Monaten'!M36)</f>
        <v/>
      </c>
      <c r="U33" s="2150" t="str">
        <f t="shared" ca="1" si="329"/>
        <v/>
      </c>
      <c r="V33" s="2151" t="str">
        <f t="shared" ca="1" si="330"/>
        <v/>
      </c>
      <c r="W33" s="2142" t="str">
        <f t="shared" ca="1" si="217"/>
        <v/>
      </c>
      <c r="X33" s="2161"/>
      <c r="Y33" s="2162"/>
      <c r="Z33" s="2143"/>
      <c r="AA33" s="2144" t="str">
        <f ca="1">IF('25 Sollumsatz nach Monaten'!R36=0,"",'25 Sollumsatz nach Monaten'!R36)</f>
        <v/>
      </c>
      <c r="AB33" s="2145" t="str">
        <f t="shared" ca="1" si="331"/>
        <v/>
      </c>
      <c r="AC33" s="2146" t="str">
        <f t="shared" ca="1" si="332"/>
        <v/>
      </c>
      <c r="AD33" s="2147"/>
      <c r="AE33" s="2144" t="str">
        <f ca="1">IF('25 Sollumsatz nach Monaten'!S36=0,"",'25 Sollumsatz nach Monaten'!S36)</f>
        <v/>
      </c>
      <c r="AF33" s="2145" t="str">
        <f t="shared" ca="1" si="333"/>
        <v/>
      </c>
      <c r="AG33" s="2158" t="str">
        <f t="shared" ca="1" si="334"/>
        <v/>
      </c>
      <c r="AH33" s="2148" t="str">
        <f t="shared" ca="1" si="218"/>
        <v/>
      </c>
      <c r="AI33" s="2161"/>
      <c r="AJ33" s="2162"/>
      <c r="AK33" s="2143"/>
      <c r="AL33" s="2149" t="str">
        <f ca="1">IF('25 Sollumsatz nach Monaten'!X36=0,"",'25 Sollumsatz nach Monaten'!X36)</f>
        <v/>
      </c>
      <c r="AM33" s="2150" t="str">
        <f t="shared" ca="1" si="335"/>
        <v/>
      </c>
      <c r="AN33" s="2151" t="str">
        <f t="shared" ca="1" si="336"/>
        <v/>
      </c>
      <c r="AO33" s="2143"/>
      <c r="AP33" s="2149" t="str">
        <f ca="1">IF('25 Sollumsatz nach Monaten'!Y36=0,"",'25 Sollumsatz nach Monaten'!Y36)</f>
        <v/>
      </c>
      <c r="AQ33" s="2150" t="str">
        <f t="shared" ca="1" si="337"/>
        <v/>
      </c>
      <c r="AR33" s="2151" t="str">
        <f t="shared" ca="1" si="338"/>
        <v/>
      </c>
      <c r="AS33" s="2142" t="str">
        <f t="shared" ca="1" si="219"/>
        <v/>
      </c>
      <c r="AT33" s="2161"/>
      <c r="AU33" s="2162"/>
      <c r="AV33" s="2143"/>
      <c r="AW33" s="2144" t="str">
        <f ca="1">IF('25 Sollumsatz nach Monaten'!AD36=0,"",'25 Sollumsatz nach Monaten'!AD36)</f>
        <v/>
      </c>
      <c r="AX33" s="2145" t="str">
        <f t="shared" ca="1" si="339"/>
        <v/>
      </c>
      <c r="AY33" s="2146" t="str">
        <f t="shared" ca="1" si="340"/>
        <v/>
      </c>
      <c r="AZ33" s="2143"/>
      <c r="BA33" s="2144" t="str">
        <f ca="1">IF('25 Sollumsatz nach Monaten'!AE36=0,"",'25 Sollumsatz nach Monaten'!AE36)</f>
        <v/>
      </c>
      <c r="BB33" s="2145" t="str">
        <f t="shared" ca="1" si="341"/>
        <v/>
      </c>
      <c r="BC33" s="2158" t="str">
        <f t="shared" ca="1" si="342"/>
        <v/>
      </c>
      <c r="BD33" s="2148" t="str">
        <f t="shared" ca="1" si="220"/>
        <v/>
      </c>
      <c r="BE33" s="2161"/>
      <c r="BF33" s="2162"/>
      <c r="BG33" s="2143"/>
      <c r="BH33" s="2149" t="str">
        <f ca="1">IF('25 Sollumsatz nach Monaten'!AJ36=0,"",'25 Sollumsatz nach Monaten'!AJ36)</f>
        <v/>
      </c>
      <c r="BI33" s="2150" t="str">
        <f t="shared" ca="1" si="343"/>
        <v/>
      </c>
      <c r="BJ33" s="2151" t="str">
        <f t="shared" ca="1" si="344"/>
        <v/>
      </c>
      <c r="BK33" s="2143"/>
      <c r="BL33" s="2149" t="str">
        <f ca="1">IF('25 Sollumsatz nach Monaten'!AK36=0,"",'25 Sollumsatz nach Monaten'!AK36)</f>
        <v/>
      </c>
      <c r="BM33" s="2150" t="str">
        <f t="shared" ca="1" si="345"/>
        <v/>
      </c>
      <c r="BN33" s="2151" t="str">
        <f t="shared" ca="1" si="346"/>
        <v/>
      </c>
      <c r="BO33" s="2142" t="str">
        <f t="shared" ca="1" si="221"/>
        <v/>
      </c>
      <c r="BP33" s="2161"/>
      <c r="BQ33" s="2162"/>
      <c r="BR33" s="2143"/>
      <c r="BS33" s="2144" t="str">
        <f ca="1">IF('25 Sollumsatz nach Monaten'!AP36=0,"",'25 Sollumsatz nach Monaten'!AP36)</f>
        <v/>
      </c>
      <c r="BT33" s="2145" t="str">
        <f t="shared" ca="1" si="347"/>
        <v/>
      </c>
      <c r="BU33" s="2146" t="str">
        <f t="shared" ca="1" si="348"/>
        <v/>
      </c>
      <c r="BV33" s="2143"/>
      <c r="BW33" s="2144" t="str">
        <f ca="1">IF('25 Sollumsatz nach Monaten'!AQ36=0,"",'25 Sollumsatz nach Monaten'!AQ36)</f>
        <v/>
      </c>
      <c r="BX33" s="2145" t="str">
        <f t="shared" ca="1" si="349"/>
        <v/>
      </c>
      <c r="BY33" s="2158" t="str">
        <f t="shared" ca="1" si="350"/>
        <v/>
      </c>
      <c r="BZ33" s="2148" t="str">
        <f t="shared" ca="1" si="222"/>
        <v/>
      </c>
      <c r="CA33" s="2161"/>
      <c r="CB33" s="2162"/>
      <c r="CC33" s="2143"/>
      <c r="CD33" s="2149" t="str">
        <f ca="1">IF('25 Sollumsatz nach Monaten'!AV36=0,"",'25 Sollumsatz nach Monaten'!AV36)</f>
        <v/>
      </c>
      <c r="CE33" s="2150" t="str">
        <f t="shared" ca="1" si="351"/>
        <v/>
      </c>
      <c r="CF33" s="2151" t="str">
        <f t="shared" ca="1" si="352"/>
        <v/>
      </c>
      <c r="CG33" s="2143"/>
      <c r="CH33" s="2149" t="str">
        <f ca="1">IF('25 Sollumsatz nach Monaten'!AW36=0,"",'25 Sollumsatz nach Monaten'!AW36)</f>
        <v/>
      </c>
      <c r="CI33" s="2150" t="str">
        <f t="shared" ca="1" si="353"/>
        <v/>
      </c>
      <c r="CJ33" s="2151" t="str">
        <f t="shared" ca="1" si="354"/>
        <v/>
      </c>
      <c r="CK33" s="2142" t="str">
        <f t="shared" ca="1" si="223"/>
        <v/>
      </c>
      <c r="CL33" s="2161"/>
      <c r="CM33" s="2162"/>
      <c r="CN33" s="2143"/>
      <c r="CO33" s="2144" t="str">
        <f ca="1">IF('25 Sollumsatz nach Monaten'!BB36=0,"",'25 Sollumsatz nach Monaten'!BB36)</f>
        <v/>
      </c>
      <c r="CP33" s="2145" t="str">
        <f t="shared" ca="1" si="355"/>
        <v/>
      </c>
      <c r="CQ33" s="2146" t="str">
        <f t="shared" ca="1" si="356"/>
        <v/>
      </c>
      <c r="CR33" s="2143"/>
      <c r="CS33" s="2144" t="str">
        <f ca="1">IF('25 Sollumsatz nach Monaten'!BC36=0,"",'25 Sollumsatz nach Monaten'!BC36)</f>
        <v/>
      </c>
      <c r="CT33" s="2145" t="str">
        <f t="shared" ca="1" si="357"/>
        <v/>
      </c>
      <c r="CU33" s="2158" t="str">
        <f t="shared" ca="1" si="358"/>
        <v/>
      </c>
      <c r="CV33" s="2148" t="str">
        <f t="shared" ca="1" si="224"/>
        <v/>
      </c>
      <c r="CW33" s="2161"/>
      <c r="CX33" s="2162"/>
      <c r="CY33" s="2143"/>
      <c r="CZ33" s="2149" t="str">
        <f ca="1">IF('25 Sollumsatz nach Monaten'!BH36=0,"",'25 Sollumsatz nach Monaten'!BH36)</f>
        <v/>
      </c>
      <c r="DA33" s="2150" t="str">
        <f t="shared" ca="1" si="359"/>
        <v/>
      </c>
      <c r="DB33" s="2151" t="str">
        <f t="shared" ca="1" si="360"/>
        <v/>
      </c>
      <c r="DC33" s="2143"/>
      <c r="DD33" s="2149" t="str">
        <f ca="1">IF('25 Sollumsatz nach Monaten'!BI36=0,"",'25 Sollumsatz nach Monaten'!BI36)</f>
        <v/>
      </c>
      <c r="DE33" s="2150" t="str">
        <f t="shared" ca="1" si="361"/>
        <v/>
      </c>
      <c r="DF33" s="2151" t="str">
        <f t="shared" ca="1" si="362"/>
        <v/>
      </c>
      <c r="DG33" s="2142" t="str">
        <f t="shared" ca="1" si="225"/>
        <v/>
      </c>
      <c r="DH33" s="2161"/>
      <c r="DI33" s="2162"/>
      <c r="DJ33" s="2143"/>
      <c r="DK33" s="2144" t="str">
        <f ca="1">IF('25 Sollumsatz nach Monaten'!BN36=0,"",'25 Sollumsatz nach Monaten'!BN36)</f>
        <v/>
      </c>
      <c r="DL33" s="2145" t="str">
        <f t="shared" ca="1" si="363"/>
        <v/>
      </c>
      <c r="DM33" s="2146" t="str">
        <f t="shared" ca="1" si="364"/>
        <v/>
      </c>
      <c r="DN33" s="2143"/>
      <c r="DO33" s="2144" t="str">
        <f ca="1">IF('25 Sollumsatz nach Monaten'!BO36=0,"",'25 Sollumsatz nach Monaten'!BO36)</f>
        <v/>
      </c>
      <c r="DP33" s="2145" t="str">
        <f t="shared" ca="1" si="365"/>
        <v/>
      </c>
      <c r="DQ33" s="2158" t="str">
        <f t="shared" ca="1" si="366"/>
        <v/>
      </c>
      <c r="DR33" s="2148" t="str">
        <f t="shared" ca="1" si="226"/>
        <v/>
      </c>
      <c r="DS33" s="2161"/>
      <c r="DT33" s="2162"/>
      <c r="DU33" s="2143"/>
      <c r="DV33" s="2149" t="str">
        <f ca="1">IF('25 Sollumsatz nach Monaten'!BT36=0,"",'25 Sollumsatz nach Monaten'!BT36)</f>
        <v/>
      </c>
      <c r="DW33" s="2150" t="str">
        <f t="shared" ca="1" si="367"/>
        <v/>
      </c>
      <c r="DX33" s="2151" t="str">
        <f t="shared" ca="1" si="368"/>
        <v/>
      </c>
      <c r="DY33" s="2143"/>
      <c r="DZ33" s="2149" t="str">
        <f ca="1">IF('25 Sollumsatz nach Monaten'!BU36=0,"",'25 Sollumsatz nach Monaten'!BU36)</f>
        <v/>
      </c>
      <c r="EA33" s="2150" t="str">
        <f t="shared" ca="1" si="369"/>
        <v/>
      </c>
      <c r="EB33" s="2151" t="str">
        <f t="shared" ca="1" si="370"/>
        <v/>
      </c>
      <c r="EC33" s="2152" t="str">
        <f t="shared" ca="1" si="227"/>
        <v/>
      </c>
      <c r="ED33" s="2280" t="str">
        <f t="shared" ca="1" si="371"/>
        <v/>
      </c>
      <c r="EE33" s="2153" t="str">
        <f t="shared" ca="1" si="372"/>
        <v/>
      </c>
      <c r="EF33" s="2154" t="str">
        <f t="shared" ca="1" si="373"/>
        <v/>
      </c>
      <c r="EG33" s="2155" t="str">
        <f t="shared" ca="1" si="275"/>
        <v/>
      </c>
      <c r="EH33" s="2282" t="str">
        <f t="shared" ca="1" si="374"/>
        <v/>
      </c>
      <c r="EI33" s="2153" t="str">
        <f t="shared" ca="1" si="375"/>
        <v/>
      </c>
      <c r="EJ33" s="2154" t="str">
        <f t="shared" ca="1" si="376"/>
        <v/>
      </c>
      <c r="EK33" s="2155" t="str">
        <f t="shared" ca="1" si="377"/>
        <v/>
      </c>
      <c r="EL33" s="2160" t="str">
        <f t="shared" ca="1" si="378"/>
        <v/>
      </c>
      <c r="EM33" s="2160" t="str">
        <f t="shared" ca="1" si="379"/>
        <v/>
      </c>
      <c r="EN33" s="2160" t="str">
        <f t="shared" ca="1" si="380"/>
        <v/>
      </c>
      <c r="EO33" s="2152" t="str">
        <f t="shared" ca="1" si="237"/>
        <v/>
      </c>
      <c r="EP33" s="2312" t="str">
        <f ca="1">IF('25 Sollumsatz nach Monaten'!BV36="","",SUM(EQ33:ER33))</f>
        <v/>
      </c>
      <c r="EQ33" s="2312" t="str">
        <f ca="1">IF('25 Sollumsatz nach Monaten'!BV36="","",ED33/'25 Sollumsatz nach Monaten'!BV36)</f>
        <v/>
      </c>
      <c r="ER33" s="2312" t="str">
        <f ca="1">IF('25 Sollumsatz nach Monaten'!BV36="","",EH33/'25 Sollumsatz nach Monaten'!BV36)</f>
        <v/>
      </c>
      <c r="EY33" s="2248"/>
      <c r="EZ33" s="2249"/>
      <c r="FA33" s="2250"/>
      <c r="FB33" s="2251" t="str">
        <f t="shared" si="381"/>
        <v/>
      </c>
      <c r="FC33" s="2252"/>
      <c r="FD33" s="2253"/>
      <c r="FE33" s="2251" t="str">
        <f t="shared" ca="1" si="382"/>
        <v/>
      </c>
      <c r="FF33" s="2254"/>
      <c r="FG33" s="2252"/>
      <c r="FH33" s="2253"/>
      <c r="FI33" s="2251" t="str">
        <f t="shared" ca="1" si="383"/>
        <v/>
      </c>
      <c r="FJ33" s="2248"/>
      <c r="FK33" s="2249"/>
      <c r="FL33" s="2250"/>
      <c r="FM33" s="2251" t="str">
        <f t="shared" si="384"/>
        <v/>
      </c>
      <c r="FN33" s="2252"/>
      <c r="FO33" s="2253"/>
      <c r="FP33" s="2251" t="str">
        <f t="shared" ca="1" si="385"/>
        <v/>
      </c>
      <c r="FQ33" s="2254"/>
      <c r="FR33" s="2252"/>
      <c r="FS33" s="2253"/>
      <c r="FT33" s="2251" t="str">
        <f t="shared" ca="1" si="386"/>
        <v/>
      </c>
      <c r="FU33" s="2248"/>
      <c r="FV33" s="2249"/>
      <c r="FW33" s="2250"/>
      <c r="FX33" s="2251" t="str">
        <f t="shared" si="387"/>
        <v/>
      </c>
      <c r="FY33" s="2252"/>
      <c r="FZ33" s="2253"/>
      <c r="GA33" s="2251" t="str">
        <f t="shared" ca="1" si="388"/>
        <v/>
      </c>
      <c r="GB33" s="2254"/>
      <c r="GC33" s="2252"/>
      <c r="GD33" s="2253"/>
      <c r="GE33" s="2251" t="str">
        <f t="shared" ca="1" si="389"/>
        <v/>
      </c>
      <c r="GF33" s="2248"/>
      <c r="GG33" s="2249"/>
      <c r="GH33" s="2250"/>
      <c r="GI33" s="2251" t="str">
        <f t="shared" si="390"/>
        <v/>
      </c>
      <c r="GJ33" s="2252"/>
      <c r="GK33" s="2253"/>
      <c r="GL33" s="2251" t="str">
        <f t="shared" ca="1" si="391"/>
        <v/>
      </c>
      <c r="GM33" s="2254"/>
      <c r="GN33" s="2252"/>
      <c r="GO33" s="2253"/>
      <c r="GP33" s="2251" t="str">
        <f t="shared" ca="1" si="392"/>
        <v/>
      </c>
      <c r="GQ33" s="2248"/>
      <c r="GR33" s="2249"/>
      <c r="GS33" s="2250"/>
      <c r="GT33" s="2251" t="str">
        <f t="shared" si="393"/>
        <v/>
      </c>
      <c r="GU33" s="2252"/>
      <c r="GV33" s="2253"/>
      <c r="GW33" s="2251" t="str">
        <f t="shared" ca="1" si="394"/>
        <v/>
      </c>
      <c r="GX33" s="2254"/>
      <c r="GY33" s="2252"/>
      <c r="GZ33" s="2253"/>
      <c r="HA33" s="2251" t="str">
        <f t="shared" ca="1" si="395"/>
        <v/>
      </c>
      <c r="HB33" s="2248"/>
      <c r="HC33" s="2249"/>
      <c r="HD33" s="2250"/>
      <c r="HE33" s="2251" t="str">
        <f t="shared" si="396"/>
        <v/>
      </c>
      <c r="HF33" s="2252"/>
      <c r="HG33" s="2253"/>
      <c r="HH33" s="2251" t="str">
        <f t="shared" ca="1" si="397"/>
        <v/>
      </c>
      <c r="HI33" s="2254"/>
      <c r="HJ33" s="2252"/>
      <c r="HK33" s="2253"/>
      <c r="HL33" s="2251" t="str">
        <f t="shared" ca="1" si="398"/>
        <v/>
      </c>
      <c r="HM33" s="2248"/>
      <c r="HN33" s="2249"/>
      <c r="HO33" s="2250"/>
      <c r="HP33" s="2251" t="str">
        <f t="shared" si="399"/>
        <v/>
      </c>
      <c r="HQ33" s="2252"/>
      <c r="HR33" s="2253"/>
      <c r="HS33" s="2251" t="str">
        <f t="shared" ca="1" si="400"/>
        <v/>
      </c>
      <c r="HT33" s="2254"/>
      <c r="HU33" s="2252"/>
      <c r="HV33" s="2253"/>
      <c r="HW33" s="2251" t="str">
        <f t="shared" ca="1" si="401"/>
        <v/>
      </c>
      <c r="HX33" s="2248"/>
      <c r="HY33" s="2249"/>
      <c r="HZ33" s="2250"/>
      <c r="IA33" s="2251" t="str">
        <f t="shared" si="402"/>
        <v/>
      </c>
      <c r="IB33" s="2252"/>
      <c r="IC33" s="2253"/>
      <c r="ID33" s="2251" t="str">
        <f t="shared" ca="1" si="403"/>
        <v/>
      </c>
      <c r="IE33" s="2254"/>
      <c r="IF33" s="2252"/>
      <c r="IG33" s="2253"/>
      <c r="IH33" s="2251" t="str">
        <f t="shared" ca="1" si="404"/>
        <v/>
      </c>
      <c r="II33" s="2248"/>
      <c r="IJ33" s="2249"/>
      <c r="IK33" s="2250"/>
      <c r="IL33" s="2251" t="str">
        <f t="shared" si="405"/>
        <v/>
      </c>
      <c r="IM33" s="2252"/>
      <c r="IN33" s="2253"/>
      <c r="IO33" s="2251" t="str">
        <f t="shared" ca="1" si="406"/>
        <v/>
      </c>
      <c r="IP33" s="2254"/>
      <c r="IQ33" s="2252"/>
      <c r="IR33" s="2253"/>
      <c r="IS33" s="2251" t="str">
        <f t="shared" ca="1" si="407"/>
        <v/>
      </c>
      <c r="IT33" s="2248"/>
      <c r="IU33" s="2249"/>
      <c r="IV33" s="2250"/>
      <c r="IW33" s="2251" t="str">
        <f t="shared" si="408"/>
        <v/>
      </c>
      <c r="IX33" s="2252"/>
      <c r="IY33" s="2253"/>
      <c r="IZ33" s="2251" t="str">
        <f t="shared" ca="1" si="409"/>
        <v/>
      </c>
      <c r="JA33" s="2254"/>
      <c r="JB33" s="2252"/>
      <c r="JC33" s="2253"/>
      <c r="JD33" s="2251" t="str">
        <f t="shared" ca="1" si="410"/>
        <v/>
      </c>
      <c r="JE33" s="2248"/>
      <c r="JF33" s="2249"/>
      <c r="JG33" s="2250"/>
      <c r="JH33" s="2251" t="str">
        <f t="shared" si="411"/>
        <v/>
      </c>
      <c r="JI33" s="2252"/>
      <c r="JJ33" s="2253"/>
      <c r="JK33" s="2251" t="str">
        <f t="shared" ca="1" si="412"/>
        <v/>
      </c>
      <c r="JL33" s="2254"/>
      <c r="JM33" s="2252"/>
      <c r="JN33" s="2253"/>
      <c r="JO33" s="2251" t="str">
        <f t="shared" ca="1" si="413"/>
        <v/>
      </c>
      <c r="JP33" s="2248"/>
      <c r="JQ33" s="2249"/>
      <c r="JR33" s="2250"/>
      <c r="JS33" s="2251" t="str">
        <f t="shared" si="414"/>
        <v/>
      </c>
      <c r="JT33" s="2252"/>
      <c r="JU33" s="2253"/>
      <c r="JV33" s="2251" t="str">
        <f t="shared" ca="1" si="415"/>
        <v/>
      </c>
      <c r="JW33" s="2254"/>
      <c r="JX33" s="2252"/>
      <c r="JY33" s="2253"/>
      <c r="JZ33" s="2251" t="str">
        <f t="shared" ca="1" si="416"/>
        <v/>
      </c>
      <c r="KA33" s="2231"/>
    </row>
    <row r="34" spans="1:287" s="2156" customFormat="1" ht="18" customHeight="1">
      <c r="A34" s="2142" t="str">
        <f ca="1">IF('22 Sollumsatz pro MA '!$A37="","",'22 Sollumsatz pro MA '!$A37)</f>
        <v/>
      </c>
      <c r="B34" s="2161"/>
      <c r="C34" s="2162"/>
      <c r="D34" s="2143"/>
      <c r="E34" s="2144" t="str">
        <f ca="1">IF('25 Sollumsatz nach Monaten'!F37=0,"",'25 Sollumsatz nach Monaten'!F37)</f>
        <v/>
      </c>
      <c r="F34" s="2145" t="str">
        <f t="shared" ca="1" si="323"/>
        <v/>
      </c>
      <c r="G34" s="2146" t="str">
        <f t="shared" ca="1" si="324"/>
        <v/>
      </c>
      <c r="H34" s="2143"/>
      <c r="I34" s="2144" t="str">
        <f ca="1">IF('25 Sollumsatz nach Monaten'!G37=0,"",'25 Sollumsatz nach Monaten'!G37)</f>
        <v/>
      </c>
      <c r="J34" s="2145" t="str">
        <f t="shared" ca="1" si="325"/>
        <v/>
      </c>
      <c r="K34" s="2158" t="str">
        <f t="shared" ca="1" si="326"/>
        <v/>
      </c>
      <c r="L34" s="2148" t="str">
        <f t="shared" ca="1" si="216"/>
        <v/>
      </c>
      <c r="M34" s="2161"/>
      <c r="N34" s="2162"/>
      <c r="O34" s="2143"/>
      <c r="P34" s="2149" t="str">
        <f ca="1">IF('25 Sollumsatz nach Monaten'!L37=0,"",'25 Sollumsatz nach Monaten'!L37)</f>
        <v/>
      </c>
      <c r="Q34" s="2150" t="str">
        <f t="shared" ca="1" si="327"/>
        <v/>
      </c>
      <c r="R34" s="2151" t="str">
        <f t="shared" ca="1" si="328"/>
        <v/>
      </c>
      <c r="S34" s="2143"/>
      <c r="T34" s="2149" t="str">
        <f ca="1">IF('25 Sollumsatz nach Monaten'!M37=0,"",'25 Sollumsatz nach Monaten'!M37)</f>
        <v/>
      </c>
      <c r="U34" s="2150" t="str">
        <f t="shared" ca="1" si="329"/>
        <v/>
      </c>
      <c r="V34" s="2151" t="str">
        <f t="shared" ca="1" si="330"/>
        <v/>
      </c>
      <c r="W34" s="2142" t="str">
        <f t="shared" ca="1" si="217"/>
        <v/>
      </c>
      <c r="X34" s="2161"/>
      <c r="Y34" s="2162"/>
      <c r="Z34" s="2143"/>
      <c r="AA34" s="2144" t="str">
        <f ca="1">IF('25 Sollumsatz nach Monaten'!R37=0,"",'25 Sollumsatz nach Monaten'!R37)</f>
        <v/>
      </c>
      <c r="AB34" s="2145" t="str">
        <f t="shared" ca="1" si="331"/>
        <v/>
      </c>
      <c r="AC34" s="2146" t="str">
        <f t="shared" ca="1" si="332"/>
        <v/>
      </c>
      <c r="AD34" s="2147"/>
      <c r="AE34" s="2144" t="str">
        <f ca="1">IF('25 Sollumsatz nach Monaten'!S37=0,"",'25 Sollumsatz nach Monaten'!S37)</f>
        <v/>
      </c>
      <c r="AF34" s="2145" t="str">
        <f t="shared" ca="1" si="333"/>
        <v/>
      </c>
      <c r="AG34" s="2158" t="str">
        <f t="shared" ca="1" si="334"/>
        <v/>
      </c>
      <c r="AH34" s="2148" t="str">
        <f t="shared" ca="1" si="218"/>
        <v/>
      </c>
      <c r="AI34" s="2161"/>
      <c r="AJ34" s="2162"/>
      <c r="AK34" s="2143"/>
      <c r="AL34" s="2149" t="str">
        <f ca="1">IF('25 Sollumsatz nach Monaten'!X37=0,"",'25 Sollumsatz nach Monaten'!X37)</f>
        <v/>
      </c>
      <c r="AM34" s="2150" t="str">
        <f t="shared" ca="1" si="335"/>
        <v/>
      </c>
      <c r="AN34" s="2151" t="str">
        <f t="shared" ca="1" si="336"/>
        <v/>
      </c>
      <c r="AO34" s="2143"/>
      <c r="AP34" s="2149" t="str">
        <f ca="1">IF('25 Sollumsatz nach Monaten'!Y37=0,"",'25 Sollumsatz nach Monaten'!Y37)</f>
        <v/>
      </c>
      <c r="AQ34" s="2150" t="str">
        <f t="shared" ca="1" si="337"/>
        <v/>
      </c>
      <c r="AR34" s="2151" t="str">
        <f t="shared" ca="1" si="338"/>
        <v/>
      </c>
      <c r="AS34" s="2142" t="str">
        <f t="shared" ca="1" si="219"/>
        <v/>
      </c>
      <c r="AT34" s="2161"/>
      <c r="AU34" s="2162"/>
      <c r="AV34" s="2143"/>
      <c r="AW34" s="2144" t="str">
        <f ca="1">IF('25 Sollumsatz nach Monaten'!AD37=0,"",'25 Sollumsatz nach Monaten'!AD37)</f>
        <v/>
      </c>
      <c r="AX34" s="2145" t="str">
        <f t="shared" ca="1" si="339"/>
        <v/>
      </c>
      <c r="AY34" s="2146" t="str">
        <f t="shared" ca="1" si="340"/>
        <v/>
      </c>
      <c r="AZ34" s="2143"/>
      <c r="BA34" s="2144" t="str">
        <f ca="1">IF('25 Sollumsatz nach Monaten'!AE37=0,"",'25 Sollumsatz nach Monaten'!AE37)</f>
        <v/>
      </c>
      <c r="BB34" s="2145" t="str">
        <f t="shared" ca="1" si="341"/>
        <v/>
      </c>
      <c r="BC34" s="2158" t="str">
        <f t="shared" ca="1" si="342"/>
        <v/>
      </c>
      <c r="BD34" s="2148" t="str">
        <f t="shared" ca="1" si="220"/>
        <v/>
      </c>
      <c r="BE34" s="2161"/>
      <c r="BF34" s="2162"/>
      <c r="BG34" s="2143"/>
      <c r="BH34" s="2149" t="str">
        <f ca="1">IF('25 Sollumsatz nach Monaten'!AJ37=0,"",'25 Sollumsatz nach Monaten'!AJ37)</f>
        <v/>
      </c>
      <c r="BI34" s="2150" t="str">
        <f t="shared" ca="1" si="343"/>
        <v/>
      </c>
      <c r="BJ34" s="2151" t="str">
        <f t="shared" ca="1" si="344"/>
        <v/>
      </c>
      <c r="BK34" s="2143"/>
      <c r="BL34" s="2149" t="str">
        <f ca="1">IF('25 Sollumsatz nach Monaten'!AK37=0,"",'25 Sollumsatz nach Monaten'!AK37)</f>
        <v/>
      </c>
      <c r="BM34" s="2150" t="str">
        <f t="shared" ca="1" si="345"/>
        <v/>
      </c>
      <c r="BN34" s="2151" t="str">
        <f t="shared" ca="1" si="346"/>
        <v/>
      </c>
      <c r="BO34" s="2142" t="str">
        <f t="shared" ca="1" si="221"/>
        <v/>
      </c>
      <c r="BP34" s="2161"/>
      <c r="BQ34" s="2162"/>
      <c r="BR34" s="2143"/>
      <c r="BS34" s="2144" t="str">
        <f ca="1">IF('25 Sollumsatz nach Monaten'!AP37=0,"",'25 Sollumsatz nach Monaten'!AP37)</f>
        <v/>
      </c>
      <c r="BT34" s="2145" t="str">
        <f t="shared" ca="1" si="347"/>
        <v/>
      </c>
      <c r="BU34" s="2146" t="str">
        <f t="shared" ca="1" si="348"/>
        <v/>
      </c>
      <c r="BV34" s="2143"/>
      <c r="BW34" s="2144" t="str">
        <f ca="1">IF('25 Sollumsatz nach Monaten'!AQ37=0,"",'25 Sollumsatz nach Monaten'!AQ37)</f>
        <v/>
      </c>
      <c r="BX34" s="2145" t="str">
        <f t="shared" ca="1" si="349"/>
        <v/>
      </c>
      <c r="BY34" s="2158" t="str">
        <f t="shared" ca="1" si="350"/>
        <v/>
      </c>
      <c r="BZ34" s="2148" t="str">
        <f t="shared" ca="1" si="222"/>
        <v/>
      </c>
      <c r="CA34" s="2161"/>
      <c r="CB34" s="2162"/>
      <c r="CC34" s="2143"/>
      <c r="CD34" s="2149" t="str">
        <f ca="1">IF('25 Sollumsatz nach Monaten'!AV37=0,"",'25 Sollumsatz nach Monaten'!AV37)</f>
        <v/>
      </c>
      <c r="CE34" s="2150" t="str">
        <f t="shared" ca="1" si="351"/>
        <v/>
      </c>
      <c r="CF34" s="2151" t="str">
        <f t="shared" ca="1" si="352"/>
        <v/>
      </c>
      <c r="CG34" s="2143"/>
      <c r="CH34" s="2149" t="str">
        <f ca="1">IF('25 Sollumsatz nach Monaten'!AW37=0,"",'25 Sollumsatz nach Monaten'!AW37)</f>
        <v/>
      </c>
      <c r="CI34" s="2150" t="str">
        <f t="shared" ca="1" si="353"/>
        <v/>
      </c>
      <c r="CJ34" s="2151" t="str">
        <f t="shared" ca="1" si="354"/>
        <v/>
      </c>
      <c r="CK34" s="2142" t="str">
        <f t="shared" ca="1" si="223"/>
        <v/>
      </c>
      <c r="CL34" s="2161"/>
      <c r="CM34" s="2162"/>
      <c r="CN34" s="2143"/>
      <c r="CO34" s="2144" t="str">
        <f ca="1">IF('25 Sollumsatz nach Monaten'!BB37=0,"",'25 Sollumsatz nach Monaten'!BB37)</f>
        <v/>
      </c>
      <c r="CP34" s="2145" t="str">
        <f t="shared" ca="1" si="355"/>
        <v/>
      </c>
      <c r="CQ34" s="2146" t="str">
        <f t="shared" ca="1" si="356"/>
        <v/>
      </c>
      <c r="CR34" s="2143"/>
      <c r="CS34" s="2144" t="str">
        <f ca="1">IF('25 Sollumsatz nach Monaten'!BC37=0,"",'25 Sollumsatz nach Monaten'!BC37)</f>
        <v/>
      </c>
      <c r="CT34" s="2145" t="str">
        <f t="shared" ca="1" si="357"/>
        <v/>
      </c>
      <c r="CU34" s="2158" t="str">
        <f t="shared" ca="1" si="358"/>
        <v/>
      </c>
      <c r="CV34" s="2148" t="str">
        <f t="shared" ca="1" si="224"/>
        <v/>
      </c>
      <c r="CW34" s="2161"/>
      <c r="CX34" s="2162"/>
      <c r="CY34" s="2143"/>
      <c r="CZ34" s="2149" t="str">
        <f ca="1">IF('25 Sollumsatz nach Monaten'!BH37=0,"",'25 Sollumsatz nach Monaten'!BH37)</f>
        <v/>
      </c>
      <c r="DA34" s="2150" t="str">
        <f t="shared" ca="1" si="359"/>
        <v/>
      </c>
      <c r="DB34" s="2151" t="str">
        <f t="shared" ca="1" si="360"/>
        <v/>
      </c>
      <c r="DC34" s="2143"/>
      <c r="DD34" s="2149" t="str">
        <f ca="1">IF('25 Sollumsatz nach Monaten'!BI37=0,"",'25 Sollumsatz nach Monaten'!BI37)</f>
        <v/>
      </c>
      <c r="DE34" s="2150" t="str">
        <f t="shared" ca="1" si="361"/>
        <v/>
      </c>
      <c r="DF34" s="2151" t="str">
        <f t="shared" ca="1" si="362"/>
        <v/>
      </c>
      <c r="DG34" s="2142" t="str">
        <f t="shared" ca="1" si="225"/>
        <v/>
      </c>
      <c r="DH34" s="2161"/>
      <c r="DI34" s="2162"/>
      <c r="DJ34" s="2143"/>
      <c r="DK34" s="2144" t="str">
        <f ca="1">IF('25 Sollumsatz nach Monaten'!BN37=0,"",'25 Sollumsatz nach Monaten'!BN37)</f>
        <v/>
      </c>
      <c r="DL34" s="2145" t="str">
        <f t="shared" ca="1" si="363"/>
        <v/>
      </c>
      <c r="DM34" s="2146" t="str">
        <f t="shared" ca="1" si="364"/>
        <v/>
      </c>
      <c r="DN34" s="2143"/>
      <c r="DO34" s="2144" t="str">
        <f ca="1">IF('25 Sollumsatz nach Monaten'!BO37=0,"",'25 Sollumsatz nach Monaten'!BO37)</f>
        <v/>
      </c>
      <c r="DP34" s="2145" t="str">
        <f t="shared" ca="1" si="365"/>
        <v/>
      </c>
      <c r="DQ34" s="2158" t="str">
        <f t="shared" ca="1" si="366"/>
        <v/>
      </c>
      <c r="DR34" s="2148" t="str">
        <f t="shared" ca="1" si="226"/>
        <v/>
      </c>
      <c r="DS34" s="2161"/>
      <c r="DT34" s="2162"/>
      <c r="DU34" s="2143"/>
      <c r="DV34" s="2149" t="str">
        <f ca="1">IF('25 Sollumsatz nach Monaten'!BT37=0,"",'25 Sollumsatz nach Monaten'!BT37)</f>
        <v/>
      </c>
      <c r="DW34" s="2150" t="str">
        <f t="shared" ca="1" si="367"/>
        <v/>
      </c>
      <c r="DX34" s="2151" t="str">
        <f t="shared" ca="1" si="368"/>
        <v/>
      </c>
      <c r="DY34" s="2143"/>
      <c r="DZ34" s="2149" t="str">
        <f ca="1">IF('25 Sollumsatz nach Monaten'!BU37=0,"",'25 Sollumsatz nach Monaten'!BU37)</f>
        <v/>
      </c>
      <c r="EA34" s="2150" t="str">
        <f t="shared" ca="1" si="369"/>
        <v/>
      </c>
      <c r="EB34" s="2151" t="str">
        <f t="shared" ca="1" si="370"/>
        <v/>
      </c>
      <c r="EC34" s="2152" t="str">
        <f t="shared" ca="1" si="227"/>
        <v/>
      </c>
      <c r="ED34" s="2280" t="str">
        <f t="shared" ca="1" si="371"/>
        <v/>
      </c>
      <c r="EE34" s="2153" t="str">
        <f t="shared" ca="1" si="372"/>
        <v/>
      </c>
      <c r="EF34" s="2154" t="str">
        <f t="shared" ca="1" si="373"/>
        <v/>
      </c>
      <c r="EG34" s="2155" t="str">
        <f t="shared" ca="1" si="275"/>
        <v/>
      </c>
      <c r="EH34" s="2282" t="str">
        <f t="shared" ca="1" si="374"/>
        <v/>
      </c>
      <c r="EI34" s="2153" t="str">
        <f t="shared" ca="1" si="375"/>
        <v/>
      </c>
      <c r="EJ34" s="2154" t="str">
        <f t="shared" ca="1" si="376"/>
        <v/>
      </c>
      <c r="EK34" s="2155" t="str">
        <f t="shared" ca="1" si="377"/>
        <v/>
      </c>
      <c r="EL34" s="2160" t="str">
        <f t="shared" ca="1" si="378"/>
        <v/>
      </c>
      <c r="EM34" s="2160" t="str">
        <f t="shared" ca="1" si="379"/>
        <v/>
      </c>
      <c r="EN34" s="2160" t="str">
        <f t="shared" ca="1" si="380"/>
        <v/>
      </c>
      <c r="EO34" s="2152" t="str">
        <f t="shared" ca="1" si="237"/>
        <v/>
      </c>
      <c r="EP34" s="2312" t="str">
        <f ca="1">IF('25 Sollumsatz nach Monaten'!BV37="","",SUM(EQ34:ER34))</f>
        <v/>
      </c>
      <c r="EQ34" s="2312" t="str">
        <f ca="1">IF('25 Sollumsatz nach Monaten'!BV37="","",ED34/'25 Sollumsatz nach Monaten'!BV37)</f>
        <v/>
      </c>
      <c r="ER34" s="2312" t="str">
        <f ca="1">IF('25 Sollumsatz nach Monaten'!BV37="","",EH34/'25 Sollumsatz nach Monaten'!BV37)</f>
        <v/>
      </c>
      <c r="EY34" s="2248"/>
      <c r="EZ34" s="2249"/>
      <c r="FA34" s="2250"/>
      <c r="FB34" s="2251" t="str">
        <f t="shared" si="381"/>
        <v/>
      </c>
      <c r="FC34" s="2252"/>
      <c r="FD34" s="2253"/>
      <c r="FE34" s="2251" t="str">
        <f t="shared" ca="1" si="382"/>
        <v/>
      </c>
      <c r="FF34" s="2254"/>
      <c r="FG34" s="2252"/>
      <c r="FH34" s="2253"/>
      <c r="FI34" s="2251" t="str">
        <f t="shared" ca="1" si="383"/>
        <v/>
      </c>
      <c r="FJ34" s="2248"/>
      <c r="FK34" s="2249"/>
      <c r="FL34" s="2250"/>
      <c r="FM34" s="2251" t="str">
        <f t="shared" si="384"/>
        <v/>
      </c>
      <c r="FN34" s="2252"/>
      <c r="FO34" s="2253"/>
      <c r="FP34" s="2251" t="str">
        <f t="shared" ca="1" si="385"/>
        <v/>
      </c>
      <c r="FQ34" s="2254"/>
      <c r="FR34" s="2252"/>
      <c r="FS34" s="2253"/>
      <c r="FT34" s="2251" t="str">
        <f t="shared" ca="1" si="386"/>
        <v/>
      </c>
      <c r="FU34" s="2248"/>
      <c r="FV34" s="2249"/>
      <c r="FW34" s="2250"/>
      <c r="FX34" s="2251" t="str">
        <f t="shared" si="387"/>
        <v/>
      </c>
      <c r="FY34" s="2252"/>
      <c r="FZ34" s="2253"/>
      <c r="GA34" s="2251" t="str">
        <f t="shared" ca="1" si="388"/>
        <v/>
      </c>
      <c r="GB34" s="2254"/>
      <c r="GC34" s="2252"/>
      <c r="GD34" s="2253"/>
      <c r="GE34" s="2251" t="str">
        <f t="shared" ca="1" si="389"/>
        <v/>
      </c>
      <c r="GF34" s="2248"/>
      <c r="GG34" s="2249"/>
      <c r="GH34" s="2250"/>
      <c r="GI34" s="2251" t="str">
        <f t="shared" si="390"/>
        <v/>
      </c>
      <c r="GJ34" s="2252"/>
      <c r="GK34" s="2253"/>
      <c r="GL34" s="2251" t="str">
        <f t="shared" ca="1" si="391"/>
        <v/>
      </c>
      <c r="GM34" s="2254"/>
      <c r="GN34" s="2252"/>
      <c r="GO34" s="2253"/>
      <c r="GP34" s="2251" t="str">
        <f t="shared" ca="1" si="392"/>
        <v/>
      </c>
      <c r="GQ34" s="2248"/>
      <c r="GR34" s="2249"/>
      <c r="GS34" s="2250"/>
      <c r="GT34" s="2251" t="str">
        <f t="shared" si="393"/>
        <v/>
      </c>
      <c r="GU34" s="2252"/>
      <c r="GV34" s="2253"/>
      <c r="GW34" s="2251" t="str">
        <f t="shared" ca="1" si="394"/>
        <v/>
      </c>
      <c r="GX34" s="2254"/>
      <c r="GY34" s="2252"/>
      <c r="GZ34" s="2253"/>
      <c r="HA34" s="2251" t="str">
        <f t="shared" ca="1" si="395"/>
        <v/>
      </c>
      <c r="HB34" s="2248"/>
      <c r="HC34" s="2249"/>
      <c r="HD34" s="2250"/>
      <c r="HE34" s="2251" t="str">
        <f t="shared" si="396"/>
        <v/>
      </c>
      <c r="HF34" s="2252"/>
      <c r="HG34" s="2253"/>
      <c r="HH34" s="2251" t="str">
        <f t="shared" ca="1" si="397"/>
        <v/>
      </c>
      <c r="HI34" s="2254"/>
      <c r="HJ34" s="2252"/>
      <c r="HK34" s="2253"/>
      <c r="HL34" s="2251" t="str">
        <f t="shared" ca="1" si="398"/>
        <v/>
      </c>
      <c r="HM34" s="2248"/>
      <c r="HN34" s="2249"/>
      <c r="HO34" s="2250"/>
      <c r="HP34" s="2251" t="str">
        <f t="shared" si="399"/>
        <v/>
      </c>
      <c r="HQ34" s="2252"/>
      <c r="HR34" s="2253"/>
      <c r="HS34" s="2251" t="str">
        <f t="shared" ca="1" si="400"/>
        <v/>
      </c>
      <c r="HT34" s="2254"/>
      <c r="HU34" s="2252"/>
      <c r="HV34" s="2253"/>
      <c r="HW34" s="2251" t="str">
        <f t="shared" ca="1" si="401"/>
        <v/>
      </c>
      <c r="HX34" s="2248"/>
      <c r="HY34" s="2249"/>
      <c r="HZ34" s="2250"/>
      <c r="IA34" s="2251" t="str">
        <f t="shared" si="402"/>
        <v/>
      </c>
      <c r="IB34" s="2252"/>
      <c r="IC34" s="2253"/>
      <c r="ID34" s="2251" t="str">
        <f t="shared" ca="1" si="403"/>
        <v/>
      </c>
      <c r="IE34" s="2254"/>
      <c r="IF34" s="2252"/>
      <c r="IG34" s="2253"/>
      <c r="IH34" s="2251" t="str">
        <f t="shared" ca="1" si="404"/>
        <v/>
      </c>
      <c r="II34" s="2248"/>
      <c r="IJ34" s="2249"/>
      <c r="IK34" s="2250"/>
      <c r="IL34" s="2251" t="str">
        <f t="shared" si="405"/>
        <v/>
      </c>
      <c r="IM34" s="2252"/>
      <c r="IN34" s="2253"/>
      <c r="IO34" s="2251" t="str">
        <f t="shared" ca="1" si="406"/>
        <v/>
      </c>
      <c r="IP34" s="2254"/>
      <c r="IQ34" s="2252"/>
      <c r="IR34" s="2253"/>
      <c r="IS34" s="2251" t="str">
        <f t="shared" ca="1" si="407"/>
        <v/>
      </c>
      <c r="IT34" s="2248"/>
      <c r="IU34" s="2249"/>
      <c r="IV34" s="2250"/>
      <c r="IW34" s="2251" t="str">
        <f t="shared" si="408"/>
        <v/>
      </c>
      <c r="IX34" s="2252"/>
      <c r="IY34" s="2253"/>
      <c r="IZ34" s="2251" t="str">
        <f t="shared" ca="1" si="409"/>
        <v/>
      </c>
      <c r="JA34" s="2254"/>
      <c r="JB34" s="2252"/>
      <c r="JC34" s="2253"/>
      <c r="JD34" s="2251" t="str">
        <f t="shared" ca="1" si="410"/>
        <v/>
      </c>
      <c r="JE34" s="2248"/>
      <c r="JF34" s="2249"/>
      <c r="JG34" s="2250"/>
      <c r="JH34" s="2251" t="str">
        <f t="shared" si="411"/>
        <v/>
      </c>
      <c r="JI34" s="2252"/>
      <c r="JJ34" s="2253"/>
      <c r="JK34" s="2251" t="str">
        <f t="shared" ca="1" si="412"/>
        <v/>
      </c>
      <c r="JL34" s="2254"/>
      <c r="JM34" s="2252"/>
      <c r="JN34" s="2253"/>
      <c r="JO34" s="2251" t="str">
        <f t="shared" ca="1" si="413"/>
        <v/>
      </c>
      <c r="JP34" s="2248"/>
      <c r="JQ34" s="2249"/>
      <c r="JR34" s="2250"/>
      <c r="JS34" s="2251" t="str">
        <f t="shared" si="414"/>
        <v/>
      </c>
      <c r="JT34" s="2252"/>
      <c r="JU34" s="2253"/>
      <c r="JV34" s="2251" t="str">
        <f t="shared" ca="1" si="415"/>
        <v/>
      </c>
      <c r="JW34" s="2254"/>
      <c r="JX34" s="2252"/>
      <c r="JY34" s="2253"/>
      <c r="JZ34" s="2251" t="str">
        <f t="shared" ca="1" si="416"/>
        <v/>
      </c>
      <c r="KA34" s="2231"/>
    </row>
    <row r="35" spans="1:287" s="2156" customFormat="1" ht="18" customHeight="1">
      <c r="A35" s="2142" t="str">
        <f ca="1">IF('22 Sollumsatz pro MA '!$A38="","",'22 Sollumsatz pro MA '!$A38)</f>
        <v/>
      </c>
      <c r="B35" s="2161"/>
      <c r="C35" s="2162"/>
      <c r="D35" s="2143"/>
      <c r="E35" s="2144" t="str">
        <f ca="1">IF('25 Sollumsatz nach Monaten'!F38=0,"",'25 Sollumsatz nach Monaten'!F38)</f>
        <v/>
      </c>
      <c r="F35" s="2145" t="str">
        <f t="shared" ca="1" si="323"/>
        <v/>
      </c>
      <c r="G35" s="2146" t="str">
        <f t="shared" ca="1" si="324"/>
        <v/>
      </c>
      <c r="H35" s="2143"/>
      <c r="I35" s="2144" t="str">
        <f ca="1">IF('25 Sollumsatz nach Monaten'!G38=0,"",'25 Sollumsatz nach Monaten'!G38)</f>
        <v/>
      </c>
      <c r="J35" s="2145" t="str">
        <f t="shared" ca="1" si="325"/>
        <v/>
      </c>
      <c r="K35" s="2158" t="str">
        <f t="shared" ca="1" si="326"/>
        <v/>
      </c>
      <c r="L35" s="2148" t="str">
        <f t="shared" ca="1" si="216"/>
        <v/>
      </c>
      <c r="M35" s="2161"/>
      <c r="N35" s="2162"/>
      <c r="O35" s="2143"/>
      <c r="P35" s="2149" t="str">
        <f ca="1">IF('25 Sollumsatz nach Monaten'!L38=0,"",'25 Sollumsatz nach Monaten'!L38)</f>
        <v/>
      </c>
      <c r="Q35" s="2150" t="str">
        <f t="shared" ca="1" si="327"/>
        <v/>
      </c>
      <c r="R35" s="2151" t="str">
        <f t="shared" ca="1" si="328"/>
        <v/>
      </c>
      <c r="S35" s="2143"/>
      <c r="T35" s="2149" t="str">
        <f ca="1">IF('25 Sollumsatz nach Monaten'!M38=0,"",'25 Sollumsatz nach Monaten'!M38)</f>
        <v/>
      </c>
      <c r="U35" s="2150" t="str">
        <f t="shared" ca="1" si="329"/>
        <v/>
      </c>
      <c r="V35" s="2151" t="str">
        <f t="shared" ca="1" si="330"/>
        <v/>
      </c>
      <c r="W35" s="2142" t="str">
        <f t="shared" ca="1" si="217"/>
        <v/>
      </c>
      <c r="X35" s="2161"/>
      <c r="Y35" s="2162"/>
      <c r="Z35" s="2143"/>
      <c r="AA35" s="2144" t="str">
        <f ca="1">IF('25 Sollumsatz nach Monaten'!R38=0,"",'25 Sollumsatz nach Monaten'!R38)</f>
        <v/>
      </c>
      <c r="AB35" s="2145" t="str">
        <f t="shared" ca="1" si="331"/>
        <v/>
      </c>
      <c r="AC35" s="2146" t="str">
        <f t="shared" ca="1" si="332"/>
        <v/>
      </c>
      <c r="AD35" s="2147"/>
      <c r="AE35" s="2144" t="str">
        <f ca="1">IF('25 Sollumsatz nach Monaten'!S38=0,"",'25 Sollumsatz nach Monaten'!S38)</f>
        <v/>
      </c>
      <c r="AF35" s="2145" t="str">
        <f t="shared" ca="1" si="333"/>
        <v/>
      </c>
      <c r="AG35" s="2158" t="str">
        <f t="shared" ca="1" si="334"/>
        <v/>
      </c>
      <c r="AH35" s="2148" t="str">
        <f t="shared" ca="1" si="218"/>
        <v/>
      </c>
      <c r="AI35" s="2161"/>
      <c r="AJ35" s="2162"/>
      <c r="AK35" s="2143"/>
      <c r="AL35" s="2149" t="str">
        <f ca="1">IF('25 Sollumsatz nach Monaten'!X38=0,"",'25 Sollumsatz nach Monaten'!X38)</f>
        <v/>
      </c>
      <c r="AM35" s="2150" t="str">
        <f t="shared" ca="1" si="335"/>
        <v/>
      </c>
      <c r="AN35" s="2151" t="str">
        <f t="shared" ca="1" si="336"/>
        <v/>
      </c>
      <c r="AO35" s="2143"/>
      <c r="AP35" s="2149" t="str">
        <f ca="1">IF('25 Sollumsatz nach Monaten'!Y38=0,"",'25 Sollumsatz nach Monaten'!Y38)</f>
        <v/>
      </c>
      <c r="AQ35" s="2150" t="str">
        <f t="shared" ca="1" si="337"/>
        <v/>
      </c>
      <c r="AR35" s="2151" t="str">
        <f t="shared" ca="1" si="338"/>
        <v/>
      </c>
      <c r="AS35" s="2142" t="str">
        <f t="shared" ca="1" si="219"/>
        <v/>
      </c>
      <c r="AT35" s="2161"/>
      <c r="AU35" s="2162"/>
      <c r="AV35" s="2143"/>
      <c r="AW35" s="2144" t="str">
        <f ca="1">IF('25 Sollumsatz nach Monaten'!AD38=0,"",'25 Sollumsatz nach Monaten'!AD38)</f>
        <v/>
      </c>
      <c r="AX35" s="2145" t="str">
        <f t="shared" ca="1" si="339"/>
        <v/>
      </c>
      <c r="AY35" s="2146" t="str">
        <f t="shared" ca="1" si="340"/>
        <v/>
      </c>
      <c r="AZ35" s="2143"/>
      <c r="BA35" s="2144" t="str">
        <f ca="1">IF('25 Sollumsatz nach Monaten'!AE38=0,"",'25 Sollumsatz nach Monaten'!AE38)</f>
        <v/>
      </c>
      <c r="BB35" s="2145" t="str">
        <f t="shared" ca="1" si="341"/>
        <v/>
      </c>
      <c r="BC35" s="2158" t="str">
        <f t="shared" ca="1" si="342"/>
        <v/>
      </c>
      <c r="BD35" s="2148" t="str">
        <f t="shared" ca="1" si="220"/>
        <v/>
      </c>
      <c r="BE35" s="2161"/>
      <c r="BF35" s="2162"/>
      <c r="BG35" s="2143"/>
      <c r="BH35" s="2149" t="str">
        <f ca="1">IF('25 Sollumsatz nach Monaten'!AJ38=0,"",'25 Sollumsatz nach Monaten'!AJ38)</f>
        <v/>
      </c>
      <c r="BI35" s="2150" t="str">
        <f t="shared" ca="1" si="343"/>
        <v/>
      </c>
      <c r="BJ35" s="2151" t="str">
        <f t="shared" ca="1" si="344"/>
        <v/>
      </c>
      <c r="BK35" s="2143"/>
      <c r="BL35" s="2149" t="str">
        <f ca="1">IF('25 Sollumsatz nach Monaten'!AK38=0,"",'25 Sollumsatz nach Monaten'!AK38)</f>
        <v/>
      </c>
      <c r="BM35" s="2150" t="str">
        <f t="shared" ca="1" si="345"/>
        <v/>
      </c>
      <c r="BN35" s="2151" t="str">
        <f t="shared" ca="1" si="346"/>
        <v/>
      </c>
      <c r="BO35" s="2142" t="str">
        <f t="shared" ca="1" si="221"/>
        <v/>
      </c>
      <c r="BP35" s="2161"/>
      <c r="BQ35" s="2162"/>
      <c r="BR35" s="2143"/>
      <c r="BS35" s="2144" t="str">
        <f ca="1">IF('25 Sollumsatz nach Monaten'!AP38=0,"",'25 Sollumsatz nach Monaten'!AP38)</f>
        <v/>
      </c>
      <c r="BT35" s="2145" t="str">
        <f t="shared" ca="1" si="347"/>
        <v/>
      </c>
      <c r="BU35" s="2146" t="str">
        <f t="shared" ca="1" si="348"/>
        <v/>
      </c>
      <c r="BV35" s="2143"/>
      <c r="BW35" s="2144" t="str">
        <f ca="1">IF('25 Sollumsatz nach Monaten'!AQ38=0,"",'25 Sollumsatz nach Monaten'!AQ38)</f>
        <v/>
      </c>
      <c r="BX35" s="2145" t="str">
        <f t="shared" ca="1" si="349"/>
        <v/>
      </c>
      <c r="BY35" s="2158" t="str">
        <f t="shared" ca="1" si="350"/>
        <v/>
      </c>
      <c r="BZ35" s="2148" t="str">
        <f t="shared" ca="1" si="222"/>
        <v/>
      </c>
      <c r="CA35" s="2161"/>
      <c r="CB35" s="2162"/>
      <c r="CC35" s="2143"/>
      <c r="CD35" s="2149" t="str">
        <f ca="1">IF('25 Sollumsatz nach Monaten'!AV38=0,"",'25 Sollumsatz nach Monaten'!AV38)</f>
        <v/>
      </c>
      <c r="CE35" s="2150" t="str">
        <f t="shared" ca="1" si="351"/>
        <v/>
      </c>
      <c r="CF35" s="2151" t="str">
        <f t="shared" ca="1" si="352"/>
        <v/>
      </c>
      <c r="CG35" s="2143"/>
      <c r="CH35" s="2149" t="str">
        <f ca="1">IF('25 Sollumsatz nach Monaten'!AW38=0,"",'25 Sollumsatz nach Monaten'!AW38)</f>
        <v/>
      </c>
      <c r="CI35" s="2150" t="str">
        <f t="shared" ca="1" si="353"/>
        <v/>
      </c>
      <c r="CJ35" s="2151" t="str">
        <f t="shared" ca="1" si="354"/>
        <v/>
      </c>
      <c r="CK35" s="2142" t="str">
        <f t="shared" ca="1" si="223"/>
        <v/>
      </c>
      <c r="CL35" s="2161"/>
      <c r="CM35" s="2162"/>
      <c r="CN35" s="2143"/>
      <c r="CO35" s="2144" t="str">
        <f ca="1">IF('25 Sollumsatz nach Monaten'!BB38=0,"",'25 Sollumsatz nach Monaten'!BB38)</f>
        <v/>
      </c>
      <c r="CP35" s="2145" t="str">
        <f t="shared" ca="1" si="355"/>
        <v/>
      </c>
      <c r="CQ35" s="2146" t="str">
        <f t="shared" ca="1" si="356"/>
        <v/>
      </c>
      <c r="CR35" s="2143"/>
      <c r="CS35" s="2144" t="str">
        <f ca="1">IF('25 Sollumsatz nach Monaten'!BC38=0,"",'25 Sollumsatz nach Monaten'!BC38)</f>
        <v/>
      </c>
      <c r="CT35" s="2145" t="str">
        <f t="shared" ca="1" si="357"/>
        <v/>
      </c>
      <c r="CU35" s="2158" t="str">
        <f t="shared" ca="1" si="358"/>
        <v/>
      </c>
      <c r="CV35" s="2148" t="str">
        <f t="shared" ca="1" si="224"/>
        <v/>
      </c>
      <c r="CW35" s="2161"/>
      <c r="CX35" s="2162"/>
      <c r="CY35" s="2143"/>
      <c r="CZ35" s="2149" t="str">
        <f ca="1">IF('25 Sollumsatz nach Monaten'!BH38=0,"",'25 Sollumsatz nach Monaten'!BH38)</f>
        <v/>
      </c>
      <c r="DA35" s="2150" t="str">
        <f t="shared" ca="1" si="359"/>
        <v/>
      </c>
      <c r="DB35" s="2151" t="str">
        <f t="shared" ca="1" si="360"/>
        <v/>
      </c>
      <c r="DC35" s="2143"/>
      <c r="DD35" s="2149" t="str">
        <f ca="1">IF('25 Sollumsatz nach Monaten'!BI38=0,"",'25 Sollumsatz nach Monaten'!BI38)</f>
        <v/>
      </c>
      <c r="DE35" s="2150" t="str">
        <f t="shared" ca="1" si="361"/>
        <v/>
      </c>
      <c r="DF35" s="2151" t="str">
        <f t="shared" ca="1" si="362"/>
        <v/>
      </c>
      <c r="DG35" s="2142" t="str">
        <f t="shared" ca="1" si="225"/>
        <v/>
      </c>
      <c r="DH35" s="2161"/>
      <c r="DI35" s="2162"/>
      <c r="DJ35" s="2143"/>
      <c r="DK35" s="2144" t="str">
        <f ca="1">IF('25 Sollumsatz nach Monaten'!BN38=0,"",'25 Sollumsatz nach Monaten'!BN38)</f>
        <v/>
      </c>
      <c r="DL35" s="2145" t="str">
        <f t="shared" ca="1" si="363"/>
        <v/>
      </c>
      <c r="DM35" s="2146" t="str">
        <f t="shared" ca="1" si="364"/>
        <v/>
      </c>
      <c r="DN35" s="2143"/>
      <c r="DO35" s="2144" t="str">
        <f ca="1">IF('25 Sollumsatz nach Monaten'!BO38=0,"",'25 Sollumsatz nach Monaten'!BO38)</f>
        <v/>
      </c>
      <c r="DP35" s="2145" t="str">
        <f t="shared" ca="1" si="365"/>
        <v/>
      </c>
      <c r="DQ35" s="2158" t="str">
        <f t="shared" ca="1" si="366"/>
        <v/>
      </c>
      <c r="DR35" s="2148" t="str">
        <f t="shared" ca="1" si="226"/>
        <v/>
      </c>
      <c r="DS35" s="2161"/>
      <c r="DT35" s="2162"/>
      <c r="DU35" s="2143"/>
      <c r="DV35" s="2149" t="str">
        <f ca="1">IF('25 Sollumsatz nach Monaten'!BT38=0,"",'25 Sollumsatz nach Monaten'!BT38)</f>
        <v/>
      </c>
      <c r="DW35" s="2150" t="str">
        <f t="shared" ca="1" si="367"/>
        <v/>
      </c>
      <c r="DX35" s="2151" t="str">
        <f t="shared" ca="1" si="368"/>
        <v/>
      </c>
      <c r="DY35" s="2143"/>
      <c r="DZ35" s="2149" t="str">
        <f ca="1">IF('25 Sollumsatz nach Monaten'!BU38=0,"",'25 Sollumsatz nach Monaten'!BU38)</f>
        <v/>
      </c>
      <c r="EA35" s="2150" t="str">
        <f t="shared" ca="1" si="369"/>
        <v/>
      </c>
      <c r="EB35" s="2151" t="str">
        <f t="shared" ca="1" si="370"/>
        <v/>
      </c>
      <c r="EC35" s="2152" t="str">
        <f t="shared" ca="1" si="227"/>
        <v/>
      </c>
      <c r="ED35" s="2280" t="str">
        <f t="shared" ca="1" si="371"/>
        <v/>
      </c>
      <c r="EE35" s="2153" t="str">
        <f t="shared" ca="1" si="372"/>
        <v/>
      </c>
      <c r="EF35" s="2154" t="str">
        <f t="shared" ca="1" si="373"/>
        <v/>
      </c>
      <c r="EG35" s="2155" t="str">
        <f t="shared" ca="1" si="275"/>
        <v/>
      </c>
      <c r="EH35" s="2282" t="str">
        <f t="shared" ca="1" si="374"/>
        <v/>
      </c>
      <c r="EI35" s="2153" t="str">
        <f t="shared" ca="1" si="375"/>
        <v/>
      </c>
      <c r="EJ35" s="2154" t="str">
        <f t="shared" ca="1" si="376"/>
        <v/>
      </c>
      <c r="EK35" s="2155" t="str">
        <f t="shared" ca="1" si="377"/>
        <v/>
      </c>
      <c r="EL35" s="2160" t="str">
        <f t="shared" ca="1" si="378"/>
        <v/>
      </c>
      <c r="EM35" s="2160" t="str">
        <f t="shared" ca="1" si="379"/>
        <v/>
      </c>
      <c r="EN35" s="2160" t="str">
        <f t="shared" ca="1" si="380"/>
        <v/>
      </c>
      <c r="EO35" s="2152" t="str">
        <f t="shared" ca="1" si="237"/>
        <v/>
      </c>
      <c r="EP35" s="2312" t="str">
        <f ca="1">IF('25 Sollumsatz nach Monaten'!BV38="","",SUM(EQ35:ER35))</f>
        <v/>
      </c>
      <c r="EQ35" s="2312" t="str">
        <f ca="1">IF('25 Sollumsatz nach Monaten'!BV38="","",ED35/'25 Sollumsatz nach Monaten'!BV38)</f>
        <v/>
      </c>
      <c r="ER35" s="2312" t="str">
        <f ca="1">IF('25 Sollumsatz nach Monaten'!BV38="","",EH35/'25 Sollumsatz nach Monaten'!BV38)</f>
        <v/>
      </c>
      <c r="EY35" s="2248"/>
      <c r="EZ35" s="2249"/>
      <c r="FA35" s="2250"/>
      <c r="FB35" s="2251" t="str">
        <f t="shared" si="381"/>
        <v/>
      </c>
      <c r="FC35" s="2252"/>
      <c r="FD35" s="2253"/>
      <c r="FE35" s="2251" t="str">
        <f t="shared" ca="1" si="382"/>
        <v/>
      </c>
      <c r="FF35" s="2254"/>
      <c r="FG35" s="2252"/>
      <c r="FH35" s="2253"/>
      <c r="FI35" s="2251" t="str">
        <f t="shared" ca="1" si="383"/>
        <v/>
      </c>
      <c r="FJ35" s="2248"/>
      <c r="FK35" s="2249"/>
      <c r="FL35" s="2250"/>
      <c r="FM35" s="2251" t="str">
        <f t="shared" si="384"/>
        <v/>
      </c>
      <c r="FN35" s="2252"/>
      <c r="FO35" s="2253"/>
      <c r="FP35" s="2251" t="str">
        <f t="shared" ca="1" si="385"/>
        <v/>
      </c>
      <c r="FQ35" s="2254"/>
      <c r="FR35" s="2252"/>
      <c r="FS35" s="2253"/>
      <c r="FT35" s="2251" t="str">
        <f t="shared" ca="1" si="386"/>
        <v/>
      </c>
      <c r="FU35" s="2248"/>
      <c r="FV35" s="2249"/>
      <c r="FW35" s="2250"/>
      <c r="FX35" s="2251" t="str">
        <f t="shared" si="387"/>
        <v/>
      </c>
      <c r="FY35" s="2252"/>
      <c r="FZ35" s="2253"/>
      <c r="GA35" s="2251" t="str">
        <f t="shared" ca="1" si="388"/>
        <v/>
      </c>
      <c r="GB35" s="2254"/>
      <c r="GC35" s="2252"/>
      <c r="GD35" s="2253"/>
      <c r="GE35" s="2251" t="str">
        <f t="shared" ca="1" si="389"/>
        <v/>
      </c>
      <c r="GF35" s="2248"/>
      <c r="GG35" s="2249"/>
      <c r="GH35" s="2250"/>
      <c r="GI35" s="2251" t="str">
        <f t="shared" si="390"/>
        <v/>
      </c>
      <c r="GJ35" s="2252"/>
      <c r="GK35" s="2253"/>
      <c r="GL35" s="2251" t="str">
        <f t="shared" ca="1" si="391"/>
        <v/>
      </c>
      <c r="GM35" s="2254"/>
      <c r="GN35" s="2252"/>
      <c r="GO35" s="2253"/>
      <c r="GP35" s="2251" t="str">
        <f t="shared" ca="1" si="392"/>
        <v/>
      </c>
      <c r="GQ35" s="2248"/>
      <c r="GR35" s="2249"/>
      <c r="GS35" s="2250"/>
      <c r="GT35" s="2251" t="str">
        <f t="shared" si="393"/>
        <v/>
      </c>
      <c r="GU35" s="2252"/>
      <c r="GV35" s="2253"/>
      <c r="GW35" s="2251" t="str">
        <f t="shared" ca="1" si="394"/>
        <v/>
      </c>
      <c r="GX35" s="2254"/>
      <c r="GY35" s="2252"/>
      <c r="GZ35" s="2253"/>
      <c r="HA35" s="2251" t="str">
        <f t="shared" ca="1" si="395"/>
        <v/>
      </c>
      <c r="HB35" s="2248"/>
      <c r="HC35" s="2249"/>
      <c r="HD35" s="2250"/>
      <c r="HE35" s="2251" t="str">
        <f t="shared" si="396"/>
        <v/>
      </c>
      <c r="HF35" s="2252"/>
      <c r="HG35" s="2253"/>
      <c r="HH35" s="2251" t="str">
        <f t="shared" ca="1" si="397"/>
        <v/>
      </c>
      <c r="HI35" s="2254"/>
      <c r="HJ35" s="2252"/>
      <c r="HK35" s="2253"/>
      <c r="HL35" s="2251" t="str">
        <f t="shared" ca="1" si="398"/>
        <v/>
      </c>
      <c r="HM35" s="2248"/>
      <c r="HN35" s="2249"/>
      <c r="HO35" s="2250"/>
      <c r="HP35" s="2251" t="str">
        <f t="shared" si="399"/>
        <v/>
      </c>
      <c r="HQ35" s="2252"/>
      <c r="HR35" s="2253"/>
      <c r="HS35" s="2251" t="str">
        <f t="shared" ca="1" si="400"/>
        <v/>
      </c>
      <c r="HT35" s="2254"/>
      <c r="HU35" s="2252"/>
      <c r="HV35" s="2253"/>
      <c r="HW35" s="2251" t="str">
        <f t="shared" ca="1" si="401"/>
        <v/>
      </c>
      <c r="HX35" s="2248"/>
      <c r="HY35" s="2249"/>
      <c r="HZ35" s="2250"/>
      <c r="IA35" s="2251" t="str">
        <f t="shared" si="402"/>
        <v/>
      </c>
      <c r="IB35" s="2252"/>
      <c r="IC35" s="2253"/>
      <c r="ID35" s="2251" t="str">
        <f t="shared" ca="1" si="403"/>
        <v/>
      </c>
      <c r="IE35" s="2254"/>
      <c r="IF35" s="2252"/>
      <c r="IG35" s="2253"/>
      <c r="IH35" s="2251" t="str">
        <f t="shared" ca="1" si="404"/>
        <v/>
      </c>
      <c r="II35" s="2248"/>
      <c r="IJ35" s="2249"/>
      <c r="IK35" s="2250"/>
      <c r="IL35" s="2251" t="str">
        <f t="shared" si="405"/>
        <v/>
      </c>
      <c r="IM35" s="2252"/>
      <c r="IN35" s="2253"/>
      <c r="IO35" s="2251" t="str">
        <f t="shared" ca="1" si="406"/>
        <v/>
      </c>
      <c r="IP35" s="2254"/>
      <c r="IQ35" s="2252"/>
      <c r="IR35" s="2253"/>
      <c r="IS35" s="2251" t="str">
        <f t="shared" ca="1" si="407"/>
        <v/>
      </c>
      <c r="IT35" s="2248"/>
      <c r="IU35" s="2249"/>
      <c r="IV35" s="2250"/>
      <c r="IW35" s="2251" t="str">
        <f t="shared" si="408"/>
        <v/>
      </c>
      <c r="IX35" s="2252"/>
      <c r="IY35" s="2253"/>
      <c r="IZ35" s="2251" t="str">
        <f t="shared" ca="1" si="409"/>
        <v/>
      </c>
      <c r="JA35" s="2254"/>
      <c r="JB35" s="2252"/>
      <c r="JC35" s="2253"/>
      <c r="JD35" s="2251" t="str">
        <f t="shared" ca="1" si="410"/>
        <v/>
      </c>
      <c r="JE35" s="2248"/>
      <c r="JF35" s="2249"/>
      <c r="JG35" s="2250"/>
      <c r="JH35" s="2251" t="str">
        <f t="shared" si="411"/>
        <v/>
      </c>
      <c r="JI35" s="2252"/>
      <c r="JJ35" s="2253"/>
      <c r="JK35" s="2251" t="str">
        <f t="shared" ca="1" si="412"/>
        <v/>
      </c>
      <c r="JL35" s="2254"/>
      <c r="JM35" s="2252"/>
      <c r="JN35" s="2253"/>
      <c r="JO35" s="2251" t="str">
        <f t="shared" ca="1" si="413"/>
        <v/>
      </c>
      <c r="JP35" s="2248"/>
      <c r="JQ35" s="2249"/>
      <c r="JR35" s="2250"/>
      <c r="JS35" s="2251" t="str">
        <f t="shared" si="414"/>
        <v/>
      </c>
      <c r="JT35" s="2252"/>
      <c r="JU35" s="2253"/>
      <c r="JV35" s="2251" t="str">
        <f t="shared" ca="1" si="415"/>
        <v/>
      </c>
      <c r="JW35" s="2254"/>
      <c r="JX35" s="2252"/>
      <c r="JY35" s="2253"/>
      <c r="JZ35" s="2251" t="str">
        <f t="shared" ca="1" si="416"/>
        <v/>
      </c>
      <c r="KA35" s="2231"/>
    </row>
    <row r="36" spans="1:287" s="2156" customFormat="1" ht="18" customHeight="1">
      <c r="A36" s="2142" t="str">
        <f ca="1">IF('22 Sollumsatz pro MA '!$A39="","",'22 Sollumsatz pro MA '!$A39)</f>
        <v/>
      </c>
      <c r="B36" s="2161"/>
      <c r="C36" s="2162"/>
      <c r="D36" s="2143"/>
      <c r="E36" s="2144" t="str">
        <f ca="1">IF('25 Sollumsatz nach Monaten'!F39=0,"",'25 Sollumsatz nach Monaten'!F39)</f>
        <v/>
      </c>
      <c r="F36" s="2145" t="str">
        <f t="shared" ca="1" si="323"/>
        <v/>
      </c>
      <c r="G36" s="2146" t="str">
        <f t="shared" ca="1" si="324"/>
        <v/>
      </c>
      <c r="H36" s="2143"/>
      <c r="I36" s="2144" t="str">
        <f ca="1">IF('25 Sollumsatz nach Monaten'!G39=0,"",'25 Sollumsatz nach Monaten'!G39)</f>
        <v/>
      </c>
      <c r="J36" s="2145" t="str">
        <f t="shared" ca="1" si="325"/>
        <v/>
      </c>
      <c r="K36" s="2158" t="str">
        <f t="shared" ca="1" si="326"/>
        <v/>
      </c>
      <c r="L36" s="2148" t="str">
        <f t="shared" ca="1" si="216"/>
        <v/>
      </c>
      <c r="M36" s="2161"/>
      <c r="N36" s="2162"/>
      <c r="O36" s="2143"/>
      <c r="P36" s="2149" t="str">
        <f ca="1">IF('25 Sollumsatz nach Monaten'!L39=0,"",'25 Sollumsatz nach Monaten'!L39)</f>
        <v/>
      </c>
      <c r="Q36" s="2150" t="str">
        <f t="shared" ca="1" si="327"/>
        <v/>
      </c>
      <c r="R36" s="2151" t="str">
        <f t="shared" ca="1" si="328"/>
        <v/>
      </c>
      <c r="S36" s="2143"/>
      <c r="T36" s="2149" t="str">
        <f ca="1">IF('25 Sollumsatz nach Monaten'!M39=0,"",'25 Sollumsatz nach Monaten'!M39)</f>
        <v/>
      </c>
      <c r="U36" s="2150" t="str">
        <f t="shared" ca="1" si="329"/>
        <v/>
      </c>
      <c r="V36" s="2151" t="str">
        <f t="shared" ca="1" si="330"/>
        <v/>
      </c>
      <c r="W36" s="2142" t="str">
        <f t="shared" ca="1" si="217"/>
        <v/>
      </c>
      <c r="X36" s="2161"/>
      <c r="Y36" s="2162"/>
      <c r="Z36" s="2143"/>
      <c r="AA36" s="2144" t="str">
        <f ca="1">IF('25 Sollumsatz nach Monaten'!R39=0,"",'25 Sollumsatz nach Monaten'!R39)</f>
        <v/>
      </c>
      <c r="AB36" s="2145" t="str">
        <f t="shared" ca="1" si="331"/>
        <v/>
      </c>
      <c r="AC36" s="2146" t="str">
        <f t="shared" ca="1" si="332"/>
        <v/>
      </c>
      <c r="AD36" s="2147"/>
      <c r="AE36" s="2144" t="str">
        <f ca="1">IF('25 Sollumsatz nach Monaten'!S39=0,"",'25 Sollumsatz nach Monaten'!S39)</f>
        <v/>
      </c>
      <c r="AF36" s="2145" t="str">
        <f t="shared" ca="1" si="333"/>
        <v/>
      </c>
      <c r="AG36" s="2158" t="str">
        <f t="shared" ca="1" si="334"/>
        <v/>
      </c>
      <c r="AH36" s="2148" t="str">
        <f t="shared" ca="1" si="218"/>
        <v/>
      </c>
      <c r="AI36" s="2161"/>
      <c r="AJ36" s="2162"/>
      <c r="AK36" s="2143"/>
      <c r="AL36" s="2149" t="str">
        <f ca="1">IF('25 Sollumsatz nach Monaten'!X39=0,"",'25 Sollumsatz nach Monaten'!X39)</f>
        <v/>
      </c>
      <c r="AM36" s="2150" t="str">
        <f t="shared" ca="1" si="335"/>
        <v/>
      </c>
      <c r="AN36" s="2151" t="str">
        <f t="shared" ca="1" si="336"/>
        <v/>
      </c>
      <c r="AO36" s="2143"/>
      <c r="AP36" s="2149" t="str">
        <f ca="1">IF('25 Sollumsatz nach Monaten'!Y39=0,"",'25 Sollumsatz nach Monaten'!Y39)</f>
        <v/>
      </c>
      <c r="AQ36" s="2150" t="str">
        <f t="shared" ca="1" si="337"/>
        <v/>
      </c>
      <c r="AR36" s="2151" t="str">
        <f t="shared" ca="1" si="338"/>
        <v/>
      </c>
      <c r="AS36" s="2142" t="str">
        <f t="shared" ca="1" si="219"/>
        <v/>
      </c>
      <c r="AT36" s="2161"/>
      <c r="AU36" s="2162"/>
      <c r="AV36" s="2143"/>
      <c r="AW36" s="2144" t="str">
        <f ca="1">IF('25 Sollumsatz nach Monaten'!AD39=0,"",'25 Sollumsatz nach Monaten'!AD39)</f>
        <v/>
      </c>
      <c r="AX36" s="2145" t="str">
        <f t="shared" ca="1" si="339"/>
        <v/>
      </c>
      <c r="AY36" s="2146" t="str">
        <f t="shared" ca="1" si="340"/>
        <v/>
      </c>
      <c r="AZ36" s="2143"/>
      <c r="BA36" s="2144" t="str">
        <f ca="1">IF('25 Sollumsatz nach Monaten'!AE39=0,"",'25 Sollumsatz nach Monaten'!AE39)</f>
        <v/>
      </c>
      <c r="BB36" s="2145" t="str">
        <f t="shared" ca="1" si="341"/>
        <v/>
      </c>
      <c r="BC36" s="2158" t="str">
        <f t="shared" ca="1" si="342"/>
        <v/>
      </c>
      <c r="BD36" s="2148" t="str">
        <f t="shared" ca="1" si="220"/>
        <v/>
      </c>
      <c r="BE36" s="2161"/>
      <c r="BF36" s="2162"/>
      <c r="BG36" s="2143"/>
      <c r="BH36" s="2149" t="str">
        <f ca="1">IF('25 Sollumsatz nach Monaten'!AJ39=0,"",'25 Sollumsatz nach Monaten'!AJ39)</f>
        <v/>
      </c>
      <c r="BI36" s="2150" t="str">
        <f t="shared" ca="1" si="343"/>
        <v/>
      </c>
      <c r="BJ36" s="2151" t="str">
        <f t="shared" ca="1" si="344"/>
        <v/>
      </c>
      <c r="BK36" s="2143"/>
      <c r="BL36" s="2149" t="str">
        <f ca="1">IF('25 Sollumsatz nach Monaten'!AK39=0,"",'25 Sollumsatz nach Monaten'!AK39)</f>
        <v/>
      </c>
      <c r="BM36" s="2150" t="str">
        <f t="shared" ca="1" si="345"/>
        <v/>
      </c>
      <c r="BN36" s="2151" t="str">
        <f t="shared" ca="1" si="346"/>
        <v/>
      </c>
      <c r="BO36" s="2142" t="str">
        <f t="shared" ca="1" si="221"/>
        <v/>
      </c>
      <c r="BP36" s="2161"/>
      <c r="BQ36" s="2162"/>
      <c r="BR36" s="2143"/>
      <c r="BS36" s="2144" t="str">
        <f ca="1">IF('25 Sollumsatz nach Monaten'!AP39=0,"",'25 Sollumsatz nach Monaten'!AP39)</f>
        <v/>
      </c>
      <c r="BT36" s="2145" t="str">
        <f t="shared" ca="1" si="347"/>
        <v/>
      </c>
      <c r="BU36" s="2146" t="str">
        <f t="shared" ca="1" si="348"/>
        <v/>
      </c>
      <c r="BV36" s="2143"/>
      <c r="BW36" s="2144" t="str">
        <f ca="1">IF('25 Sollumsatz nach Monaten'!AQ39=0,"",'25 Sollumsatz nach Monaten'!AQ39)</f>
        <v/>
      </c>
      <c r="BX36" s="2145" t="str">
        <f t="shared" ca="1" si="349"/>
        <v/>
      </c>
      <c r="BY36" s="2158" t="str">
        <f t="shared" ca="1" si="350"/>
        <v/>
      </c>
      <c r="BZ36" s="2148" t="str">
        <f t="shared" ca="1" si="222"/>
        <v/>
      </c>
      <c r="CA36" s="2161"/>
      <c r="CB36" s="2162"/>
      <c r="CC36" s="2143"/>
      <c r="CD36" s="2149" t="str">
        <f ca="1">IF('25 Sollumsatz nach Monaten'!AV39=0,"",'25 Sollumsatz nach Monaten'!AV39)</f>
        <v/>
      </c>
      <c r="CE36" s="2150" t="str">
        <f t="shared" ca="1" si="351"/>
        <v/>
      </c>
      <c r="CF36" s="2151" t="str">
        <f t="shared" ca="1" si="352"/>
        <v/>
      </c>
      <c r="CG36" s="2143"/>
      <c r="CH36" s="2149" t="str">
        <f ca="1">IF('25 Sollumsatz nach Monaten'!AW39=0,"",'25 Sollumsatz nach Monaten'!AW39)</f>
        <v/>
      </c>
      <c r="CI36" s="2150" t="str">
        <f t="shared" ca="1" si="353"/>
        <v/>
      </c>
      <c r="CJ36" s="2151" t="str">
        <f t="shared" ca="1" si="354"/>
        <v/>
      </c>
      <c r="CK36" s="2142" t="str">
        <f t="shared" ca="1" si="223"/>
        <v/>
      </c>
      <c r="CL36" s="2161"/>
      <c r="CM36" s="2162"/>
      <c r="CN36" s="2143"/>
      <c r="CO36" s="2144" t="str">
        <f ca="1">IF('25 Sollumsatz nach Monaten'!BB39=0,"",'25 Sollumsatz nach Monaten'!BB39)</f>
        <v/>
      </c>
      <c r="CP36" s="2145" t="str">
        <f t="shared" ca="1" si="355"/>
        <v/>
      </c>
      <c r="CQ36" s="2146" t="str">
        <f t="shared" ca="1" si="356"/>
        <v/>
      </c>
      <c r="CR36" s="2143"/>
      <c r="CS36" s="2144" t="str">
        <f ca="1">IF('25 Sollumsatz nach Monaten'!BC39=0,"",'25 Sollumsatz nach Monaten'!BC39)</f>
        <v/>
      </c>
      <c r="CT36" s="2145" t="str">
        <f t="shared" ca="1" si="357"/>
        <v/>
      </c>
      <c r="CU36" s="2158" t="str">
        <f t="shared" ca="1" si="358"/>
        <v/>
      </c>
      <c r="CV36" s="2148" t="str">
        <f t="shared" ca="1" si="224"/>
        <v/>
      </c>
      <c r="CW36" s="2161"/>
      <c r="CX36" s="2162"/>
      <c r="CY36" s="2143"/>
      <c r="CZ36" s="2149" t="str">
        <f ca="1">IF('25 Sollumsatz nach Monaten'!BH39=0,"",'25 Sollumsatz nach Monaten'!BH39)</f>
        <v/>
      </c>
      <c r="DA36" s="2150" t="str">
        <f t="shared" ca="1" si="359"/>
        <v/>
      </c>
      <c r="DB36" s="2151" t="str">
        <f t="shared" ca="1" si="360"/>
        <v/>
      </c>
      <c r="DC36" s="2143"/>
      <c r="DD36" s="2149" t="str">
        <f ca="1">IF('25 Sollumsatz nach Monaten'!BI39=0,"",'25 Sollumsatz nach Monaten'!BI39)</f>
        <v/>
      </c>
      <c r="DE36" s="2150" t="str">
        <f t="shared" ca="1" si="361"/>
        <v/>
      </c>
      <c r="DF36" s="2151" t="str">
        <f t="shared" ca="1" si="362"/>
        <v/>
      </c>
      <c r="DG36" s="2142" t="str">
        <f t="shared" ca="1" si="225"/>
        <v/>
      </c>
      <c r="DH36" s="2161"/>
      <c r="DI36" s="2162"/>
      <c r="DJ36" s="2143"/>
      <c r="DK36" s="2144" t="str">
        <f ca="1">IF('25 Sollumsatz nach Monaten'!BN39=0,"",'25 Sollumsatz nach Monaten'!BN39)</f>
        <v/>
      </c>
      <c r="DL36" s="2145" t="str">
        <f t="shared" ca="1" si="363"/>
        <v/>
      </c>
      <c r="DM36" s="2146" t="str">
        <f t="shared" ca="1" si="364"/>
        <v/>
      </c>
      <c r="DN36" s="2143"/>
      <c r="DO36" s="2144" t="str">
        <f ca="1">IF('25 Sollumsatz nach Monaten'!BO39=0,"",'25 Sollumsatz nach Monaten'!BO39)</f>
        <v/>
      </c>
      <c r="DP36" s="2145" t="str">
        <f t="shared" ca="1" si="365"/>
        <v/>
      </c>
      <c r="DQ36" s="2158" t="str">
        <f t="shared" ca="1" si="366"/>
        <v/>
      </c>
      <c r="DR36" s="2148" t="str">
        <f t="shared" ca="1" si="226"/>
        <v/>
      </c>
      <c r="DS36" s="2161"/>
      <c r="DT36" s="2162"/>
      <c r="DU36" s="2143"/>
      <c r="DV36" s="2149" t="str">
        <f ca="1">IF('25 Sollumsatz nach Monaten'!BT39=0,"",'25 Sollumsatz nach Monaten'!BT39)</f>
        <v/>
      </c>
      <c r="DW36" s="2150" t="str">
        <f t="shared" ca="1" si="367"/>
        <v/>
      </c>
      <c r="DX36" s="2151" t="str">
        <f t="shared" ca="1" si="368"/>
        <v/>
      </c>
      <c r="DY36" s="2143"/>
      <c r="DZ36" s="2149" t="str">
        <f ca="1">IF('25 Sollumsatz nach Monaten'!BU39=0,"",'25 Sollumsatz nach Monaten'!BU39)</f>
        <v/>
      </c>
      <c r="EA36" s="2150" t="str">
        <f t="shared" ca="1" si="369"/>
        <v/>
      </c>
      <c r="EB36" s="2151" t="str">
        <f t="shared" ca="1" si="370"/>
        <v/>
      </c>
      <c r="EC36" s="2152" t="str">
        <f t="shared" ca="1" si="227"/>
        <v/>
      </c>
      <c r="ED36" s="2280" t="str">
        <f t="shared" ca="1" si="371"/>
        <v/>
      </c>
      <c r="EE36" s="2153" t="str">
        <f t="shared" ca="1" si="372"/>
        <v/>
      </c>
      <c r="EF36" s="2154" t="str">
        <f t="shared" ca="1" si="373"/>
        <v/>
      </c>
      <c r="EG36" s="2155" t="str">
        <f t="shared" ca="1" si="275"/>
        <v/>
      </c>
      <c r="EH36" s="2282" t="str">
        <f t="shared" ca="1" si="374"/>
        <v/>
      </c>
      <c r="EI36" s="2153" t="str">
        <f t="shared" ca="1" si="375"/>
        <v/>
      </c>
      <c r="EJ36" s="2154" t="str">
        <f t="shared" ca="1" si="376"/>
        <v/>
      </c>
      <c r="EK36" s="2155" t="str">
        <f t="shared" ca="1" si="377"/>
        <v/>
      </c>
      <c r="EL36" s="2160" t="str">
        <f t="shared" ca="1" si="378"/>
        <v/>
      </c>
      <c r="EM36" s="2160" t="str">
        <f t="shared" ca="1" si="379"/>
        <v/>
      </c>
      <c r="EN36" s="2160" t="str">
        <f t="shared" ca="1" si="380"/>
        <v/>
      </c>
      <c r="EO36" s="2152" t="str">
        <f t="shared" ca="1" si="237"/>
        <v/>
      </c>
      <c r="EP36" s="2312" t="str">
        <f ca="1">IF('25 Sollumsatz nach Monaten'!BV39="","",SUM(EQ36:ER36))</f>
        <v/>
      </c>
      <c r="EQ36" s="2312" t="str">
        <f ca="1">IF('25 Sollumsatz nach Monaten'!BV39="","",ED36/'25 Sollumsatz nach Monaten'!BV39)</f>
        <v/>
      </c>
      <c r="ER36" s="2312" t="str">
        <f ca="1">IF('25 Sollumsatz nach Monaten'!BV39="","",EH36/'25 Sollumsatz nach Monaten'!BV39)</f>
        <v/>
      </c>
      <c r="EY36" s="2248"/>
      <c r="EZ36" s="2249"/>
      <c r="FA36" s="2250"/>
      <c r="FB36" s="2251" t="str">
        <f t="shared" si="381"/>
        <v/>
      </c>
      <c r="FC36" s="2252"/>
      <c r="FD36" s="2253"/>
      <c r="FE36" s="2251" t="str">
        <f t="shared" ca="1" si="382"/>
        <v/>
      </c>
      <c r="FF36" s="2254"/>
      <c r="FG36" s="2252"/>
      <c r="FH36" s="2253"/>
      <c r="FI36" s="2251" t="str">
        <f t="shared" ca="1" si="383"/>
        <v/>
      </c>
      <c r="FJ36" s="2248"/>
      <c r="FK36" s="2249"/>
      <c r="FL36" s="2250"/>
      <c r="FM36" s="2251" t="str">
        <f t="shared" si="384"/>
        <v/>
      </c>
      <c r="FN36" s="2252"/>
      <c r="FO36" s="2253"/>
      <c r="FP36" s="2251" t="str">
        <f t="shared" ca="1" si="385"/>
        <v/>
      </c>
      <c r="FQ36" s="2254"/>
      <c r="FR36" s="2252"/>
      <c r="FS36" s="2253"/>
      <c r="FT36" s="2251" t="str">
        <f t="shared" ca="1" si="386"/>
        <v/>
      </c>
      <c r="FU36" s="2248"/>
      <c r="FV36" s="2249"/>
      <c r="FW36" s="2250"/>
      <c r="FX36" s="2251" t="str">
        <f t="shared" si="387"/>
        <v/>
      </c>
      <c r="FY36" s="2252"/>
      <c r="FZ36" s="2253"/>
      <c r="GA36" s="2251" t="str">
        <f t="shared" ca="1" si="388"/>
        <v/>
      </c>
      <c r="GB36" s="2254"/>
      <c r="GC36" s="2252"/>
      <c r="GD36" s="2253"/>
      <c r="GE36" s="2251" t="str">
        <f t="shared" ca="1" si="389"/>
        <v/>
      </c>
      <c r="GF36" s="2248"/>
      <c r="GG36" s="2249"/>
      <c r="GH36" s="2250"/>
      <c r="GI36" s="2251" t="str">
        <f t="shared" si="390"/>
        <v/>
      </c>
      <c r="GJ36" s="2252"/>
      <c r="GK36" s="2253"/>
      <c r="GL36" s="2251" t="str">
        <f t="shared" ca="1" si="391"/>
        <v/>
      </c>
      <c r="GM36" s="2254"/>
      <c r="GN36" s="2252"/>
      <c r="GO36" s="2253"/>
      <c r="GP36" s="2251" t="str">
        <f t="shared" ca="1" si="392"/>
        <v/>
      </c>
      <c r="GQ36" s="2248"/>
      <c r="GR36" s="2249"/>
      <c r="GS36" s="2250"/>
      <c r="GT36" s="2251" t="str">
        <f t="shared" si="393"/>
        <v/>
      </c>
      <c r="GU36" s="2252"/>
      <c r="GV36" s="2253"/>
      <c r="GW36" s="2251" t="str">
        <f t="shared" ca="1" si="394"/>
        <v/>
      </c>
      <c r="GX36" s="2254"/>
      <c r="GY36" s="2252"/>
      <c r="GZ36" s="2253"/>
      <c r="HA36" s="2251" t="str">
        <f t="shared" ca="1" si="395"/>
        <v/>
      </c>
      <c r="HB36" s="2248"/>
      <c r="HC36" s="2249"/>
      <c r="HD36" s="2250"/>
      <c r="HE36" s="2251" t="str">
        <f t="shared" si="396"/>
        <v/>
      </c>
      <c r="HF36" s="2252"/>
      <c r="HG36" s="2253"/>
      <c r="HH36" s="2251" t="str">
        <f t="shared" ca="1" si="397"/>
        <v/>
      </c>
      <c r="HI36" s="2254"/>
      <c r="HJ36" s="2252"/>
      <c r="HK36" s="2253"/>
      <c r="HL36" s="2251" t="str">
        <f t="shared" ca="1" si="398"/>
        <v/>
      </c>
      <c r="HM36" s="2248"/>
      <c r="HN36" s="2249"/>
      <c r="HO36" s="2250"/>
      <c r="HP36" s="2251" t="str">
        <f t="shared" si="399"/>
        <v/>
      </c>
      <c r="HQ36" s="2252"/>
      <c r="HR36" s="2253"/>
      <c r="HS36" s="2251" t="str">
        <f t="shared" ca="1" si="400"/>
        <v/>
      </c>
      <c r="HT36" s="2254"/>
      <c r="HU36" s="2252"/>
      <c r="HV36" s="2253"/>
      <c r="HW36" s="2251" t="str">
        <f t="shared" ca="1" si="401"/>
        <v/>
      </c>
      <c r="HX36" s="2248"/>
      <c r="HY36" s="2249"/>
      <c r="HZ36" s="2250"/>
      <c r="IA36" s="2251" t="str">
        <f t="shared" si="402"/>
        <v/>
      </c>
      <c r="IB36" s="2252"/>
      <c r="IC36" s="2253"/>
      <c r="ID36" s="2251" t="str">
        <f t="shared" ca="1" si="403"/>
        <v/>
      </c>
      <c r="IE36" s="2254"/>
      <c r="IF36" s="2252"/>
      <c r="IG36" s="2253"/>
      <c r="IH36" s="2251" t="str">
        <f t="shared" ca="1" si="404"/>
        <v/>
      </c>
      <c r="II36" s="2248"/>
      <c r="IJ36" s="2249"/>
      <c r="IK36" s="2250"/>
      <c r="IL36" s="2251" t="str">
        <f t="shared" si="405"/>
        <v/>
      </c>
      <c r="IM36" s="2252"/>
      <c r="IN36" s="2253"/>
      <c r="IO36" s="2251" t="str">
        <f t="shared" ca="1" si="406"/>
        <v/>
      </c>
      <c r="IP36" s="2254"/>
      <c r="IQ36" s="2252"/>
      <c r="IR36" s="2253"/>
      <c r="IS36" s="2251" t="str">
        <f t="shared" ca="1" si="407"/>
        <v/>
      </c>
      <c r="IT36" s="2248"/>
      <c r="IU36" s="2249"/>
      <c r="IV36" s="2250"/>
      <c r="IW36" s="2251" t="str">
        <f t="shared" si="408"/>
        <v/>
      </c>
      <c r="IX36" s="2252"/>
      <c r="IY36" s="2253"/>
      <c r="IZ36" s="2251" t="str">
        <f t="shared" ca="1" si="409"/>
        <v/>
      </c>
      <c r="JA36" s="2254"/>
      <c r="JB36" s="2252"/>
      <c r="JC36" s="2253"/>
      <c r="JD36" s="2251" t="str">
        <f t="shared" ca="1" si="410"/>
        <v/>
      </c>
      <c r="JE36" s="2248"/>
      <c r="JF36" s="2249"/>
      <c r="JG36" s="2250"/>
      <c r="JH36" s="2251" t="str">
        <f t="shared" si="411"/>
        <v/>
      </c>
      <c r="JI36" s="2252"/>
      <c r="JJ36" s="2253"/>
      <c r="JK36" s="2251" t="str">
        <f t="shared" ca="1" si="412"/>
        <v/>
      </c>
      <c r="JL36" s="2254"/>
      <c r="JM36" s="2252"/>
      <c r="JN36" s="2253"/>
      <c r="JO36" s="2251" t="str">
        <f t="shared" ca="1" si="413"/>
        <v/>
      </c>
      <c r="JP36" s="2248"/>
      <c r="JQ36" s="2249"/>
      <c r="JR36" s="2250"/>
      <c r="JS36" s="2251" t="str">
        <f t="shared" si="414"/>
        <v/>
      </c>
      <c r="JT36" s="2252"/>
      <c r="JU36" s="2253"/>
      <c r="JV36" s="2251" t="str">
        <f t="shared" ca="1" si="415"/>
        <v/>
      </c>
      <c r="JW36" s="2254"/>
      <c r="JX36" s="2252"/>
      <c r="JY36" s="2253"/>
      <c r="JZ36" s="2251" t="str">
        <f t="shared" ca="1" si="416"/>
        <v/>
      </c>
      <c r="KA36" s="2231"/>
    </row>
    <row r="37" spans="1:287" s="2156" customFormat="1" ht="18" customHeight="1">
      <c r="A37" s="2142" t="str">
        <f ca="1">IF('22 Sollumsatz pro MA '!$A40="","",'22 Sollumsatz pro MA '!$A40)</f>
        <v/>
      </c>
      <c r="B37" s="2161"/>
      <c r="C37" s="2162"/>
      <c r="D37" s="2143"/>
      <c r="E37" s="2144" t="str">
        <f ca="1">IF('25 Sollumsatz nach Monaten'!F40=0,"",'25 Sollumsatz nach Monaten'!F40)</f>
        <v/>
      </c>
      <c r="F37" s="2145" t="str">
        <f t="shared" ca="1" si="323"/>
        <v/>
      </c>
      <c r="G37" s="2146" t="str">
        <f t="shared" ca="1" si="324"/>
        <v/>
      </c>
      <c r="H37" s="2143"/>
      <c r="I37" s="2144" t="str">
        <f ca="1">IF('25 Sollumsatz nach Monaten'!G40=0,"",'25 Sollumsatz nach Monaten'!G40)</f>
        <v/>
      </c>
      <c r="J37" s="2145" t="str">
        <f t="shared" ca="1" si="325"/>
        <v/>
      </c>
      <c r="K37" s="2158" t="str">
        <f t="shared" ca="1" si="326"/>
        <v/>
      </c>
      <c r="L37" s="2148" t="str">
        <f t="shared" ca="1" si="216"/>
        <v/>
      </c>
      <c r="M37" s="2161"/>
      <c r="N37" s="2162"/>
      <c r="O37" s="2143"/>
      <c r="P37" s="2149" t="str">
        <f ca="1">IF('25 Sollumsatz nach Monaten'!L40=0,"",'25 Sollumsatz nach Monaten'!L40)</f>
        <v/>
      </c>
      <c r="Q37" s="2150" t="str">
        <f t="shared" ca="1" si="327"/>
        <v/>
      </c>
      <c r="R37" s="2151" t="str">
        <f t="shared" ca="1" si="328"/>
        <v/>
      </c>
      <c r="S37" s="2143"/>
      <c r="T37" s="2149" t="str">
        <f ca="1">IF('25 Sollumsatz nach Monaten'!M40=0,"",'25 Sollumsatz nach Monaten'!M40)</f>
        <v/>
      </c>
      <c r="U37" s="2150" t="str">
        <f t="shared" ca="1" si="329"/>
        <v/>
      </c>
      <c r="V37" s="2151" t="str">
        <f t="shared" ca="1" si="330"/>
        <v/>
      </c>
      <c r="W37" s="2142" t="str">
        <f t="shared" ca="1" si="217"/>
        <v/>
      </c>
      <c r="X37" s="2161"/>
      <c r="Y37" s="2162"/>
      <c r="Z37" s="2143"/>
      <c r="AA37" s="2144" t="str">
        <f ca="1">IF('25 Sollumsatz nach Monaten'!R40=0,"",'25 Sollumsatz nach Monaten'!R40)</f>
        <v/>
      </c>
      <c r="AB37" s="2145" t="str">
        <f t="shared" ca="1" si="331"/>
        <v/>
      </c>
      <c r="AC37" s="2146" t="str">
        <f t="shared" ca="1" si="332"/>
        <v/>
      </c>
      <c r="AD37" s="2147"/>
      <c r="AE37" s="2144" t="str">
        <f ca="1">IF('25 Sollumsatz nach Monaten'!S40=0,"",'25 Sollumsatz nach Monaten'!S40)</f>
        <v/>
      </c>
      <c r="AF37" s="2145" t="str">
        <f t="shared" ca="1" si="333"/>
        <v/>
      </c>
      <c r="AG37" s="2158" t="str">
        <f t="shared" ca="1" si="334"/>
        <v/>
      </c>
      <c r="AH37" s="2148" t="str">
        <f t="shared" ca="1" si="218"/>
        <v/>
      </c>
      <c r="AI37" s="2161"/>
      <c r="AJ37" s="2162"/>
      <c r="AK37" s="2143"/>
      <c r="AL37" s="2149" t="str">
        <f ca="1">IF('25 Sollumsatz nach Monaten'!X40=0,"",'25 Sollumsatz nach Monaten'!X40)</f>
        <v/>
      </c>
      <c r="AM37" s="2150" t="str">
        <f t="shared" ca="1" si="335"/>
        <v/>
      </c>
      <c r="AN37" s="2151" t="str">
        <f t="shared" ca="1" si="336"/>
        <v/>
      </c>
      <c r="AO37" s="2143"/>
      <c r="AP37" s="2149" t="str">
        <f ca="1">IF('25 Sollumsatz nach Monaten'!Y40=0,"",'25 Sollumsatz nach Monaten'!Y40)</f>
        <v/>
      </c>
      <c r="AQ37" s="2150" t="str">
        <f t="shared" ca="1" si="337"/>
        <v/>
      </c>
      <c r="AR37" s="2151" t="str">
        <f t="shared" ca="1" si="338"/>
        <v/>
      </c>
      <c r="AS37" s="2142" t="str">
        <f t="shared" ca="1" si="219"/>
        <v/>
      </c>
      <c r="AT37" s="2161"/>
      <c r="AU37" s="2162"/>
      <c r="AV37" s="2143"/>
      <c r="AW37" s="2144" t="str">
        <f ca="1">IF('25 Sollumsatz nach Monaten'!AD40=0,"",'25 Sollumsatz nach Monaten'!AD40)</f>
        <v/>
      </c>
      <c r="AX37" s="2145" t="str">
        <f t="shared" ca="1" si="339"/>
        <v/>
      </c>
      <c r="AY37" s="2146" t="str">
        <f t="shared" ca="1" si="340"/>
        <v/>
      </c>
      <c r="AZ37" s="2143"/>
      <c r="BA37" s="2144" t="str">
        <f ca="1">IF('25 Sollumsatz nach Monaten'!AE40=0,"",'25 Sollumsatz nach Monaten'!AE40)</f>
        <v/>
      </c>
      <c r="BB37" s="2145" t="str">
        <f t="shared" ca="1" si="341"/>
        <v/>
      </c>
      <c r="BC37" s="2158" t="str">
        <f t="shared" ca="1" si="342"/>
        <v/>
      </c>
      <c r="BD37" s="2148" t="str">
        <f t="shared" ca="1" si="220"/>
        <v/>
      </c>
      <c r="BE37" s="2161"/>
      <c r="BF37" s="2162"/>
      <c r="BG37" s="2143"/>
      <c r="BH37" s="2149" t="str">
        <f ca="1">IF('25 Sollumsatz nach Monaten'!AJ40=0,"",'25 Sollumsatz nach Monaten'!AJ40)</f>
        <v/>
      </c>
      <c r="BI37" s="2150" t="str">
        <f t="shared" ca="1" si="343"/>
        <v/>
      </c>
      <c r="BJ37" s="2151" t="str">
        <f t="shared" ca="1" si="344"/>
        <v/>
      </c>
      <c r="BK37" s="2143"/>
      <c r="BL37" s="2149" t="str">
        <f ca="1">IF('25 Sollumsatz nach Monaten'!AK40=0,"",'25 Sollumsatz nach Monaten'!AK40)</f>
        <v/>
      </c>
      <c r="BM37" s="2150" t="str">
        <f t="shared" ca="1" si="345"/>
        <v/>
      </c>
      <c r="BN37" s="2151" t="str">
        <f t="shared" ca="1" si="346"/>
        <v/>
      </c>
      <c r="BO37" s="2142" t="str">
        <f t="shared" ca="1" si="221"/>
        <v/>
      </c>
      <c r="BP37" s="2161"/>
      <c r="BQ37" s="2162"/>
      <c r="BR37" s="2143"/>
      <c r="BS37" s="2144" t="str">
        <f ca="1">IF('25 Sollumsatz nach Monaten'!AP40=0,"",'25 Sollumsatz nach Monaten'!AP40)</f>
        <v/>
      </c>
      <c r="BT37" s="2145" t="str">
        <f t="shared" ca="1" si="347"/>
        <v/>
      </c>
      <c r="BU37" s="2146" t="str">
        <f t="shared" ca="1" si="348"/>
        <v/>
      </c>
      <c r="BV37" s="2143"/>
      <c r="BW37" s="2144" t="str">
        <f ca="1">IF('25 Sollumsatz nach Monaten'!AQ40=0,"",'25 Sollumsatz nach Monaten'!AQ40)</f>
        <v/>
      </c>
      <c r="BX37" s="2145" t="str">
        <f t="shared" ca="1" si="349"/>
        <v/>
      </c>
      <c r="BY37" s="2158" t="str">
        <f t="shared" ca="1" si="350"/>
        <v/>
      </c>
      <c r="BZ37" s="2148" t="str">
        <f t="shared" ca="1" si="222"/>
        <v/>
      </c>
      <c r="CA37" s="2161"/>
      <c r="CB37" s="2162"/>
      <c r="CC37" s="2143"/>
      <c r="CD37" s="2149" t="str">
        <f ca="1">IF('25 Sollumsatz nach Monaten'!AV40=0,"",'25 Sollumsatz nach Monaten'!AV40)</f>
        <v/>
      </c>
      <c r="CE37" s="2150" t="str">
        <f t="shared" ca="1" si="351"/>
        <v/>
      </c>
      <c r="CF37" s="2151" t="str">
        <f t="shared" ca="1" si="352"/>
        <v/>
      </c>
      <c r="CG37" s="2143"/>
      <c r="CH37" s="2149" t="str">
        <f ca="1">IF('25 Sollumsatz nach Monaten'!AW40=0,"",'25 Sollumsatz nach Monaten'!AW40)</f>
        <v/>
      </c>
      <c r="CI37" s="2150" t="str">
        <f t="shared" ca="1" si="353"/>
        <v/>
      </c>
      <c r="CJ37" s="2151" t="str">
        <f t="shared" ca="1" si="354"/>
        <v/>
      </c>
      <c r="CK37" s="2142" t="str">
        <f t="shared" ca="1" si="223"/>
        <v/>
      </c>
      <c r="CL37" s="2161"/>
      <c r="CM37" s="2162"/>
      <c r="CN37" s="2143"/>
      <c r="CO37" s="2144" t="str">
        <f ca="1">IF('25 Sollumsatz nach Monaten'!BB40=0,"",'25 Sollumsatz nach Monaten'!BB40)</f>
        <v/>
      </c>
      <c r="CP37" s="2145" t="str">
        <f t="shared" ca="1" si="355"/>
        <v/>
      </c>
      <c r="CQ37" s="2146" t="str">
        <f t="shared" ca="1" si="356"/>
        <v/>
      </c>
      <c r="CR37" s="2143"/>
      <c r="CS37" s="2144" t="str">
        <f ca="1">IF('25 Sollumsatz nach Monaten'!BC40=0,"",'25 Sollumsatz nach Monaten'!BC40)</f>
        <v/>
      </c>
      <c r="CT37" s="2145" t="str">
        <f t="shared" ca="1" si="357"/>
        <v/>
      </c>
      <c r="CU37" s="2158" t="str">
        <f t="shared" ca="1" si="358"/>
        <v/>
      </c>
      <c r="CV37" s="2148" t="str">
        <f t="shared" ca="1" si="224"/>
        <v/>
      </c>
      <c r="CW37" s="2161"/>
      <c r="CX37" s="2162"/>
      <c r="CY37" s="2143"/>
      <c r="CZ37" s="2149" t="str">
        <f ca="1">IF('25 Sollumsatz nach Monaten'!BH40=0,"",'25 Sollumsatz nach Monaten'!BH40)</f>
        <v/>
      </c>
      <c r="DA37" s="2150" t="str">
        <f t="shared" ca="1" si="359"/>
        <v/>
      </c>
      <c r="DB37" s="2151" t="str">
        <f t="shared" ca="1" si="360"/>
        <v/>
      </c>
      <c r="DC37" s="2143"/>
      <c r="DD37" s="2149" t="str">
        <f ca="1">IF('25 Sollumsatz nach Monaten'!BI40=0,"",'25 Sollumsatz nach Monaten'!BI40)</f>
        <v/>
      </c>
      <c r="DE37" s="2150" t="str">
        <f t="shared" ca="1" si="361"/>
        <v/>
      </c>
      <c r="DF37" s="2151" t="str">
        <f t="shared" ca="1" si="362"/>
        <v/>
      </c>
      <c r="DG37" s="2142" t="str">
        <f t="shared" ca="1" si="225"/>
        <v/>
      </c>
      <c r="DH37" s="2161"/>
      <c r="DI37" s="2162"/>
      <c r="DJ37" s="2143"/>
      <c r="DK37" s="2144" t="str">
        <f ca="1">IF('25 Sollumsatz nach Monaten'!BN40=0,"",'25 Sollumsatz nach Monaten'!BN40)</f>
        <v/>
      </c>
      <c r="DL37" s="2145" t="str">
        <f t="shared" ca="1" si="363"/>
        <v/>
      </c>
      <c r="DM37" s="2146" t="str">
        <f t="shared" ca="1" si="364"/>
        <v/>
      </c>
      <c r="DN37" s="2143"/>
      <c r="DO37" s="2144" t="str">
        <f ca="1">IF('25 Sollumsatz nach Monaten'!BO40=0,"",'25 Sollumsatz nach Monaten'!BO40)</f>
        <v/>
      </c>
      <c r="DP37" s="2145" t="str">
        <f t="shared" ca="1" si="365"/>
        <v/>
      </c>
      <c r="DQ37" s="2158" t="str">
        <f t="shared" ca="1" si="366"/>
        <v/>
      </c>
      <c r="DR37" s="2148" t="str">
        <f t="shared" ca="1" si="226"/>
        <v/>
      </c>
      <c r="DS37" s="2161"/>
      <c r="DT37" s="2162"/>
      <c r="DU37" s="2143"/>
      <c r="DV37" s="2149" t="str">
        <f ca="1">IF('25 Sollumsatz nach Monaten'!BT40=0,"",'25 Sollumsatz nach Monaten'!BT40)</f>
        <v/>
      </c>
      <c r="DW37" s="2150" t="str">
        <f t="shared" ca="1" si="367"/>
        <v/>
      </c>
      <c r="DX37" s="2151" t="str">
        <f t="shared" ca="1" si="368"/>
        <v/>
      </c>
      <c r="DY37" s="2143"/>
      <c r="DZ37" s="2149" t="str">
        <f ca="1">IF('25 Sollumsatz nach Monaten'!BU40=0,"",'25 Sollumsatz nach Monaten'!BU40)</f>
        <v/>
      </c>
      <c r="EA37" s="2150" t="str">
        <f t="shared" ca="1" si="369"/>
        <v/>
      </c>
      <c r="EB37" s="2151" t="str">
        <f t="shared" ca="1" si="370"/>
        <v/>
      </c>
      <c r="EC37" s="2152" t="str">
        <f t="shared" ca="1" si="227"/>
        <v/>
      </c>
      <c r="ED37" s="2280" t="str">
        <f t="shared" ca="1" si="371"/>
        <v/>
      </c>
      <c r="EE37" s="2153" t="str">
        <f t="shared" ca="1" si="372"/>
        <v/>
      </c>
      <c r="EF37" s="2154" t="str">
        <f t="shared" ca="1" si="373"/>
        <v/>
      </c>
      <c r="EG37" s="2155" t="str">
        <f t="shared" ca="1" si="275"/>
        <v/>
      </c>
      <c r="EH37" s="2282" t="str">
        <f t="shared" ca="1" si="374"/>
        <v/>
      </c>
      <c r="EI37" s="2153" t="str">
        <f t="shared" ca="1" si="375"/>
        <v/>
      </c>
      <c r="EJ37" s="2154" t="str">
        <f t="shared" ca="1" si="376"/>
        <v/>
      </c>
      <c r="EK37" s="2155" t="str">
        <f t="shared" ca="1" si="377"/>
        <v/>
      </c>
      <c r="EL37" s="2160" t="str">
        <f t="shared" ca="1" si="378"/>
        <v/>
      </c>
      <c r="EM37" s="2160" t="str">
        <f t="shared" ca="1" si="379"/>
        <v/>
      </c>
      <c r="EN37" s="2160" t="str">
        <f t="shared" ca="1" si="380"/>
        <v/>
      </c>
      <c r="EO37" s="2152" t="str">
        <f t="shared" ca="1" si="237"/>
        <v/>
      </c>
      <c r="EP37" s="2312" t="str">
        <f ca="1">IF('25 Sollumsatz nach Monaten'!BV40="","",SUM(EQ37:ER37))</f>
        <v/>
      </c>
      <c r="EQ37" s="2312" t="str">
        <f ca="1">IF('25 Sollumsatz nach Monaten'!BV40="","",ED37/'25 Sollumsatz nach Monaten'!BV40)</f>
        <v/>
      </c>
      <c r="ER37" s="2312" t="str">
        <f ca="1">IF('25 Sollumsatz nach Monaten'!BV40="","",EH37/'25 Sollumsatz nach Monaten'!BV40)</f>
        <v/>
      </c>
      <c r="EY37" s="2248"/>
      <c r="EZ37" s="2249"/>
      <c r="FA37" s="2250"/>
      <c r="FB37" s="2251" t="str">
        <f t="shared" si="381"/>
        <v/>
      </c>
      <c r="FC37" s="2252"/>
      <c r="FD37" s="2253"/>
      <c r="FE37" s="2251" t="str">
        <f t="shared" ca="1" si="382"/>
        <v/>
      </c>
      <c r="FF37" s="2254"/>
      <c r="FG37" s="2252"/>
      <c r="FH37" s="2253"/>
      <c r="FI37" s="2251" t="str">
        <f t="shared" ca="1" si="383"/>
        <v/>
      </c>
      <c r="FJ37" s="2248"/>
      <c r="FK37" s="2249"/>
      <c r="FL37" s="2250"/>
      <c r="FM37" s="2251" t="str">
        <f t="shared" si="384"/>
        <v/>
      </c>
      <c r="FN37" s="2252"/>
      <c r="FO37" s="2253"/>
      <c r="FP37" s="2251" t="str">
        <f t="shared" ca="1" si="385"/>
        <v/>
      </c>
      <c r="FQ37" s="2254"/>
      <c r="FR37" s="2252"/>
      <c r="FS37" s="2253"/>
      <c r="FT37" s="2251" t="str">
        <f t="shared" ca="1" si="386"/>
        <v/>
      </c>
      <c r="FU37" s="2248"/>
      <c r="FV37" s="2249"/>
      <c r="FW37" s="2250"/>
      <c r="FX37" s="2251" t="str">
        <f t="shared" si="387"/>
        <v/>
      </c>
      <c r="FY37" s="2252"/>
      <c r="FZ37" s="2253"/>
      <c r="GA37" s="2251" t="str">
        <f t="shared" ca="1" si="388"/>
        <v/>
      </c>
      <c r="GB37" s="2254"/>
      <c r="GC37" s="2252"/>
      <c r="GD37" s="2253"/>
      <c r="GE37" s="2251" t="str">
        <f t="shared" ca="1" si="389"/>
        <v/>
      </c>
      <c r="GF37" s="2248"/>
      <c r="GG37" s="2249"/>
      <c r="GH37" s="2250"/>
      <c r="GI37" s="2251" t="str">
        <f t="shared" si="390"/>
        <v/>
      </c>
      <c r="GJ37" s="2252"/>
      <c r="GK37" s="2253"/>
      <c r="GL37" s="2251" t="str">
        <f t="shared" ca="1" si="391"/>
        <v/>
      </c>
      <c r="GM37" s="2254"/>
      <c r="GN37" s="2252"/>
      <c r="GO37" s="2253"/>
      <c r="GP37" s="2251" t="str">
        <f t="shared" ca="1" si="392"/>
        <v/>
      </c>
      <c r="GQ37" s="2248"/>
      <c r="GR37" s="2249"/>
      <c r="GS37" s="2250"/>
      <c r="GT37" s="2251" t="str">
        <f t="shared" si="393"/>
        <v/>
      </c>
      <c r="GU37" s="2252"/>
      <c r="GV37" s="2253"/>
      <c r="GW37" s="2251" t="str">
        <f t="shared" ca="1" si="394"/>
        <v/>
      </c>
      <c r="GX37" s="2254"/>
      <c r="GY37" s="2252"/>
      <c r="GZ37" s="2253"/>
      <c r="HA37" s="2251" t="str">
        <f t="shared" ca="1" si="395"/>
        <v/>
      </c>
      <c r="HB37" s="2248"/>
      <c r="HC37" s="2249"/>
      <c r="HD37" s="2250"/>
      <c r="HE37" s="2251" t="str">
        <f t="shared" si="396"/>
        <v/>
      </c>
      <c r="HF37" s="2252"/>
      <c r="HG37" s="2253"/>
      <c r="HH37" s="2251" t="str">
        <f t="shared" ca="1" si="397"/>
        <v/>
      </c>
      <c r="HI37" s="2254"/>
      <c r="HJ37" s="2252"/>
      <c r="HK37" s="2253"/>
      <c r="HL37" s="2251" t="str">
        <f t="shared" ca="1" si="398"/>
        <v/>
      </c>
      <c r="HM37" s="2248"/>
      <c r="HN37" s="2249"/>
      <c r="HO37" s="2250"/>
      <c r="HP37" s="2251" t="str">
        <f t="shared" si="399"/>
        <v/>
      </c>
      <c r="HQ37" s="2252"/>
      <c r="HR37" s="2253"/>
      <c r="HS37" s="2251" t="str">
        <f t="shared" ca="1" si="400"/>
        <v/>
      </c>
      <c r="HT37" s="2254"/>
      <c r="HU37" s="2252"/>
      <c r="HV37" s="2253"/>
      <c r="HW37" s="2251" t="str">
        <f t="shared" ca="1" si="401"/>
        <v/>
      </c>
      <c r="HX37" s="2248"/>
      <c r="HY37" s="2249"/>
      <c r="HZ37" s="2250"/>
      <c r="IA37" s="2251" t="str">
        <f t="shared" si="402"/>
        <v/>
      </c>
      <c r="IB37" s="2252"/>
      <c r="IC37" s="2253"/>
      <c r="ID37" s="2251" t="str">
        <f t="shared" ca="1" si="403"/>
        <v/>
      </c>
      <c r="IE37" s="2254"/>
      <c r="IF37" s="2252"/>
      <c r="IG37" s="2253"/>
      <c r="IH37" s="2251" t="str">
        <f t="shared" ca="1" si="404"/>
        <v/>
      </c>
      <c r="II37" s="2248"/>
      <c r="IJ37" s="2249"/>
      <c r="IK37" s="2250"/>
      <c r="IL37" s="2251" t="str">
        <f t="shared" si="405"/>
        <v/>
      </c>
      <c r="IM37" s="2252"/>
      <c r="IN37" s="2253"/>
      <c r="IO37" s="2251" t="str">
        <f t="shared" ca="1" si="406"/>
        <v/>
      </c>
      <c r="IP37" s="2254"/>
      <c r="IQ37" s="2252"/>
      <c r="IR37" s="2253"/>
      <c r="IS37" s="2251" t="str">
        <f t="shared" ca="1" si="407"/>
        <v/>
      </c>
      <c r="IT37" s="2248"/>
      <c r="IU37" s="2249"/>
      <c r="IV37" s="2250"/>
      <c r="IW37" s="2251" t="str">
        <f t="shared" si="408"/>
        <v/>
      </c>
      <c r="IX37" s="2252"/>
      <c r="IY37" s="2253"/>
      <c r="IZ37" s="2251" t="str">
        <f t="shared" ca="1" si="409"/>
        <v/>
      </c>
      <c r="JA37" s="2254"/>
      <c r="JB37" s="2252"/>
      <c r="JC37" s="2253"/>
      <c r="JD37" s="2251" t="str">
        <f t="shared" ca="1" si="410"/>
        <v/>
      </c>
      <c r="JE37" s="2248"/>
      <c r="JF37" s="2249"/>
      <c r="JG37" s="2250"/>
      <c r="JH37" s="2251" t="str">
        <f t="shared" si="411"/>
        <v/>
      </c>
      <c r="JI37" s="2252"/>
      <c r="JJ37" s="2253"/>
      <c r="JK37" s="2251" t="str">
        <f t="shared" ca="1" si="412"/>
        <v/>
      </c>
      <c r="JL37" s="2254"/>
      <c r="JM37" s="2252"/>
      <c r="JN37" s="2253"/>
      <c r="JO37" s="2251" t="str">
        <f t="shared" ca="1" si="413"/>
        <v/>
      </c>
      <c r="JP37" s="2248"/>
      <c r="JQ37" s="2249"/>
      <c r="JR37" s="2250"/>
      <c r="JS37" s="2251" t="str">
        <f t="shared" si="414"/>
        <v/>
      </c>
      <c r="JT37" s="2252"/>
      <c r="JU37" s="2253"/>
      <c r="JV37" s="2251" t="str">
        <f t="shared" ca="1" si="415"/>
        <v/>
      </c>
      <c r="JW37" s="2254"/>
      <c r="JX37" s="2252"/>
      <c r="JY37" s="2253"/>
      <c r="JZ37" s="2251" t="str">
        <f t="shared" ca="1" si="416"/>
        <v/>
      </c>
      <c r="KA37" s="2231"/>
    </row>
    <row r="38" spans="1:287" s="2156" customFormat="1" ht="18" customHeight="1">
      <c r="A38" s="2142" t="str">
        <f ca="1">IF('22 Sollumsatz pro MA '!$A41="","",'22 Sollumsatz pro MA '!$A41)</f>
        <v/>
      </c>
      <c r="B38" s="2161"/>
      <c r="C38" s="2162"/>
      <c r="D38" s="2143"/>
      <c r="E38" s="2144" t="str">
        <f ca="1">IF('25 Sollumsatz nach Monaten'!F41=0,"",'25 Sollumsatz nach Monaten'!F41)</f>
        <v/>
      </c>
      <c r="F38" s="2145" t="str">
        <f t="shared" ca="1" si="323"/>
        <v/>
      </c>
      <c r="G38" s="2146" t="str">
        <f t="shared" ca="1" si="324"/>
        <v/>
      </c>
      <c r="H38" s="2143"/>
      <c r="I38" s="2144" t="str">
        <f ca="1">IF('25 Sollumsatz nach Monaten'!G41=0,"",'25 Sollumsatz nach Monaten'!G41)</f>
        <v/>
      </c>
      <c r="J38" s="2145" t="str">
        <f t="shared" ca="1" si="325"/>
        <v/>
      </c>
      <c r="K38" s="2158" t="str">
        <f t="shared" ca="1" si="326"/>
        <v/>
      </c>
      <c r="L38" s="2148" t="str">
        <f t="shared" ca="1" si="216"/>
        <v/>
      </c>
      <c r="M38" s="2161"/>
      <c r="N38" s="2162"/>
      <c r="O38" s="2143"/>
      <c r="P38" s="2149" t="str">
        <f ca="1">IF('25 Sollumsatz nach Monaten'!L41=0,"",'25 Sollumsatz nach Monaten'!L41)</f>
        <v/>
      </c>
      <c r="Q38" s="2150" t="str">
        <f t="shared" ca="1" si="327"/>
        <v/>
      </c>
      <c r="R38" s="2151" t="str">
        <f t="shared" ca="1" si="328"/>
        <v/>
      </c>
      <c r="S38" s="2143"/>
      <c r="T38" s="2149" t="str">
        <f ca="1">IF('25 Sollumsatz nach Monaten'!M41=0,"",'25 Sollumsatz nach Monaten'!M41)</f>
        <v/>
      </c>
      <c r="U38" s="2150" t="str">
        <f t="shared" ca="1" si="329"/>
        <v/>
      </c>
      <c r="V38" s="2151" t="str">
        <f t="shared" ca="1" si="330"/>
        <v/>
      </c>
      <c r="W38" s="2142" t="str">
        <f t="shared" ca="1" si="217"/>
        <v/>
      </c>
      <c r="X38" s="2161"/>
      <c r="Y38" s="2162"/>
      <c r="Z38" s="2143"/>
      <c r="AA38" s="2144" t="str">
        <f ca="1">IF('25 Sollumsatz nach Monaten'!R41=0,"",'25 Sollumsatz nach Monaten'!R41)</f>
        <v/>
      </c>
      <c r="AB38" s="2145" t="str">
        <f t="shared" ca="1" si="331"/>
        <v/>
      </c>
      <c r="AC38" s="2146" t="str">
        <f t="shared" ca="1" si="332"/>
        <v/>
      </c>
      <c r="AD38" s="2147"/>
      <c r="AE38" s="2144" t="str">
        <f ca="1">IF('25 Sollumsatz nach Monaten'!S41=0,"",'25 Sollumsatz nach Monaten'!S41)</f>
        <v/>
      </c>
      <c r="AF38" s="2145" t="str">
        <f t="shared" ca="1" si="333"/>
        <v/>
      </c>
      <c r="AG38" s="2158" t="str">
        <f t="shared" ca="1" si="334"/>
        <v/>
      </c>
      <c r="AH38" s="2148" t="str">
        <f t="shared" ca="1" si="218"/>
        <v/>
      </c>
      <c r="AI38" s="2161"/>
      <c r="AJ38" s="2162"/>
      <c r="AK38" s="2143"/>
      <c r="AL38" s="2149" t="str">
        <f ca="1">IF('25 Sollumsatz nach Monaten'!X41=0,"",'25 Sollumsatz nach Monaten'!X41)</f>
        <v/>
      </c>
      <c r="AM38" s="2150" t="str">
        <f t="shared" ca="1" si="335"/>
        <v/>
      </c>
      <c r="AN38" s="2151" t="str">
        <f t="shared" ca="1" si="336"/>
        <v/>
      </c>
      <c r="AO38" s="2143"/>
      <c r="AP38" s="2149" t="str">
        <f ca="1">IF('25 Sollumsatz nach Monaten'!Y41=0,"",'25 Sollumsatz nach Monaten'!Y41)</f>
        <v/>
      </c>
      <c r="AQ38" s="2150" t="str">
        <f t="shared" ca="1" si="337"/>
        <v/>
      </c>
      <c r="AR38" s="2151" t="str">
        <f t="shared" ca="1" si="338"/>
        <v/>
      </c>
      <c r="AS38" s="2142" t="str">
        <f t="shared" ca="1" si="219"/>
        <v/>
      </c>
      <c r="AT38" s="2161"/>
      <c r="AU38" s="2162"/>
      <c r="AV38" s="2143"/>
      <c r="AW38" s="2144" t="str">
        <f ca="1">IF('25 Sollumsatz nach Monaten'!AD41=0,"",'25 Sollumsatz nach Monaten'!AD41)</f>
        <v/>
      </c>
      <c r="AX38" s="2145" t="str">
        <f t="shared" ca="1" si="339"/>
        <v/>
      </c>
      <c r="AY38" s="2146" t="str">
        <f t="shared" ca="1" si="340"/>
        <v/>
      </c>
      <c r="AZ38" s="2143"/>
      <c r="BA38" s="2144" t="str">
        <f ca="1">IF('25 Sollumsatz nach Monaten'!AE41=0,"",'25 Sollumsatz nach Monaten'!AE41)</f>
        <v/>
      </c>
      <c r="BB38" s="2145" t="str">
        <f t="shared" ca="1" si="341"/>
        <v/>
      </c>
      <c r="BC38" s="2158" t="str">
        <f t="shared" ca="1" si="342"/>
        <v/>
      </c>
      <c r="BD38" s="2148" t="str">
        <f t="shared" ca="1" si="220"/>
        <v/>
      </c>
      <c r="BE38" s="2161"/>
      <c r="BF38" s="2162"/>
      <c r="BG38" s="2143"/>
      <c r="BH38" s="2149" t="str">
        <f ca="1">IF('25 Sollumsatz nach Monaten'!AJ41=0,"",'25 Sollumsatz nach Monaten'!AJ41)</f>
        <v/>
      </c>
      <c r="BI38" s="2150" t="str">
        <f t="shared" ca="1" si="343"/>
        <v/>
      </c>
      <c r="BJ38" s="2151" t="str">
        <f t="shared" ca="1" si="344"/>
        <v/>
      </c>
      <c r="BK38" s="2143"/>
      <c r="BL38" s="2149" t="str">
        <f ca="1">IF('25 Sollumsatz nach Monaten'!AK41=0,"",'25 Sollumsatz nach Monaten'!AK41)</f>
        <v/>
      </c>
      <c r="BM38" s="2150" t="str">
        <f t="shared" ca="1" si="345"/>
        <v/>
      </c>
      <c r="BN38" s="2151" t="str">
        <f t="shared" ca="1" si="346"/>
        <v/>
      </c>
      <c r="BO38" s="2142" t="str">
        <f t="shared" ca="1" si="221"/>
        <v/>
      </c>
      <c r="BP38" s="2161"/>
      <c r="BQ38" s="2162"/>
      <c r="BR38" s="2143"/>
      <c r="BS38" s="2144" t="str">
        <f ca="1">IF('25 Sollumsatz nach Monaten'!AP41=0,"",'25 Sollumsatz nach Monaten'!AP41)</f>
        <v/>
      </c>
      <c r="BT38" s="2145" t="str">
        <f t="shared" ca="1" si="347"/>
        <v/>
      </c>
      <c r="BU38" s="2146" t="str">
        <f t="shared" ca="1" si="348"/>
        <v/>
      </c>
      <c r="BV38" s="2143"/>
      <c r="BW38" s="2144" t="str">
        <f ca="1">IF('25 Sollumsatz nach Monaten'!AQ41=0,"",'25 Sollumsatz nach Monaten'!AQ41)</f>
        <v/>
      </c>
      <c r="BX38" s="2145" t="str">
        <f t="shared" ca="1" si="349"/>
        <v/>
      </c>
      <c r="BY38" s="2158" t="str">
        <f t="shared" ca="1" si="350"/>
        <v/>
      </c>
      <c r="BZ38" s="2148" t="str">
        <f t="shared" ca="1" si="222"/>
        <v/>
      </c>
      <c r="CA38" s="2161"/>
      <c r="CB38" s="2162"/>
      <c r="CC38" s="2143"/>
      <c r="CD38" s="2149" t="str">
        <f ca="1">IF('25 Sollumsatz nach Monaten'!AV41=0,"",'25 Sollumsatz nach Monaten'!AV41)</f>
        <v/>
      </c>
      <c r="CE38" s="2150" t="str">
        <f t="shared" ca="1" si="351"/>
        <v/>
      </c>
      <c r="CF38" s="2151" t="str">
        <f t="shared" ca="1" si="352"/>
        <v/>
      </c>
      <c r="CG38" s="2143"/>
      <c r="CH38" s="2149" t="str">
        <f ca="1">IF('25 Sollumsatz nach Monaten'!AW41=0,"",'25 Sollumsatz nach Monaten'!AW41)</f>
        <v/>
      </c>
      <c r="CI38" s="2150" t="str">
        <f t="shared" ca="1" si="353"/>
        <v/>
      </c>
      <c r="CJ38" s="2151" t="str">
        <f t="shared" ca="1" si="354"/>
        <v/>
      </c>
      <c r="CK38" s="2142" t="str">
        <f t="shared" ca="1" si="223"/>
        <v/>
      </c>
      <c r="CL38" s="2161"/>
      <c r="CM38" s="2162"/>
      <c r="CN38" s="2143"/>
      <c r="CO38" s="2144" t="str">
        <f ca="1">IF('25 Sollumsatz nach Monaten'!BB41=0,"",'25 Sollumsatz nach Monaten'!BB41)</f>
        <v/>
      </c>
      <c r="CP38" s="2145" t="str">
        <f t="shared" ca="1" si="355"/>
        <v/>
      </c>
      <c r="CQ38" s="2146" t="str">
        <f t="shared" ca="1" si="356"/>
        <v/>
      </c>
      <c r="CR38" s="2143"/>
      <c r="CS38" s="2144" t="str">
        <f ca="1">IF('25 Sollumsatz nach Monaten'!BC41=0,"",'25 Sollumsatz nach Monaten'!BC41)</f>
        <v/>
      </c>
      <c r="CT38" s="2145" t="str">
        <f t="shared" ca="1" si="357"/>
        <v/>
      </c>
      <c r="CU38" s="2158" t="str">
        <f t="shared" ca="1" si="358"/>
        <v/>
      </c>
      <c r="CV38" s="2148" t="str">
        <f t="shared" ca="1" si="224"/>
        <v/>
      </c>
      <c r="CW38" s="2161"/>
      <c r="CX38" s="2162"/>
      <c r="CY38" s="2143"/>
      <c r="CZ38" s="2149" t="str">
        <f ca="1">IF('25 Sollumsatz nach Monaten'!BH41=0,"",'25 Sollumsatz nach Monaten'!BH41)</f>
        <v/>
      </c>
      <c r="DA38" s="2150" t="str">
        <f t="shared" ca="1" si="359"/>
        <v/>
      </c>
      <c r="DB38" s="2151" t="str">
        <f t="shared" ca="1" si="360"/>
        <v/>
      </c>
      <c r="DC38" s="2143"/>
      <c r="DD38" s="2149" t="str">
        <f ca="1">IF('25 Sollumsatz nach Monaten'!BI41=0,"",'25 Sollumsatz nach Monaten'!BI41)</f>
        <v/>
      </c>
      <c r="DE38" s="2150" t="str">
        <f t="shared" ca="1" si="361"/>
        <v/>
      </c>
      <c r="DF38" s="2151" t="str">
        <f t="shared" ca="1" si="362"/>
        <v/>
      </c>
      <c r="DG38" s="2142" t="str">
        <f t="shared" ca="1" si="225"/>
        <v/>
      </c>
      <c r="DH38" s="2161"/>
      <c r="DI38" s="2162"/>
      <c r="DJ38" s="2143"/>
      <c r="DK38" s="2144" t="str">
        <f ca="1">IF('25 Sollumsatz nach Monaten'!BN41=0,"",'25 Sollumsatz nach Monaten'!BN41)</f>
        <v/>
      </c>
      <c r="DL38" s="2145" t="str">
        <f t="shared" ca="1" si="363"/>
        <v/>
      </c>
      <c r="DM38" s="2146" t="str">
        <f t="shared" ca="1" si="364"/>
        <v/>
      </c>
      <c r="DN38" s="2143"/>
      <c r="DO38" s="2144" t="str">
        <f ca="1">IF('25 Sollumsatz nach Monaten'!BO41=0,"",'25 Sollumsatz nach Monaten'!BO41)</f>
        <v/>
      </c>
      <c r="DP38" s="2145" t="str">
        <f t="shared" ca="1" si="365"/>
        <v/>
      </c>
      <c r="DQ38" s="2158" t="str">
        <f t="shared" ca="1" si="366"/>
        <v/>
      </c>
      <c r="DR38" s="2148" t="str">
        <f t="shared" ca="1" si="226"/>
        <v/>
      </c>
      <c r="DS38" s="2161"/>
      <c r="DT38" s="2162"/>
      <c r="DU38" s="2143"/>
      <c r="DV38" s="2149" t="str">
        <f ca="1">IF('25 Sollumsatz nach Monaten'!BT41=0,"",'25 Sollumsatz nach Monaten'!BT41)</f>
        <v/>
      </c>
      <c r="DW38" s="2150" t="str">
        <f t="shared" ca="1" si="367"/>
        <v/>
      </c>
      <c r="DX38" s="2151" t="str">
        <f t="shared" ca="1" si="368"/>
        <v/>
      </c>
      <c r="DY38" s="2143"/>
      <c r="DZ38" s="2149" t="str">
        <f ca="1">IF('25 Sollumsatz nach Monaten'!BU41=0,"",'25 Sollumsatz nach Monaten'!BU41)</f>
        <v/>
      </c>
      <c r="EA38" s="2150" t="str">
        <f t="shared" ca="1" si="369"/>
        <v/>
      </c>
      <c r="EB38" s="2151" t="str">
        <f t="shared" ca="1" si="370"/>
        <v/>
      </c>
      <c r="EC38" s="2152" t="str">
        <f t="shared" ca="1" si="227"/>
        <v/>
      </c>
      <c r="ED38" s="2280" t="str">
        <f t="shared" ca="1" si="371"/>
        <v/>
      </c>
      <c r="EE38" s="2153" t="str">
        <f t="shared" ca="1" si="372"/>
        <v/>
      </c>
      <c r="EF38" s="2154" t="str">
        <f t="shared" ca="1" si="373"/>
        <v/>
      </c>
      <c r="EG38" s="2155" t="str">
        <f t="shared" ca="1" si="275"/>
        <v/>
      </c>
      <c r="EH38" s="2282" t="str">
        <f t="shared" ca="1" si="374"/>
        <v/>
      </c>
      <c r="EI38" s="2153" t="str">
        <f t="shared" ca="1" si="375"/>
        <v/>
      </c>
      <c r="EJ38" s="2154" t="str">
        <f t="shared" ca="1" si="376"/>
        <v/>
      </c>
      <c r="EK38" s="2155" t="str">
        <f t="shared" ca="1" si="377"/>
        <v/>
      </c>
      <c r="EL38" s="2160" t="str">
        <f t="shared" ca="1" si="378"/>
        <v/>
      </c>
      <c r="EM38" s="2160" t="str">
        <f t="shared" ca="1" si="379"/>
        <v/>
      </c>
      <c r="EN38" s="2160" t="str">
        <f t="shared" ca="1" si="380"/>
        <v/>
      </c>
      <c r="EO38" s="2152" t="str">
        <f t="shared" ca="1" si="237"/>
        <v/>
      </c>
      <c r="EP38" s="2312" t="str">
        <f ca="1">IF('25 Sollumsatz nach Monaten'!BV41="","",SUM(EQ38:ER38))</f>
        <v/>
      </c>
      <c r="EQ38" s="2312" t="str">
        <f ca="1">IF('25 Sollumsatz nach Monaten'!BV41="","",ED38/'25 Sollumsatz nach Monaten'!BV41)</f>
        <v/>
      </c>
      <c r="ER38" s="2312" t="str">
        <f ca="1">IF('25 Sollumsatz nach Monaten'!BV41="","",EH38/'25 Sollumsatz nach Monaten'!BV41)</f>
        <v/>
      </c>
      <c r="EY38" s="2248"/>
      <c r="EZ38" s="2249"/>
      <c r="FA38" s="2250"/>
      <c r="FB38" s="2251" t="str">
        <f t="shared" si="381"/>
        <v/>
      </c>
      <c r="FC38" s="2252"/>
      <c r="FD38" s="2253"/>
      <c r="FE38" s="2251" t="str">
        <f t="shared" ca="1" si="382"/>
        <v/>
      </c>
      <c r="FF38" s="2254"/>
      <c r="FG38" s="2252"/>
      <c r="FH38" s="2253"/>
      <c r="FI38" s="2251" t="str">
        <f t="shared" ca="1" si="383"/>
        <v/>
      </c>
      <c r="FJ38" s="2248"/>
      <c r="FK38" s="2249"/>
      <c r="FL38" s="2250"/>
      <c r="FM38" s="2251" t="str">
        <f t="shared" si="384"/>
        <v/>
      </c>
      <c r="FN38" s="2252"/>
      <c r="FO38" s="2253"/>
      <c r="FP38" s="2251" t="str">
        <f t="shared" ca="1" si="385"/>
        <v/>
      </c>
      <c r="FQ38" s="2254"/>
      <c r="FR38" s="2252"/>
      <c r="FS38" s="2253"/>
      <c r="FT38" s="2251" t="str">
        <f t="shared" ca="1" si="386"/>
        <v/>
      </c>
      <c r="FU38" s="2248"/>
      <c r="FV38" s="2249"/>
      <c r="FW38" s="2250"/>
      <c r="FX38" s="2251" t="str">
        <f t="shared" si="387"/>
        <v/>
      </c>
      <c r="FY38" s="2252"/>
      <c r="FZ38" s="2253"/>
      <c r="GA38" s="2251" t="str">
        <f t="shared" ca="1" si="388"/>
        <v/>
      </c>
      <c r="GB38" s="2254"/>
      <c r="GC38" s="2252"/>
      <c r="GD38" s="2253"/>
      <c r="GE38" s="2251" t="str">
        <f t="shared" ca="1" si="389"/>
        <v/>
      </c>
      <c r="GF38" s="2248"/>
      <c r="GG38" s="2249"/>
      <c r="GH38" s="2250"/>
      <c r="GI38" s="2251" t="str">
        <f t="shared" si="390"/>
        <v/>
      </c>
      <c r="GJ38" s="2252"/>
      <c r="GK38" s="2253"/>
      <c r="GL38" s="2251" t="str">
        <f t="shared" ca="1" si="391"/>
        <v/>
      </c>
      <c r="GM38" s="2254"/>
      <c r="GN38" s="2252"/>
      <c r="GO38" s="2253"/>
      <c r="GP38" s="2251" t="str">
        <f t="shared" ca="1" si="392"/>
        <v/>
      </c>
      <c r="GQ38" s="2248"/>
      <c r="GR38" s="2249"/>
      <c r="GS38" s="2250"/>
      <c r="GT38" s="2251" t="str">
        <f t="shared" si="393"/>
        <v/>
      </c>
      <c r="GU38" s="2252"/>
      <c r="GV38" s="2253"/>
      <c r="GW38" s="2251" t="str">
        <f t="shared" ca="1" si="394"/>
        <v/>
      </c>
      <c r="GX38" s="2254"/>
      <c r="GY38" s="2252"/>
      <c r="GZ38" s="2253"/>
      <c r="HA38" s="2251" t="str">
        <f t="shared" ca="1" si="395"/>
        <v/>
      </c>
      <c r="HB38" s="2248"/>
      <c r="HC38" s="2249"/>
      <c r="HD38" s="2250"/>
      <c r="HE38" s="2251" t="str">
        <f t="shared" si="396"/>
        <v/>
      </c>
      <c r="HF38" s="2252"/>
      <c r="HG38" s="2253"/>
      <c r="HH38" s="2251" t="str">
        <f t="shared" ca="1" si="397"/>
        <v/>
      </c>
      <c r="HI38" s="2254"/>
      <c r="HJ38" s="2252"/>
      <c r="HK38" s="2253"/>
      <c r="HL38" s="2251" t="str">
        <f t="shared" ca="1" si="398"/>
        <v/>
      </c>
      <c r="HM38" s="2248"/>
      <c r="HN38" s="2249"/>
      <c r="HO38" s="2250"/>
      <c r="HP38" s="2251" t="str">
        <f t="shared" si="399"/>
        <v/>
      </c>
      <c r="HQ38" s="2252"/>
      <c r="HR38" s="2253"/>
      <c r="HS38" s="2251" t="str">
        <f t="shared" ca="1" si="400"/>
        <v/>
      </c>
      <c r="HT38" s="2254"/>
      <c r="HU38" s="2252"/>
      <c r="HV38" s="2253"/>
      <c r="HW38" s="2251" t="str">
        <f t="shared" ca="1" si="401"/>
        <v/>
      </c>
      <c r="HX38" s="2248"/>
      <c r="HY38" s="2249"/>
      <c r="HZ38" s="2250"/>
      <c r="IA38" s="2251" t="str">
        <f t="shared" si="402"/>
        <v/>
      </c>
      <c r="IB38" s="2252"/>
      <c r="IC38" s="2253"/>
      <c r="ID38" s="2251" t="str">
        <f t="shared" ca="1" si="403"/>
        <v/>
      </c>
      <c r="IE38" s="2254"/>
      <c r="IF38" s="2252"/>
      <c r="IG38" s="2253"/>
      <c r="IH38" s="2251" t="str">
        <f t="shared" ca="1" si="404"/>
        <v/>
      </c>
      <c r="II38" s="2248"/>
      <c r="IJ38" s="2249"/>
      <c r="IK38" s="2250"/>
      <c r="IL38" s="2251" t="str">
        <f t="shared" si="405"/>
        <v/>
      </c>
      <c r="IM38" s="2252"/>
      <c r="IN38" s="2253"/>
      <c r="IO38" s="2251" t="str">
        <f t="shared" ca="1" si="406"/>
        <v/>
      </c>
      <c r="IP38" s="2254"/>
      <c r="IQ38" s="2252"/>
      <c r="IR38" s="2253"/>
      <c r="IS38" s="2251" t="str">
        <f t="shared" ca="1" si="407"/>
        <v/>
      </c>
      <c r="IT38" s="2248"/>
      <c r="IU38" s="2249"/>
      <c r="IV38" s="2250"/>
      <c r="IW38" s="2251" t="str">
        <f t="shared" si="408"/>
        <v/>
      </c>
      <c r="IX38" s="2252"/>
      <c r="IY38" s="2253"/>
      <c r="IZ38" s="2251" t="str">
        <f t="shared" ca="1" si="409"/>
        <v/>
      </c>
      <c r="JA38" s="2254"/>
      <c r="JB38" s="2252"/>
      <c r="JC38" s="2253"/>
      <c r="JD38" s="2251" t="str">
        <f t="shared" ca="1" si="410"/>
        <v/>
      </c>
      <c r="JE38" s="2248"/>
      <c r="JF38" s="2249"/>
      <c r="JG38" s="2250"/>
      <c r="JH38" s="2251" t="str">
        <f t="shared" si="411"/>
        <v/>
      </c>
      <c r="JI38" s="2252"/>
      <c r="JJ38" s="2253"/>
      <c r="JK38" s="2251" t="str">
        <f t="shared" ca="1" si="412"/>
        <v/>
      </c>
      <c r="JL38" s="2254"/>
      <c r="JM38" s="2252"/>
      <c r="JN38" s="2253"/>
      <c r="JO38" s="2251" t="str">
        <f t="shared" ca="1" si="413"/>
        <v/>
      </c>
      <c r="JP38" s="2248"/>
      <c r="JQ38" s="2249"/>
      <c r="JR38" s="2250"/>
      <c r="JS38" s="2251" t="str">
        <f t="shared" si="414"/>
        <v/>
      </c>
      <c r="JT38" s="2252"/>
      <c r="JU38" s="2253"/>
      <c r="JV38" s="2251" t="str">
        <f t="shared" ca="1" si="415"/>
        <v/>
      </c>
      <c r="JW38" s="2254"/>
      <c r="JX38" s="2252"/>
      <c r="JY38" s="2253"/>
      <c r="JZ38" s="2251" t="str">
        <f t="shared" ca="1" si="416"/>
        <v/>
      </c>
      <c r="KA38" s="2231"/>
    </row>
    <row r="39" spans="1:287" s="2156" customFormat="1" ht="18" customHeight="1">
      <c r="A39" s="2142" t="str">
        <f ca="1">IF('22 Sollumsatz pro MA '!$A42="","",'22 Sollumsatz pro MA '!$A42)</f>
        <v/>
      </c>
      <c r="B39" s="2161"/>
      <c r="C39" s="2162"/>
      <c r="D39" s="2143"/>
      <c r="E39" s="2144" t="str">
        <f ca="1">IF('25 Sollumsatz nach Monaten'!F42=0,"",'25 Sollumsatz nach Monaten'!F42)</f>
        <v/>
      </c>
      <c r="F39" s="2145" t="str">
        <f t="shared" ca="1" si="323"/>
        <v/>
      </c>
      <c r="G39" s="2146" t="str">
        <f t="shared" ca="1" si="324"/>
        <v/>
      </c>
      <c r="H39" s="2143"/>
      <c r="I39" s="2144" t="str">
        <f ca="1">IF('25 Sollumsatz nach Monaten'!G42=0,"",'25 Sollumsatz nach Monaten'!G42)</f>
        <v/>
      </c>
      <c r="J39" s="2145" t="str">
        <f t="shared" ca="1" si="325"/>
        <v/>
      </c>
      <c r="K39" s="2158" t="str">
        <f t="shared" ca="1" si="326"/>
        <v/>
      </c>
      <c r="L39" s="2148" t="str">
        <f t="shared" ca="1" si="216"/>
        <v/>
      </c>
      <c r="M39" s="2161"/>
      <c r="N39" s="2162"/>
      <c r="O39" s="2143"/>
      <c r="P39" s="2149" t="str">
        <f ca="1">IF('25 Sollumsatz nach Monaten'!L42=0,"",'25 Sollumsatz nach Monaten'!L42)</f>
        <v/>
      </c>
      <c r="Q39" s="2150" t="str">
        <f t="shared" ca="1" si="327"/>
        <v/>
      </c>
      <c r="R39" s="2151" t="str">
        <f t="shared" ca="1" si="328"/>
        <v/>
      </c>
      <c r="S39" s="2143"/>
      <c r="T39" s="2149" t="str">
        <f ca="1">IF('25 Sollumsatz nach Monaten'!M42=0,"",'25 Sollumsatz nach Monaten'!M42)</f>
        <v/>
      </c>
      <c r="U39" s="2150" t="str">
        <f t="shared" ca="1" si="329"/>
        <v/>
      </c>
      <c r="V39" s="2151" t="str">
        <f t="shared" ca="1" si="330"/>
        <v/>
      </c>
      <c r="W39" s="2142" t="str">
        <f t="shared" ca="1" si="217"/>
        <v/>
      </c>
      <c r="X39" s="2161"/>
      <c r="Y39" s="2162"/>
      <c r="Z39" s="2143"/>
      <c r="AA39" s="2144" t="str">
        <f ca="1">IF('25 Sollumsatz nach Monaten'!R42=0,"",'25 Sollumsatz nach Monaten'!R42)</f>
        <v/>
      </c>
      <c r="AB39" s="2145" t="str">
        <f t="shared" ca="1" si="331"/>
        <v/>
      </c>
      <c r="AC39" s="2146" t="str">
        <f t="shared" ca="1" si="332"/>
        <v/>
      </c>
      <c r="AD39" s="2147"/>
      <c r="AE39" s="2144" t="str">
        <f ca="1">IF('25 Sollumsatz nach Monaten'!S42=0,"",'25 Sollumsatz nach Monaten'!S42)</f>
        <v/>
      </c>
      <c r="AF39" s="2145" t="str">
        <f t="shared" ca="1" si="333"/>
        <v/>
      </c>
      <c r="AG39" s="2158" t="str">
        <f t="shared" ca="1" si="334"/>
        <v/>
      </c>
      <c r="AH39" s="2148" t="str">
        <f t="shared" ca="1" si="218"/>
        <v/>
      </c>
      <c r="AI39" s="2161"/>
      <c r="AJ39" s="2162"/>
      <c r="AK39" s="2143"/>
      <c r="AL39" s="2149" t="str">
        <f ca="1">IF('25 Sollumsatz nach Monaten'!X42=0,"",'25 Sollumsatz nach Monaten'!X42)</f>
        <v/>
      </c>
      <c r="AM39" s="2150" t="str">
        <f t="shared" ca="1" si="335"/>
        <v/>
      </c>
      <c r="AN39" s="2151" t="str">
        <f t="shared" ca="1" si="336"/>
        <v/>
      </c>
      <c r="AO39" s="2143"/>
      <c r="AP39" s="2149" t="str">
        <f ca="1">IF('25 Sollumsatz nach Monaten'!Y42=0,"",'25 Sollumsatz nach Monaten'!Y42)</f>
        <v/>
      </c>
      <c r="AQ39" s="2150" t="str">
        <f t="shared" ca="1" si="337"/>
        <v/>
      </c>
      <c r="AR39" s="2151" t="str">
        <f t="shared" ca="1" si="338"/>
        <v/>
      </c>
      <c r="AS39" s="2142" t="str">
        <f t="shared" ca="1" si="219"/>
        <v/>
      </c>
      <c r="AT39" s="2161"/>
      <c r="AU39" s="2162"/>
      <c r="AV39" s="2143"/>
      <c r="AW39" s="2144" t="str">
        <f ca="1">IF('25 Sollumsatz nach Monaten'!AD42=0,"",'25 Sollumsatz nach Monaten'!AD42)</f>
        <v/>
      </c>
      <c r="AX39" s="2145" t="str">
        <f t="shared" ca="1" si="339"/>
        <v/>
      </c>
      <c r="AY39" s="2146" t="str">
        <f t="shared" ca="1" si="340"/>
        <v/>
      </c>
      <c r="AZ39" s="2143"/>
      <c r="BA39" s="2144" t="str">
        <f ca="1">IF('25 Sollumsatz nach Monaten'!AE42=0,"",'25 Sollumsatz nach Monaten'!AE42)</f>
        <v/>
      </c>
      <c r="BB39" s="2145" t="str">
        <f t="shared" ca="1" si="341"/>
        <v/>
      </c>
      <c r="BC39" s="2158" t="str">
        <f t="shared" ca="1" si="342"/>
        <v/>
      </c>
      <c r="BD39" s="2148" t="str">
        <f t="shared" ca="1" si="220"/>
        <v/>
      </c>
      <c r="BE39" s="2161"/>
      <c r="BF39" s="2162"/>
      <c r="BG39" s="2143"/>
      <c r="BH39" s="2149" t="str">
        <f ca="1">IF('25 Sollumsatz nach Monaten'!AJ42=0,"",'25 Sollumsatz nach Monaten'!AJ42)</f>
        <v/>
      </c>
      <c r="BI39" s="2150" t="str">
        <f t="shared" ca="1" si="343"/>
        <v/>
      </c>
      <c r="BJ39" s="2151" t="str">
        <f t="shared" ca="1" si="344"/>
        <v/>
      </c>
      <c r="BK39" s="2143"/>
      <c r="BL39" s="2149" t="str">
        <f ca="1">IF('25 Sollumsatz nach Monaten'!AK42=0,"",'25 Sollumsatz nach Monaten'!AK42)</f>
        <v/>
      </c>
      <c r="BM39" s="2150" t="str">
        <f t="shared" ca="1" si="345"/>
        <v/>
      </c>
      <c r="BN39" s="2151" t="str">
        <f t="shared" ca="1" si="346"/>
        <v/>
      </c>
      <c r="BO39" s="2142" t="str">
        <f t="shared" ca="1" si="221"/>
        <v/>
      </c>
      <c r="BP39" s="2161"/>
      <c r="BQ39" s="2162"/>
      <c r="BR39" s="2143"/>
      <c r="BS39" s="2144" t="str">
        <f ca="1">IF('25 Sollumsatz nach Monaten'!AP42=0,"",'25 Sollumsatz nach Monaten'!AP42)</f>
        <v/>
      </c>
      <c r="BT39" s="2145" t="str">
        <f t="shared" ca="1" si="347"/>
        <v/>
      </c>
      <c r="BU39" s="2146" t="str">
        <f t="shared" ca="1" si="348"/>
        <v/>
      </c>
      <c r="BV39" s="2143"/>
      <c r="BW39" s="2144" t="str">
        <f ca="1">IF('25 Sollumsatz nach Monaten'!AQ42=0,"",'25 Sollumsatz nach Monaten'!AQ42)</f>
        <v/>
      </c>
      <c r="BX39" s="2145" t="str">
        <f t="shared" ca="1" si="349"/>
        <v/>
      </c>
      <c r="BY39" s="2158" t="str">
        <f t="shared" ca="1" si="350"/>
        <v/>
      </c>
      <c r="BZ39" s="2148" t="str">
        <f t="shared" ca="1" si="222"/>
        <v/>
      </c>
      <c r="CA39" s="2161"/>
      <c r="CB39" s="2162"/>
      <c r="CC39" s="2143"/>
      <c r="CD39" s="2149" t="str">
        <f ca="1">IF('25 Sollumsatz nach Monaten'!AV42=0,"",'25 Sollumsatz nach Monaten'!AV42)</f>
        <v/>
      </c>
      <c r="CE39" s="2150" t="str">
        <f t="shared" ca="1" si="351"/>
        <v/>
      </c>
      <c r="CF39" s="2151" t="str">
        <f t="shared" ca="1" si="352"/>
        <v/>
      </c>
      <c r="CG39" s="2143"/>
      <c r="CH39" s="2149" t="str">
        <f ca="1">IF('25 Sollumsatz nach Monaten'!AW42=0,"",'25 Sollumsatz nach Monaten'!AW42)</f>
        <v/>
      </c>
      <c r="CI39" s="2150" t="str">
        <f t="shared" ca="1" si="353"/>
        <v/>
      </c>
      <c r="CJ39" s="2151" t="str">
        <f t="shared" ca="1" si="354"/>
        <v/>
      </c>
      <c r="CK39" s="2142" t="str">
        <f t="shared" ca="1" si="223"/>
        <v/>
      </c>
      <c r="CL39" s="2161"/>
      <c r="CM39" s="2162"/>
      <c r="CN39" s="2143"/>
      <c r="CO39" s="2144" t="str">
        <f ca="1">IF('25 Sollumsatz nach Monaten'!BB42=0,"",'25 Sollumsatz nach Monaten'!BB42)</f>
        <v/>
      </c>
      <c r="CP39" s="2145" t="str">
        <f t="shared" ca="1" si="355"/>
        <v/>
      </c>
      <c r="CQ39" s="2146" t="str">
        <f t="shared" ca="1" si="356"/>
        <v/>
      </c>
      <c r="CR39" s="2143"/>
      <c r="CS39" s="2144" t="str">
        <f ca="1">IF('25 Sollumsatz nach Monaten'!BC42=0,"",'25 Sollumsatz nach Monaten'!BC42)</f>
        <v/>
      </c>
      <c r="CT39" s="2145" t="str">
        <f t="shared" ca="1" si="357"/>
        <v/>
      </c>
      <c r="CU39" s="2158" t="str">
        <f t="shared" ca="1" si="358"/>
        <v/>
      </c>
      <c r="CV39" s="2148" t="str">
        <f t="shared" ca="1" si="224"/>
        <v/>
      </c>
      <c r="CW39" s="2161"/>
      <c r="CX39" s="2162"/>
      <c r="CY39" s="2143"/>
      <c r="CZ39" s="2149" t="str">
        <f ca="1">IF('25 Sollumsatz nach Monaten'!BH42=0,"",'25 Sollumsatz nach Monaten'!BH42)</f>
        <v/>
      </c>
      <c r="DA39" s="2150" t="str">
        <f t="shared" ca="1" si="359"/>
        <v/>
      </c>
      <c r="DB39" s="2151" t="str">
        <f t="shared" ca="1" si="360"/>
        <v/>
      </c>
      <c r="DC39" s="2143"/>
      <c r="DD39" s="2149" t="str">
        <f ca="1">IF('25 Sollumsatz nach Monaten'!BI42=0,"",'25 Sollumsatz nach Monaten'!BI42)</f>
        <v/>
      </c>
      <c r="DE39" s="2150" t="str">
        <f t="shared" ca="1" si="361"/>
        <v/>
      </c>
      <c r="DF39" s="2151" t="str">
        <f t="shared" ca="1" si="362"/>
        <v/>
      </c>
      <c r="DG39" s="2142" t="str">
        <f t="shared" ca="1" si="225"/>
        <v/>
      </c>
      <c r="DH39" s="2161"/>
      <c r="DI39" s="2162"/>
      <c r="DJ39" s="2143"/>
      <c r="DK39" s="2144" t="str">
        <f ca="1">IF('25 Sollumsatz nach Monaten'!BN42=0,"",'25 Sollumsatz nach Monaten'!BN42)</f>
        <v/>
      </c>
      <c r="DL39" s="2145" t="str">
        <f t="shared" ca="1" si="363"/>
        <v/>
      </c>
      <c r="DM39" s="2146" t="str">
        <f t="shared" ca="1" si="364"/>
        <v/>
      </c>
      <c r="DN39" s="2143"/>
      <c r="DO39" s="2144" t="str">
        <f ca="1">IF('25 Sollumsatz nach Monaten'!BO42=0,"",'25 Sollumsatz nach Monaten'!BO42)</f>
        <v/>
      </c>
      <c r="DP39" s="2145" t="str">
        <f t="shared" ca="1" si="365"/>
        <v/>
      </c>
      <c r="DQ39" s="2158" t="str">
        <f t="shared" ca="1" si="366"/>
        <v/>
      </c>
      <c r="DR39" s="2148" t="str">
        <f t="shared" ca="1" si="226"/>
        <v/>
      </c>
      <c r="DS39" s="2161"/>
      <c r="DT39" s="2162"/>
      <c r="DU39" s="2143"/>
      <c r="DV39" s="2149" t="str">
        <f ca="1">IF('25 Sollumsatz nach Monaten'!BT42=0,"",'25 Sollumsatz nach Monaten'!BT42)</f>
        <v/>
      </c>
      <c r="DW39" s="2150" t="str">
        <f t="shared" ca="1" si="367"/>
        <v/>
      </c>
      <c r="DX39" s="2151" t="str">
        <f t="shared" ca="1" si="368"/>
        <v/>
      </c>
      <c r="DY39" s="2143"/>
      <c r="DZ39" s="2149" t="str">
        <f ca="1">IF('25 Sollumsatz nach Monaten'!BU42=0,"",'25 Sollumsatz nach Monaten'!BU42)</f>
        <v/>
      </c>
      <c r="EA39" s="2150" t="str">
        <f t="shared" ca="1" si="369"/>
        <v/>
      </c>
      <c r="EB39" s="2151" t="str">
        <f t="shared" ca="1" si="370"/>
        <v/>
      </c>
      <c r="EC39" s="2152" t="str">
        <f t="shared" ca="1" si="227"/>
        <v/>
      </c>
      <c r="ED39" s="2280" t="str">
        <f t="shared" ca="1" si="371"/>
        <v/>
      </c>
      <c r="EE39" s="2153" t="str">
        <f t="shared" ca="1" si="372"/>
        <v/>
      </c>
      <c r="EF39" s="2154" t="str">
        <f t="shared" ca="1" si="373"/>
        <v/>
      </c>
      <c r="EG39" s="2155" t="str">
        <f t="shared" ca="1" si="275"/>
        <v/>
      </c>
      <c r="EH39" s="2282" t="str">
        <f t="shared" ca="1" si="374"/>
        <v/>
      </c>
      <c r="EI39" s="2153" t="str">
        <f t="shared" ca="1" si="375"/>
        <v/>
      </c>
      <c r="EJ39" s="2154" t="str">
        <f t="shared" ca="1" si="376"/>
        <v/>
      </c>
      <c r="EK39" s="2155" t="str">
        <f t="shared" ca="1" si="377"/>
        <v/>
      </c>
      <c r="EL39" s="2160" t="str">
        <f t="shared" ca="1" si="378"/>
        <v/>
      </c>
      <c r="EM39" s="2160" t="str">
        <f t="shared" ca="1" si="379"/>
        <v/>
      </c>
      <c r="EN39" s="2160" t="str">
        <f t="shared" ca="1" si="380"/>
        <v/>
      </c>
      <c r="EO39" s="2152" t="str">
        <f t="shared" ca="1" si="237"/>
        <v/>
      </c>
      <c r="EP39" s="2312" t="str">
        <f ca="1">IF('25 Sollumsatz nach Monaten'!BV42="","",SUM(EQ39:ER39))</f>
        <v/>
      </c>
      <c r="EQ39" s="2312" t="str">
        <f ca="1">IF('25 Sollumsatz nach Monaten'!BV42="","",ED39/'25 Sollumsatz nach Monaten'!BV42)</f>
        <v/>
      </c>
      <c r="ER39" s="2312" t="str">
        <f ca="1">IF('25 Sollumsatz nach Monaten'!BV42="","",EH39/'25 Sollumsatz nach Monaten'!BV42)</f>
        <v/>
      </c>
      <c r="EY39" s="2248"/>
      <c r="EZ39" s="2249"/>
      <c r="FA39" s="2250"/>
      <c r="FB39" s="2251" t="str">
        <f t="shared" si="381"/>
        <v/>
      </c>
      <c r="FC39" s="2252"/>
      <c r="FD39" s="2253"/>
      <c r="FE39" s="2251" t="str">
        <f t="shared" ca="1" si="382"/>
        <v/>
      </c>
      <c r="FF39" s="2254"/>
      <c r="FG39" s="2252"/>
      <c r="FH39" s="2253"/>
      <c r="FI39" s="2251" t="str">
        <f t="shared" ca="1" si="383"/>
        <v/>
      </c>
      <c r="FJ39" s="2248"/>
      <c r="FK39" s="2249"/>
      <c r="FL39" s="2250"/>
      <c r="FM39" s="2251" t="str">
        <f t="shared" si="384"/>
        <v/>
      </c>
      <c r="FN39" s="2252"/>
      <c r="FO39" s="2253"/>
      <c r="FP39" s="2251" t="str">
        <f t="shared" ca="1" si="385"/>
        <v/>
      </c>
      <c r="FQ39" s="2254"/>
      <c r="FR39" s="2252"/>
      <c r="FS39" s="2253"/>
      <c r="FT39" s="2251" t="str">
        <f t="shared" ca="1" si="386"/>
        <v/>
      </c>
      <c r="FU39" s="2248"/>
      <c r="FV39" s="2249"/>
      <c r="FW39" s="2250"/>
      <c r="FX39" s="2251" t="str">
        <f t="shared" si="387"/>
        <v/>
      </c>
      <c r="FY39" s="2252"/>
      <c r="FZ39" s="2253"/>
      <c r="GA39" s="2251" t="str">
        <f t="shared" ca="1" si="388"/>
        <v/>
      </c>
      <c r="GB39" s="2254"/>
      <c r="GC39" s="2252"/>
      <c r="GD39" s="2253"/>
      <c r="GE39" s="2251" t="str">
        <f t="shared" ca="1" si="389"/>
        <v/>
      </c>
      <c r="GF39" s="2248"/>
      <c r="GG39" s="2249"/>
      <c r="GH39" s="2250"/>
      <c r="GI39" s="2251" t="str">
        <f t="shared" si="390"/>
        <v/>
      </c>
      <c r="GJ39" s="2252"/>
      <c r="GK39" s="2253"/>
      <c r="GL39" s="2251" t="str">
        <f t="shared" ca="1" si="391"/>
        <v/>
      </c>
      <c r="GM39" s="2254"/>
      <c r="GN39" s="2252"/>
      <c r="GO39" s="2253"/>
      <c r="GP39" s="2251" t="str">
        <f t="shared" ca="1" si="392"/>
        <v/>
      </c>
      <c r="GQ39" s="2248"/>
      <c r="GR39" s="2249"/>
      <c r="GS39" s="2250"/>
      <c r="GT39" s="2251" t="str">
        <f t="shared" si="393"/>
        <v/>
      </c>
      <c r="GU39" s="2252"/>
      <c r="GV39" s="2253"/>
      <c r="GW39" s="2251" t="str">
        <f t="shared" ca="1" si="394"/>
        <v/>
      </c>
      <c r="GX39" s="2254"/>
      <c r="GY39" s="2252"/>
      <c r="GZ39" s="2253"/>
      <c r="HA39" s="2251" t="str">
        <f t="shared" ca="1" si="395"/>
        <v/>
      </c>
      <c r="HB39" s="2248"/>
      <c r="HC39" s="2249"/>
      <c r="HD39" s="2250"/>
      <c r="HE39" s="2251" t="str">
        <f t="shared" si="396"/>
        <v/>
      </c>
      <c r="HF39" s="2252"/>
      <c r="HG39" s="2253"/>
      <c r="HH39" s="2251" t="str">
        <f t="shared" ca="1" si="397"/>
        <v/>
      </c>
      <c r="HI39" s="2254"/>
      <c r="HJ39" s="2252"/>
      <c r="HK39" s="2253"/>
      <c r="HL39" s="2251" t="str">
        <f t="shared" ca="1" si="398"/>
        <v/>
      </c>
      <c r="HM39" s="2248"/>
      <c r="HN39" s="2249"/>
      <c r="HO39" s="2250"/>
      <c r="HP39" s="2251" t="str">
        <f t="shared" si="399"/>
        <v/>
      </c>
      <c r="HQ39" s="2252"/>
      <c r="HR39" s="2253"/>
      <c r="HS39" s="2251" t="str">
        <f t="shared" ca="1" si="400"/>
        <v/>
      </c>
      <c r="HT39" s="2254"/>
      <c r="HU39" s="2252"/>
      <c r="HV39" s="2253"/>
      <c r="HW39" s="2251" t="str">
        <f t="shared" ca="1" si="401"/>
        <v/>
      </c>
      <c r="HX39" s="2248"/>
      <c r="HY39" s="2249"/>
      <c r="HZ39" s="2250"/>
      <c r="IA39" s="2251" t="str">
        <f t="shared" si="402"/>
        <v/>
      </c>
      <c r="IB39" s="2252"/>
      <c r="IC39" s="2253"/>
      <c r="ID39" s="2251" t="str">
        <f t="shared" ca="1" si="403"/>
        <v/>
      </c>
      <c r="IE39" s="2254"/>
      <c r="IF39" s="2252"/>
      <c r="IG39" s="2253"/>
      <c r="IH39" s="2251" t="str">
        <f t="shared" ca="1" si="404"/>
        <v/>
      </c>
      <c r="II39" s="2248"/>
      <c r="IJ39" s="2249"/>
      <c r="IK39" s="2250"/>
      <c r="IL39" s="2251" t="str">
        <f t="shared" si="405"/>
        <v/>
      </c>
      <c r="IM39" s="2252"/>
      <c r="IN39" s="2253"/>
      <c r="IO39" s="2251" t="str">
        <f t="shared" ca="1" si="406"/>
        <v/>
      </c>
      <c r="IP39" s="2254"/>
      <c r="IQ39" s="2252"/>
      <c r="IR39" s="2253"/>
      <c r="IS39" s="2251" t="str">
        <f t="shared" ca="1" si="407"/>
        <v/>
      </c>
      <c r="IT39" s="2248"/>
      <c r="IU39" s="2249"/>
      <c r="IV39" s="2250"/>
      <c r="IW39" s="2251" t="str">
        <f t="shared" si="408"/>
        <v/>
      </c>
      <c r="IX39" s="2252"/>
      <c r="IY39" s="2253"/>
      <c r="IZ39" s="2251" t="str">
        <f t="shared" ca="1" si="409"/>
        <v/>
      </c>
      <c r="JA39" s="2254"/>
      <c r="JB39" s="2252"/>
      <c r="JC39" s="2253"/>
      <c r="JD39" s="2251" t="str">
        <f t="shared" ca="1" si="410"/>
        <v/>
      </c>
      <c r="JE39" s="2248"/>
      <c r="JF39" s="2249"/>
      <c r="JG39" s="2250"/>
      <c r="JH39" s="2251" t="str">
        <f t="shared" si="411"/>
        <v/>
      </c>
      <c r="JI39" s="2252"/>
      <c r="JJ39" s="2253"/>
      <c r="JK39" s="2251" t="str">
        <f t="shared" ca="1" si="412"/>
        <v/>
      </c>
      <c r="JL39" s="2254"/>
      <c r="JM39" s="2252"/>
      <c r="JN39" s="2253"/>
      <c r="JO39" s="2251" t="str">
        <f t="shared" ca="1" si="413"/>
        <v/>
      </c>
      <c r="JP39" s="2248"/>
      <c r="JQ39" s="2249"/>
      <c r="JR39" s="2250"/>
      <c r="JS39" s="2251" t="str">
        <f t="shared" si="414"/>
        <v/>
      </c>
      <c r="JT39" s="2252"/>
      <c r="JU39" s="2253"/>
      <c r="JV39" s="2251" t="str">
        <f t="shared" ca="1" si="415"/>
        <v/>
      </c>
      <c r="JW39" s="2254"/>
      <c r="JX39" s="2252"/>
      <c r="JY39" s="2253"/>
      <c r="JZ39" s="2251" t="str">
        <f t="shared" ca="1" si="416"/>
        <v/>
      </c>
      <c r="KA39" s="2231"/>
    </row>
    <row r="40" spans="1:287" s="2156" customFormat="1" ht="18" customHeight="1">
      <c r="A40" s="2142" t="str">
        <f ca="1">IF('22 Sollumsatz pro MA '!$A43="","",'22 Sollumsatz pro MA '!$A43)</f>
        <v/>
      </c>
      <c r="B40" s="2161"/>
      <c r="C40" s="2162"/>
      <c r="D40" s="2143"/>
      <c r="E40" s="2144" t="str">
        <f ca="1">IF('25 Sollumsatz nach Monaten'!F43=0,"",'25 Sollumsatz nach Monaten'!F43)</f>
        <v/>
      </c>
      <c r="F40" s="2145" t="str">
        <f t="shared" ca="1" si="323"/>
        <v/>
      </c>
      <c r="G40" s="2146" t="str">
        <f t="shared" ca="1" si="324"/>
        <v/>
      </c>
      <c r="H40" s="2143"/>
      <c r="I40" s="2144" t="str">
        <f ca="1">IF('25 Sollumsatz nach Monaten'!G43=0,"",'25 Sollumsatz nach Monaten'!G43)</f>
        <v/>
      </c>
      <c r="J40" s="2145" t="str">
        <f t="shared" ca="1" si="325"/>
        <v/>
      </c>
      <c r="K40" s="2158" t="str">
        <f t="shared" ca="1" si="326"/>
        <v/>
      </c>
      <c r="L40" s="2148" t="str">
        <f t="shared" ca="1" si="216"/>
        <v/>
      </c>
      <c r="M40" s="2161"/>
      <c r="N40" s="2162"/>
      <c r="O40" s="2143"/>
      <c r="P40" s="2149" t="str">
        <f ca="1">IF('25 Sollumsatz nach Monaten'!L43=0,"",'25 Sollumsatz nach Monaten'!L43)</f>
        <v/>
      </c>
      <c r="Q40" s="2150" t="str">
        <f t="shared" ca="1" si="327"/>
        <v/>
      </c>
      <c r="R40" s="2151" t="str">
        <f t="shared" ca="1" si="328"/>
        <v/>
      </c>
      <c r="S40" s="2143"/>
      <c r="T40" s="2149" t="str">
        <f ca="1">IF('25 Sollumsatz nach Monaten'!M43=0,"",'25 Sollumsatz nach Monaten'!M43)</f>
        <v/>
      </c>
      <c r="U40" s="2150" t="str">
        <f t="shared" ca="1" si="329"/>
        <v/>
      </c>
      <c r="V40" s="2151" t="str">
        <f t="shared" ca="1" si="330"/>
        <v/>
      </c>
      <c r="W40" s="2142" t="str">
        <f t="shared" ca="1" si="217"/>
        <v/>
      </c>
      <c r="X40" s="2161"/>
      <c r="Y40" s="2162"/>
      <c r="Z40" s="2143"/>
      <c r="AA40" s="2144" t="str">
        <f ca="1">IF('25 Sollumsatz nach Monaten'!R43=0,"",'25 Sollumsatz nach Monaten'!R43)</f>
        <v/>
      </c>
      <c r="AB40" s="2145" t="str">
        <f t="shared" ca="1" si="331"/>
        <v/>
      </c>
      <c r="AC40" s="2146" t="str">
        <f t="shared" ca="1" si="332"/>
        <v/>
      </c>
      <c r="AD40" s="2147"/>
      <c r="AE40" s="2144" t="str">
        <f ca="1">IF('25 Sollumsatz nach Monaten'!S43=0,"",'25 Sollumsatz nach Monaten'!S43)</f>
        <v/>
      </c>
      <c r="AF40" s="2145" t="str">
        <f t="shared" ca="1" si="333"/>
        <v/>
      </c>
      <c r="AG40" s="2158" t="str">
        <f t="shared" ca="1" si="334"/>
        <v/>
      </c>
      <c r="AH40" s="2148" t="str">
        <f t="shared" ca="1" si="218"/>
        <v/>
      </c>
      <c r="AI40" s="2161"/>
      <c r="AJ40" s="2162"/>
      <c r="AK40" s="2143"/>
      <c r="AL40" s="2149" t="str">
        <f ca="1">IF('25 Sollumsatz nach Monaten'!X43=0,"",'25 Sollumsatz nach Monaten'!X43)</f>
        <v/>
      </c>
      <c r="AM40" s="2150" t="str">
        <f t="shared" ca="1" si="335"/>
        <v/>
      </c>
      <c r="AN40" s="2151" t="str">
        <f t="shared" ca="1" si="336"/>
        <v/>
      </c>
      <c r="AO40" s="2143"/>
      <c r="AP40" s="2149" t="str">
        <f ca="1">IF('25 Sollumsatz nach Monaten'!Y43=0,"",'25 Sollumsatz nach Monaten'!Y43)</f>
        <v/>
      </c>
      <c r="AQ40" s="2150" t="str">
        <f t="shared" ca="1" si="337"/>
        <v/>
      </c>
      <c r="AR40" s="2151" t="str">
        <f t="shared" ca="1" si="338"/>
        <v/>
      </c>
      <c r="AS40" s="2142" t="str">
        <f t="shared" ca="1" si="219"/>
        <v/>
      </c>
      <c r="AT40" s="2161"/>
      <c r="AU40" s="2162"/>
      <c r="AV40" s="2143"/>
      <c r="AW40" s="2144" t="str">
        <f ca="1">IF('25 Sollumsatz nach Monaten'!AD43=0,"",'25 Sollumsatz nach Monaten'!AD43)</f>
        <v/>
      </c>
      <c r="AX40" s="2145" t="str">
        <f t="shared" ca="1" si="339"/>
        <v/>
      </c>
      <c r="AY40" s="2146" t="str">
        <f t="shared" ca="1" si="340"/>
        <v/>
      </c>
      <c r="AZ40" s="2143"/>
      <c r="BA40" s="2144" t="str">
        <f ca="1">IF('25 Sollumsatz nach Monaten'!AE43=0,"",'25 Sollumsatz nach Monaten'!AE43)</f>
        <v/>
      </c>
      <c r="BB40" s="2145" t="str">
        <f t="shared" ca="1" si="341"/>
        <v/>
      </c>
      <c r="BC40" s="2158" t="str">
        <f t="shared" ca="1" si="342"/>
        <v/>
      </c>
      <c r="BD40" s="2148" t="str">
        <f t="shared" ca="1" si="220"/>
        <v/>
      </c>
      <c r="BE40" s="2161"/>
      <c r="BF40" s="2162"/>
      <c r="BG40" s="2143"/>
      <c r="BH40" s="2149" t="str">
        <f ca="1">IF('25 Sollumsatz nach Monaten'!AJ43=0,"",'25 Sollumsatz nach Monaten'!AJ43)</f>
        <v/>
      </c>
      <c r="BI40" s="2150" t="str">
        <f t="shared" ca="1" si="343"/>
        <v/>
      </c>
      <c r="BJ40" s="2151" t="str">
        <f t="shared" ca="1" si="344"/>
        <v/>
      </c>
      <c r="BK40" s="2143"/>
      <c r="BL40" s="2149" t="str">
        <f ca="1">IF('25 Sollumsatz nach Monaten'!AK43=0,"",'25 Sollumsatz nach Monaten'!AK43)</f>
        <v/>
      </c>
      <c r="BM40" s="2150" t="str">
        <f t="shared" ca="1" si="345"/>
        <v/>
      </c>
      <c r="BN40" s="2151" t="str">
        <f t="shared" ca="1" si="346"/>
        <v/>
      </c>
      <c r="BO40" s="2142" t="str">
        <f t="shared" ca="1" si="221"/>
        <v/>
      </c>
      <c r="BP40" s="2161"/>
      <c r="BQ40" s="2162"/>
      <c r="BR40" s="2143"/>
      <c r="BS40" s="2144" t="str">
        <f ca="1">IF('25 Sollumsatz nach Monaten'!AP43=0,"",'25 Sollumsatz nach Monaten'!AP43)</f>
        <v/>
      </c>
      <c r="BT40" s="2145" t="str">
        <f t="shared" ca="1" si="347"/>
        <v/>
      </c>
      <c r="BU40" s="2146" t="str">
        <f t="shared" ca="1" si="348"/>
        <v/>
      </c>
      <c r="BV40" s="2143"/>
      <c r="BW40" s="2144" t="str">
        <f ca="1">IF('25 Sollumsatz nach Monaten'!AQ43=0,"",'25 Sollumsatz nach Monaten'!AQ43)</f>
        <v/>
      </c>
      <c r="BX40" s="2145" t="str">
        <f t="shared" ca="1" si="349"/>
        <v/>
      </c>
      <c r="BY40" s="2158" t="str">
        <f t="shared" ca="1" si="350"/>
        <v/>
      </c>
      <c r="BZ40" s="2148" t="str">
        <f t="shared" ca="1" si="222"/>
        <v/>
      </c>
      <c r="CA40" s="2161"/>
      <c r="CB40" s="2162"/>
      <c r="CC40" s="2143"/>
      <c r="CD40" s="2149" t="str">
        <f ca="1">IF('25 Sollumsatz nach Monaten'!AV43=0,"",'25 Sollumsatz nach Monaten'!AV43)</f>
        <v/>
      </c>
      <c r="CE40" s="2150" t="str">
        <f t="shared" ca="1" si="351"/>
        <v/>
      </c>
      <c r="CF40" s="2151" t="str">
        <f t="shared" ca="1" si="352"/>
        <v/>
      </c>
      <c r="CG40" s="2143"/>
      <c r="CH40" s="2149" t="str">
        <f ca="1">IF('25 Sollumsatz nach Monaten'!AW43=0,"",'25 Sollumsatz nach Monaten'!AW43)</f>
        <v/>
      </c>
      <c r="CI40" s="2150" t="str">
        <f t="shared" ca="1" si="353"/>
        <v/>
      </c>
      <c r="CJ40" s="2151" t="str">
        <f t="shared" ca="1" si="354"/>
        <v/>
      </c>
      <c r="CK40" s="2142" t="str">
        <f t="shared" ca="1" si="223"/>
        <v/>
      </c>
      <c r="CL40" s="2161"/>
      <c r="CM40" s="2162"/>
      <c r="CN40" s="2143"/>
      <c r="CO40" s="2144" t="str">
        <f ca="1">IF('25 Sollumsatz nach Monaten'!BB43=0,"",'25 Sollumsatz nach Monaten'!BB43)</f>
        <v/>
      </c>
      <c r="CP40" s="2145" t="str">
        <f t="shared" ca="1" si="355"/>
        <v/>
      </c>
      <c r="CQ40" s="2146" t="str">
        <f t="shared" ca="1" si="356"/>
        <v/>
      </c>
      <c r="CR40" s="2143"/>
      <c r="CS40" s="2144" t="str">
        <f ca="1">IF('25 Sollumsatz nach Monaten'!BC43=0,"",'25 Sollumsatz nach Monaten'!BC43)</f>
        <v/>
      </c>
      <c r="CT40" s="2145" t="str">
        <f t="shared" ca="1" si="357"/>
        <v/>
      </c>
      <c r="CU40" s="2158" t="str">
        <f t="shared" ca="1" si="358"/>
        <v/>
      </c>
      <c r="CV40" s="2148" t="str">
        <f t="shared" ca="1" si="224"/>
        <v/>
      </c>
      <c r="CW40" s="2161"/>
      <c r="CX40" s="2162"/>
      <c r="CY40" s="2143"/>
      <c r="CZ40" s="2149" t="str">
        <f ca="1">IF('25 Sollumsatz nach Monaten'!BH43=0,"",'25 Sollumsatz nach Monaten'!BH43)</f>
        <v/>
      </c>
      <c r="DA40" s="2150" t="str">
        <f t="shared" ca="1" si="359"/>
        <v/>
      </c>
      <c r="DB40" s="2151" t="str">
        <f t="shared" ca="1" si="360"/>
        <v/>
      </c>
      <c r="DC40" s="2143"/>
      <c r="DD40" s="2149" t="str">
        <f ca="1">IF('25 Sollumsatz nach Monaten'!BI43=0,"",'25 Sollumsatz nach Monaten'!BI43)</f>
        <v/>
      </c>
      <c r="DE40" s="2150" t="str">
        <f t="shared" ca="1" si="361"/>
        <v/>
      </c>
      <c r="DF40" s="2151" t="str">
        <f t="shared" ca="1" si="362"/>
        <v/>
      </c>
      <c r="DG40" s="2142" t="str">
        <f t="shared" ca="1" si="225"/>
        <v/>
      </c>
      <c r="DH40" s="2161"/>
      <c r="DI40" s="2162"/>
      <c r="DJ40" s="2143"/>
      <c r="DK40" s="2144" t="str">
        <f ca="1">IF('25 Sollumsatz nach Monaten'!BN43=0,"",'25 Sollumsatz nach Monaten'!BN43)</f>
        <v/>
      </c>
      <c r="DL40" s="2145" t="str">
        <f t="shared" ca="1" si="363"/>
        <v/>
      </c>
      <c r="DM40" s="2146" t="str">
        <f t="shared" ca="1" si="364"/>
        <v/>
      </c>
      <c r="DN40" s="2143"/>
      <c r="DO40" s="2144" t="str">
        <f ca="1">IF('25 Sollumsatz nach Monaten'!BO43=0,"",'25 Sollumsatz nach Monaten'!BO43)</f>
        <v/>
      </c>
      <c r="DP40" s="2145" t="str">
        <f t="shared" ca="1" si="365"/>
        <v/>
      </c>
      <c r="DQ40" s="2158" t="str">
        <f t="shared" ca="1" si="366"/>
        <v/>
      </c>
      <c r="DR40" s="2148" t="str">
        <f t="shared" ca="1" si="226"/>
        <v/>
      </c>
      <c r="DS40" s="2161"/>
      <c r="DT40" s="2162"/>
      <c r="DU40" s="2143"/>
      <c r="DV40" s="2149" t="str">
        <f ca="1">IF('25 Sollumsatz nach Monaten'!BT43=0,"",'25 Sollumsatz nach Monaten'!BT43)</f>
        <v/>
      </c>
      <c r="DW40" s="2150" t="str">
        <f t="shared" ca="1" si="367"/>
        <v/>
      </c>
      <c r="DX40" s="2151" t="str">
        <f t="shared" ca="1" si="368"/>
        <v/>
      </c>
      <c r="DY40" s="2143"/>
      <c r="DZ40" s="2149" t="str">
        <f ca="1">IF('25 Sollumsatz nach Monaten'!BU43=0,"",'25 Sollumsatz nach Monaten'!BU43)</f>
        <v/>
      </c>
      <c r="EA40" s="2150" t="str">
        <f t="shared" ca="1" si="369"/>
        <v/>
      </c>
      <c r="EB40" s="2151" t="str">
        <f t="shared" ca="1" si="370"/>
        <v/>
      </c>
      <c r="EC40" s="2152" t="str">
        <f t="shared" ca="1" si="227"/>
        <v/>
      </c>
      <c r="ED40" s="2280" t="str">
        <f t="shared" ca="1" si="371"/>
        <v/>
      </c>
      <c r="EE40" s="2153" t="str">
        <f t="shared" ca="1" si="372"/>
        <v/>
      </c>
      <c r="EF40" s="2154" t="str">
        <f t="shared" ca="1" si="373"/>
        <v/>
      </c>
      <c r="EG40" s="2155" t="str">
        <f t="shared" ca="1" si="275"/>
        <v/>
      </c>
      <c r="EH40" s="2282" t="str">
        <f t="shared" ca="1" si="374"/>
        <v/>
      </c>
      <c r="EI40" s="2153" t="str">
        <f t="shared" ca="1" si="375"/>
        <v/>
      </c>
      <c r="EJ40" s="2154" t="str">
        <f t="shared" ca="1" si="376"/>
        <v/>
      </c>
      <c r="EK40" s="2155" t="str">
        <f t="shared" ca="1" si="377"/>
        <v/>
      </c>
      <c r="EL40" s="2160" t="str">
        <f t="shared" ca="1" si="378"/>
        <v/>
      </c>
      <c r="EM40" s="2160" t="str">
        <f t="shared" ca="1" si="379"/>
        <v/>
      </c>
      <c r="EN40" s="2160" t="str">
        <f t="shared" ca="1" si="380"/>
        <v/>
      </c>
      <c r="EO40" s="2152" t="str">
        <f t="shared" ca="1" si="237"/>
        <v/>
      </c>
      <c r="EP40" s="2312" t="str">
        <f ca="1">IF('25 Sollumsatz nach Monaten'!BV43="","",SUM(EQ40:ER40))</f>
        <v/>
      </c>
      <c r="EQ40" s="2312" t="str">
        <f ca="1">IF('25 Sollumsatz nach Monaten'!BV43="","",ED40/'25 Sollumsatz nach Monaten'!BV43)</f>
        <v/>
      </c>
      <c r="ER40" s="2312" t="str">
        <f ca="1">IF('25 Sollumsatz nach Monaten'!BV43="","",EH40/'25 Sollumsatz nach Monaten'!BV43)</f>
        <v/>
      </c>
      <c r="EY40" s="2248"/>
      <c r="EZ40" s="2249"/>
      <c r="FA40" s="2250"/>
      <c r="FB40" s="2251" t="str">
        <f t="shared" si="381"/>
        <v/>
      </c>
      <c r="FC40" s="2252"/>
      <c r="FD40" s="2253"/>
      <c r="FE40" s="2251" t="str">
        <f t="shared" ca="1" si="382"/>
        <v/>
      </c>
      <c r="FF40" s="2254"/>
      <c r="FG40" s="2252"/>
      <c r="FH40" s="2253"/>
      <c r="FI40" s="2251" t="str">
        <f t="shared" ca="1" si="383"/>
        <v/>
      </c>
      <c r="FJ40" s="2248"/>
      <c r="FK40" s="2249"/>
      <c r="FL40" s="2250"/>
      <c r="FM40" s="2251" t="str">
        <f t="shared" si="384"/>
        <v/>
      </c>
      <c r="FN40" s="2252"/>
      <c r="FO40" s="2253"/>
      <c r="FP40" s="2251" t="str">
        <f t="shared" ca="1" si="385"/>
        <v/>
      </c>
      <c r="FQ40" s="2254"/>
      <c r="FR40" s="2252"/>
      <c r="FS40" s="2253"/>
      <c r="FT40" s="2251" t="str">
        <f t="shared" ca="1" si="386"/>
        <v/>
      </c>
      <c r="FU40" s="2248"/>
      <c r="FV40" s="2249"/>
      <c r="FW40" s="2250"/>
      <c r="FX40" s="2251" t="str">
        <f t="shared" si="387"/>
        <v/>
      </c>
      <c r="FY40" s="2252"/>
      <c r="FZ40" s="2253"/>
      <c r="GA40" s="2251" t="str">
        <f t="shared" ca="1" si="388"/>
        <v/>
      </c>
      <c r="GB40" s="2254"/>
      <c r="GC40" s="2252"/>
      <c r="GD40" s="2253"/>
      <c r="GE40" s="2251" t="str">
        <f t="shared" ca="1" si="389"/>
        <v/>
      </c>
      <c r="GF40" s="2248"/>
      <c r="GG40" s="2249"/>
      <c r="GH40" s="2250"/>
      <c r="GI40" s="2251" t="str">
        <f t="shared" si="390"/>
        <v/>
      </c>
      <c r="GJ40" s="2252"/>
      <c r="GK40" s="2253"/>
      <c r="GL40" s="2251" t="str">
        <f t="shared" ca="1" si="391"/>
        <v/>
      </c>
      <c r="GM40" s="2254"/>
      <c r="GN40" s="2252"/>
      <c r="GO40" s="2253"/>
      <c r="GP40" s="2251" t="str">
        <f t="shared" ca="1" si="392"/>
        <v/>
      </c>
      <c r="GQ40" s="2248"/>
      <c r="GR40" s="2249"/>
      <c r="GS40" s="2250"/>
      <c r="GT40" s="2251" t="str">
        <f t="shared" si="393"/>
        <v/>
      </c>
      <c r="GU40" s="2252"/>
      <c r="GV40" s="2253"/>
      <c r="GW40" s="2251" t="str">
        <f t="shared" ca="1" si="394"/>
        <v/>
      </c>
      <c r="GX40" s="2254"/>
      <c r="GY40" s="2252"/>
      <c r="GZ40" s="2253"/>
      <c r="HA40" s="2251" t="str">
        <f t="shared" ca="1" si="395"/>
        <v/>
      </c>
      <c r="HB40" s="2248"/>
      <c r="HC40" s="2249"/>
      <c r="HD40" s="2250"/>
      <c r="HE40" s="2251" t="str">
        <f t="shared" si="396"/>
        <v/>
      </c>
      <c r="HF40" s="2252"/>
      <c r="HG40" s="2253"/>
      <c r="HH40" s="2251" t="str">
        <f t="shared" ca="1" si="397"/>
        <v/>
      </c>
      <c r="HI40" s="2254"/>
      <c r="HJ40" s="2252"/>
      <c r="HK40" s="2253"/>
      <c r="HL40" s="2251" t="str">
        <f t="shared" ca="1" si="398"/>
        <v/>
      </c>
      <c r="HM40" s="2248"/>
      <c r="HN40" s="2249"/>
      <c r="HO40" s="2250"/>
      <c r="HP40" s="2251" t="str">
        <f t="shared" si="399"/>
        <v/>
      </c>
      <c r="HQ40" s="2252"/>
      <c r="HR40" s="2253"/>
      <c r="HS40" s="2251" t="str">
        <f t="shared" ca="1" si="400"/>
        <v/>
      </c>
      <c r="HT40" s="2254"/>
      <c r="HU40" s="2252"/>
      <c r="HV40" s="2253"/>
      <c r="HW40" s="2251" t="str">
        <f t="shared" ca="1" si="401"/>
        <v/>
      </c>
      <c r="HX40" s="2248"/>
      <c r="HY40" s="2249"/>
      <c r="HZ40" s="2250"/>
      <c r="IA40" s="2251" t="str">
        <f t="shared" si="402"/>
        <v/>
      </c>
      <c r="IB40" s="2252"/>
      <c r="IC40" s="2253"/>
      <c r="ID40" s="2251" t="str">
        <f t="shared" ca="1" si="403"/>
        <v/>
      </c>
      <c r="IE40" s="2254"/>
      <c r="IF40" s="2252"/>
      <c r="IG40" s="2253"/>
      <c r="IH40" s="2251" t="str">
        <f t="shared" ca="1" si="404"/>
        <v/>
      </c>
      <c r="II40" s="2248"/>
      <c r="IJ40" s="2249"/>
      <c r="IK40" s="2250"/>
      <c r="IL40" s="2251" t="str">
        <f t="shared" si="405"/>
        <v/>
      </c>
      <c r="IM40" s="2252"/>
      <c r="IN40" s="2253"/>
      <c r="IO40" s="2251" t="str">
        <f t="shared" ca="1" si="406"/>
        <v/>
      </c>
      <c r="IP40" s="2254"/>
      <c r="IQ40" s="2252"/>
      <c r="IR40" s="2253"/>
      <c r="IS40" s="2251" t="str">
        <f t="shared" ca="1" si="407"/>
        <v/>
      </c>
      <c r="IT40" s="2248"/>
      <c r="IU40" s="2249"/>
      <c r="IV40" s="2250"/>
      <c r="IW40" s="2251" t="str">
        <f t="shared" si="408"/>
        <v/>
      </c>
      <c r="IX40" s="2252"/>
      <c r="IY40" s="2253"/>
      <c r="IZ40" s="2251" t="str">
        <f t="shared" ca="1" si="409"/>
        <v/>
      </c>
      <c r="JA40" s="2254"/>
      <c r="JB40" s="2252"/>
      <c r="JC40" s="2253"/>
      <c r="JD40" s="2251" t="str">
        <f t="shared" ca="1" si="410"/>
        <v/>
      </c>
      <c r="JE40" s="2248"/>
      <c r="JF40" s="2249"/>
      <c r="JG40" s="2250"/>
      <c r="JH40" s="2251" t="str">
        <f t="shared" si="411"/>
        <v/>
      </c>
      <c r="JI40" s="2252"/>
      <c r="JJ40" s="2253"/>
      <c r="JK40" s="2251" t="str">
        <f t="shared" ca="1" si="412"/>
        <v/>
      </c>
      <c r="JL40" s="2254"/>
      <c r="JM40" s="2252"/>
      <c r="JN40" s="2253"/>
      <c r="JO40" s="2251" t="str">
        <f t="shared" ca="1" si="413"/>
        <v/>
      </c>
      <c r="JP40" s="2248"/>
      <c r="JQ40" s="2249"/>
      <c r="JR40" s="2250"/>
      <c r="JS40" s="2251" t="str">
        <f t="shared" si="414"/>
        <v/>
      </c>
      <c r="JT40" s="2252"/>
      <c r="JU40" s="2253"/>
      <c r="JV40" s="2251" t="str">
        <f t="shared" ca="1" si="415"/>
        <v/>
      </c>
      <c r="JW40" s="2254"/>
      <c r="JX40" s="2252"/>
      <c r="JY40" s="2253"/>
      <c r="JZ40" s="2251" t="str">
        <f t="shared" ca="1" si="416"/>
        <v/>
      </c>
      <c r="KA40" s="2231"/>
    </row>
    <row r="41" spans="1:287" s="2156" customFormat="1" ht="18" customHeight="1">
      <c r="A41" s="2142" t="str">
        <f ca="1">IF('22 Sollumsatz pro MA '!$A44="","",'22 Sollumsatz pro MA '!$A44)</f>
        <v/>
      </c>
      <c r="B41" s="2161"/>
      <c r="C41" s="2162"/>
      <c r="D41" s="2143"/>
      <c r="E41" s="2144" t="str">
        <f ca="1">IF('25 Sollumsatz nach Monaten'!F44=0,"",'25 Sollumsatz nach Monaten'!F44)</f>
        <v/>
      </c>
      <c r="F41" s="2145" t="str">
        <f t="shared" ca="1" si="323"/>
        <v/>
      </c>
      <c r="G41" s="2146" t="str">
        <f t="shared" ca="1" si="324"/>
        <v/>
      </c>
      <c r="H41" s="2143"/>
      <c r="I41" s="2144" t="str">
        <f ca="1">IF('25 Sollumsatz nach Monaten'!G44=0,"",'25 Sollumsatz nach Monaten'!G44)</f>
        <v/>
      </c>
      <c r="J41" s="2145" t="str">
        <f t="shared" ca="1" si="325"/>
        <v/>
      </c>
      <c r="K41" s="2158" t="str">
        <f t="shared" ca="1" si="326"/>
        <v/>
      </c>
      <c r="L41" s="2148" t="str">
        <f t="shared" ca="1" si="216"/>
        <v/>
      </c>
      <c r="M41" s="2161"/>
      <c r="N41" s="2162"/>
      <c r="O41" s="2143"/>
      <c r="P41" s="2149" t="str">
        <f ca="1">IF('25 Sollumsatz nach Monaten'!L44=0,"",'25 Sollumsatz nach Monaten'!L44)</f>
        <v/>
      </c>
      <c r="Q41" s="2150" t="str">
        <f t="shared" ca="1" si="327"/>
        <v/>
      </c>
      <c r="R41" s="2151" t="str">
        <f t="shared" ca="1" si="328"/>
        <v/>
      </c>
      <c r="S41" s="2143"/>
      <c r="T41" s="2149" t="str">
        <f ca="1">IF('25 Sollumsatz nach Monaten'!M44=0,"",'25 Sollumsatz nach Monaten'!M44)</f>
        <v/>
      </c>
      <c r="U41" s="2150" t="str">
        <f t="shared" ca="1" si="329"/>
        <v/>
      </c>
      <c r="V41" s="2151" t="str">
        <f t="shared" ca="1" si="330"/>
        <v/>
      </c>
      <c r="W41" s="2142" t="str">
        <f t="shared" ca="1" si="217"/>
        <v/>
      </c>
      <c r="X41" s="2161"/>
      <c r="Y41" s="2162"/>
      <c r="Z41" s="2143"/>
      <c r="AA41" s="2144" t="str">
        <f ca="1">IF('25 Sollumsatz nach Monaten'!R44=0,"",'25 Sollumsatz nach Monaten'!R44)</f>
        <v/>
      </c>
      <c r="AB41" s="2145" t="str">
        <f t="shared" ca="1" si="331"/>
        <v/>
      </c>
      <c r="AC41" s="2146" t="str">
        <f t="shared" ca="1" si="332"/>
        <v/>
      </c>
      <c r="AD41" s="2147"/>
      <c r="AE41" s="2144" t="str">
        <f ca="1">IF('25 Sollumsatz nach Monaten'!S44=0,"",'25 Sollumsatz nach Monaten'!S44)</f>
        <v/>
      </c>
      <c r="AF41" s="2145" t="str">
        <f t="shared" ca="1" si="333"/>
        <v/>
      </c>
      <c r="AG41" s="2158" t="str">
        <f t="shared" ca="1" si="334"/>
        <v/>
      </c>
      <c r="AH41" s="2148" t="str">
        <f t="shared" ca="1" si="218"/>
        <v/>
      </c>
      <c r="AI41" s="2161"/>
      <c r="AJ41" s="2162"/>
      <c r="AK41" s="2143"/>
      <c r="AL41" s="2149" t="str">
        <f ca="1">IF('25 Sollumsatz nach Monaten'!X44=0,"",'25 Sollumsatz nach Monaten'!X44)</f>
        <v/>
      </c>
      <c r="AM41" s="2150" t="str">
        <f t="shared" ca="1" si="335"/>
        <v/>
      </c>
      <c r="AN41" s="2151" t="str">
        <f t="shared" ca="1" si="336"/>
        <v/>
      </c>
      <c r="AO41" s="2143"/>
      <c r="AP41" s="2149" t="str">
        <f ca="1">IF('25 Sollumsatz nach Monaten'!Y44=0,"",'25 Sollumsatz nach Monaten'!Y44)</f>
        <v/>
      </c>
      <c r="AQ41" s="2150" t="str">
        <f t="shared" ca="1" si="337"/>
        <v/>
      </c>
      <c r="AR41" s="2151" t="str">
        <f t="shared" ca="1" si="338"/>
        <v/>
      </c>
      <c r="AS41" s="2142" t="str">
        <f t="shared" ca="1" si="219"/>
        <v/>
      </c>
      <c r="AT41" s="2161"/>
      <c r="AU41" s="2162"/>
      <c r="AV41" s="2143"/>
      <c r="AW41" s="2144" t="str">
        <f ca="1">IF('25 Sollumsatz nach Monaten'!AD44=0,"",'25 Sollumsatz nach Monaten'!AD44)</f>
        <v/>
      </c>
      <c r="AX41" s="2145" t="str">
        <f t="shared" ca="1" si="339"/>
        <v/>
      </c>
      <c r="AY41" s="2146" t="str">
        <f t="shared" ca="1" si="340"/>
        <v/>
      </c>
      <c r="AZ41" s="2143"/>
      <c r="BA41" s="2144" t="str">
        <f ca="1">IF('25 Sollumsatz nach Monaten'!AE44=0,"",'25 Sollumsatz nach Monaten'!AE44)</f>
        <v/>
      </c>
      <c r="BB41" s="2145" t="str">
        <f t="shared" ca="1" si="341"/>
        <v/>
      </c>
      <c r="BC41" s="2158" t="str">
        <f t="shared" ca="1" si="342"/>
        <v/>
      </c>
      <c r="BD41" s="2148" t="str">
        <f t="shared" ca="1" si="220"/>
        <v/>
      </c>
      <c r="BE41" s="2161"/>
      <c r="BF41" s="2162"/>
      <c r="BG41" s="2143"/>
      <c r="BH41" s="2149" t="str">
        <f ca="1">IF('25 Sollumsatz nach Monaten'!AJ44=0,"",'25 Sollumsatz nach Monaten'!AJ44)</f>
        <v/>
      </c>
      <c r="BI41" s="2150" t="str">
        <f t="shared" ca="1" si="343"/>
        <v/>
      </c>
      <c r="BJ41" s="2151" t="str">
        <f t="shared" ca="1" si="344"/>
        <v/>
      </c>
      <c r="BK41" s="2143"/>
      <c r="BL41" s="2149" t="str">
        <f ca="1">IF('25 Sollumsatz nach Monaten'!AK44=0,"",'25 Sollumsatz nach Monaten'!AK44)</f>
        <v/>
      </c>
      <c r="BM41" s="2150" t="str">
        <f t="shared" ca="1" si="345"/>
        <v/>
      </c>
      <c r="BN41" s="2151" t="str">
        <f t="shared" ca="1" si="346"/>
        <v/>
      </c>
      <c r="BO41" s="2142" t="str">
        <f t="shared" ca="1" si="221"/>
        <v/>
      </c>
      <c r="BP41" s="2161"/>
      <c r="BQ41" s="2162"/>
      <c r="BR41" s="2143"/>
      <c r="BS41" s="2144" t="str">
        <f ca="1">IF('25 Sollumsatz nach Monaten'!AP44=0,"",'25 Sollumsatz nach Monaten'!AP44)</f>
        <v/>
      </c>
      <c r="BT41" s="2145" t="str">
        <f t="shared" ca="1" si="347"/>
        <v/>
      </c>
      <c r="BU41" s="2146" t="str">
        <f t="shared" ca="1" si="348"/>
        <v/>
      </c>
      <c r="BV41" s="2143"/>
      <c r="BW41" s="2144" t="str">
        <f ca="1">IF('25 Sollumsatz nach Monaten'!AQ44=0,"",'25 Sollumsatz nach Monaten'!AQ44)</f>
        <v/>
      </c>
      <c r="BX41" s="2145" t="str">
        <f t="shared" ca="1" si="349"/>
        <v/>
      </c>
      <c r="BY41" s="2158" t="str">
        <f t="shared" ca="1" si="350"/>
        <v/>
      </c>
      <c r="BZ41" s="2148" t="str">
        <f t="shared" ca="1" si="222"/>
        <v/>
      </c>
      <c r="CA41" s="2161"/>
      <c r="CB41" s="2162"/>
      <c r="CC41" s="2143"/>
      <c r="CD41" s="2149" t="str">
        <f ca="1">IF('25 Sollumsatz nach Monaten'!AV44=0,"",'25 Sollumsatz nach Monaten'!AV44)</f>
        <v/>
      </c>
      <c r="CE41" s="2150" t="str">
        <f t="shared" ca="1" si="351"/>
        <v/>
      </c>
      <c r="CF41" s="2151" t="str">
        <f t="shared" ca="1" si="352"/>
        <v/>
      </c>
      <c r="CG41" s="2143"/>
      <c r="CH41" s="2149" t="str">
        <f ca="1">IF('25 Sollumsatz nach Monaten'!AW44=0,"",'25 Sollumsatz nach Monaten'!AW44)</f>
        <v/>
      </c>
      <c r="CI41" s="2150" t="str">
        <f t="shared" ca="1" si="353"/>
        <v/>
      </c>
      <c r="CJ41" s="2151" t="str">
        <f t="shared" ca="1" si="354"/>
        <v/>
      </c>
      <c r="CK41" s="2142" t="str">
        <f t="shared" ca="1" si="223"/>
        <v/>
      </c>
      <c r="CL41" s="2161"/>
      <c r="CM41" s="2162"/>
      <c r="CN41" s="2143"/>
      <c r="CO41" s="2144" t="str">
        <f ca="1">IF('25 Sollumsatz nach Monaten'!BB44=0,"",'25 Sollumsatz nach Monaten'!BB44)</f>
        <v/>
      </c>
      <c r="CP41" s="2145" t="str">
        <f t="shared" ca="1" si="355"/>
        <v/>
      </c>
      <c r="CQ41" s="2146" t="str">
        <f t="shared" ca="1" si="356"/>
        <v/>
      </c>
      <c r="CR41" s="2143"/>
      <c r="CS41" s="2144" t="str">
        <f ca="1">IF('25 Sollumsatz nach Monaten'!BC44=0,"",'25 Sollumsatz nach Monaten'!BC44)</f>
        <v/>
      </c>
      <c r="CT41" s="2145" t="str">
        <f t="shared" ca="1" si="357"/>
        <v/>
      </c>
      <c r="CU41" s="2158" t="str">
        <f t="shared" ca="1" si="358"/>
        <v/>
      </c>
      <c r="CV41" s="2148" t="str">
        <f t="shared" ca="1" si="224"/>
        <v/>
      </c>
      <c r="CW41" s="2161"/>
      <c r="CX41" s="2162"/>
      <c r="CY41" s="2143"/>
      <c r="CZ41" s="2149" t="str">
        <f ca="1">IF('25 Sollumsatz nach Monaten'!BH44=0,"",'25 Sollumsatz nach Monaten'!BH44)</f>
        <v/>
      </c>
      <c r="DA41" s="2150" t="str">
        <f t="shared" ca="1" si="359"/>
        <v/>
      </c>
      <c r="DB41" s="2151" t="str">
        <f t="shared" ca="1" si="360"/>
        <v/>
      </c>
      <c r="DC41" s="2143"/>
      <c r="DD41" s="2149" t="str">
        <f ca="1">IF('25 Sollumsatz nach Monaten'!BI44=0,"",'25 Sollumsatz nach Monaten'!BI44)</f>
        <v/>
      </c>
      <c r="DE41" s="2150" t="str">
        <f t="shared" ca="1" si="361"/>
        <v/>
      </c>
      <c r="DF41" s="2151" t="str">
        <f t="shared" ca="1" si="362"/>
        <v/>
      </c>
      <c r="DG41" s="2142" t="str">
        <f t="shared" ca="1" si="225"/>
        <v/>
      </c>
      <c r="DH41" s="2161"/>
      <c r="DI41" s="2162"/>
      <c r="DJ41" s="2143"/>
      <c r="DK41" s="2144" t="str">
        <f ca="1">IF('25 Sollumsatz nach Monaten'!BN44=0,"",'25 Sollumsatz nach Monaten'!BN44)</f>
        <v/>
      </c>
      <c r="DL41" s="2145" t="str">
        <f t="shared" ca="1" si="363"/>
        <v/>
      </c>
      <c r="DM41" s="2146" t="str">
        <f t="shared" ca="1" si="364"/>
        <v/>
      </c>
      <c r="DN41" s="2143"/>
      <c r="DO41" s="2144" t="str">
        <f ca="1">IF('25 Sollumsatz nach Monaten'!BO44=0,"",'25 Sollumsatz nach Monaten'!BO44)</f>
        <v/>
      </c>
      <c r="DP41" s="2145" t="str">
        <f t="shared" ca="1" si="365"/>
        <v/>
      </c>
      <c r="DQ41" s="2158" t="str">
        <f t="shared" ca="1" si="366"/>
        <v/>
      </c>
      <c r="DR41" s="2148" t="str">
        <f t="shared" ca="1" si="226"/>
        <v/>
      </c>
      <c r="DS41" s="2161"/>
      <c r="DT41" s="2162"/>
      <c r="DU41" s="2143"/>
      <c r="DV41" s="2149" t="str">
        <f ca="1">IF('25 Sollumsatz nach Monaten'!BT44=0,"",'25 Sollumsatz nach Monaten'!BT44)</f>
        <v/>
      </c>
      <c r="DW41" s="2150" t="str">
        <f t="shared" ca="1" si="367"/>
        <v/>
      </c>
      <c r="DX41" s="2151" t="str">
        <f t="shared" ca="1" si="368"/>
        <v/>
      </c>
      <c r="DY41" s="2143"/>
      <c r="DZ41" s="2149" t="str">
        <f ca="1">IF('25 Sollumsatz nach Monaten'!BU44=0,"",'25 Sollumsatz nach Monaten'!BU44)</f>
        <v/>
      </c>
      <c r="EA41" s="2150" t="str">
        <f t="shared" ca="1" si="369"/>
        <v/>
      </c>
      <c r="EB41" s="2151" t="str">
        <f t="shared" ca="1" si="370"/>
        <v/>
      </c>
      <c r="EC41" s="2152" t="str">
        <f t="shared" ca="1" si="227"/>
        <v/>
      </c>
      <c r="ED41" s="2280" t="str">
        <f t="shared" ca="1" si="371"/>
        <v/>
      </c>
      <c r="EE41" s="2153" t="str">
        <f t="shared" ca="1" si="372"/>
        <v/>
      </c>
      <c r="EF41" s="2154" t="str">
        <f t="shared" ca="1" si="373"/>
        <v/>
      </c>
      <c r="EG41" s="2155" t="str">
        <f t="shared" ca="1" si="275"/>
        <v/>
      </c>
      <c r="EH41" s="2282" t="str">
        <f t="shared" ca="1" si="374"/>
        <v/>
      </c>
      <c r="EI41" s="2153" t="str">
        <f t="shared" ca="1" si="375"/>
        <v/>
      </c>
      <c r="EJ41" s="2154" t="str">
        <f t="shared" ca="1" si="376"/>
        <v/>
      </c>
      <c r="EK41" s="2155" t="str">
        <f t="shared" ca="1" si="377"/>
        <v/>
      </c>
      <c r="EL41" s="2160" t="str">
        <f t="shared" ca="1" si="378"/>
        <v/>
      </c>
      <c r="EM41" s="2160" t="str">
        <f t="shared" ca="1" si="379"/>
        <v/>
      </c>
      <c r="EN41" s="2160" t="str">
        <f t="shared" ca="1" si="380"/>
        <v/>
      </c>
      <c r="EO41" s="2152" t="str">
        <f t="shared" ca="1" si="237"/>
        <v/>
      </c>
      <c r="EP41" s="2312" t="str">
        <f ca="1">IF('25 Sollumsatz nach Monaten'!BV44="","",SUM(EQ41:ER41))</f>
        <v/>
      </c>
      <c r="EQ41" s="2312" t="str">
        <f ca="1">IF('25 Sollumsatz nach Monaten'!BV44="","",ED41/'25 Sollumsatz nach Monaten'!BV44)</f>
        <v/>
      </c>
      <c r="ER41" s="2312" t="str">
        <f ca="1">IF('25 Sollumsatz nach Monaten'!BV44="","",EH41/'25 Sollumsatz nach Monaten'!BV44)</f>
        <v/>
      </c>
      <c r="EY41" s="2248"/>
      <c r="EZ41" s="2249"/>
      <c r="FA41" s="2250"/>
      <c r="FB41" s="2251" t="str">
        <f t="shared" si="381"/>
        <v/>
      </c>
      <c r="FC41" s="2252"/>
      <c r="FD41" s="2253"/>
      <c r="FE41" s="2251" t="str">
        <f t="shared" ca="1" si="382"/>
        <v/>
      </c>
      <c r="FF41" s="2254"/>
      <c r="FG41" s="2252"/>
      <c r="FH41" s="2253"/>
      <c r="FI41" s="2251" t="str">
        <f t="shared" ca="1" si="383"/>
        <v/>
      </c>
      <c r="FJ41" s="2248"/>
      <c r="FK41" s="2249"/>
      <c r="FL41" s="2250"/>
      <c r="FM41" s="2251" t="str">
        <f t="shared" si="384"/>
        <v/>
      </c>
      <c r="FN41" s="2252"/>
      <c r="FO41" s="2253"/>
      <c r="FP41" s="2251" t="str">
        <f t="shared" ca="1" si="385"/>
        <v/>
      </c>
      <c r="FQ41" s="2254"/>
      <c r="FR41" s="2252"/>
      <c r="FS41" s="2253"/>
      <c r="FT41" s="2251" t="str">
        <f t="shared" ca="1" si="386"/>
        <v/>
      </c>
      <c r="FU41" s="2248"/>
      <c r="FV41" s="2249"/>
      <c r="FW41" s="2250"/>
      <c r="FX41" s="2251" t="str">
        <f t="shared" si="387"/>
        <v/>
      </c>
      <c r="FY41" s="2252"/>
      <c r="FZ41" s="2253"/>
      <c r="GA41" s="2251" t="str">
        <f t="shared" ca="1" si="388"/>
        <v/>
      </c>
      <c r="GB41" s="2254"/>
      <c r="GC41" s="2252"/>
      <c r="GD41" s="2253"/>
      <c r="GE41" s="2251" t="str">
        <f t="shared" ca="1" si="389"/>
        <v/>
      </c>
      <c r="GF41" s="2248"/>
      <c r="GG41" s="2249"/>
      <c r="GH41" s="2250"/>
      <c r="GI41" s="2251" t="str">
        <f t="shared" si="390"/>
        <v/>
      </c>
      <c r="GJ41" s="2252"/>
      <c r="GK41" s="2253"/>
      <c r="GL41" s="2251" t="str">
        <f t="shared" ca="1" si="391"/>
        <v/>
      </c>
      <c r="GM41" s="2254"/>
      <c r="GN41" s="2252"/>
      <c r="GO41" s="2253"/>
      <c r="GP41" s="2251" t="str">
        <f t="shared" ca="1" si="392"/>
        <v/>
      </c>
      <c r="GQ41" s="2248"/>
      <c r="GR41" s="2249"/>
      <c r="GS41" s="2250"/>
      <c r="GT41" s="2251" t="str">
        <f t="shared" si="393"/>
        <v/>
      </c>
      <c r="GU41" s="2252"/>
      <c r="GV41" s="2253"/>
      <c r="GW41" s="2251" t="str">
        <f t="shared" ca="1" si="394"/>
        <v/>
      </c>
      <c r="GX41" s="2254"/>
      <c r="GY41" s="2252"/>
      <c r="GZ41" s="2253"/>
      <c r="HA41" s="2251" t="str">
        <f t="shared" ca="1" si="395"/>
        <v/>
      </c>
      <c r="HB41" s="2248"/>
      <c r="HC41" s="2249"/>
      <c r="HD41" s="2250"/>
      <c r="HE41" s="2251" t="str">
        <f t="shared" si="396"/>
        <v/>
      </c>
      <c r="HF41" s="2252"/>
      <c r="HG41" s="2253"/>
      <c r="HH41" s="2251" t="str">
        <f t="shared" ca="1" si="397"/>
        <v/>
      </c>
      <c r="HI41" s="2254"/>
      <c r="HJ41" s="2252"/>
      <c r="HK41" s="2253"/>
      <c r="HL41" s="2251" t="str">
        <f t="shared" ca="1" si="398"/>
        <v/>
      </c>
      <c r="HM41" s="2248"/>
      <c r="HN41" s="2249"/>
      <c r="HO41" s="2250"/>
      <c r="HP41" s="2251" t="str">
        <f t="shared" si="399"/>
        <v/>
      </c>
      <c r="HQ41" s="2252"/>
      <c r="HR41" s="2253"/>
      <c r="HS41" s="2251" t="str">
        <f t="shared" ca="1" si="400"/>
        <v/>
      </c>
      <c r="HT41" s="2254"/>
      <c r="HU41" s="2252"/>
      <c r="HV41" s="2253"/>
      <c r="HW41" s="2251" t="str">
        <f t="shared" ca="1" si="401"/>
        <v/>
      </c>
      <c r="HX41" s="2248"/>
      <c r="HY41" s="2249"/>
      <c r="HZ41" s="2250"/>
      <c r="IA41" s="2251" t="str">
        <f t="shared" si="402"/>
        <v/>
      </c>
      <c r="IB41" s="2252"/>
      <c r="IC41" s="2253"/>
      <c r="ID41" s="2251" t="str">
        <f t="shared" ca="1" si="403"/>
        <v/>
      </c>
      <c r="IE41" s="2254"/>
      <c r="IF41" s="2252"/>
      <c r="IG41" s="2253"/>
      <c r="IH41" s="2251" t="str">
        <f t="shared" ca="1" si="404"/>
        <v/>
      </c>
      <c r="II41" s="2248"/>
      <c r="IJ41" s="2249"/>
      <c r="IK41" s="2250"/>
      <c r="IL41" s="2251" t="str">
        <f t="shared" si="405"/>
        <v/>
      </c>
      <c r="IM41" s="2252"/>
      <c r="IN41" s="2253"/>
      <c r="IO41" s="2251" t="str">
        <f t="shared" ca="1" si="406"/>
        <v/>
      </c>
      <c r="IP41" s="2254"/>
      <c r="IQ41" s="2252"/>
      <c r="IR41" s="2253"/>
      <c r="IS41" s="2251" t="str">
        <f t="shared" ca="1" si="407"/>
        <v/>
      </c>
      <c r="IT41" s="2248"/>
      <c r="IU41" s="2249"/>
      <c r="IV41" s="2250"/>
      <c r="IW41" s="2251" t="str">
        <f t="shared" si="408"/>
        <v/>
      </c>
      <c r="IX41" s="2252"/>
      <c r="IY41" s="2253"/>
      <c r="IZ41" s="2251" t="str">
        <f t="shared" ca="1" si="409"/>
        <v/>
      </c>
      <c r="JA41" s="2254"/>
      <c r="JB41" s="2252"/>
      <c r="JC41" s="2253"/>
      <c r="JD41" s="2251" t="str">
        <f t="shared" ca="1" si="410"/>
        <v/>
      </c>
      <c r="JE41" s="2248"/>
      <c r="JF41" s="2249"/>
      <c r="JG41" s="2250"/>
      <c r="JH41" s="2251" t="str">
        <f t="shared" si="411"/>
        <v/>
      </c>
      <c r="JI41" s="2252"/>
      <c r="JJ41" s="2253"/>
      <c r="JK41" s="2251" t="str">
        <f t="shared" ca="1" si="412"/>
        <v/>
      </c>
      <c r="JL41" s="2254"/>
      <c r="JM41" s="2252"/>
      <c r="JN41" s="2253"/>
      <c r="JO41" s="2251" t="str">
        <f t="shared" ca="1" si="413"/>
        <v/>
      </c>
      <c r="JP41" s="2248"/>
      <c r="JQ41" s="2249"/>
      <c r="JR41" s="2250"/>
      <c r="JS41" s="2251" t="str">
        <f t="shared" si="414"/>
        <v/>
      </c>
      <c r="JT41" s="2252"/>
      <c r="JU41" s="2253"/>
      <c r="JV41" s="2251" t="str">
        <f t="shared" ca="1" si="415"/>
        <v/>
      </c>
      <c r="JW41" s="2254"/>
      <c r="JX41" s="2252"/>
      <c r="JY41" s="2253"/>
      <c r="JZ41" s="2251" t="str">
        <f t="shared" ca="1" si="416"/>
        <v/>
      </c>
      <c r="KA41" s="2231"/>
    </row>
    <row r="42" spans="1:287" s="2156" customFormat="1" ht="18" customHeight="1">
      <c r="A42" s="2142" t="str">
        <f ca="1">IF('22 Sollumsatz pro MA '!$A45="","",'22 Sollumsatz pro MA '!$A45)</f>
        <v/>
      </c>
      <c r="B42" s="2161"/>
      <c r="C42" s="2162"/>
      <c r="D42" s="2143"/>
      <c r="E42" s="2144" t="str">
        <f ca="1">IF('25 Sollumsatz nach Monaten'!F45=0,"",'25 Sollumsatz nach Monaten'!F45)</f>
        <v/>
      </c>
      <c r="F42" s="2145" t="str">
        <f t="shared" ca="1" si="323"/>
        <v/>
      </c>
      <c r="G42" s="2146" t="str">
        <f t="shared" ca="1" si="324"/>
        <v/>
      </c>
      <c r="H42" s="2143"/>
      <c r="I42" s="2144" t="str">
        <f ca="1">IF('25 Sollumsatz nach Monaten'!G45=0,"",'25 Sollumsatz nach Monaten'!G45)</f>
        <v/>
      </c>
      <c r="J42" s="2145" t="str">
        <f t="shared" ca="1" si="325"/>
        <v/>
      </c>
      <c r="K42" s="2158" t="str">
        <f t="shared" ca="1" si="326"/>
        <v/>
      </c>
      <c r="L42" s="2148" t="str">
        <f t="shared" ca="1" si="216"/>
        <v/>
      </c>
      <c r="M42" s="2161"/>
      <c r="N42" s="2162"/>
      <c r="O42" s="2143"/>
      <c r="P42" s="2149" t="str">
        <f ca="1">IF('25 Sollumsatz nach Monaten'!L45=0,"",'25 Sollumsatz nach Monaten'!L45)</f>
        <v/>
      </c>
      <c r="Q42" s="2150" t="str">
        <f t="shared" ca="1" si="327"/>
        <v/>
      </c>
      <c r="R42" s="2151" t="str">
        <f t="shared" ca="1" si="328"/>
        <v/>
      </c>
      <c r="S42" s="2143"/>
      <c r="T42" s="2149" t="str">
        <f ca="1">IF('25 Sollumsatz nach Monaten'!M45=0,"",'25 Sollumsatz nach Monaten'!M45)</f>
        <v/>
      </c>
      <c r="U42" s="2150" t="str">
        <f t="shared" ca="1" si="329"/>
        <v/>
      </c>
      <c r="V42" s="2151" t="str">
        <f t="shared" ca="1" si="330"/>
        <v/>
      </c>
      <c r="W42" s="2142" t="str">
        <f t="shared" ca="1" si="217"/>
        <v/>
      </c>
      <c r="X42" s="2161"/>
      <c r="Y42" s="2162"/>
      <c r="Z42" s="2143"/>
      <c r="AA42" s="2144" t="str">
        <f ca="1">IF('25 Sollumsatz nach Monaten'!R45=0,"",'25 Sollumsatz nach Monaten'!R45)</f>
        <v/>
      </c>
      <c r="AB42" s="2145" t="str">
        <f t="shared" ca="1" si="331"/>
        <v/>
      </c>
      <c r="AC42" s="2146" t="str">
        <f t="shared" ca="1" si="332"/>
        <v/>
      </c>
      <c r="AD42" s="2147"/>
      <c r="AE42" s="2144" t="str">
        <f ca="1">IF('25 Sollumsatz nach Monaten'!S45=0,"",'25 Sollumsatz nach Monaten'!S45)</f>
        <v/>
      </c>
      <c r="AF42" s="2145" t="str">
        <f t="shared" ca="1" si="333"/>
        <v/>
      </c>
      <c r="AG42" s="2158" t="str">
        <f t="shared" ca="1" si="334"/>
        <v/>
      </c>
      <c r="AH42" s="2148" t="str">
        <f t="shared" ca="1" si="218"/>
        <v/>
      </c>
      <c r="AI42" s="2161"/>
      <c r="AJ42" s="2162"/>
      <c r="AK42" s="2143"/>
      <c r="AL42" s="2149" t="str">
        <f ca="1">IF('25 Sollumsatz nach Monaten'!X45=0,"",'25 Sollumsatz nach Monaten'!X45)</f>
        <v/>
      </c>
      <c r="AM42" s="2150" t="str">
        <f t="shared" ca="1" si="335"/>
        <v/>
      </c>
      <c r="AN42" s="2151" t="str">
        <f t="shared" ca="1" si="336"/>
        <v/>
      </c>
      <c r="AO42" s="2143"/>
      <c r="AP42" s="2149" t="str">
        <f ca="1">IF('25 Sollumsatz nach Monaten'!Y45=0,"",'25 Sollumsatz nach Monaten'!Y45)</f>
        <v/>
      </c>
      <c r="AQ42" s="2150" t="str">
        <f t="shared" ca="1" si="337"/>
        <v/>
      </c>
      <c r="AR42" s="2151" t="str">
        <f t="shared" ca="1" si="338"/>
        <v/>
      </c>
      <c r="AS42" s="2142" t="str">
        <f t="shared" ca="1" si="219"/>
        <v/>
      </c>
      <c r="AT42" s="2161"/>
      <c r="AU42" s="2162"/>
      <c r="AV42" s="2143"/>
      <c r="AW42" s="2144" t="str">
        <f ca="1">IF('25 Sollumsatz nach Monaten'!AD45=0,"",'25 Sollumsatz nach Monaten'!AD45)</f>
        <v/>
      </c>
      <c r="AX42" s="2145" t="str">
        <f t="shared" ca="1" si="339"/>
        <v/>
      </c>
      <c r="AY42" s="2146" t="str">
        <f t="shared" ca="1" si="340"/>
        <v/>
      </c>
      <c r="AZ42" s="2143"/>
      <c r="BA42" s="2144" t="str">
        <f ca="1">IF('25 Sollumsatz nach Monaten'!AE45=0,"",'25 Sollumsatz nach Monaten'!AE45)</f>
        <v/>
      </c>
      <c r="BB42" s="2145" t="str">
        <f t="shared" ca="1" si="341"/>
        <v/>
      </c>
      <c r="BC42" s="2158" t="str">
        <f t="shared" ca="1" si="342"/>
        <v/>
      </c>
      <c r="BD42" s="2148" t="str">
        <f t="shared" ca="1" si="220"/>
        <v/>
      </c>
      <c r="BE42" s="2161"/>
      <c r="BF42" s="2162"/>
      <c r="BG42" s="2143"/>
      <c r="BH42" s="2149" t="str">
        <f ca="1">IF('25 Sollumsatz nach Monaten'!AJ45=0,"",'25 Sollumsatz nach Monaten'!AJ45)</f>
        <v/>
      </c>
      <c r="BI42" s="2150" t="str">
        <f t="shared" ca="1" si="343"/>
        <v/>
      </c>
      <c r="BJ42" s="2151" t="str">
        <f t="shared" ca="1" si="344"/>
        <v/>
      </c>
      <c r="BK42" s="2143"/>
      <c r="BL42" s="2149" t="str">
        <f ca="1">IF('25 Sollumsatz nach Monaten'!AK45=0,"",'25 Sollumsatz nach Monaten'!AK45)</f>
        <v/>
      </c>
      <c r="BM42" s="2150" t="str">
        <f t="shared" ca="1" si="345"/>
        <v/>
      </c>
      <c r="BN42" s="2151" t="str">
        <f t="shared" ca="1" si="346"/>
        <v/>
      </c>
      <c r="BO42" s="2142" t="str">
        <f t="shared" ca="1" si="221"/>
        <v/>
      </c>
      <c r="BP42" s="2161"/>
      <c r="BQ42" s="2162"/>
      <c r="BR42" s="2143"/>
      <c r="BS42" s="2144" t="str">
        <f ca="1">IF('25 Sollumsatz nach Monaten'!AP45=0,"",'25 Sollumsatz nach Monaten'!AP45)</f>
        <v/>
      </c>
      <c r="BT42" s="2145" t="str">
        <f t="shared" ca="1" si="347"/>
        <v/>
      </c>
      <c r="BU42" s="2146" t="str">
        <f t="shared" ca="1" si="348"/>
        <v/>
      </c>
      <c r="BV42" s="2143"/>
      <c r="BW42" s="2144" t="str">
        <f ca="1">IF('25 Sollumsatz nach Monaten'!AQ45=0,"",'25 Sollumsatz nach Monaten'!AQ45)</f>
        <v/>
      </c>
      <c r="BX42" s="2145" t="str">
        <f t="shared" ca="1" si="349"/>
        <v/>
      </c>
      <c r="BY42" s="2158" t="str">
        <f t="shared" ca="1" si="350"/>
        <v/>
      </c>
      <c r="BZ42" s="2148" t="str">
        <f t="shared" ca="1" si="222"/>
        <v/>
      </c>
      <c r="CA42" s="2161"/>
      <c r="CB42" s="2162"/>
      <c r="CC42" s="2143"/>
      <c r="CD42" s="2149" t="str">
        <f ca="1">IF('25 Sollumsatz nach Monaten'!AV45=0,"",'25 Sollumsatz nach Monaten'!AV45)</f>
        <v/>
      </c>
      <c r="CE42" s="2150" t="str">
        <f t="shared" ca="1" si="351"/>
        <v/>
      </c>
      <c r="CF42" s="2151" t="str">
        <f t="shared" ca="1" si="352"/>
        <v/>
      </c>
      <c r="CG42" s="2143"/>
      <c r="CH42" s="2149" t="str">
        <f ca="1">IF('25 Sollumsatz nach Monaten'!AW45=0,"",'25 Sollumsatz nach Monaten'!AW45)</f>
        <v/>
      </c>
      <c r="CI42" s="2150" t="str">
        <f t="shared" ca="1" si="353"/>
        <v/>
      </c>
      <c r="CJ42" s="2151" t="str">
        <f t="shared" ca="1" si="354"/>
        <v/>
      </c>
      <c r="CK42" s="2142" t="str">
        <f t="shared" ca="1" si="223"/>
        <v/>
      </c>
      <c r="CL42" s="2161"/>
      <c r="CM42" s="2162"/>
      <c r="CN42" s="2143"/>
      <c r="CO42" s="2144" t="str">
        <f ca="1">IF('25 Sollumsatz nach Monaten'!BB45=0,"",'25 Sollumsatz nach Monaten'!BB45)</f>
        <v/>
      </c>
      <c r="CP42" s="2145" t="str">
        <f t="shared" ca="1" si="355"/>
        <v/>
      </c>
      <c r="CQ42" s="2146" t="str">
        <f t="shared" ca="1" si="356"/>
        <v/>
      </c>
      <c r="CR42" s="2143"/>
      <c r="CS42" s="2144" t="str">
        <f ca="1">IF('25 Sollumsatz nach Monaten'!BC45=0,"",'25 Sollumsatz nach Monaten'!BC45)</f>
        <v/>
      </c>
      <c r="CT42" s="2145" t="str">
        <f t="shared" ca="1" si="357"/>
        <v/>
      </c>
      <c r="CU42" s="2158" t="str">
        <f t="shared" ca="1" si="358"/>
        <v/>
      </c>
      <c r="CV42" s="2148" t="str">
        <f t="shared" ca="1" si="224"/>
        <v/>
      </c>
      <c r="CW42" s="2161"/>
      <c r="CX42" s="2162"/>
      <c r="CY42" s="2143"/>
      <c r="CZ42" s="2149" t="str">
        <f ca="1">IF('25 Sollumsatz nach Monaten'!BH45=0,"",'25 Sollumsatz nach Monaten'!BH45)</f>
        <v/>
      </c>
      <c r="DA42" s="2150" t="str">
        <f t="shared" ca="1" si="359"/>
        <v/>
      </c>
      <c r="DB42" s="2151" t="str">
        <f t="shared" ca="1" si="360"/>
        <v/>
      </c>
      <c r="DC42" s="2143"/>
      <c r="DD42" s="2149" t="str">
        <f ca="1">IF('25 Sollumsatz nach Monaten'!BI45=0,"",'25 Sollumsatz nach Monaten'!BI45)</f>
        <v/>
      </c>
      <c r="DE42" s="2150" t="str">
        <f t="shared" ca="1" si="361"/>
        <v/>
      </c>
      <c r="DF42" s="2151" t="str">
        <f t="shared" ca="1" si="362"/>
        <v/>
      </c>
      <c r="DG42" s="2142" t="str">
        <f t="shared" ca="1" si="225"/>
        <v/>
      </c>
      <c r="DH42" s="2161"/>
      <c r="DI42" s="2162"/>
      <c r="DJ42" s="2143"/>
      <c r="DK42" s="2144" t="str">
        <f ca="1">IF('25 Sollumsatz nach Monaten'!BN45=0,"",'25 Sollumsatz nach Monaten'!BN45)</f>
        <v/>
      </c>
      <c r="DL42" s="2145" t="str">
        <f t="shared" ca="1" si="363"/>
        <v/>
      </c>
      <c r="DM42" s="2146" t="str">
        <f t="shared" ca="1" si="364"/>
        <v/>
      </c>
      <c r="DN42" s="2143"/>
      <c r="DO42" s="2144" t="str">
        <f ca="1">IF('25 Sollumsatz nach Monaten'!BO45=0,"",'25 Sollumsatz nach Monaten'!BO45)</f>
        <v/>
      </c>
      <c r="DP42" s="2145" t="str">
        <f t="shared" ca="1" si="365"/>
        <v/>
      </c>
      <c r="DQ42" s="2158" t="str">
        <f t="shared" ca="1" si="366"/>
        <v/>
      </c>
      <c r="DR42" s="2148" t="str">
        <f t="shared" ca="1" si="226"/>
        <v/>
      </c>
      <c r="DS42" s="2161"/>
      <c r="DT42" s="2162"/>
      <c r="DU42" s="2143"/>
      <c r="DV42" s="2149" t="str">
        <f ca="1">IF('25 Sollumsatz nach Monaten'!BT45=0,"",'25 Sollumsatz nach Monaten'!BT45)</f>
        <v/>
      </c>
      <c r="DW42" s="2150" t="str">
        <f t="shared" ca="1" si="367"/>
        <v/>
      </c>
      <c r="DX42" s="2151" t="str">
        <f t="shared" ca="1" si="368"/>
        <v/>
      </c>
      <c r="DY42" s="2143"/>
      <c r="DZ42" s="2149" t="str">
        <f ca="1">IF('25 Sollumsatz nach Monaten'!BU45=0,"",'25 Sollumsatz nach Monaten'!BU45)</f>
        <v/>
      </c>
      <c r="EA42" s="2150" t="str">
        <f t="shared" ca="1" si="369"/>
        <v/>
      </c>
      <c r="EB42" s="2151" t="str">
        <f t="shared" ca="1" si="370"/>
        <v/>
      </c>
      <c r="EC42" s="2152" t="str">
        <f t="shared" ca="1" si="227"/>
        <v/>
      </c>
      <c r="ED42" s="2280" t="str">
        <f t="shared" ca="1" si="371"/>
        <v/>
      </c>
      <c r="EE42" s="2153" t="str">
        <f t="shared" ca="1" si="372"/>
        <v/>
      </c>
      <c r="EF42" s="2154" t="str">
        <f t="shared" ca="1" si="373"/>
        <v/>
      </c>
      <c r="EG42" s="2155" t="str">
        <f t="shared" ca="1" si="275"/>
        <v/>
      </c>
      <c r="EH42" s="2282" t="str">
        <f t="shared" ca="1" si="374"/>
        <v/>
      </c>
      <c r="EI42" s="2153" t="str">
        <f t="shared" ca="1" si="375"/>
        <v/>
      </c>
      <c r="EJ42" s="2154" t="str">
        <f t="shared" ca="1" si="376"/>
        <v/>
      </c>
      <c r="EK42" s="2155" t="str">
        <f t="shared" ca="1" si="377"/>
        <v/>
      </c>
      <c r="EL42" s="2160" t="str">
        <f t="shared" ca="1" si="378"/>
        <v/>
      </c>
      <c r="EM42" s="2160" t="str">
        <f t="shared" ca="1" si="379"/>
        <v/>
      </c>
      <c r="EN42" s="2160" t="str">
        <f t="shared" ca="1" si="380"/>
        <v/>
      </c>
      <c r="EO42" s="2152" t="str">
        <f t="shared" ca="1" si="237"/>
        <v/>
      </c>
      <c r="EP42" s="2312" t="str">
        <f ca="1">IF('25 Sollumsatz nach Monaten'!BV45="","",SUM(EQ42:ER42))</f>
        <v/>
      </c>
      <c r="EQ42" s="2312" t="str">
        <f ca="1">IF('25 Sollumsatz nach Monaten'!BV45="","",ED42/'25 Sollumsatz nach Monaten'!BV45)</f>
        <v/>
      </c>
      <c r="ER42" s="2312" t="str">
        <f ca="1">IF('25 Sollumsatz nach Monaten'!BV45="","",EH42/'25 Sollumsatz nach Monaten'!BV45)</f>
        <v/>
      </c>
      <c r="EY42" s="2248"/>
      <c r="EZ42" s="2249"/>
      <c r="FA42" s="2250"/>
      <c r="FB42" s="2251" t="str">
        <f t="shared" si="381"/>
        <v/>
      </c>
      <c r="FC42" s="2252"/>
      <c r="FD42" s="2253"/>
      <c r="FE42" s="2251" t="str">
        <f t="shared" ca="1" si="382"/>
        <v/>
      </c>
      <c r="FF42" s="2254"/>
      <c r="FG42" s="2252"/>
      <c r="FH42" s="2253"/>
      <c r="FI42" s="2251" t="str">
        <f t="shared" ca="1" si="383"/>
        <v/>
      </c>
      <c r="FJ42" s="2248"/>
      <c r="FK42" s="2249"/>
      <c r="FL42" s="2250"/>
      <c r="FM42" s="2251" t="str">
        <f t="shared" si="384"/>
        <v/>
      </c>
      <c r="FN42" s="2252"/>
      <c r="FO42" s="2253"/>
      <c r="FP42" s="2251" t="str">
        <f t="shared" ca="1" si="385"/>
        <v/>
      </c>
      <c r="FQ42" s="2254"/>
      <c r="FR42" s="2252"/>
      <c r="FS42" s="2253"/>
      <c r="FT42" s="2251" t="str">
        <f t="shared" ca="1" si="386"/>
        <v/>
      </c>
      <c r="FU42" s="2248"/>
      <c r="FV42" s="2249"/>
      <c r="FW42" s="2250"/>
      <c r="FX42" s="2251" t="str">
        <f t="shared" si="387"/>
        <v/>
      </c>
      <c r="FY42" s="2252"/>
      <c r="FZ42" s="2253"/>
      <c r="GA42" s="2251" t="str">
        <f t="shared" ca="1" si="388"/>
        <v/>
      </c>
      <c r="GB42" s="2254"/>
      <c r="GC42" s="2252"/>
      <c r="GD42" s="2253"/>
      <c r="GE42" s="2251" t="str">
        <f t="shared" ca="1" si="389"/>
        <v/>
      </c>
      <c r="GF42" s="2248"/>
      <c r="GG42" s="2249"/>
      <c r="GH42" s="2250"/>
      <c r="GI42" s="2251" t="str">
        <f t="shared" si="390"/>
        <v/>
      </c>
      <c r="GJ42" s="2252"/>
      <c r="GK42" s="2253"/>
      <c r="GL42" s="2251" t="str">
        <f t="shared" ca="1" si="391"/>
        <v/>
      </c>
      <c r="GM42" s="2254"/>
      <c r="GN42" s="2252"/>
      <c r="GO42" s="2253"/>
      <c r="GP42" s="2251" t="str">
        <f t="shared" ca="1" si="392"/>
        <v/>
      </c>
      <c r="GQ42" s="2248"/>
      <c r="GR42" s="2249"/>
      <c r="GS42" s="2250"/>
      <c r="GT42" s="2251" t="str">
        <f t="shared" si="393"/>
        <v/>
      </c>
      <c r="GU42" s="2252"/>
      <c r="GV42" s="2253"/>
      <c r="GW42" s="2251" t="str">
        <f t="shared" ca="1" si="394"/>
        <v/>
      </c>
      <c r="GX42" s="2254"/>
      <c r="GY42" s="2252"/>
      <c r="GZ42" s="2253"/>
      <c r="HA42" s="2251" t="str">
        <f t="shared" ca="1" si="395"/>
        <v/>
      </c>
      <c r="HB42" s="2248"/>
      <c r="HC42" s="2249"/>
      <c r="HD42" s="2250"/>
      <c r="HE42" s="2251" t="str">
        <f t="shared" si="396"/>
        <v/>
      </c>
      <c r="HF42" s="2252"/>
      <c r="HG42" s="2253"/>
      <c r="HH42" s="2251" t="str">
        <f t="shared" ca="1" si="397"/>
        <v/>
      </c>
      <c r="HI42" s="2254"/>
      <c r="HJ42" s="2252"/>
      <c r="HK42" s="2253"/>
      <c r="HL42" s="2251" t="str">
        <f t="shared" ca="1" si="398"/>
        <v/>
      </c>
      <c r="HM42" s="2248"/>
      <c r="HN42" s="2249"/>
      <c r="HO42" s="2250"/>
      <c r="HP42" s="2251" t="str">
        <f t="shared" si="399"/>
        <v/>
      </c>
      <c r="HQ42" s="2252"/>
      <c r="HR42" s="2253"/>
      <c r="HS42" s="2251" t="str">
        <f t="shared" ca="1" si="400"/>
        <v/>
      </c>
      <c r="HT42" s="2254"/>
      <c r="HU42" s="2252"/>
      <c r="HV42" s="2253"/>
      <c r="HW42" s="2251" t="str">
        <f t="shared" ca="1" si="401"/>
        <v/>
      </c>
      <c r="HX42" s="2248"/>
      <c r="HY42" s="2249"/>
      <c r="HZ42" s="2250"/>
      <c r="IA42" s="2251" t="str">
        <f t="shared" si="402"/>
        <v/>
      </c>
      <c r="IB42" s="2252"/>
      <c r="IC42" s="2253"/>
      <c r="ID42" s="2251" t="str">
        <f t="shared" ca="1" si="403"/>
        <v/>
      </c>
      <c r="IE42" s="2254"/>
      <c r="IF42" s="2252"/>
      <c r="IG42" s="2253"/>
      <c r="IH42" s="2251" t="str">
        <f t="shared" ca="1" si="404"/>
        <v/>
      </c>
      <c r="II42" s="2248"/>
      <c r="IJ42" s="2249"/>
      <c r="IK42" s="2250"/>
      <c r="IL42" s="2251" t="str">
        <f t="shared" si="405"/>
        <v/>
      </c>
      <c r="IM42" s="2252"/>
      <c r="IN42" s="2253"/>
      <c r="IO42" s="2251" t="str">
        <f t="shared" ca="1" si="406"/>
        <v/>
      </c>
      <c r="IP42" s="2254"/>
      <c r="IQ42" s="2252"/>
      <c r="IR42" s="2253"/>
      <c r="IS42" s="2251" t="str">
        <f t="shared" ca="1" si="407"/>
        <v/>
      </c>
      <c r="IT42" s="2248"/>
      <c r="IU42" s="2249"/>
      <c r="IV42" s="2250"/>
      <c r="IW42" s="2251" t="str">
        <f t="shared" si="408"/>
        <v/>
      </c>
      <c r="IX42" s="2252"/>
      <c r="IY42" s="2253"/>
      <c r="IZ42" s="2251" t="str">
        <f t="shared" ca="1" si="409"/>
        <v/>
      </c>
      <c r="JA42" s="2254"/>
      <c r="JB42" s="2252"/>
      <c r="JC42" s="2253"/>
      <c r="JD42" s="2251" t="str">
        <f t="shared" ca="1" si="410"/>
        <v/>
      </c>
      <c r="JE42" s="2248"/>
      <c r="JF42" s="2249"/>
      <c r="JG42" s="2250"/>
      <c r="JH42" s="2251" t="str">
        <f t="shared" si="411"/>
        <v/>
      </c>
      <c r="JI42" s="2252"/>
      <c r="JJ42" s="2253"/>
      <c r="JK42" s="2251" t="str">
        <f t="shared" ca="1" si="412"/>
        <v/>
      </c>
      <c r="JL42" s="2254"/>
      <c r="JM42" s="2252"/>
      <c r="JN42" s="2253"/>
      <c r="JO42" s="2251" t="str">
        <f t="shared" ca="1" si="413"/>
        <v/>
      </c>
      <c r="JP42" s="2248"/>
      <c r="JQ42" s="2249"/>
      <c r="JR42" s="2250"/>
      <c r="JS42" s="2251" t="str">
        <f t="shared" si="414"/>
        <v/>
      </c>
      <c r="JT42" s="2252"/>
      <c r="JU42" s="2253"/>
      <c r="JV42" s="2251" t="str">
        <f t="shared" ca="1" si="415"/>
        <v/>
      </c>
      <c r="JW42" s="2254"/>
      <c r="JX42" s="2252"/>
      <c r="JY42" s="2253"/>
      <c r="JZ42" s="2251" t="str">
        <f t="shared" ca="1" si="416"/>
        <v/>
      </c>
      <c r="KA42" s="2231"/>
    </row>
    <row r="43" spans="1:287" s="2156" customFormat="1" ht="18" customHeight="1">
      <c r="A43" s="2176" t="str">
        <f ca="1">IF('22 Sollumsatz pro MA '!$A46="","",'22 Sollumsatz pro MA '!$A46)</f>
        <v/>
      </c>
      <c r="B43" s="2177"/>
      <c r="C43" s="2178"/>
      <c r="D43" s="2179"/>
      <c r="E43" s="2180" t="str">
        <f ca="1">IF('25 Sollumsatz nach Monaten'!F46=0,"",'25 Sollumsatz nach Monaten'!F46)</f>
        <v/>
      </c>
      <c r="F43" s="2165" t="str">
        <f t="shared" ca="1" si="323"/>
        <v/>
      </c>
      <c r="G43" s="2181" t="str">
        <f t="shared" ca="1" si="324"/>
        <v/>
      </c>
      <c r="H43" s="2179"/>
      <c r="I43" s="2180" t="str">
        <f ca="1">IF('25 Sollumsatz nach Monaten'!G46=0,"",'25 Sollumsatz nach Monaten'!G46)</f>
        <v/>
      </c>
      <c r="J43" s="2165" t="str">
        <f t="shared" ca="1" si="325"/>
        <v/>
      </c>
      <c r="K43" s="2185" t="str">
        <f t="shared" ca="1" si="326"/>
        <v/>
      </c>
      <c r="L43" s="2166" t="str">
        <f t="shared" ca="1" si="216"/>
        <v/>
      </c>
      <c r="M43" s="2177"/>
      <c r="N43" s="2178"/>
      <c r="O43" s="2179"/>
      <c r="P43" s="2182" t="str">
        <f ca="1">IF('25 Sollumsatz nach Monaten'!L46=0,"",'25 Sollumsatz nach Monaten'!L46)</f>
        <v/>
      </c>
      <c r="Q43" s="2167" t="str">
        <f t="shared" ca="1" si="327"/>
        <v/>
      </c>
      <c r="R43" s="2183" t="str">
        <f t="shared" ca="1" si="328"/>
        <v/>
      </c>
      <c r="S43" s="2179"/>
      <c r="T43" s="2182" t="str">
        <f ca="1">IF('25 Sollumsatz nach Monaten'!M46=0,"",'25 Sollumsatz nach Monaten'!M46)</f>
        <v/>
      </c>
      <c r="U43" s="2167" t="str">
        <f t="shared" ca="1" si="329"/>
        <v/>
      </c>
      <c r="V43" s="2183" t="str">
        <f t="shared" ca="1" si="330"/>
        <v/>
      </c>
      <c r="W43" s="2176" t="str">
        <f t="shared" ca="1" si="217"/>
        <v/>
      </c>
      <c r="X43" s="2177"/>
      <c r="Y43" s="2178"/>
      <c r="Z43" s="2179"/>
      <c r="AA43" s="2180" t="str">
        <f ca="1">IF('25 Sollumsatz nach Monaten'!R46=0,"",'25 Sollumsatz nach Monaten'!R46)</f>
        <v/>
      </c>
      <c r="AB43" s="2165" t="str">
        <f t="shared" ca="1" si="331"/>
        <v/>
      </c>
      <c r="AC43" s="2181" t="str">
        <f t="shared" ca="1" si="332"/>
        <v/>
      </c>
      <c r="AD43" s="2184"/>
      <c r="AE43" s="2180" t="str">
        <f ca="1">IF('25 Sollumsatz nach Monaten'!S46=0,"",'25 Sollumsatz nach Monaten'!S46)</f>
        <v/>
      </c>
      <c r="AF43" s="2165" t="str">
        <f t="shared" ca="1" si="333"/>
        <v/>
      </c>
      <c r="AG43" s="2185" t="str">
        <f t="shared" ca="1" si="334"/>
        <v/>
      </c>
      <c r="AH43" s="2166" t="str">
        <f t="shared" ca="1" si="218"/>
        <v/>
      </c>
      <c r="AI43" s="2177"/>
      <c r="AJ43" s="2178"/>
      <c r="AK43" s="2179"/>
      <c r="AL43" s="2182" t="str">
        <f ca="1">IF('25 Sollumsatz nach Monaten'!X46=0,"",'25 Sollumsatz nach Monaten'!X46)</f>
        <v/>
      </c>
      <c r="AM43" s="2167" t="str">
        <f t="shared" ca="1" si="335"/>
        <v/>
      </c>
      <c r="AN43" s="2183" t="str">
        <f t="shared" ca="1" si="336"/>
        <v/>
      </c>
      <c r="AO43" s="2179"/>
      <c r="AP43" s="2182" t="str">
        <f ca="1">IF('25 Sollumsatz nach Monaten'!Y46=0,"",'25 Sollumsatz nach Monaten'!Y46)</f>
        <v/>
      </c>
      <c r="AQ43" s="2167" t="str">
        <f t="shared" ca="1" si="337"/>
        <v/>
      </c>
      <c r="AR43" s="2183" t="str">
        <f t="shared" ca="1" si="338"/>
        <v/>
      </c>
      <c r="AS43" s="2176" t="str">
        <f t="shared" ca="1" si="219"/>
        <v/>
      </c>
      <c r="AT43" s="2177"/>
      <c r="AU43" s="2178"/>
      <c r="AV43" s="2179"/>
      <c r="AW43" s="2180" t="str">
        <f ca="1">IF('25 Sollumsatz nach Monaten'!AD46=0,"",'25 Sollumsatz nach Monaten'!AD46)</f>
        <v/>
      </c>
      <c r="AX43" s="2165" t="str">
        <f t="shared" ca="1" si="339"/>
        <v/>
      </c>
      <c r="AY43" s="2181" t="str">
        <f t="shared" ca="1" si="340"/>
        <v/>
      </c>
      <c r="AZ43" s="2179"/>
      <c r="BA43" s="2180" t="str">
        <f ca="1">IF('25 Sollumsatz nach Monaten'!AE46=0,"",'25 Sollumsatz nach Monaten'!AE46)</f>
        <v/>
      </c>
      <c r="BB43" s="2165" t="str">
        <f t="shared" ca="1" si="341"/>
        <v/>
      </c>
      <c r="BC43" s="2185" t="str">
        <f t="shared" ca="1" si="342"/>
        <v/>
      </c>
      <c r="BD43" s="2166" t="str">
        <f t="shared" ca="1" si="220"/>
        <v/>
      </c>
      <c r="BE43" s="2177"/>
      <c r="BF43" s="2178"/>
      <c r="BG43" s="2179"/>
      <c r="BH43" s="2182" t="str">
        <f ca="1">IF('25 Sollumsatz nach Monaten'!AJ46=0,"",'25 Sollumsatz nach Monaten'!AJ46)</f>
        <v/>
      </c>
      <c r="BI43" s="2167" t="str">
        <f t="shared" ca="1" si="343"/>
        <v/>
      </c>
      <c r="BJ43" s="2183" t="str">
        <f t="shared" ca="1" si="344"/>
        <v/>
      </c>
      <c r="BK43" s="2179"/>
      <c r="BL43" s="2182" t="str">
        <f ca="1">IF('25 Sollumsatz nach Monaten'!AK46=0,"",'25 Sollumsatz nach Monaten'!AK46)</f>
        <v/>
      </c>
      <c r="BM43" s="2167" t="str">
        <f t="shared" ca="1" si="345"/>
        <v/>
      </c>
      <c r="BN43" s="2183" t="str">
        <f t="shared" ca="1" si="346"/>
        <v/>
      </c>
      <c r="BO43" s="2176" t="str">
        <f t="shared" ca="1" si="221"/>
        <v/>
      </c>
      <c r="BP43" s="2177"/>
      <c r="BQ43" s="2178"/>
      <c r="BR43" s="2179"/>
      <c r="BS43" s="2180" t="str">
        <f ca="1">IF('25 Sollumsatz nach Monaten'!AP46=0,"",'25 Sollumsatz nach Monaten'!AP46)</f>
        <v/>
      </c>
      <c r="BT43" s="2165" t="str">
        <f t="shared" ca="1" si="347"/>
        <v/>
      </c>
      <c r="BU43" s="2181" t="str">
        <f t="shared" ca="1" si="348"/>
        <v/>
      </c>
      <c r="BV43" s="2179"/>
      <c r="BW43" s="2180" t="str">
        <f ca="1">IF('25 Sollumsatz nach Monaten'!AQ46=0,"",'25 Sollumsatz nach Monaten'!AQ46)</f>
        <v/>
      </c>
      <c r="BX43" s="2165" t="str">
        <f t="shared" ca="1" si="349"/>
        <v/>
      </c>
      <c r="BY43" s="2185" t="str">
        <f t="shared" ca="1" si="350"/>
        <v/>
      </c>
      <c r="BZ43" s="2166" t="str">
        <f t="shared" ca="1" si="222"/>
        <v/>
      </c>
      <c r="CA43" s="2177"/>
      <c r="CB43" s="2178"/>
      <c r="CC43" s="2179"/>
      <c r="CD43" s="2182" t="str">
        <f ca="1">IF('25 Sollumsatz nach Monaten'!AV46=0,"",'25 Sollumsatz nach Monaten'!AV46)</f>
        <v/>
      </c>
      <c r="CE43" s="2167" t="str">
        <f t="shared" ca="1" si="351"/>
        <v/>
      </c>
      <c r="CF43" s="2183" t="str">
        <f t="shared" ca="1" si="352"/>
        <v/>
      </c>
      <c r="CG43" s="2179"/>
      <c r="CH43" s="2182" t="str">
        <f ca="1">IF('25 Sollumsatz nach Monaten'!AW46=0,"",'25 Sollumsatz nach Monaten'!AW46)</f>
        <v/>
      </c>
      <c r="CI43" s="2167" t="str">
        <f t="shared" ca="1" si="353"/>
        <v/>
      </c>
      <c r="CJ43" s="2183" t="str">
        <f t="shared" ca="1" si="354"/>
        <v/>
      </c>
      <c r="CK43" s="2176" t="str">
        <f t="shared" ca="1" si="223"/>
        <v/>
      </c>
      <c r="CL43" s="2177"/>
      <c r="CM43" s="2178"/>
      <c r="CN43" s="2179"/>
      <c r="CO43" s="2180" t="str">
        <f ca="1">IF('25 Sollumsatz nach Monaten'!BB46=0,"",'25 Sollumsatz nach Monaten'!BB46)</f>
        <v/>
      </c>
      <c r="CP43" s="2165" t="str">
        <f t="shared" ca="1" si="355"/>
        <v/>
      </c>
      <c r="CQ43" s="2181" t="str">
        <f t="shared" ca="1" si="356"/>
        <v/>
      </c>
      <c r="CR43" s="2179"/>
      <c r="CS43" s="2180" t="str">
        <f ca="1">IF('25 Sollumsatz nach Monaten'!BC46=0,"",'25 Sollumsatz nach Monaten'!BC46)</f>
        <v/>
      </c>
      <c r="CT43" s="2165" t="str">
        <f t="shared" ca="1" si="357"/>
        <v/>
      </c>
      <c r="CU43" s="2185" t="str">
        <f t="shared" ca="1" si="358"/>
        <v/>
      </c>
      <c r="CV43" s="2166" t="str">
        <f t="shared" ca="1" si="224"/>
        <v/>
      </c>
      <c r="CW43" s="2177"/>
      <c r="CX43" s="2178"/>
      <c r="CY43" s="2179"/>
      <c r="CZ43" s="2182" t="str">
        <f ca="1">IF('25 Sollumsatz nach Monaten'!BH46=0,"",'25 Sollumsatz nach Monaten'!BH46)</f>
        <v/>
      </c>
      <c r="DA43" s="2167" t="str">
        <f t="shared" ca="1" si="359"/>
        <v/>
      </c>
      <c r="DB43" s="2183" t="str">
        <f t="shared" ca="1" si="360"/>
        <v/>
      </c>
      <c r="DC43" s="2179"/>
      <c r="DD43" s="2182" t="str">
        <f ca="1">IF('25 Sollumsatz nach Monaten'!BI46=0,"",'25 Sollumsatz nach Monaten'!BI46)</f>
        <v/>
      </c>
      <c r="DE43" s="2167" t="str">
        <f t="shared" ca="1" si="361"/>
        <v/>
      </c>
      <c r="DF43" s="2183" t="str">
        <f t="shared" ca="1" si="362"/>
        <v/>
      </c>
      <c r="DG43" s="2176" t="str">
        <f t="shared" ca="1" si="225"/>
        <v/>
      </c>
      <c r="DH43" s="2177"/>
      <c r="DI43" s="2178"/>
      <c r="DJ43" s="2179"/>
      <c r="DK43" s="2180" t="str">
        <f ca="1">IF('25 Sollumsatz nach Monaten'!BN46=0,"",'25 Sollumsatz nach Monaten'!BN46)</f>
        <v/>
      </c>
      <c r="DL43" s="2165" t="str">
        <f t="shared" ca="1" si="363"/>
        <v/>
      </c>
      <c r="DM43" s="2181" t="str">
        <f t="shared" ca="1" si="364"/>
        <v/>
      </c>
      <c r="DN43" s="2179"/>
      <c r="DO43" s="2180" t="str">
        <f ca="1">IF('25 Sollumsatz nach Monaten'!BO46=0,"",'25 Sollumsatz nach Monaten'!BO46)</f>
        <v/>
      </c>
      <c r="DP43" s="2165" t="str">
        <f t="shared" ca="1" si="365"/>
        <v/>
      </c>
      <c r="DQ43" s="2185" t="str">
        <f t="shared" ca="1" si="366"/>
        <v/>
      </c>
      <c r="DR43" s="2166" t="str">
        <f t="shared" ca="1" si="226"/>
        <v/>
      </c>
      <c r="DS43" s="2177"/>
      <c r="DT43" s="2178"/>
      <c r="DU43" s="2179"/>
      <c r="DV43" s="2149" t="str">
        <f ca="1">IF('25 Sollumsatz nach Monaten'!BT46=0,"",'25 Sollumsatz nach Monaten'!BT46)</f>
        <v/>
      </c>
      <c r="DW43" s="2167" t="str">
        <f t="shared" ca="1" si="367"/>
        <v/>
      </c>
      <c r="DX43" s="2183" t="str">
        <f t="shared" ca="1" si="368"/>
        <v/>
      </c>
      <c r="DY43" s="2179"/>
      <c r="DZ43" s="2149" t="str">
        <f ca="1">IF('25 Sollumsatz nach Monaten'!BU46=0,"",'25 Sollumsatz nach Monaten'!BU46)</f>
        <v/>
      </c>
      <c r="EA43" s="2167" t="str">
        <f t="shared" ca="1" si="369"/>
        <v/>
      </c>
      <c r="EB43" s="2183" t="str">
        <f t="shared" ca="1" si="370"/>
        <v/>
      </c>
      <c r="EC43" s="2186" t="str">
        <f t="shared" ca="1" si="227"/>
        <v/>
      </c>
      <c r="ED43" s="2281" t="str">
        <f t="shared" ca="1" si="371"/>
        <v/>
      </c>
      <c r="EE43" s="2187" t="str">
        <f t="shared" ca="1" si="372"/>
        <v/>
      </c>
      <c r="EF43" s="2168" t="str">
        <f t="shared" ca="1" si="373"/>
        <v/>
      </c>
      <c r="EG43" s="2188" t="str">
        <f t="shared" ca="1" si="275"/>
        <v/>
      </c>
      <c r="EH43" s="2283" t="str">
        <f t="shared" ca="1" si="374"/>
        <v/>
      </c>
      <c r="EI43" s="2187" t="str">
        <f t="shared" ca="1" si="375"/>
        <v/>
      </c>
      <c r="EJ43" s="2168" t="str">
        <f t="shared" ca="1" si="376"/>
        <v/>
      </c>
      <c r="EK43" s="2188" t="str">
        <f t="shared" ca="1" si="377"/>
        <v/>
      </c>
      <c r="EL43" s="2189" t="str">
        <f t="shared" ca="1" si="378"/>
        <v/>
      </c>
      <c r="EM43" s="2189" t="str">
        <f t="shared" ca="1" si="379"/>
        <v/>
      </c>
      <c r="EN43" s="2189" t="str">
        <f t="shared" ca="1" si="380"/>
        <v/>
      </c>
      <c r="EO43" s="2186" t="str">
        <f t="shared" ca="1" si="237"/>
        <v/>
      </c>
      <c r="EP43" s="2312" t="str">
        <f ca="1">IF('25 Sollumsatz nach Monaten'!BV46="","",SUM(EQ43:ER43))</f>
        <v/>
      </c>
      <c r="EQ43" s="2312" t="str">
        <f ca="1">IF('25 Sollumsatz nach Monaten'!BV46="","",ED43/'25 Sollumsatz nach Monaten'!BV46)</f>
        <v/>
      </c>
      <c r="ER43" s="2312" t="str">
        <f ca="1">IF('25 Sollumsatz nach Monaten'!BV46="","",EH43/'25 Sollumsatz nach Monaten'!BV46)</f>
        <v/>
      </c>
      <c r="EY43" s="2255"/>
      <c r="EZ43" s="2256"/>
      <c r="FA43" s="2257"/>
      <c r="FB43" s="2258" t="str">
        <f t="shared" si="381"/>
        <v/>
      </c>
      <c r="FC43" s="2259"/>
      <c r="FD43" s="2229"/>
      <c r="FE43" s="2258" t="str">
        <f t="shared" ca="1" si="382"/>
        <v/>
      </c>
      <c r="FF43" s="2225"/>
      <c r="FG43" s="2259"/>
      <c r="FH43" s="2229"/>
      <c r="FI43" s="2258" t="str">
        <f t="shared" ca="1" si="383"/>
        <v/>
      </c>
      <c r="FJ43" s="2255"/>
      <c r="FK43" s="2256"/>
      <c r="FL43" s="2257"/>
      <c r="FM43" s="2258" t="str">
        <f t="shared" si="384"/>
        <v/>
      </c>
      <c r="FN43" s="2259"/>
      <c r="FO43" s="2229"/>
      <c r="FP43" s="2258" t="str">
        <f t="shared" ca="1" si="385"/>
        <v/>
      </c>
      <c r="FQ43" s="2225"/>
      <c r="FR43" s="2259"/>
      <c r="FS43" s="2229"/>
      <c r="FT43" s="2258" t="str">
        <f t="shared" ca="1" si="386"/>
        <v/>
      </c>
      <c r="FU43" s="2255"/>
      <c r="FV43" s="2256"/>
      <c r="FW43" s="2257"/>
      <c r="FX43" s="2258" t="str">
        <f t="shared" si="387"/>
        <v/>
      </c>
      <c r="FY43" s="2259"/>
      <c r="FZ43" s="2229"/>
      <c r="GA43" s="2258" t="str">
        <f t="shared" ca="1" si="388"/>
        <v/>
      </c>
      <c r="GB43" s="2225"/>
      <c r="GC43" s="2259"/>
      <c r="GD43" s="2229"/>
      <c r="GE43" s="2258" t="str">
        <f t="shared" ca="1" si="389"/>
        <v/>
      </c>
      <c r="GF43" s="2255"/>
      <c r="GG43" s="2256"/>
      <c r="GH43" s="2257"/>
      <c r="GI43" s="2258" t="str">
        <f t="shared" si="390"/>
        <v/>
      </c>
      <c r="GJ43" s="2259"/>
      <c r="GK43" s="2229"/>
      <c r="GL43" s="2258" t="str">
        <f t="shared" ca="1" si="391"/>
        <v/>
      </c>
      <c r="GM43" s="2225"/>
      <c r="GN43" s="2259"/>
      <c r="GO43" s="2229"/>
      <c r="GP43" s="2258" t="str">
        <f t="shared" ca="1" si="392"/>
        <v/>
      </c>
      <c r="GQ43" s="2255"/>
      <c r="GR43" s="2256"/>
      <c r="GS43" s="2257"/>
      <c r="GT43" s="2258" t="str">
        <f t="shared" si="393"/>
        <v/>
      </c>
      <c r="GU43" s="2259"/>
      <c r="GV43" s="2229"/>
      <c r="GW43" s="2258" t="str">
        <f t="shared" ca="1" si="394"/>
        <v/>
      </c>
      <c r="GX43" s="2225"/>
      <c r="GY43" s="2259"/>
      <c r="GZ43" s="2229"/>
      <c r="HA43" s="2258" t="str">
        <f t="shared" ca="1" si="395"/>
        <v/>
      </c>
      <c r="HB43" s="2255"/>
      <c r="HC43" s="2256"/>
      <c r="HD43" s="2257"/>
      <c r="HE43" s="2258" t="str">
        <f t="shared" si="396"/>
        <v/>
      </c>
      <c r="HF43" s="2259"/>
      <c r="HG43" s="2229"/>
      <c r="HH43" s="2258" t="str">
        <f t="shared" ca="1" si="397"/>
        <v/>
      </c>
      <c r="HI43" s="2225"/>
      <c r="HJ43" s="2259"/>
      <c r="HK43" s="2229"/>
      <c r="HL43" s="2258" t="str">
        <f t="shared" ca="1" si="398"/>
        <v/>
      </c>
      <c r="HM43" s="2255"/>
      <c r="HN43" s="2256"/>
      <c r="HO43" s="2257"/>
      <c r="HP43" s="2258" t="str">
        <f t="shared" si="399"/>
        <v/>
      </c>
      <c r="HQ43" s="2259"/>
      <c r="HR43" s="2229"/>
      <c r="HS43" s="2258" t="str">
        <f t="shared" ca="1" si="400"/>
        <v/>
      </c>
      <c r="HT43" s="2225"/>
      <c r="HU43" s="2259"/>
      <c r="HV43" s="2229"/>
      <c r="HW43" s="2258" t="str">
        <f t="shared" ca="1" si="401"/>
        <v/>
      </c>
      <c r="HX43" s="2255"/>
      <c r="HY43" s="2256"/>
      <c r="HZ43" s="2257"/>
      <c r="IA43" s="2258" t="str">
        <f t="shared" si="402"/>
        <v/>
      </c>
      <c r="IB43" s="2259"/>
      <c r="IC43" s="2229"/>
      <c r="ID43" s="2258" t="str">
        <f t="shared" ca="1" si="403"/>
        <v/>
      </c>
      <c r="IE43" s="2225"/>
      <c r="IF43" s="2259"/>
      <c r="IG43" s="2229"/>
      <c r="IH43" s="2258" t="str">
        <f t="shared" ca="1" si="404"/>
        <v/>
      </c>
      <c r="II43" s="2255"/>
      <c r="IJ43" s="2256"/>
      <c r="IK43" s="2257"/>
      <c r="IL43" s="2258" t="str">
        <f t="shared" si="405"/>
        <v/>
      </c>
      <c r="IM43" s="2259"/>
      <c r="IN43" s="2229"/>
      <c r="IO43" s="2258" t="str">
        <f t="shared" ca="1" si="406"/>
        <v/>
      </c>
      <c r="IP43" s="2225"/>
      <c r="IQ43" s="2259"/>
      <c r="IR43" s="2229"/>
      <c r="IS43" s="2258" t="str">
        <f t="shared" ca="1" si="407"/>
        <v/>
      </c>
      <c r="IT43" s="2255"/>
      <c r="IU43" s="2256"/>
      <c r="IV43" s="2257"/>
      <c r="IW43" s="2258" t="str">
        <f t="shared" si="408"/>
        <v/>
      </c>
      <c r="IX43" s="2259"/>
      <c r="IY43" s="2229"/>
      <c r="IZ43" s="2258" t="str">
        <f t="shared" ca="1" si="409"/>
        <v/>
      </c>
      <c r="JA43" s="2225"/>
      <c r="JB43" s="2259"/>
      <c r="JC43" s="2229"/>
      <c r="JD43" s="2258" t="str">
        <f t="shared" ca="1" si="410"/>
        <v/>
      </c>
      <c r="JE43" s="2255"/>
      <c r="JF43" s="2256"/>
      <c r="JG43" s="2257"/>
      <c r="JH43" s="2258" t="str">
        <f t="shared" si="411"/>
        <v/>
      </c>
      <c r="JI43" s="2259"/>
      <c r="JJ43" s="2229"/>
      <c r="JK43" s="2258" t="str">
        <f t="shared" ca="1" si="412"/>
        <v/>
      </c>
      <c r="JL43" s="2225"/>
      <c r="JM43" s="2259"/>
      <c r="JN43" s="2229"/>
      <c r="JO43" s="2258" t="str">
        <f t="shared" ca="1" si="413"/>
        <v/>
      </c>
      <c r="JP43" s="2255"/>
      <c r="JQ43" s="2256"/>
      <c r="JR43" s="2257"/>
      <c r="JS43" s="2258" t="str">
        <f t="shared" si="414"/>
        <v/>
      </c>
      <c r="JT43" s="2259"/>
      <c r="JU43" s="2229"/>
      <c r="JV43" s="2258" t="str">
        <f t="shared" ca="1" si="415"/>
        <v/>
      </c>
      <c r="JW43" s="2225"/>
      <c r="JX43" s="2259"/>
      <c r="JY43" s="2229"/>
      <c r="JZ43" s="2258" t="str">
        <f t="shared" ca="1" si="416"/>
        <v/>
      </c>
      <c r="KA43" s="2231"/>
    </row>
    <row r="44" spans="1:287" s="2208" customFormat="1" ht="18" customHeight="1">
      <c r="A44" s="2200"/>
      <c r="B44" s="2201"/>
      <c r="C44" s="2201"/>
      <c r="D44" s="2202"/>
      <c r="E44" s="2203"/>
      <c r="F44" s="2204"/>
      <c r="G44" s="2204"/>
      <c r="H44" s="2202"/>
      <c r="I44" s="2203"/>
      <c r="J44" s="2204"/>
      <c r="K44" s="2277"/>
      <c r="L44" s="2200"/>
      <c r="M44" s="2201"/>
      <c r="N44" s="2201"/>
      <c r="O44" s="2202"/>
      <c r="P44" s="2205"/>
      <c r="Q44" s="2204"/>
      <c r="R44" s="2204"/>
      <c r="S44" s="2202"/>
      <c r="T44" s="2205"/>
      <c r="U44" s="2204"/>
      <c r="V44" s="2204"/>
      <c r="W44" s="2200"/>
      <c r="X44" s="2201"/>
      <c r="Y44" s="2201"/>
      <c r="Z44" s="2202"/>
      <c r="AA44" s="2203"/>
      <c r="AB44" s="2204"/>
      <c r="AC44" s="2204"/>
      <c r="AD44" s="2202"/>
      <c r="AE44" s="2203"/>
      <c r="AF44" s="2204"/>
      <c r="AG44" s="2204"/>
      <c r="AH44" s="2200"/>
      <c r="AI44" s="2201"/>
      <c r="AJ44" s="2201"/>
      <c r="AK44" s="2202"/>
      <c r="AL44" s="2205"/>
      <c r="AM44" s="2204"/>
      <c r="AN44" s="2204"/>
      <c r="AO44" s="2202"/>
      <c r="AP44" s="2205"/>
      <c r="AQ44" s="2204"/>
      <c r="AR44" s="2204"/>
      <c r="AS44" s="2200"/>
      <c r="AT44" s="2201"/>
      <c r="AU44" s="2201"/>
      <c r="AV44" s="2202"/>
      <c r="AW44" s="2203"/>
      <c r="AX44" s="2204"/>
      <c r="AY44" s="2204"/>
      <c r="AZ44" s="2202"/>
      <c r="BA44" s="2203"/>
      <c r="BB44" s="2204"/>
      <c r="BC44" s="2204"/>
      <c r="BD44" s="2200"/>
      <c r="BE44" s="2201"/>
      <c r="BF44" s="2201"/>
      <c r="BG44" s="2202"/>
      <c r="BH44" s="2205"/>
      <c r="BI44" s="2204"/>
      <c r="BJ44" s="2204"/>
      <c r="BK44" s="2202"/>
      <c r="BL44" s="2205"/>
      <c r="BM44" s="2204"/>
      <c r="BN44" s="2204"/>
      <c r="BO44" s="2200"/>
      <c r="BP44" s="2201"/>
      <c r="BQ44" s="2201"/>
      <c r="BR44" s="2202"/>
      <c r="BS44" s="2203"/>
      <c r="BT44" s="2204"/>
      <c r="BU44" s="2204"/>
      <c r="BV44" s="2202"/>
      <c r="BW44" s="2203"/>
      <c r="BX44" s="2204"/>
      <c r="BY44" s="2204"/>
      <c r="BZ44" s="2200"/>
      <c r="CA44" s="2201"/>
      <c r="CB44" s="2201"/>
      <c r="CC44" s="2202"/>
      <c r="CD44" s="2205"/>
      <c r="CE44" s="2204"/>
      <c r="CF44" s="2204"/>
      <c r="CG44" s="2202"/>
      <c r="CH44" s="2205"/>
      <c r="CI44" s="2204"/>
      <c r="CJ44" s="2204"/>
      <c r="CK44" s="2200"/>
      <c r="CL44" s="2201"/>
      <c r="CM44" s="2201"/>
      <c r="CN44" s="2202"/>
      <c r="CO44" s="2203"/>
      <c r="CP44" s="2204"/>
      <c r="CQ44" s="2204"/>
      <c r="CR44" s="2202"/>
      <c r="CS44" s="2203"/>
      <c r="CT44" s="2204"/>
      <c r="CU44" s="2204"/>
      <c r="CV44" s="2200"/>
      <c r="CW44" s="2201"/>
      <c r="CX44" s="2201"/>
      <c r="CY44" s="2202"/>
      <c r="CZ44" s="2205"/>
      <c r="DA44" s="2204"/>
      <c r="DB44" s="2204"/>
      <c r="DC44" s="2202"/>
      <c r="DD44" s="2205"/>
      <c r="DE44" s="2204"/>
      <c r="DF44" s="2204"/>
      <c r="DG44" s="2200"/>
      <c r="DH44" s="2201"/>
      <c r="DI44" s="2201"/>
      <c r="DJ44" s="2202"/>
      <c r="DK44" s="2203"/>
      <c r="DL44" s="2204"/>
      <c r="DM44" s="2204"/>
      <c r="DN44" s="2202"/>
      <c r="DO44" s="2203"/>
      <c r="DP44" s="2204"/>
      <c r="DQ44" s="2204"/>
      <c r="DR44" s="2200"/>
      <c r="DS44" s="2201"/>
      <c r="DT44" s="2201"/>
      <c r="DU44" s="2202"/>
      <c r="DV44" s="2205"/>
      <c r="DW44" s="2204"/>
      <c r="DX44" s="2204"/>
      <c r="DY44" s="2202"/>
      <c r="DZ44" s="2205"/>
      <c r="EA44" s="2204"/>
      <c r="EB44" s="2204"/>
      <c r="EC44" s="2200"/>
      <c r="ED44" s="2206"/>
      <c r="EE44" s="2203"/>
      <c r="EF44" s="2204"/>
      <c r="EG44" s="2204"/>
      <c r="EH44" s="2284"/>
      <c r="EI44" s="2203"/>
      <c r="EJ44" s="2204"/>
      <c r="EK44" s="2204"/>
      <c r="EL44" s="2207"/>
      <c r="EM44" s="2207"/>
      <c r="EN44" s="2207"/>
      <c r="EO44" s="2200"/>
      <c r="EY44" s="2222"/>
      <c r="EZ44" s="2223"/>
      <c r="FA44" s="2223"/>
      <c r="FB44" s="2224"/>
      <c r="FC44" s="2224"/>
      <c r="FD44" s="2224"/>
      <c r="FE44" s="2224"/>
      <c r="FF44" s="2225"/>
      <c r="FG44" s="2224"/>
      <c r="FH44" s="2224"/>
      <c r="FI44" s="2224"/>
      <c r="FJ44" s="2222"/>
      <c r="FK44" s="2223"/>
      <c r="FL44" s="2223"/>
      <c r="FM44" s="2224"/>
      <c r="FN44" s="2224"/>
      <c r="FO44" s="2224"/>
      <c r="FP44" s="2224"/>
      <c r="FQ44" s="2225"/>
      <c r="FR44" s="2224"/>
      <c r="FS44" s="2224"/>
      <c r="FT44" s="2224"/>
      <c r="FU44" s="2222"/>
      <c r="FV44" s="2223"/>
      <c r="FW44" s="2223"/>
      <c r="FX44" s="2224"/>
      <c r="FY44" s="2224"/>
      <c r="FZ44" s="2224"/>
      <c r="GA44" s="2224"/>
      <c r="GB44" s="2225"/>
      <c r="GC44" s="2224"/>
      <c r="GD44" s="2224"/>
      <c r="GE44" s="2224"/>
      <c r="GF44" s="2222"/>
      <c r="GG44" s="2223"/>
      <c r="GH44" s="2223"/>
      <c r="GI44" s="2224"/>
      <c r="GJ44" s="2224"/>
      <c r="GK44" s="2224"/>
      <c r="GL44" s="2224"/>
      <c r="GM44" s="2225"/>
      <c r="GN44" s="2224"/>
      <c r="GO44" s="2224"/>
      <c r="GP44" s="2224"/>
      <c r="GQ44" s="2222"/>
      <c r="GR44" s="2223"/>
      <c r="GS44" s="2223"/>
      <c r="GT44" s="2224"/>
      <c r="GU44" s="2224"/>
      <c r="GV44" s="2224"/>
      <c r="GW44" s="2224"/>
      <c r="GX44" s="2225"/>
      <c r="GY44" s="2224"/>
      <c r="GZ44" s="2224"/>
      <c r="HA44" s="2224"/>
      <c r="HB44" s="2222"/>
      <c r="HC44" s="2223"/>
      <c r="HD44" s="2223"/>
      <c r="HE44" s="2224"/>
      <c r="HF44" s="2224"/>
      <c r="HG44" s="2224"/>
      <c r="HH44" s="2224"/>
      <c r="HI44" s="2225"/>
      <c r="HJ44" s="2224"/>
      <c r="HK44" s="2224"/>
      <c r="HL44" s="2224"/>
      <c r="HM44" s="2222"/>
      <c r="HN44" s="2223"/>
      <c r="HO44" s="2223"/>
      <c r="HP44" s="2224"/>
      <c r="HQ44" s="2224"/>
      <c r="HR44" s="2224"/>
      <c r="HS44" s="2224"/>
      <c r="HT44" s="2225"/>
      <c r="HU44" s="2224"/>
      <c r="HV44" s="2224"/>
      <c r="HW44" s="2224"/>
      <c r="HX44" s="2222"/>
      <c r="HY44" s="2223"/>
      <c r="HZ44" s="2223"/>
      <c r="IA44" s="2224"/>
      <c r="IB44" s="2224"/>
      <c r="IC44" s="2224"/>
      <c r="ID44" s="2224"/>
      <c r="IE44" s="2225"/>
      <c r="IF44" s="2224"/>
      <c r="IG44" s="2224"/>
      <c r="IH44" s="2224"/>
      <c r="II44" s="2222"/>
      <c r="IJ44" s="2223"/>
      <c r="IK44" s="2223"/>
      <c r="IL44" s="2224"/>
      <c r="IM44" s="2224"/>
      <c r="IN44" s="2224"/>
      <c r="IO44" s="2224"/>
      <c r="IP44" s="2225"/>
      <c r="IQ44" s="2224"/>
      <c r="IR44" s="2224"/>
      <c r="IS44" s="2224"/>
      <c r="IT44" s="2222"/>
      <c r="IU44" s="2223"/>
      <c r="IV44" s="2223"/>
      <c r="IW44" s="2224"/>
      <c r="IX44" s="2224"/>
      <c r="IY44" s="2224"/>
      <c r="IZ44" s="2224"/>
      <c r="JA44" s="2225"/>
      <c r="JB44" s="2224"/>
      <c r="JC44" s="2224"/>
      <c r="JD44" s="2224"/>
      <c r="JE44" s="2222"/>
      <c r="JF44" s="2223"/>
      <c r="JG44" s="2223"/>
      <c r="JH44" s="2224"/>
      <c r="JI44" s="2224"/>
      <c r="JJ44" s="2224"/>
      <c r="JK44" s="2224"/>
      <c r="JL44" s="2225"/>
      <c r="JM44" s="2224"/>
      <c r="JN44" s="2224"/>
      <c r="JO44" s="2224"/>
      <c r="JP44" s="2222"/>
      <c r="JQ44" s="2223"/>
      <c r="JR44" s="2223"/>
      <c r="JS44" s="2224"/>
      <c r="JT44" s="2224"/>
      <c r="JU44" s="2224"/>
      <c r="JV44" s="2224"/>
      <c r="JW44" s="2225"/>
      <c r="JX44" s="2224"/>
      <c r="JY44" s="2224"/>
      <c r="JZ44" s="2224"/>
      <c r="KA44" s="2226"/>
    </row>
    <row r="45" spans="1:287" s="2156" customFormat="1" ht="18" customHeight="1">
      <c r="A45" s="2169"/>
      <c r="B45" s="2170"/>
      <c r="C45" s="2170"/>
      <c r="D45" s="2171"/>
      <c r="E45" s="2172"/>
      <c r="F45" s="2173"/>
      <c r="G45" s="2173"/>
      <c r="H45" s="2171"/>
      <c r="I45" s="2172"/>
      <c r="J45" s="2173"/>
      <c r="K45" s="2278"/>
      <c r="L45" s="2169"/>
      <c r="M45" s="2170"/>
      <c r="N45" s="2170"/>
      <c r="O45" s="2171"/>
      <c r="P45" s="2174"/>
      <c r="Q45" s="2173"/>
      <c r="R45" s="2173"/>
      <c r="S45" s="2171"/>
      <c r="T45" s="2174"/>
      <c r="U45" s="2173"/>
      <c r="V45" s="2173"/>
      <c r="W45" s="2169"/>
      <c r="X45" s="2170"/>
      <c r="Y45" s="2170"/>
      <c r="Z45" s="2171"/>
      <c r="AA45" s="2172"/>
      <c r="AB45" s="2173"/>
      <c r="AC45" s="2173"/>
      <c r="AD45" s="2171"/>
      <c r="AE45" s="2172"/>
      <c r="AF45" s="2173"/>
      <c r="AG45" s="2173"/>
      <c r="AH45" s="2169"/>
      <c r="AI45" s="2170"/>
      <c r="AJ45" s="2170"/>
      <c r="AK45" s="2171"/>
      <c r="AL45" s="2174"/>
      <c r="AM45" s="2173"/>
      <c r="AN45" s="2173"/>
      <c r="AO45" s="2171"/>
      <c r="AP45" s="2174"/>
      <c r="AQ45" s="2173"/>
      <c r="AR45" s="2173"/>
      <c r="AS45" s="2169"/>
      <c r="AT45" s="2170"/>
      <c r="AU45" s="2170"/>
      <c r="AV45" s="2171"/>
      <c r="AW45" s="2172"/>
      <c r="AX45" s="2173"/>
      <c r="AY45" s="2173"/>
      <c r="AZ45" s="2171"/>
      <c r="BA45" s="2172"/>
      <c r="BB45" s="2173"/>
      <c r="BC45" s="2173"/>
      <c r="BD45" s="2169"/>
      <c r="BE45" s="2170"/>
      <c r="BF45" s="2170"/>
      <c r="BG45" s="2171"/>
      <c r="BH45" s="2174"/>
      <c r="BI45" s="2173"/>
      <c r="BJ45" s="2173"/>
      <c r="BK45" s="2171"/>
      <c r="BL45" s="2174"/>
      <c r="BM45" s="2173"/>
      <c r="BN45" s="2173"/>
      <c r="BO45" s="2169"/>
      <c r="BP45" s="2170"/>
      <c r="BQ45" s="2170"/>
      <c r="BR45" s="2171"/>
      <c r="BS45" s="2172"/>
      <c r="BT45" s="2173"/>
      <c r="BU45" s="2173"/>
      <c r="BV45" s="2171"/>
      <c r="BW45" s="2172"/>
      <c r="BX45" s="2173"/>
      <c r="BY45" s="2173"/>
      <c r="BZ45" s="2169"/>
      <c r="CA45" s="2170"/>
      <c r="CB45" s="2170"/>
      <c r="CC45" s="2171"/>
      <c r="CD45" s="2174"/>
      <c r="CE45" s="2173"/>
      <c r="CF45" s="2173"/>
      <c r="CG45" s="2171"/>
      <c r="CH45" s="2174"/>
      <c r="CI45" s="2173"/>
      <c r="CJ45" s="2173"/>
      <c r="CK45" s="2169"/>
      <c r="CL45" s="2170"/>
      <c r="CM45" s="2170"/>
      <c r="CN45" s="2171"/>
      <c r="CO45" s="2172"/>
      <c r="CP45" s="2173"/>
      <c r="CQ45" s="2173"/>
      <c r="CR45" s="2171"/>
      <c r="CS45" s="2172"/>
      <c r="CT45" s="2173"/>
      <c r="CU45" s="2173"/>
      <c r="CV45" s="2169"/>
      <c r="CW45" s="2170"/>
      <c r="CX45" s="2170"/>
      <c r="CY45" s="2171"/>
      <c r="CZ45" s="2174"/>
      <c r="DA45" s="2173"/>
      <c r="DB45" s="2173"/>
      <c r="DC45" s="2171"/>
      <c r="DD45" s="2174"/>
      <c r="DE45" s="2173"/>
      <c r="DF45" s="2173"/>
      <c r="DG45" s="2169"/>
      <c r="DH45" s="2170"/>
      <c r="DI45" s="2170"/>
      <c r="DJ45" s="2171"/>
      <c r="DK45" s="2172"/>
      <c r="DL45" s="2173"/>
      <c r="DM45" s="2173"/>
      <c r="DN45" s="2171"/>
      <c r="DO45" s="2172"/>
      <c r="DP45" s="2173"/>
      <c r="DQ45" s="2173"/>
      <c r="DR45" s="2169"/>
      <c r="DS45" s="2170"/>
      <c r="DT45" s="2170"/>
      <c r="DU45" s="2171"/>
      <c r="DV45" s="2174"/>
      <c r="DW45" s="2173"/>
      <c r="DX45" s="2173"/>
      <c r="DY45" s="2171"/>
      <c r="DZ45" s="2174"/>
      <c r="EA45" s="2173"/>
      <c r="EB45" s="2173"/>
      <c r="EC45" s="2169"/>
      <c r="ED45" s="2175"/>
      <c r="EE45" s="2172"/>
      <c r="EF45" s="2173"/>
      <c r="EG45" s="2173"/>
      <c r="EH45" s="2285"/>
      <c r="EI45" s="2172"/>
      <c r="EJ45" s="2173"/>
      <c r="EK45" s="2173"/>
      <c r="EL45" s="4323" t="s">
        <v>1137</v>
      </c>
      <c r="EM45" s="4326" t="s">
        <v>1136</v>
      </c>
      <c r="EN45" s="4326" t="s">
        <v>1136</v>
      </c>
      <c r="EO45" s="2169"/>
      <c r="EY45" s="2227"/>
      <c r="EZ45" s="2228"/>
      <c r="FA45" s="2228"/>
      <c r="FB45" s="2229"/>
      <c r="FC45" s="2229"/>
      <c r="FD45" s="2229"/>
      <c r="FE45" s="2229"/>
      <c r="FF45" s="2230"/>
      <c r="FG45" s="2229"/>
      <c r="FH45" s="2229"/>
      <c r="FI45" s="2229"/>
      <c r="FJ45" s="2227"/>
      <c r="FK45" s="2228"/>
      <c r="FL45" s="2228"/>
      <c r="FM45" s="2229"/>
      <c r="FN45" s="2229"/>
      <c r="FO45" s="2229"/>
      <c r="FP45" s="2229"/>
      <c r="FQ45" s="2230"/>
      <c r="FR45" s="2229"/>
      <c r="FS45" s="2229"/>
      <c r="FT45" s="2229"/>
      <c r="FU45" s="2227"/>
      <c r="FV45" s="2228"/>
      <c r="FW45" s="2228"/>
      <c r="FX45" s="2229"/>
      <c r="FY45" s="2229"/>
      <c r="FZ45" s="2229"/>
      <c r="GA45" s="2229"/>
      <c r="GB45" s="2230"/>
      <c r="GC45" s="2229"/>
      <c r="GD45" s="2229"/>
      <c r="GE45" s="2229"/>
      <c r="GF45" s="2227"/>
      <c r="GG45" s="2228"/>
      <c r="GH45" s="2228"/>
      <c r="GI45" s="2229"/>
      <c r="GJ45" s="2229"/>
      <c r="GK45" s="2229"/>
      <c r="GL45" s="2229"/>
      <c r="GM45" s="2230"/>
      <c r="GN45" s="2229"/>
      <c r="GO45" s="2229"/>
      <c r="GP45" s="2229"/>
      <c r="GQ45" s="2227"/>
      <c r="GR45" s="2228"/>
      <c r="GS45" s="2228"/>
      <c r="GT45" s="2229"/>
      <c r="GU45" s="2229"/>
      <c r="GV45" s="2229"/>
      <c r="GW45" s="2229"/>
      <c r="GX45" s="2230"/>
      <c r="GY45" s="2229"/>
      <c r="GZ45" s="2229"/>
      <c r="HA45" s="2229"/>
      <c r="HB45" s="2227"/>
      <c r="HC45" s="2228"/>
      <c r="HD45" s="2228"/>
      <c r="HE45" s="2229"/>
      <c r="HF45" s="2229"/>
      <c r="HG45" s="2229"/>
      <c r="HH45" s="2229"/>
      <c r="HI45" s="2230"/>
      <c r="HJ45" s="2229"/>
      <c r="HK45" s="2229"/>
      <c r="HL45" s="2229"/>
      <c r="HM45" s="2227"/>
      <c r="HN45" s="2228"/>
      <c r="HO45" s="2228"/>
      <c r="HP45" s="2229"/>
      <c r="HQ45" s="2229"/>
      <c r="HR45" s="2229"/>
      <c r="HS45" s="2229"/>
      <c r="HT45" s="2230"/>
      <c r="HU45" s="2229"/>
      <c r="HV45" s="2229"/>
      <c r="HW45" s="2229"/>
      <c r="HX45" s="2227"/>
      <c r="HY45" s="2228"/>
      <c r="HZ45" s="2228"/>
      <c r="IA45" s="2229"/>
      <c r="IB45" s="2229"/>
      <c r="IC45" s="2229"/>
      <c r="ID45" s="2229"/>
      <c r="IE45" s="2230"/>
      <c r="IF45" s="2229"/>
      <c r="IG45" s="2229"/>
      <c r="IH45" s="2229"/>
      <c r="II45" s="2227"/>
      <c r="IJ45" s="2228"/>
      <c r="IK45" s="2228"/>
      <c r="IL45" s="2229"/>
      <c r="IM45" s="2229"/>
      <c r="IN45" s="2229"/>
      <c r="IO45" s="2229"/>
      <c r="IP45" s="2230"/>
      <c r="IQ45" s="2229"/>
      <c r="IR45" s="2229"/>
      <c r="IS45" s="2229"/>
      <c r="IT45" s="2227"/>
      <c r="IU45" s="2228"/>
      <c r="IV45" s="2228"/>
      <c r="IW45" s="2229"/>
      <c r="IX45" s="2229"/>
      <c r="IY45" s="2229"/>
      <c r="IZ45" s="2229"/>
      <c r="JA45" s="2230"/>
      <c r="JB45" s="2229"/>
      <c r="JC45" s="2229"/>
      <c r="JD45" s="2229"/>
      <c r="JE45" s="2227"/>
      <c r="JF45" s="2228"/>
      <c r="JG45" s="2228"/>
      <c r="JH45" s="2229"/>
      <c r="JI45" s="2229"/>
      <c r="JJ45" s="2229"/>
      <c r="JK45" s="2229"/>
      <c r="JL45" s="2230"/>
      <c r="JM45" s="2229"/>
      <c r="JN45" s="2229"/>
      <c r="JO45" s="2229"/>
      <c r="JP45" s="2227"/>
      <c r="JQ45" s="2228"/>
      <c r="JR45" s="2228"/>
      <c r="JS45" s="2229"/>
      <c r="JT45" s="2229"/>
      <c r="JU45" s="2229"/>
      <c r="JV45" s="2229"/>
      <c r="JW45" s="2230"/>
      <c r="JX45" s="2229"/>
      <c r="JY45" s="2229"/>
      <c r="JZ45" s="2229"/>
      <c r="KA45" s="2231"/>
    </row>
    <row r="46" spans="1:287" s="101" customFormat="1" ht="17.25" customHeight="1">
      <c r="A46" s="2209"/>
      <c r="B46" s="2209"/>
      <c r="C46" s="2209"/>
      <c r="D46" s="225"/>
      <c r="K46" s="2279"/>
      <c r="EL46" s="4324"/>
      <c r="EM46" s="4326"/>
      <c r="EN46" s="4326"/>
      <c r="EY46" s="1959"/>
      <c r="EZ46" s="1959"/>
      <c r="FA46" s="1959"/>
      <c r="FB46" s="1959"/>
      <c r="FC46" s="1959"/>
      <c r="FD46" s="1959"/>
      <c r="FE46" s="1959"/>
      <c r="FF46" s="1959"/>
      <c r="FG46" s="1959"/>
      <c r="FH46" s="1959"/>
      <c r="FI46" s="1959"/>
      <c r="FJ46" s="1959"/>
      <c r="FK46" s="1959"/>
      <c r="FL46" s="1959"/>
      <c r="FM46" s="1959"/>
      <c r="FN46" s="1959"/>
      <c r="FO46" s="1959"/>
      <c r="FP46" s="1959"/>
      <c r="FQ46" s="1959"/>
      <c r="FR46" s="1959"/>
      <c r="FS46" s="1959"/>
      <c r="FT46" s="1959"/>
      <c r="FU46" s="1959"/>
      <c r="FV46" s="1959"/>
      <c r="FW46" s="1959"/>
      <c r="FX46" s="1959"/>
      <c r="FY46" s="1959"/>
      <c r="FZ46" s="1959"/>
      <c r="GA46" s="1959"/>
      <c r="GB46" s="1959"/>
      <c r="GC46" s="1959"/>
      <c r="GD46" s="1959"/>
      <c r="GE46" s="1959"/>
      <c r="GF46" s="1959"/>
      <c r="GG46" s="1959"/>
      <c r="GH46" s="1959"/>
      <c r="GI46" s="1959"/>
      <c r="GJ46" s="1959"/>
      <c r="GK46" s="1959"/>
      <c r="GL46" s="1959"/>
      <c r="GM46" s="1959"/>
      <c r="GN46" s="1959"/>
      <c r="GO46" s="1959"/>
      <c r="GP46" s="1959"/>
      <c r="GQ46" s="1959"/>
      <c r="GR46" s="1959"/>
      <c r="GS46" s="1959"/>
      <c r="GT46" s="1959"/>
      <c r="GU46" s="1959"/>
      <c r="GV46" s="1959"/>
      <c r="GW46" s="1959"/>
      <c r="GX46" s="1959"/>
      <c r="GY46" s="1959"/>
      <c r="GZ46" s="1959"/>
      <c r="HA46" s="1959"/>
      <c r="HB46" s="1959"/>
      <c r="HC46" s="1959"/>
      <c r="HD46" s="1959"/>
      <c r="HE46" s="1959"/>
      <c r="HF46" s="1959"/>
      <c r="HG46" s="1959"/>
      <c r="HH46" s="1959"/>
      <c r="HI46" s="1959"/>
      <c r="HJ46" s="1959"/>
      <c r="HK46" s="1959"/>
      <c r="HL46" s="1959"/>
      <c r="HM46" s="1959"/>
      <c r="HN46" s="1959"/>
      <c r="HO46" s="1959"/>
      <c r="HP46" s="1959"/>
      <c r="HQ46" s="1959"/>
      <c r="HR46" s="1959"/>
      <c r="HS46" s="1959"/>
      <c r="HT46" s="1959"/>
      <c r="HU46" s="1959"/>
      <c r="HV46" s="1959"/>
      <c r="HW46" s="1959"/>
      <c r="HX46" s="1959"/>
      <c r="HY46" s="1959"/>
      <c r="HZ46" s="1959"/>
      <c r="IA46" s="1959"/>
      <c r="IB46" s="1959"/>
      <c r="IC46" s="1959"/>
      <c r="ID46" s="1959"/>
      <c r="IE46" s="1959"/>
      <c r="IF46" s="1959"/>
      <c r="IG46" s="1959"/>
      <c r="IH46" s="1959"/>
      <c r="II46" s="1959"/>
      <c r="IJ46" s="1959"/>
      <c r="IK46" s="1959"/>
      <c r="IL46" s="1959"/>
      <c r="IM46" s="1959"/>
      <c r="IN46" s="1959"/>
      <c r="IO46" s="1959"/>
      <c r="IP46" s="1959"/>
      <c r="IQ46" s="1959"/>
      <c r="IR46" s="1959"/>
      <c r="IS46" s="1959"/>
      <c r="IT46" s="1959"/>
      <c r="IU46" s="1959"/>
      <c r="IV46" s="1959"/>
      <c r="IW46" s="1959"/>
      <c r="IX46" s="1959"/>
      <c r="IY46" s="1959"/>
      <c r="IZ46" s="1959"/>
      <c r="JA46" s="1959"/>
      <c r="JB46" s="1959"/>
      <c r="JC46" s="1959"/>
      <c r="JD46" s="1959"/>
      <c r="JE46" s="1959"/>
      <c r="JF46" s="1959"/>
      <c r="JG46" s="1959"/>
      <c r="JH46" s="1959"/>
      <c r="JI46" s="1959"/>
      <c r="JJ46" s="1959"/>
      <c r="JK46" s="1959"/>
      <c r="JL46" s="1959"/>
      <c r="JM46" s="1959"/>
      <c r="JN46" s="1959"/>
      <c r="JO46" s="1959"/>
      <c r="JP46" s="1959"/>
      <c r="JQ46" s="1959"/>
      <c r="JR46" s="1959"/>
      <c r="JS46" s="1959"/>
      <c r="JT46" s="1959"/>
      <c r="JU46" s="1959"/>
      <c r="JV46" s="1959"/>
      <c r="JW46" s="1959"/>
      <c r="JX46" s="1959"/>
      <c r="JY46" s="1959"/>
      <c r="JZ46" s="1959"/>
      <c r="KA46" s="1959"/>
    </row>
    <row r="47" spans="1:287" ht="17.25" customHeight="1">
      <c r="A47" s="2210" t="s">
        <v>3</v>
      </c>
      <c r="B47" s="2190" t="s">
        <v>1130</v>
      </c>
      <c r="C47" s="2191" t="s">
        <v>1131</v>
      </c>
      <c r="D47" s="2130" t="s">
        <v>1113</v>
      </c>
      <c r="E47" s="2131" t="s">
        <v>1115</v>
      </c>
      <c r="F47" s="2118" t="s">
        <v>1110</v>
      </c>
      <c r="G47" s="2146" t="s">
        <v>1138</v>
      </c>
      <c r="H47" s="2132" t="s">
        <v>1114</v>
      </c>
      <c r="I47" s="2131" t="s">
        <v>1116</v>
      </c>
      <c r="J47" s="2118" t="s">
        <v>1110</v>
      </c>
      <c r="K47" s="2216" t="str">
        <f>G47</f>
        <v>Provison</v>
      </c>
      <c r="L47" s="2274"/>
      <c r="M47" s="2192" t="s">
        <v>1130</v>
      </c>
      <c r="N47" s="2193" t="s">
        <v>1131</v>
      </c>
      <c r="O47" s="2133" t="s">
        <v>1113</v>
      </c>
      <c r="P47" s="2134" t="s">
        <v>1115</v>
      </c>
      <c r="Q47" s="1963" t="s">
        <v>1110</v>
      </c>
      <c r="R47" s="2212" t="str">
        <f>G47</f>
        <v>Provison</v>
      </c>
      <c r="S47" s="2135" t="s">
        <v>1114</v>
      </c>
      <c r="T47" s="2134" t="s">
        <v>1116</v>
      </c>
      <c r="U47" s="1963" t="s">
        <v>1110</v>
      </c>
      <c r="V47" s="2212" t="str">
        <f>K47</f>
        <v>Provison</v>
      </c>
      <c r="W47" s="2213"/>
      <c r="X47" s="2214" t="s">
        <v>1130</v>
      </c>
      <c r="Y47" s="2215" t="s">
        <v>1131</v>
      </c>
      <c r="Z47" s="2130" t="s">
        <v>1113</v>
      </c>
      <c r="AA47" s="2131" t="s">
        <v>1115</v>
      </c>
      <c r="AB47" s="2118" t="s">
        <v>1135</v>
      </c>
      <c r="AC47" s="2211" t="str">
        <f t="shared" ref="AC47" si="417">R47</f>
        <v>Provison</v>
      </c>
      <c r="AD47" s="2132" t="s">
        <v>1114</v>
      </c>
      <c r="AE47" s="2131" t="s">
        <v>1116</v>
      </c>
      <c r="AF47" s="2118" t="s">
        <v>1135</v>
      </c>
      <c r="AG47" s="2216" t="str">
        <f t="shared" ref="AG47" si="418">V47</f>
        <v>Provison</v>
      </c>
      <c r="AH47" s="2217"/>
      <c r="AI47" s="2217" t="s">
        <v>1130</v>
      </c>
      <c r="AJ47" s="2218" t="s">
        <v>1131</v>
      </c>
      <c r="AK47" s="2133" t="s">
        <v>1113</v>
      </c>
      <c r="AL47" s="2134" t="s">
        <v>1115</v>
      </c>
      <c r="AM47" s="1963" t="s">
        <v>1135</v>
      </c>
      <c r="AN47" s="2212" t="str">
        <f t="shared" ref="AN47" si="419">AC47</f>
        <v>Provison</v>
      </c>
      <c r="AO47" s="2135" t="s">
        <v>1114</v>
      </c>
      <c r="AP47" s="2134" t="s">
        <v>1116</v>
      </c>
      <c r="AQ47" s="1963" t="s">
        <v>1135</v>
      </c>
      <c r="AR47" s="2212" t="str">
        <f t="shared" ref="AR47" si="420">AG47</f>
        <v>Provison</v>
      </c>
      <c r="AS47" s="2213"/>
      <c r="AT47" s="2214" t="s">
        <v>1130</v>
      </c>
      <c r="AU47" s="2215" t="s">
        <v>1131</v>
      </c>
      <c r="AV47" s="2130" t="s">
        <v>1113</v>
      </c>
      <c r="AW47" s="2131" t="s">
        <v>1115</v>
      </c>
      <c r="AX47" s="2118" t="s">
        <v>1135</v>
      </c>
      <c r="AY47" s="2211" t="str">
        <f t="shared" ref="AY47" si="421">AN47</f>
        <v>Provison</v>
      </c>
      <c r="AZ47" s="2132" t="s">
        <v>1114</v>
      </c>
      <c r="BA47" s="2131" t="s">
        <v>1116</v>
      </c>
      <c r="BB47" s="2118" t="s">
        <v>1135</v>
      </c>
      <c r="BC47" s="2216" t="str">
        <f t="shared" ref="BC47" si="422">AR47</f>
        <v>Provison</v>
      </c>
      <c r="BD47" s="2217"/>
      <c r="BE47" s="2217" t="s">
        <v>1130</v>
      </c>
      <c r="BF47" s="2218" t="s">
        <v>1131</v>
      </c>
      <c r="BG47" s="2133" t="s">
        <v>1113</v>
      </c>
      <c r="BH47" s="2134" t="s">
        <v>1115</v>
      </c>
      <c r="BI47" s="1963" t="s">
        <v>1135</v>
      </c>
      <c r="BJ47" s="2212" t="str">
        <f t="shared" ref="BJ47" si="423">AY47</f>
        <v>Provison</v>
      </c>
      <c r="BK47" s="2135" t="s">
        <v>1114</v>
      </c>
      <c r="BL47" s="2134" t="s">
        <v>1116</v>
      </c>
      <c r="BM47" s="1963" t="s">
        <v>1135</v>
      </c>
      <c r="BN47" s="2212" t="str">
        <f t="shared" ref="BN47" si="424">BC47</f>
        <v>Provison</v>
      </c>
      <c r="BO47" s="2213"/>
      <c r="BP47" s="2214" t="s">
        <v>1130</v>
      </c>
      <c r="BQ47" s="2215" t="s">
        <v>1131</v>
      </c>
      <c r="BR47" s="2130" t="s">
        <v>1113</v>
      </c>
      <c r="BS47" s="2131" t="s">
        <v>1115</v>
      </c>
      <c r="BT47" s="2118" t="s">
        <v>1135</v>
      </c>
      <c r="BU47" s="2164" t="str">
        <f t="shared" ref="BU47" si="425">BJ47</f>
        <v>Provison</v>
      </c>
      <c r="BV47" s="2132" t="s">
        <v>1114</v>
      </c>
      <c r="BW47" s="2131" t="s">
        <v>1116</v>
      </c>
      <c r="BX47" s="2118" t="s">
        <v>1135</v>
      </c>
      <c r="BY47" s="2216" t="str">
        <f t="shared" ref="BY47" si="426">BN47</f>
        <v>Provison</v>
      </c>
      <c r="BZ47" s="2217"/>
      <c r="CA47" s="2217" t="s">
        <v>1130</v>
      </c>
      <c r="CB47" s="2218" t="s">
        <v>1131</v>
      </c>
      <c r="CC47" s="2133" t="s">
        <v>1113</v>
      </c>
      <c r="CD47" s="2134" t="s">
        <v>1115</v>
      </c>
      <c r="CE47" s="1963" t="s">
        <v>1135</v>
      </c>
      <c r="CF47" s="2212" t="str">
        <f t="shared" ref="CF47" si="427">BU47</f>
        <v>Provison</v>
      </c>
      <c r="CG47" s="2135" t="s">
        <v>1114</v>
      </c>
      <c r="CH47" s="2134" t="s">
        <v>1116</v>
      </c>
      <c r="CI47" s="1963" t="s">
        <v>1135</v>
      </c>
      <c r="CJ47" s="2212" t="str">
        <f t="shared" ref="CJ47" si="428">BY47</f>
        <v>Provison</v>
      </c>
      <c r="CK47" s="2213"/>
      <c r="CL47" s="2214" t="s">
        <v>1130</v>
      </c>
      <c r="CM47" s="2215" t="s">
        <v>1131</v>
      </c>
      <c r="CN47" s="2130" t="s">
        <v>1113</v>
      </c>
      <c r="CO47" s="2131" t="s">
        <v>1115</v>
      </c>
      <c r="CP47" s="2118" t="s">
        <v>1135</v>
      </c>
      <c r="CQ47" s="2211" t="str">
        <f t="shared" ref="CQ47" si="429">CF47</f>
        <v>Provison</v>
      </c>
      <c r="CR47" s="2132" t="s">
        <v>1114</v>
      </c>
      <c r="CS47" s="2131" t="s">
        <v>1116</v>
      </c>
      <c r="CT47" s="2118" t="s">
        <v>1135</v>
      </c>
      <c r="CU47" s="2216" t="str">
        <f t="shared" ref="CU47" si="430">CJ47</f>
        <v>Provison</v>
      </c>
      <c r="CV47" s="2217"/>
      <c r="CW47" s="2217" t="s">
        <v>1130</v>
      </c>
      <c r="CX47" s="2218" t="s">
        <v>1131</v>
      </c>
      <c r="CY47" s="2133" t="s">
        <v>1113</v>
      </c>
      <c r="CZ47" s="2134" t="s">
        <v>1115</v>
      </c>
      <c r="DA47" s="1963" t="s">
        <v>1135</v>
      </c>
      <c r="DB47" s="2212" t="str">
        <f t="shared" ref="DB47" si="431">CQ47</f>
        <v>Provison</v>
      </c>
      <c r="DC47" s="2135" t="s">
        <v>1114</v>
      </c>
      <c r="DD47" s="2134" t="s">
        <v>1116</v>
      </c>
      <c r="DE47" s="1963" t="s">
        <v>1135</v>
      </c>
      <c r="DF47" s="2212" t="str">
        <f t="shared" ref="DF47" si="432">CU47</f>
        <v>Provison</v>
      </c>
      <c r="DG47" s="2213"/>
      <c r="DH47" s="2214" t="s">
        <v>1130</v>
      </c>
      <c r="DI47" s="2215" t="s">
        <v>1131</v>
      </c>
      <c r="DJ47" s="2130" t="s">
        <v>1113</v>
      </c>
      <c r="DK47" s="2131" t="s">
        <v>1115</v>
      </c>
      <c r="DL47" s="2118" t="s">
        <v>1135</v>
      </c>
      <c r="DM47" s="2211" t="str">
        <f t="shared" ref="DM47" si="433">DB47</f>
        <v>Provison</v>
      </c>
      <c r="DN47" s="2132" t="s">
        <v>1114</v>
      </c>
      <c r="DO47" s="2131" t="s">
        <v>1116</v>
      </c>
      <c r="DP47" s="2118" t="s">
        <v>1135</v>
      </c>
      <c r="DQ47" s="2216" t="str">
        <f t="shared" ref="DQ47" si="434">DF47</f>
        <v>Provison</v>
      </c>
      <c r="DR47" s="2217"/>
      <c r="DS47" s="2217" t="s">
        <v>1130</v>
      </c>
      <c r="DT47" s="2218" t="s">
        <v>1131</v>
      </c>
      <c r="DU47" s="2133" t="s">
        <v>1113</v>
      </c>
      <c r="DV47" s="2134" t="s">
        <v>1115</v>
      </c>
      <c r="DW47" s="1963" t="s">
        <v>1135</v>
      </c>
      <c r="DX47" s="2212" t="str">
        <f t="shared" ref="DX47" si="435">DM47</f>
        <v>Provison</v>
      </c>
      <c r="DY47" s="2135" t="s">
        <v>1114</v>
      </c>
      <c r="DZ47" s="2134" t="s">
        <v>1116</v>
      </c>
      <c r="EA47" s="1963" t="s">
        <v>1135</v>
      </c>
      <c r="EB47" s="2212" t="str">
        <f t="shared" ref="EB47" si="436">DQ47</f>
        <v>Provison</v>
      </c>
      <c r="EC47" s="2194"/>
      <c r="ED47" s="2195" t="s">
        <v>1113</v>
      </c>
      <c r="EE47" s="2196" t="s">
        <v>1115</v>
      </c>
      <c r="EF47" s="2197" t="s">
        <v>1110</v>
      </c>
      <c r="EG47" s="2198" t="s">
        <v>907</v>
      </c>
      <c r="EH47" s="2199" t="s">
        <v>1114</v>
      </c>
      <c r="EI47" s="2196" t="s">
        <v>1116</v>
      </c>
      <c r="EJ47" s="2197" t="s">
        <v>1110</v>
      </c>
      <c r="EK47" s="2219" t="s">
        <v>907</v>
      </c>
      <c r="EL47" s="4325"/>
      <c r="EM47" s="2140" t="s">
        <v>127</v>
      </c>
      <c r="EN47" s="2140" t="s">
        <v>128</v>
      </c>
      <c r="EO47" s="2194"/>
      <c r="EP47" s="2312" t="str">
        <f>EP6</f>
        <v>Ges Pro Tag</v>
      </c>
      <c r="EQ47" s="2312" t="str">
        <f>EQ6</f>
        <v>DL pro Tag</v>
      </c>
      <c r="ER47" s="2312" t="str">
        <f>ER6</f>
        <v>VK pro Tag</v>
      </c>
      <c r="EY47" s="2260"/>
      <c r="EZ47" s="2261" t="s">
        <v>1130</v>
      </c>
      <c r="FA47" s="2262" t="s">
        <v>1131</v>
      </c>
      <c r="FB47" s="2241" t="s">
        <v>1113</v>
      </c>
      <c r="FC47" s="2242" t="s">
        <v>1115</v>
      </c>
      <c r="FD47" s="2243" t="s">
        <v>1135</v>
      </c>
      <c r="FE47" s="2244">
        <v>0.05</v>
      </c>
      <c r="FF47" s="2245" t="s">
        <v>1114</v>
      </c>
      <c r="FG47" s="2242" t="s">
        <v>1116</v>
      </c>
      <c r="FH47" s="2243" t="s">
        <v>1135</v>
      </c>
      <c r="FI47" s="2246"/>
      <c r="FJ47" s="2261"/>
      <c r="FK47" s="2261" t="s">
        <v>1130</v>
      </c>
      <c r="FL47" s="2262" t="s">
        <v>1131</v>
      </c>
      <c r="FM47" s="2241" t="s">
        <v>1113</v>
      </c>
      <c r="FN47" s="2242" t="s">
        <v>1115</v>
      </c>
      <c r="FO47" s="2243" t="s">
        <v>1135</v>
      </c>
      <c r="FP47" s="2244"/>
      <c r="FQ47" s="2245" t="s">
        <v>1114</v>
      </c>
      <c r="FR47" s="2242" t="s">
        <v>1116</v>
      </c>
      <c r="FS47" s="2243" t="s">
        <v>1135</v>
      </c>
      <c r="FT47" s="2247"/>
      <c r="FU47" s="2260"/>
      <c r="FV47" s="2261" t="s">
        <v>1130</v>
      </c>
      <c r="FW47" s="2262" t="s">
        <v>1131</v>
      </c>
      <c r="FX47" s="2241" t="s">
        <v>1113</v>
      </c>
      <c r="FY47" s="2242" t="s">
        <v>1115</v>
      </c>
      <c r="FZ47" s="2243" t="s">
        <v>1135</v>
      </c>
      <c r="GA47" s="2244"/>
      <c r="GB47" s="2245" t="s">
        <v>1114</v>
      </c>
      <c r="GC47" s="2242" t="s">
        <v>1116</v>
      </c>
      <c r="GD47" s="2243" t="s">
        <v>1135</v>
      </c>
      <c r="GE47" s="2246"/>
      <c r="GF47" s="2261"/>
      <c r="GG47" s="2261" t="s">
        <v>1130</v>
      </c>
      <c r="GH47" s="2262" t="s">
        <v>1131</v>
      </c>
      <c r="GI47" s="2241" t="s">
        <v>1113</v>
      </c>
      <c r="GJ47" s="2242" t="s">
        <v>1115</v>
      </c>
      <c r="GK47" s="2243" t="s">
        <v>1135</v>
      </c>
      <c r="GL47" s="2244"/>
      <c r="GM47" s="2245" t="s">
        <v>1114</v>
      </c>
      <c r="GN47" s="2242" t="s">
        <v>1116</v>
      </c>
      <c r="GO47" s="2243" t="s">
        <v>1135</v>
      </c>
      <c r="GP47" s="2247"/>
      <c r="GQ47" s="2260"/>
      <c r="GR47" s="2261" t="s">
        <v>1130</v>
      </c>
      <c r="GS47" s="2262" t="s">
        <v>1131</v>
      </c>
      <c r="GT47" s="2241" t="s">
        <v>1113</v>
      </c>
      <c r="GU47" s="2242" t="s">
        <v>1115</v>
      </c>
      <c r="GV47" s="2243" t="s">
        <v>1135</v>
      </c>
      <c r="GW47" s="2244"/>
      <c r="GX47" s="2245" t="s">
        <v>1114</v>
      </c>
      <c r="GY47" s="2242" t="s">
        <v>1116</v>
      </c>
      <c r="GZ47" s="2243" t="s">
        <v>1135</v>
      </c>
      <c r="HA47" s="2246"/>
      <c r="HB47" s="2261"/>
      <c r="HC47" s="2261" t="s">
        <v>1130</v>
      </c>
      <c r="HD47" s="2262" t="s">
        <v>1131</v>
      </c>
      <c r="HE47" s="2241" t="s">
        <v>1113</v>
      </c>
      <c r="HF47" s="2242" t="s">
        <v>1115</v>
      </c>
      <c r="HG47" s="2243" t="s">
        <v>1135</v>
      </c>
      <c r="HH47" s="2244"/>
      <c r="HI47" s="2245" t="s">
        <v>1114</v>
      </c>
      <c r="HJ47" s="2242" t="s">
        <v>1116</v>
      </c>
      <c r="HK47" s="2243" t="s">
        <v>1135</v>
      </c>
      <c r="HL47" s="2247"/>
      <c r="HM47" s="2260"/>
      <c r="HN47" s="2261" t="s">
        <v>1130</v>
      </c>
      <c r="HO47" s="2262" t="s">
        <v>1131</v>
      </c>
      <c r="HP47" s="2241" t="s">
        <v>1113</v>
      </c>
      <c r="HQ47" s="2242" t="s">
        <v>1115</v>
      </c>
      <c r="HR47" s="2243" t="s">
        <v>1135</v>
      </c>
      <c r="HS47" s="2244"/>
      <c r="HT47" s="2245" t="s">
        <v>1114</v>
      </c>
      <c r="HU47" s="2242" t="s">
        <v>1116</v>
      </c>
      <c r="HV47" s="2243" t="s">
        <v>1135</v>
      </c>
      <c r="HW47" s="2246"/>
      <c r="HX47" s="2261"/>
      <c r="HY47" s="2261" t="s">
        <v>1130</v>
      </c>
      <c r="HZ47" s="2262" t="s">
        <v>1131</v>
      </c>
      <c r="IA47" s="2241" t="s">
        <v>1113</v>
      </c>
      <c r="IB47" s="2242" t="s">
        <v>1115</v>
      </c>
      <c r="IC47" s="2243" t="s">
        <v>1135</v>
      </c>
      <c r="ID47" s="2244"/>
      <c r="IE47" s="2245" t="s">
        <v>1114</v>
      </c>
      <c r="IF47" s="2242" t="s">
        <v>1116</v>
      </c>
      <c r="IG47" s="2243" t="s">
        <v>1135</v>
      </c>
      <c r="IH47" s="2247"/>
      <c r="II47" s="2260"/>
      <c r="IJ47" s="2261" t="s">
        <v>1130</v>
      </c>
      <c r="IK47" s="2262" t="s">
        <v>1131</v>
      </c>
      <c r="IL47" s="2241" t="s">
        <v>1113</v>
      </c>
      <c r="IM47" s="2242" t="s">
        <v>1115</v>
      </c>
      <c r="IN47" s="2243" t="s">
        <v>1135</v>
      </c>
      <c r="IO47" s="2244"/>
      <c r="IP47" s="2245" t="s">
        <v>1114</v>
      </c>
      <c r="IQ47" s="2242" t="s">
        <v>1116</v>
      </c>
      <c r="IR47" s="2243" t="s">
        <v>1135</v>
      </c>
      <c r="IS47" s="2246"/>
      <c r="IT47" s="2261"/>
      <c r="IU47" s="2261" t="s">
        <v>1130</v>
      </c>
      <c r="IV47" s="2262" t="s">
        <v>1131</v>
      </c>
      <c r="IW47" s="2241" t="s">
        <v>1113</v>
      </c>
      <c r="IX47" s="2242" t="s">
        <v>1115</v>
      </c>
      <c r="IY47" s="2243" t="s">
        <v>1135</v>
      </c>
      <c r="IZ47" s="2244"/>
      <c r="JA47" s="2245" t="s">
        <v>1114</v>
      </c>
      <c r="JB47" s="2242" t="s">
        <v>1116</v>
      </c>
      <c r="JC47" s="2243" t="s">
        <v>1135</v>
      </c>
      <c r="JD47" s="2247"/>
      <c r="JE47" s="2260"/>
      <c r="JF47" s="2261" t="s">
        <v>1130</v>
      </c>
      <c r="JG47" s="2262" t="s">
        <v>1131</v>
      </c>
      <c r="JH47" s="2241" t="s">
        <v>1113</v>
      </c>
      <c r="JI47" s="2242" t="s">
        <v>1115</v>
      </c>
      <c r="JJ47" s="2243" t="s">
        <v>1135</v>
      </c>
      <c r="JK47" s="2244"/>
      <c r="JL47" s="2245" t="s">
        <v>1114</v>
      </c>
      <c r="JM47" s="2242" t="s">
        <v>1116</v>
      </c>
      <c r="JN47" s="2243" t="s">
        <v>1135</v>
      </c>
      <c r="JO47" s="2246"/>
      <c r="JP47" s="2261"/>
      <c r="JQ47" s="2261" t="s">
        <v>1130</v>
      </c>
      <c r="JR47" s="2262" t="s">
        <v>1131</v>
      </c>
      <c r="JS47" s="2241" t="s">
        <v>1113</v>
      </c>
      <c r="JT47" s="2242" t="s">
        <v>1115</v>
      </c>
      <c r="JU47" s="2243" t="s">
        <v>1135</v>
      </c>
      <c r="JV47" s="2244"/>
      <c r="JW47" s="2245" t="s">
        <v>1114</v>
      </c>
      <c r="JX47" s="2242" t="s">
        <v>1116</v>
      </c>
      <c r="JY47" s="2243" t="s">
        <v>1135</v>
      </c>
      <c r="JZ47" s="2246"/>
    </row>
    <row r="48" spans="1:287" s="2156" customFormat="1" ht="18" customHeight="1">
      <c r="A48" s="2142" t="str">
        <f>'25 Sollumsatz nach Monaten'!A51</f>
        <v>Lena</v>
      </c>
      <c r="B48" s="2161"/>
      <c r="C48" s="2162"/>
      <c r="D48" s="2143"/>
      <c r="E48" s="2144" t="str">
        <f>IF('25 Sollumsatz nach Monaten'!F51=0,"",'25 Sollumsatz nach Monaten'!F51)</f>
        <v/>
      </c>
      <c r="F48" s="2145" t="str">
        <f t="shared" ref="F48" si="437">IF(E48="","",IF(D48="","",D48-E48))</f>
        <v/>
      </c>
      <c r="G48" s="2146" t="str">
        <f t="shared" ref="G48" si="438">IF(E48="","",IF(D48="","",IF(F48&lt;0,"",IF(B48&gt;0,F48*B48,IF(G$5&gt;0,F48*G$5,F48*$B$5)))))</f>
        <v/>
      </c>
      <c r="H48" s="2143"/>
      <c r="I48" s="2144" t="str">
        <f>IF('25 Sollumsatz nach Monaten'!G51=0,"",'25 Sollumsatz nach Monaten'!G51)</f>
        <v/>
      </c>
      <c r="J48" s="2145" t="str">
        <f t="shared" ref="J48" si="439">IF(I48="","",IF(H48="","",H48-I48))</f>
        <v/>
      </c>
      <c r="K48" s="2158" t="str">
        <f t="shared" ref="K48" si="440">IF(I48="","",IF(H48="","",IF(J48&lt;0,"",IF(C48&gt;0,J48*C48,IF(K$5&gt;0,J48*K$5,J48*$C$5)))))</f>
        <v/>
      </c>
      <c r="L48" s="2148" t="str">
        <f t="shared" ref="L48" si="441">A48</f>
        <v>Lena</v>
      </c>
      <c r="M48" s="2161"/>
      <c r="N48" s="2162"/>
      <c r="O48" s="2143"/>
      <c r="P48" s="2149" t="str">
        <f>IF('25 Sollumsatz nach Monaten'!L51=0,"",'25 Sollumsatz nach Monaten'!L51)</f>
        <v/>
      </c>
      <c r="Q48" s="2150" t="str">
        <f t="shared" ref="Q48" si="442">IF(P48="","",IF(O48="","",O48-P48))</f>
        <v/>
      </c>
      <c r="R48" s="2151" t="str">
        <f t="shared" ref="R48" si="443">IF(P48="","",IF(O48="","",IF(Q48&lt;0,"",IF(M48&gt;0,Q48*M48,IF(R$6&gt;0,Q48*R$6,Q48*$B$5)))))</f>
        <v/>
      </c>
      <c r="S48" s="2143"/>
      <c r="T48" s="2149" t="str">
        <f>IF('25 Sollumsatz nach Monaten'!M51=0,"",'25 Sollumsatz nach Monaten'!M51)</f>
        <v/>
      </c>
      <c r="U48" s="2150" t="str">
        <f t="shared" ref="U48" si="444">IF(T48="","",IF(S48="","",S48-T48))</f>
        <v/>
      </c>
      <c r="V48" s="2151" t="str">
        <f t="shared" ref="V48" si="445">IF(T48="","",IF(S48="","",IF(U48&lt;0,"",IF(N48&gt;0,U48*N48,IF(V$6&gt;0,U48*V$6,U48*$C$5)))))</f>
        <v/>
      </c>
      <c r="W48" s="2142" t="str">
        <f t="shared" ref="W48" si="446">L48</f>
        <v>Lena</v>
      </c>
      <c r="X48" s="2161"/>
      <c r="Y48" s="2162"/>
      <c r="Z48" s="2143"/>
      <c r="AA48" s="2144" t="str">
        <f>IF('25 Sollumsatz nach Monaten'!R51=0,"",'25 Sollumsatz nach Monaten'!R51)</f>
        <v/>
      </c>
      <c r="AB48" s="2145" t="str">
        <f t="shared" ref="AB48" si="447">IF(AA48="","",IF(Z48="","",Z48-AA48))</f>
        <v/>
      </c>
      <c r="AC48" s="2146" t="str">
        <f t="shared" ref="AC48" si="448">IF(AA48="","",IF(Z48="","",IF(AB48&lt;0,"",IF(X48&gt;0,AB48*X48,IF(AC$6&gt;0,AB48*AC$6,AB48*$B$5)))))</f>
        <v/>
      </c>
      <c r="AD48" s="2147"/>
      <c r="AE48" s="2144" t="str">
        <f>IF('25 Sollumsatz nach Monaten'!S51=0,"",'25 Sollumsatz nach Monaten'!S51)</f>
        <v/>
      </c>
      <c r="AF48" s="2145" t="str">
        <f t="shared" ref="AF48" si="449">IF(AE48="","",IF(AD48="","",AD48-AE48))</f>
        <v/>
      </c>
      <c r="AG48" s="2158" t="str">
        <f t="shared" ref="AG48" si="450">IF(AE48="","",IF(AD48="","",IF(AF48&lt;0,"",IF(Y48&gt;0,AF48*Y48,IF(AG$6&gt;0,AF48*AG$6,AF48*$C$5)))))</f>
        <v/>
      </c>
      <c r="AH48" s="2148" t="str">
        <f t="shared" ref="AH48" si="451">W48</f>
        <v>Lena</v>
      </c>
      <c r="AI48" s="2161"/>
      <c r="AJ48" s="2162"/>
      <c r="AK48" s="2143"/>
      <c r="AL48" s="2149" t="str">
        <f>IF('25 Sollumsatz nach Monaten'!X51=0,"",'25 Sollumsatz nach Monaten'!X51)</f>
        <v/>
      </c>
      <c r="AM48" s="2150" t="str">
        <f t="shared" ref="AM48" si="452">IF(AL48="","",IF(AK48="","",AK48-AL48))</f>
        <v/>
      </c>
      <c r="AN48" s="2151" t="str">
        <f t="shared" ref="AN48" si="453">IF(AL48="","",IF(AK48="","",IF(AM48&lt;0,"",IF(AI48&gt;0,AM48*AI48,IF(AN$6&gt;0,AM48*AN$6,AM48*$B$5)))))</f>
        <v/>
      </c>
      <c r="AO48" s="2143"/>
      <c r="AP48" s="2149" t="str">
        <f>IF('25 Sollumsatz nach Monaten'!Y51=0,"",'25 Sollumsatz nach Monaten'!Y51)</f>
        <v/>
      </c>
      <c r="AQ48" s="2150" t="str">
        <f t="shared" ref="AQ48" si="454">IF(AP48="","",IF(AO48="","",AO48-AP48))</f>
        <v/>
      </c>
      <c r="AR48" s="2151" t="str">
        <f t="shared" ref="AR48" si="455">IF(AP48="","",IF(AO48="","",IF(AQ48&lt;0,"",IF(AJ48&gt;0,AQ48*AJ48,IF(AR$6&gt;0,AQ48*AR$6,AQ48*$C$5)))))</f>
        <v/>
      </c>
      <c r="AS48" s="2142" t="str">
        <f t="shared" ref="AS48" si="456">AH48</f>
        <v>Lena</v>
      </c>
      <c r="AT48" s="2161"/>
      <c r="AU48" s="2162"/>
      <c r="AV48" s="2143"/>
      <c r="AW48" s="2144" t="str">
        <f>IF('25 Sollumsatz nach Monaten'!AD51=0,"",'25 Sollumsatz nach Monaten'!AD51)</f>
        <v/>
      </c>
      <c r="AX48" s="2145" t="str">
        <f t="shared" ref="AX48" si="457">IF(AW48="","",IF(AV48="","",AV48-AW48))</f>
        <v/>
      </c>
      <c r="AY48" s="2146" t="str">
        <f t="shared" ref="AY48" si="458">IF(AW48="","",IF(AV48="","",IF(AX48&lt;0,"",IF(AT48&gt;0,AX48*AT48,IF(AY$6&gt;0,AX48*AY$6,AX48*$B$5)))))</f>
        <v/>
      </c>
      <c r="AZ48" s="2143"/>
      <c r="BA48" s="2144" t="str">
        <f>IF('25 Sollumsatz nach Monaten'!AE51=0,"",'25 Sollumsatz nach Monaten'!AE51)</f>
        <v/>
      </c>
      <c r="BB48" s="2145" t="str">
        <f t="shared" ref="BB48" si="459">IF(BA48="","",IF(AZ48="","",AZ48-BA48))</f>
        <v/>
      </c>
      <c r="BC48" s="2158" t="str">
        <f t="shared" ref="BC48" si="460">IF(BA48="","",IF(AZ48="","",IF(BB48&lt;0,"",IF(AU48&gt;0,BB48*AU48,IF(BC$6&gt;0,BB48*BC$6,BB48*$C$5)))))</f>
        <v/>
      </c>
      <c r="BD48" s="2148" t="str">
        <f t="shared" ref="BD48" si="461">AS48</f>
        <v>Lena</v>
      </c>
      <c r="BE48" s="2161"/>
      <c r="BF48" s="2162"/>
      <c r="BG48" s="2143"/>
      <c r="BH48" s="2149" t="str">
        <f>IF('25 Sollumsatz nach Monaten'!AJ51=0,"",'25 Sollumsatz nach Monaten'!AJ51)</f>
        <v/>
      </c>
      <c r="BI48" s="2150" t="str">
        <f t="shared" ref="BI48" si="462">IF(BH48="","",IF(BG48="","",BG48-BH48))</f>
        <v/>
      </c>
      <c r="BJ48" s="2151" t="str">
        <f t="shared" ref="BJ48" si="463">IF(BH48="","",IF(BG48="","",IF(BI48&lt;0,"",IF(BE48&gt;0,BI48*BE48,IF(BJ$6&gt;0,BI48*BJ$6,BI48*$B$5)))))</f>
        <v/>
      </c>
      <c r="BK48" s="2143"/>
      <c r="BL48" s="2149" t="str">
        <f>IF('25 Sollumsatz nach Monaten'!AK51=0,"",'25 Sollumsatz nach Monaten'!AK51)</f>
        <v/>
      </c>
      <c r="BM48" s="2150" t="str">
        <f t="shared" ref="BM48" si="464">IF(BL48="","",IF(BK48="","",BK48-BL48))</f>
        <v/>
      </c>
      <c r="BN48" s="2151" t="str">
        <f t="shared" ref="BN48" si="465">IF(BL48="","",IF(BK48="","",IF(BM48&lt;0,"",IF(BF48&gt;0,BM48*BF48,IF(BN$6&gt;0,BM48*BN$6,BM48*$C$5)))))</f>
        <v/>
      </c>
      <c r="BO48" s="2142" t="str">
        <f t="shared" ref="BO48" si="466">BD48</f>
        <v>Lena</v>
      </c>
      <c r="BP48" s="2161"/>
      <c r="BQ48" s="2162"/>
      <c r="BR48" s="2143"/>
      <c r="BS48" s="2144" t="str">
        <f>IF('25 Sollumsatz nach Monaten'!AP51=0,"",'25 Sollumsatz nach Monaten'!AP51)</f>
        <v/>
      </c>
      <c r="BT48" s="2145" t="str">
        <f t="shared" ref="BT48" si="467">IF(BS48="","",IF(BR48="","",BR48-BS48))</f>
        <v/>
      </c>
      <c r="BU48" s="2146" t="str">
        <f t="shared" ref="BU48" si="468">IF(BS48="","",IF(BR48="","",IF(BT48&lt;0,"",IF(BP48&gt;0,BT48*BP48,IF(BU$6&gt;0,BT48*BU$6,BT48*$B$5)))))</f>
        <v/>
      </c>
      <c r="BV48" s="2143"/>
      <c r="BW48" s="2144" t="str">
        <f>IF('25 Sollumsatz nach Monaten'!AQ51=0,"",'25 Sollumsatz nach Monaten'!AQ51)</f>
        <v/>
      </c>
      <c r="BX48" s="2145" t="str">
        <f t="shared" ref="BX48" si="469">IF(BW48="","",IF(BV48="","",BV48-BW48))</f>
        <v/>
      </c>
      <c r="BY48" s="2158" t="str">
        <f t="shared" ref="BY48" si="470">IF(BW48="","",IF(BV48="","",IF(BX48&lt;0,"",IF(BQ48&gt;0,BX48*BQ48,IF(BY$6&gt;0,BX48*BY$6,BX48*$C$5)))))</f>
        <v/>
      </c>
      <c r="BZ48" s="2148" t="str">
        <f t="shared" ref="BZ48" si="471">BO48</f>
        <v>Lena</v>
      </c>
      <c r="CA48" s="2161"/>
      <c r="CB48" s="2162"/>
      <c r="CC48" s="2143"/>
      <c r="CD48" s="2149" t="str">
        <f>IF('25 Sollumsatz nach Monaten'!AV51=0,"",'25 Sollumsatz nach Monaten'!AV51)</f>
        <v/>
      </c>
      <c r="CE48" s="2150" t="str">
        <f t="shared" ref="CE48" si="472">IF(CD48="","",IF(CC48="","",CC48-CD48))</f>
        <v/>
      </c>
      <c r="CF48" s="2151" t="str">
        <f t="shared" ref="CF48" si="473">IF(CD48="","",IF(CC48="","",IF(CE48&lt;0,"",IF(CA48&gt;0,CE48*CA48,IF(CF$6&gt;0,CE48*CF$6,CE48*$B$5)))))</f>
        <v/>
      </c>
      <c r="CG48" s="2143"/>
      <c r="CH48" s="2149" t="str">
        <f>IF('25 Sollumsatz nach Monaten'!AW51=0,"",'25 Sollumsatz nach Monaten'!AW51)</f>
        <v/>
      </c>
      <c r="CI48" s="2150" t="str">
        <f t="shared" ref="CI48" si="474">IF(CH48="","",IF(CG48="","",CG48-CH48))</f>
        <v/>
      </c>
      <c r="CJ48" s="2151" t="str">
        <f t="shared" ref="CJ48" si="475">IF(CH48="","",IF(CG48="","",IF(CI48&lt;0,"",IF(CB48&gt;0,CI48*CB48,IF(CJ$6&gt;0,CI48*CJ$6,CI48*$C$5)))))</f>
        <v/>
      </c>
      <c r="CK48" s="2142" t="str">
        <f t="shared" ref="CK48" si="476">BZ48</f>
        <v>Lena</v>
      </c>
      <c r="CL48" s="2161"/>
      <c r="CM48" s="2162"/>
      <c r="CN48" s="2143"/>
      <c r="CO48" s="2144" t="str">
        <f>IF('25 Sollumsatz nach Monaten'!BB51=0,"",'25 Sollumsatz nach Monaten'!BB51)</f>
        <v/>
      </c>
      <c r="CP48" s="2145" t="str">
        <f t="shared" ref="CP48" si="477">IF(CO48="","",IF(CN48="","",CN48-CO48))</f>
        <v/>
      </c>
      <c r="CQ48" s="2146" t="str">
        <f t="shared" ref="CQ48" si="478">IF(CO48="","",IF(CN48="","",IF(CP48&lt;0,"",IF(CL48&gt;0,CP48*CL48,IF(CQ$6&gt;0,CP48*CQ$6,CP48*$B$5)))))</f>
        <v/>
      </c>
      <c r="CR48" s="2143"/>
      <c r="CS48" s="2144" t="str">
        <f>IF('25 Sollumsatz nach Monaten'!BC51=0,"",'25 Sollumsatz nach Monaten'!BC51)</f>
        <v/>
      </c>
      <c r="CT48" s="2145" t="str">
        <f t="shared" ref="CT48" si="479">IF(CS48="","",IF(CR48="","",CR48-CS48))</f>
        <v/>
      </c>
      <c r="CU48" s="2158" t="str">
        <f t="shared" ref="CU48" si="480">IF(CS48="","",IF(CR48="","",IF(CT48&lt;0,"",IF(CM48&gt;0,CT48*CM48,IF(CU$6&gt;0,CT48*CU$6,CT48*$C$5)))))</f>
        <v/>
      </c>
      <c r="CV48" s="2148" t="str">
        <f t="shared" ref="CV48" si="481">CK48</f>
        <v>Lena</v>
      </c>
      <c r="CW48" s="2161"/>
      <c r="CX48" s="2162"/>
      <c r="CY48" s="2143"/>
      <c r="CZ48" s="2149" t="str">
        <f>IF('25 Sollumsatz nach Monaten'!BH51=0,"",'25 Sollumsatz nach Monaten'!BH51)</f>
        <v/>
      </c>
      <c r="DA48" s="2150" t="str">
        <f t="shared" ref="DA48" si="482">IF(CZ48="","",IF(CY48="","",CY48-CZ48))</f>
        <v/>
      </c>
      <c r="DB48" s="2151" t="str">
        <f t="shared" ref="DB48" si="483">IF(CZ48="","",IF(CY48="","",IF(DA48&lt;0,"",IF(CW48&gt;0,DA48*CW48,IF(DB$6&gt;0,DA48*DB$6,DA48*$B$5)))))</f>
        <v/>
      </c>
      <c r="DC48" s="2143"/>
      <c r="DD48" s="2149" t="str">
        <f>IF('25 Sollumsatz nach Monaten'!BI51=0,"",'25 Sollumsatz nach Monaten'!BI51)</f>
        <v/>
      </c>
      <c r="DE48" s="2150" t="str">
        <f t="shared" ref="DE48" si="484">IF(DD48="","",IF(DC48="","",DC48-DD48))</f>
        <v/>
      </c>
      <c r="DF48" s="2151" t="str">
        <f t="shared" ref="DF48" si="485">IF(DD48="","",IF(DC48="","",IF(DE48&lt;0,"",IF(CX48&gt;0,DE48*CX48,IF(DF$6&gt;0,DE48*DF$6,DE48*$C$5)))))</f>
        <v/>
      </c>
      <c r="DG48" s="2142" t="str">
        <f t="shared" ref="DG48" si="486">CV48</f>
        <v>Lena</v>
      </c>
      <c r="DH48" s="2161"/>
      <c r="DI48" s="2162"/>
      <c r="DJ48" s="2143"/>
      <c r="DK48" s="2144" t="str">
        <f>IF('25 Sollumsatz nach Monaten'!BN51=0,"",'25 Sollumsatz nach Monaten'!BN51)</f>
        <v/>
      </c>
      <c r="DL48" s="2145" t="str">
        <f t="shared" ref="DL48" si="487">IF(DK48="","",IF(DJ48="","",DJ48-DK48))</f>
        <v/>
      </c>
      <c r="DM48" s="2146" t="str">
        <f t="shared" ref="DM48" si="488">IF(DK48="","",IF(DJ48="","",IF(DL48&lt;0,"",IF(DH48&gt;0,DL48*DH48,IF(DM$6&gt;0,DL48*DM$6,DL48*$B$5)))))</f>
        <v/>
      </c>
      <c r="DN48" s="2143"/>
      <c r="DO48" s="2144" t="str">
        <f>IF('25 Sollumsatz nach Monaten'!BO51=0,"",'25 Sollumsatz nach Monaten'!BO51)</f>
        <v/>
      </c>
      <c r="DP48" s="2145" t="str">
        <f t="shared" ref="DP48" si="489">IF(DO48="","",IF(DN48="","",DN48-DO48))</f>
        <v/>
      </c>
      <c r="DQ48" s="2158" t="str">
        <f t="shared" ref="DQ48" si="490">IF(DO48="","",IF(DN48="","",IF(DP48&lt;0,"",IF(DI48&gt;0,DP48*DI48,IF(DQ$6&gt;0,DP48*DQ$6,DP48*$C$5)))))</f>
        <v/>
      </c>
      <c r="DR48" s="2148" t="str">
        <f t="shared" ref="DR48" si="491">DG48</f>
        <v>Lena</v>
      </c>
      <c r="DS48" s="2161"/>
      <c r="DT48" s="2162"/>
      <c r="DU48" s="2143"/>
      <c r="DV48" s="2149" t="str">
        <f>IF('25 Sollumsatz nach Monaten'!BT51=0,"",'25 Sollumsatz nach Monaten'!BT51)</f>
        <v/>
      </c>
      <c r="DW48" s="2150" t="str">
        <f t="shared" ref="DW48" si="492">IF(DV48="","",IF(DU48="","",DU48-DV48))</f>
        <v/>
      </c>
      <c r="DX48" s="2151" t="str">
        <f t="shared" ref="DX48" si="493">IF(DV48="","",IF(DU48="","",IF(DW48&lt;0,"",IF(DS48&gt;0,DW48*DS48,IF(DX$6&gt;0,DW48*DX$6,DW48*$B$5)))))</f>
        <v/>
      </c>
      <c r="DY48" s="2143"/>
      <c r="DZ48" s="2149" t="str">
        <f>IF('25 Sollumsatz nach Monaten'!BU51=0,"",'25 Sollumsatz nach Monaten'!BU51)</f>
        <v/>
      </c>
      <c r="EA48" s="2150" t="str">
        <f t="shared" ref="EA48" si="494">IF(DZ48="","",IF(DY48="","",DY48-DZ48))</f>
        <v/>
      </c>
      <c r="EB48" s="2151" t="str">
        <f t="shared" ref="EB48" si="495">IF(DZ48="","",IF(DY48="","",IF(EA48&lt;0,"",IF(DT48&gt;0,EA48*DT48,IF(EB$6&gt;0,EA48*EB$6,EA48*$C$5)))))</f>
        <v/>
      </c>
      <c r="EC48" s="2152" t="str">
        <f t="shared" ref="EC48" si="496">DR48</f>
        <v>Lena</v>
      </c>
      <c r="ED48" s="2280">
        <f t="shared" ref="ED48" si="497">IF(EC48="","",SUM(DU48,DJ48,CY48,CN48,CC48,BR48,BG48,AV48,AK48,Z48,O48,D48))</f>
        <v>0</v>
      </c>
      <c r="EE48" s="2153">
        <f t="shared" ref="EE48" si="498">IF(EC48="","",SUM(DV48,DK48,CZ48,CO48,CD48,BS48,BH48,AW48,AL48,AA48,P48,E48))</f>
        <v>0</v>
      </c>
      <c r="EF48" s="2154">
        <f t="shared" ref="EF48" si="499">IF(EE48="","",IF(ED48="","",ED48-EE48))</f>
        <v>0</v>
      </c>
      <c r="EG48" s="2155" t="str">
        <f t="shared" ref="EG48:EG63" si="500">IF(EC48="","",IF(SUM(DX48,DM48,DB48,CQ48,CF48,BU48,BJ48,AY48,AN48,AC48,R48,G48)=0,"",SUM(DX48,DM48,DB48,CQ48,CF48,BU48,BJ48,AY48,AN48,AC48,R48,G48)))</f>
        <v/>
      </c>
      <c r="EH48" s="2282">
        <f t="shared" ref="EH48" si="501">IF(EC48="","",SUM(DY48,DN48,DC48,CR48,CG48,BV48,BK48,AZ48,AO48,AD48,S48,H48))</f>
        <v>0</v>
      </c>
      <c r="EI48" s="2153">
        <f t="shared" ref="EI48" si="502">IF(EC48="","",SUM(DZ48,DO48,DD48,CS48,CH48,BW48,BL48,BA48,AP48,AE48,T48,I48))</f>
        <v>0</v>
      </c>
      <c r="EJ48" s="2154">
        <f t="shared" ref="EJ48" si="503">IF(EI48="","",IF(EH48="","",EH48-EI48))</f>
        <v>0</v>
      </c>
      <c r="EK48" s="2155" t="str">
        <f t="shared" ref="EK48" si="504">IF(EC48="","",IF(SUM(EB48,DQ48,DF48,CU48,CJ48,BY48,BN48,BC48,AR48,AG48,V48,K48)=0,"",SUM(EB48,DQ48,DF48,CU48,CJ48,BY48,BN48,BC48,AR48,AG48,V48,K48)))</f>
        <v/>
      </c>
      <c r="EL48" s="2160" t="str">
        <f t="shared" ref="EL48:EL63" si="505">IF(COUNTIF($EY48:$JZ48,3)=0,"",COUNTIF($EY48:$JZ48,3))</f>
        <v/>
      </c>
      <c r="EM48" s="2160" t="str">
        <f t="shared" ref="EM48:EM63" si="506">IF(COUNTIF($EY48:$JZ48,1)=0,"",COUNTIF($EY48:$JZ48,1))</f>
        <v/>
      </c>
      <c r="EN48" s="2160" t="str">
        <f t="shared" ref="EN48:EN63" si="507">IF(COUNTIF($EY48:$JZ48,2)=0,"",COUNTIF($EY48:$JZ48,2))</f>
        <v/>
      </c>
      <c r="EO48" s="2152" t="str">
        <f t="shared" si="237"/>
        <v>Lena</v>
      </c>
      <c r="EP48" s="2312" t="e">
        <f>IF('25 Sollumsatz nach Monaten'!BV51="","",SUM(EQ48:ER48))</f>
        <v>#DIV/0!</v>
      </c>
      <c r="EQ48" s="2312" t="e">
        <f>IF('25 Sollumsatz nach Monaten'!BV51="","",ED48/'25 Sollumsatz nach Monaten'!BV51)</f>
        <v>#DIV/0!</v>
      </c>
      <c r="ER48" s="2312" t="e">
        <f>IF('25 Sollumsatz nach Monaten'!BV51="","",EH48/'25 Sollumsatz nach Monaten'!BV51)</f>
        <v>#DIV/0!</v>
      </c>
      <c r="EY48" s="2248"/>
      <c r="EZ48" s="2249"/>
      <c r="FA48" s="2250"/>
      <c r="FB48" s="2251" t="str">
        <f t="shared" ref="FB48" si="508">IF(D48="","",3)</f>
        <v/>
      </c>
      <c r="FC48" s="2252"/>
      <c r="FD48" s="2253"/>
      <c r="FE48" s="2251" t="str">
        <f t="shared" ref="FE48" si="509">IF(G48="","",1)</f>
        <v/>
      </c>
      <c r="FF48" s="2254"/>
      <c r="FG48" s="2252"/>
      <c r="FH48" s="2253"/>
      <c r="FI48" s="2251" t="str">
        <f t="shared" ref="FI48" si="510">IF(K48="","",2)</f>
        <v/>
      </c>
      <c r="FJ48" s="2248"/>
      <c r="FK48" s="2249"/>
      <c r="FL48" s="2250"/>
      <c r="FM48" s="2251" t="str">
        <f t="shared" ref="FM48" si="511">IF(O48="","",3)</f>
        <v/>
      </c>
      <c r="FN48" s="2252"/>
      <c r="FO48" s="2253"/>
      <c r="FP48" s="2251" t="str">
        <f t="shared" ref="FP48" si="512">IF(R48="","",1)</f>
        <v/>
      </c>
      <c r="FQ48" s="2254"/>
      <c r="FR48" s="2252"/>
      <c r="FS48" s="2253"/>
      <c r="FT48" s="2251" t="str">
        <f t="shared" ref="FT48" si="513">IF(V48="","",2)</f>
        <v/>
      </c>
      <c r="FU48" s="2248"/>
      <c r="FV48" s="2249"/>
      <c r="FW48" s="2250"/>
      <c r="FX48" s="2251" t="str">
        <f t="shared" ref="FX48" si="514">IF(Z48="","",3)</f>
        <v/>
      </c>
      <c r="FY48" s="2252"/>
      <c r="FZ48" s="2253"/>
      <c r="GA48" s="2251" t="str">
        <f t="shared" ref="GA48" si="515">IF(AC48="","",1)</f>
        <v/>
      </c>
      <c r="GB48" s="2254"/>
      <c r="GC48" s="2252"/>
      <c r="GD48" s="2253"/>
      <c r="GE48" s="2251" t="str">
        <f t="shared" ref="GE48" si="516">IF(AG48="","",2)</f>
        <v/>
      </c>
      <c r="GF48" s="2248"/>
      <c r="GG48" s="2249"/>
      <c r="GH48" s="2250"/>
      <c r="GI48" s="2251" t="str">
        <f t="shared" ref="GI48" si="517">IF(AK48="","",3)</f>
        <v/>
      </c>
      <c r="GJ48" s="2252"/>
      <c r="GK48" s="2253"/>
      <c r="GL48" s="2251" t="str">
        <f t="shared" ref="GL48" si="518">IF(AN48="","",1)</f>
        <v/>
      </c>
      <c r="GM48" s="2254"/>
      <c r="GN48" s="2252"/>
      <c r="GO48" s="2253"/>
      <c r="GP48" s="2251" t="str">
        <f t="shared" ref="GP48" si="519">IF(AR48="","",2)</f>
        <v/>
      </c>
      <c r="GQ48" s="2248"/>
      <c r="GR48" s="2249"/>
      <c r="GS48" s="2250"/>
      <c r="GT48" s="2251" t="str">
        <f t="shared" ref="GT48" si="520">IF(AV48="","",3)</f>
        <v/>
      </c>
      <c r="GU48" s="2252"/>
      <c r="GV48" s="2253"/>
      <c r="GW48" s="2251" t="str">
        <f t="shared" ref="GW48" si="521">IF(AY48="","",1)</f>
        <v/>
      </c>
      <c r="GX48" s="2254"/>
      <c r="GY48" s="2252"/>
      <c r="GZ48" s="2253"/>
      <c r="HA48" s="2251" t="str">
        <f t="shared" ref="HA48" si="522">IF(BC48="","",2)</f>
        <v/>
      </c>
      <c r="HB48" s="2248"/>
      <c r="HC48" s="2249"/>
      <c r="HD48" s="2250"/>
      <c r="HE48" s="2251" t="str">
        <f t="shared" ref="HE48" si="523">IF(BG48="","",3)</f>
        <v/>
      </c>
      <c r="HF48" s="2252"/>
      <c r="HG48" s="2253"/>
      <c r="HH48" s="2251" t="str">
        <f t="shared" ref="HH48" si="524">IF(BJ48="","",1)</f>
        <v/>
      </c>
      <c r="HI48" s="2254"/>
      <c r="HJ48" s="2252"/>
      <c r="HK48" s="2253"/>
      <c r="HL48" s="2251" t="str">
        <f t="shared" ref="HL48" si="525">IF(BN48="","",2)</f>
        <v/>
      </c>
      <c r="HM48" s="2248"/>
      <c r="HN48" s="2249"/>
      <c r="HO48" s="2250"/>
      <c r="HP48" s="2251" t="str">
        <f t="shared" ref="HP48" si="526">IF(BR48="","",3)</f>
        <v/>
      </c>
      <c r="HQ48" s="2252"/>
      <c r="HR48" s="2253"/>
      <c r="HS48" s="2251" t="str">
        <f t="shared" ref="HS48" si="527">IF(BU48="","",1)</f>
        <v/>
      </c>
      <c r="HT48" s="2254"/>
      <c r="HU48" s="2252"/>
      <c r="HV48" s="2253"/>
      <c r="HW48" s="2251" t="str">
        <f t="shared" ref="HW48" si="528">IF(BY48="","",2)</f>
        <v/>
      </c>
      <c r="HX48" s="2248"/>
      <c r="HY48" s="2249"/>
      <c r="HZ48" s="2250"/>
      <c r="IA48" s="2251" t="str">
        <f t="shared" ref="IA48" si="529">IF(CC48="","",3)</f>
        <v/>
      </c>
      <c r="IB48" s="2252"/>
      <c r="IC48" s="2253"/>
      <c r="ID48" s="2251" t="str">
        <f t="shared" ref="ID48" si="530">IF(CF48="","",1)</f>
        <v/>
      </c>
      <c r="IE48" s="2254"/>
      <c r="IF48" s="2252"/>
      <c r="IG48" s="2253"/>
      <c r="IH48" s="2251" t="str">
        <f t="shared" ref="IH48" si="531">IF(CJ48="","",2)</f>
        <v/>
      </c>
      <c r="II48" s="2248"/>
      <c r="IJ48" s="2249"/>
      <c r="IK48" s="2250"/>
      <c r="IL48" s="2251" t="str">
        <f t="shared" ref="IL48" si="532">IF(CN48="","",3)</f>
        <v/>
      </c>
      <c r="IM48" s="2252"/>
      <c r="IN48" s="2253"/>
      <c r="IO48" s="2251" t="str">
        <f t="shared" ref="IO48" si="533">IF(CQ48="","",1)</f>
        <v/>
      </c>
      <c r="IP48" s="2254"/>
      <c r="IQ48" s="2252"/>
      <c r="IR48" s="2253"/>
      <c r="IS48" s="2251" t="str">
        <f t="shared" ref="IS48" si="534">IF(CU48="","",2)</f>
        <v/>
      </c>
      <c r="IT48" s="2248"/>
      <c r="IU48" s="2249"/>
      <c r="IV48" s="2250"/>
      <c r="IW48" s="2251" t="str">
        <f t="shared" ref="IW48" si="535">IF(CY48="","",3)</f>
        <v/>
      </c>
      <c r="IX48" s="2252"/>
      <c r="IY48" s="2253"/>
      <c r="IZ48" s="2251" t="str">
        <f t="shared" ref="IZ48" si="536">IF(DB48="","",1)</f>
        <v/>
      </c>
      <c r="JA48" s="2254"/>
      <c r="JB48" s="2252"/>
      <c r="JC48" s="2253"/>
      <c r="JD48" s="2251" t="str">
        <f t="shared" ref="JD48" si="537">IF(DF48="","",2)</f>
        <v/>
      </c>
      <c r="JE48" s="2248"/>
      <c r="JF48" s="2249"/>
      <c r="JG48" s="2250"/>
      <c r="JH48" s="2251" t="str">
        <f t="shared" ref="JH48" si="538">IF(DJ48="","",3)</f>
        <v/>
      </c>
      <c r="JI48" s="2252"/>
      <c r="JJ48" s="2253"/>
      <c r="JK48" s="2251" t="str">
        <f t="shared" ref="JK48" si="539">IF(DM48="","",1)</f>
        <v/>
      </c>
      <c r="JL48" s="2254"/>
      <c r="JM48" s="2252"/>
      <c r="JN48" s="2253"/>
      <c r="JO48" s="2251" t="str">
        <f t="shared" ref="JO48" si="540">IF(DQ48="","",2)</f>
        <v/>
      </c>
      <c r="JP48" s="2248"/>
      <c r="JQ48" s="2249"/>
      <c r="JR48" s="2250"/>
      <c r="JS48" s="2251" t="str">
        <f t="shared" ref="JS48" si="541">IF(DU48="","",3)</f>
        <v/>
      </c>
      <c r="JT48" s="2252"/>
      <c r="JU48" s="2253"/>
      <c r="JV48" s="2251" t="str">
        <f t="shared" ref="JV48" si="542">IF(DX48="","",1)</f>
        <v/>
      </c>
      <c r="JW48" s="2254"/>
      <c r="JX48" s="2252"/>
      <c r="JY48" s="2253"/>
      <c r="JZ48" s="2251" t="str">
        <f t="shared" ref="JZ48" si="543">IF(EB48="","",2)</f>
        <v/>
      </c>
      <c r="KA48" s="2231"/>
    </row>
    <row r="49" spans="1:287" s="2156" customFormat="1" ht="18" customHeight="1">
      <c r="A49" s="2142" t="str">
        <f>'25 Sollumsatz nach Monaten'!A52</f>
        <v>Lena</v>
      </c>
      <c r="B49" s="2161"/>
      <c r="C49" s="2162"/>
      <c r="D49" s="2143"/>
      <c r="E49" s="2144" t="str">
        <f>IF('25 Sollumsatz nach Monaten'!F52=0,"",'25 Sollumsatz nach Monaten'!F52)</f>
        <v/>
      </c>
      <c r="F49" s="2145" t="str">
        <f t="shared" ref="F49:F63" si="544">IF(E49="","",IF(D49="","",D49-E49))</f>
        <v/>
      </c>
      <c r="G49" s="2146" t="str">
        <f t="shared" ref="G49:G63" si="545">IF(E49="","",IF(D49="","",IF(F49&lt;0,"",IF(B49&gt;0,F49*B49,IF(G$5&gt;0,F49*G$5,F49*$B$5)))))</f>
        <v/>
      </c>
      <c r="H49" s="2143"/>
      <c r="I49" s="2144" t="str">
        <f>IF('25 Sollumsatz nach Monaten'!G52=0,"",'25 Sollumsatz nach Monaten'!G52)</f>
        <v/>
      </c>
      <c r="J49" s="2145" t="str">
        <f t="shared" ref="J49:J63" si="546">IF(I49="","",IF(H49="","",H49-I49))</f>
        <v/>
      </c>
      <c r="K49" s="2158" t="str">
        <f t="shared" ref="K49:K63" si="547">IF(I49="","",IF(H49="","",IF(J49&lt;0,"",IF(C49&gt;0,J49*C49,IF(K$5&gt;0,J49*K$5,J49*$C$5)))))</f>
        <v/>
      </c>
      <c r="L49" s="2148" t="str">
        <f t="shared" ref="L49:L63" si="548">A49</f>
        <v>Lena</v>
      </c>
      <c r="M49" s="2161"/>
      <c r="N49" s="2162"/>
      <c r="O49" s="2143"/>
      <c r="P49" s="2149" t="str">
        <f>IF('25 Sollumsatz nach Monaten'!L52=0,"",'25 Sollumsatz nach Monaten'!L52)</f>
        <v/>
      </c>
      <c r="Q49" s="2150" t="str">
        <f t="shared" ref="Q49:Q63" si="549">IF(P49="","",IF(O49="","",O49-P49))</f>
        <v/>
      </c>
      <c r="R49" s="2151" t="str">
        <f t="shared" ref="R49:R63" si="550">IF(P49="","",IF(O49="","",IF(Q49&lt;0,"",IF(M49&gt;0,Q49*M49,IF(R$6&gt;0,Q49*R$6,Q49*$B$5)))))</f>
        <v/>
      </c>
      <c r="S49" s="2143"/>
      <c r="T49" s="2149" t="str">
        <f>IF('25 Sollumsatz nach Monaten'!M52=0,"",'25 Sollumsatz nach Monaten'!M52)</f>
        <v/>
      </c>
      <c r="U49" s="2150" t="str">
        <f t="shared" ref="U49:U63" si="551">IF(T49="","",IF(S49="","",S49-T49))</f>
        <v/>
      </c>
      <c r="V49" s="2151" t="str">
        <f t="shared" ref="V49:V63" si="552">IF(T49="","",IF(S49="","",IF(U49&lt;0,"",IF(N49&gt;0,U49*N49,IF(V$6&gt;0,U49*V$6,U49*$C$5)))))</f>
        <v/>
      </c>
      <c r="W49" s="2142" t="str">
        <f t="shared" ref="W49:W63" si="553">L49</f>
        <v>Lena</v>
      </c>
      <c r="X49" s="2161"/>
      <c r="Y49" s="2162"/>
      <c r="Z49" s="2143"/>
      <c r="AA49" s="2144" t="str">
        <f>IF('25 Sollumsatz nach Monaten'!R52=0,"",'25 Sollumsatz nach Monaten'!R52)</f>
        <v/>
      </c>
      <c r="AB49" s="2145" t="str">
        <f t="shared" ref="AB49:AB63" si="554">IF(AA49="","",IF(Z49="","",Z49-AA49))</f>
        <v/>
      </c>
      <c r="AC49" s="2146" t="str">
        <f t="shared" ref="AC49:AC63" si="555">IF(AA49="","",IF(Z49="","",IF(AB49&lt;0,"",IF(X49&gt;0,AB49*X49,IF(AC$6&gt;0,AB49*AC$6,AB49*$B$5)))))</f>
        <v/>
      </c>
      <c r="AD49" s="2147"/>
      <c r="AE49" s="2144" t="str">
        <f>IF('25 Sollumsatz nach Monaten'!S52=0,"",'25 Sollumsatz nach Monaten'!S52)</f>
        <v/>
      </c>
      <c r="AF49" s="2145" t="str">
        <f t="shared" ref="AF49:AF63" si="556">IF(AE49="","",IF(AD49="","",AD49-AE49))</f>
        <v/>
      </c>
      <c r="AG49" s="2158" t="str">
        <f t="shared" ref="AG49:AG63" si="557">IF(AE49="","",IF(AD49="","",IF(AF49&lt;0,"",IF(Y49&gt;0,AF49*Y49,IF(AG$6&gt;0,AF49*AG$6,AF49*$C$5)))))</f>
        <v/>
      </c>
      <c r="AH49" s="2148" t="str">
        <f t="shared" ref="AH49:AH63" si="558">W49</f>
        <v>Lena</v>
      </c>
      <c r="AI49" s="2161"/>
      <c r="AJ49" s="2162"/>
      <c r="AK49" s="2143"/>
      <c r="AL49" s="2149" t="str">
        <f>IF('25 Sollumsatz nach Monaten'!X52=0,"",'25 Sollumsatz nach Monaten'!X52)</f>
        <v/>
      </c>
      <c r="AM49" s="2150" t="str">
        <f t="shared" ref="AM49:AM63" si="559">IF(AL49="","",IF(AK49="","",AK49-AL49))</f>
        <v/>
      </c>
      <c r="AN49" s="2151" t="str">
        <f t="shared" ref="AN49:AN63" si="560">IF(AL49="","",IF(AK49="","",IF(AM49&lt;0,"",IF(AI49&gt;0,AM49*AI49,IF(AN$6&gt;0,AM49*AN$6,AM49*$B$5)))))</f>
        <v/>
      </c>
      <c r="AO49" s="2143"/>
      <c r="AP49" s="2149" t="str">
        <f>IF('25 Sollumsatz nach Monaten'!Y52=0,"",'25 Sollumsatz nach Monaten'!Y52)</f>
        <v/>
      </c>
      <c r="AQ49" s="2150" t="str">
        <f t="shared" ref="AQ49:AQ63" si="561">IF(AP49="","",IF(AO49="","",AO49-AP49))</f>
        <v/>
      </c>
      <c r="AR49" s="2151" t="str">
        <f t="shared" ref="AR49:AR63" si="562">IF(AP49="","",IF(AO49="","",IF(AQ49&lt;0,"",IF(AJ49&gt;0,AQ49*AJ49,IF(AR$6&gt;0,AQ49*AR$6,AQ49*$C$5)))))</f>
        <v/>
      </c>
      <c r="AS49" s="2142" t="str">
        <f t="shared" ref="AS49:AS63" si="563">AH49</f>
        <v>Lena</v>
      </c>
      <c r="AT49" s="2161"/>
      <c r="AU49" s="2162"/>
      <c r="AV49" s="2143"/>
      <c r="AW49" s="2144" t="str">
        <f>IF('25 Sollumsatz nach Monaten'!AD52=0,"",'25 Sollumsatz nach Monaten'!AD52)</f>
        <v/>
      </c>
      <c r="AX49" s="2145" t="str">
        <f t="shared" ref="AX49:AX63" si="564">IF(AW49="","",IF(AV49="","",AV49-AW49))</f>
        <v/>
      </c>
      <c r="AY49" s="2146" t="str">
        <f t="shared" ref="AY49:AY63" si="565">IF(AW49="","",IF(AV49="","",IF(AX49&lt;0,"",IF(AT49&gt;0,AX49*AT49,IF(AY$6&gt;0,AX49*AY$6,AX49*$B$5)))))</f>
        <v/>
      </c>
      <c r="AZ49" s="2143"/>
      <c r="BA49" s="2144" t="str">
        <f>IF('25 Sollumsatz nach Monaten'!AE52=0,"",'25 Sollumsatz nach Monaten'!AE52)</f>
        <v/>
      </c>
      <c r="BB49" s="2145" t="str">
        <f t="shared" ref="BB49:BB63" si="566">IF(BA49="","",IF(AZ49="","",AZ49-BA49))</f>
        <v/>
      </c>
      <c r="BC49" s="2158" t="str">
        <f t="shared" ref="BC49:BC63" si="567">IF(BA49="","",IF(AZ49="","",IF(BB49&lt;0,"",IF(AU49&gt;0,BB49*AU49,IF(BC$6&gt;0,BB49*BC$6,BB49*$C$5)))))</f>
        <v/>
      </c>
      <c r="BD49" s="2148" t="str">
        <f t="shared" ref="BD49:BD63" si="568">AS49</f>
        <v>Lena</v>
      </c>
      <c r="BE49" s="2161"/>
      <c r="BF49" s="2162"/>
      <c r="BG49" s="2143"/>
      <c r="BH49" s="2149" t="str">
        <f>IF('25 Sollumsatz nach Monaten'!AJ52=0,"",'25 Sollumsatz nach Monaten'!AJ52)</f>
        <v/>
      </c>
      <c r="BI49" s="2150" t="str">
        <f t="shared" ref="BI49:BI63" si="569">IF(BH49="","",IF(BG49="","",BG49-BH49))</f>
        <v/>
      </c>
      <c r="BJ49" s="2151" t="str">
        <f t="shared" ref="BJ49:BJ63" si="570">IF(BH49="","",IF(BG49="","",IF(BI49&lt;0,"",IF(BE49&gt;0,BI49*BE49,IF(BJ$6&gt;0,BI49*BJ$6,BI49*$B$5)))))</f>
        <v/>
      </c>
      <c r="BK49" s="2143"/>
      <c r="BL49" s="2149" t="str">
        <f>IF('25 Sollumsatz nach Monaten'!AK52=0,"",'25 Sollumsatz nach Monaten'!AK52)</f>
        <v/>
      </c>
      <c r="BM49" s="2150" t="str">
        <f t="shared" ref="BM49:BM63" si="571">IF(BL49="","",IF(BK49="","",BK49-BL49))</f>
        <v/>
      </c>
      <c r="BN49" s="2151" t="str">
        <f t="shared" ref="BN49:BN63" si="572">IF(BL49="","",IF(BK49="","",IF(BM49&lt;0,"",IF(BF49&gt;0,BM49*BF49,IF(BN$6&gt;0,BM49*BN$6,BM49*$C$5)))))</f>
        <v/>
      </c>
      <c r="BO49" s="2142" t="str">
        <f t="shared" ref="BO49:BO63" si="573">BD49</f>
        <v>Lena</v>
      </c>
      <c r="BP49" s="2161"/>
      <c r="BQ49" s="2162"/>
      <c r="BR49" s="2143"/>
      <c r="BS49" s="2144" t="str">
        <f>IF('25 Sollumsatz nach Monaten'!AP52=0,"",'25 Sollumsatz nach Monaten'!AP52)</f>
        <v/>
      </c>
      <c r="BT49" s="2145" t="str">
        <f t="shared" ref="BT49:BT63" si="574">IF(BS49="","",IF(BR49="","",BR49-BS49))</f>
        <v/>
      </c>
      <c r="BU49" s="2146" t="str">
        <f t="shared" ref="BU49:BU63" si="575">IF(BS49="","",IF(BR49="","",IF(BT49&lt;0,"",IF(BP49&gt;0,BT49*BP49,IF(BU$6&gt;0,BT49*BU$6,BT49*$B$5)))))</f>
        <v/>
      </c>
      <c r="BV49" s="2143"/>
      <c r="BW49" s="2144" t="str">
        <f>IF('25 Sollumsatz nach Monaten'!AQ52=0,"",'25 Sollumsatz nach Monaten'!AQ52)</f>
        <v/>
      </c>
      <c r="BX49" s="2145" t="str">
        <f t="shared" ref="BX49:BX63" si="576">IF(BW49="","",IF(BV49="","",BV49-BW49))</f>
        <v/>
      </c>
      <c r="BY49" s="2158" t="str">
        <f t="shared" ref="BY49:BY63" si="577">IF(BW49="","",IF(BV49="","",IF(BX49&lt;0,"",IF(BQ49&gt;0,BX49*BQ49,IF(BY$6&gt;0,BX49*BY$6,BX49*$C$5)))))</f>
        <v/>
      </c>
      <c r="BZ49" s="2148" t="str">
        <f t="shared" ref="BZ49:BZ63" si="578">BO49</f>
        <v>Lena</v>
      </c>
      <c r="CA49" s="2161"/>
      <c r="CB49" s="2162"/>
      <c r="CC49" s="2143"/>
      <c r="CD49" s="2149" t="str">
        <f>IF('25 Sollumsatz nach Monaten'!AV52=0,"",'25 Sollumsatz nach Monaten'!AV52)</f>
        <v/>
      </c>
      <c r="CE49" s="2150" t="str">
        <f t="shared" ref="CE49:CE63" si="579">IF(CD49="","",IF(CC49="","",CC49-CD49))</f>
        <v/>
      </c>
      <c r="CF49" s="2151" t="str">
        <f t="shared" ref="CF49:CF63" si="580">IF(CD49="","",IF(CC49="","",IF(CE49&lt;0,"",IF(CA49&gt;0,CE49*CA49,IF(CF$6&gt;0,CE49*CF$6,CE49*$B$5)))))</f>
        <v/>
      </c>
      <c r="CG49" s="2143"/>
      <c r="CH49" s="2149" t="str">
        <f>IF('25 Sollumsatz nach Monaten'!AW52=0,"",'25 Sollumsatz nach Monaten'!AW52)</f>
        <v/>
      </c>
      <c r="CI49" s="2150" t="str">
        <f t="shared" ref="CI49:CI63" si="581">IF(CH49="","",IF(CG49="","",CG49-CH49))</f>
        <v/>
      </c>
      <c r="CJ49" s="2151" t="str">
        <f t="shared" ref="CJ49:CJ63" si="582">IF(CH49="","",IF(CG49="","",IF(CI49&lt;0,"",IF(CB49&gt;0,CI49*CB49,IF(CJ$6&gt;0,CI49*CJ$6,CI49*$C$5)))))</f>
        <v/>
      </c>
      <c r="CK49" s="2142" t="str">
        <f t="shared" ref="CK49:CK63" si="583">BZ49</f>
        <v>Lena</v>
      </c>
      <c r="CL49" s="2161"/>
      <c r="CM49" s="2162"/>
      <c r="CN49" s="2143"/>
      <c r="CO49" s="2144" t="str">
        <f>IF('25 Sollumsatz nach Monaten'!BB52=0,"",'25 Sollumsatz nach Monaten'!BB52)</f>
        <v/>
      </c>
      <c r="CP49" s="2145" t="str">
        <f t="shared" ref="CP49:CP63" si="584">IF(CO49="","",IF(CN49="","",CN49-CO49))</f>
        <v/>
      </c>
      <c r="CQ49" s="2146" t="str">
        <f t="shared" ref="CQ49:CQ63" si="585">IF(CO49="","",IF(CN49="","",IF(CP49&lt;0,"",IF(CL49&gt;0,CP49*CL49,IF(CQ$6&gt;0,CP49*CQ$6,CP49*$B$5)))))</f>
        <v/>
      </c>
      <c r="CR49" s="2143"/>
      <c r="CS49" s="2144" t="str">
        <f>IF('25 Sollumsatz nach Monaten'!BC52=0,"",'25 Sollumsatz nach Monaten'!BC52)</f>
        <v/>
      </c>
      <c r="CT49" s="2145" t="str">
        <f t="shared" ref="CT49:CT63" si="586">IF(CS49="","",IF(CR49="","",CR49-CS49))</f>
        <v/>
      </c>
      <c r="CU49" s="2158" t="str">
        <f t="shared" ref="CU49:CU63" si="587">IF(CS49="","",IF(CR49="","",IF(CT49&lt;0,"",IF(CM49&gt;0,CT49*CM49,IF(CU$6&gt;0,CT49*CU$6,CT49*$C$5)))))</f>
        <v/>
      </c>
      <c r="CV49" s="2148" t="str">
        <f t="shared" ref="CV49:CV63" si="588">CK49</f>
        <v>Lena</v>
      </c>
      <c r="CW49" s="2161"/>
      <c r="CX49" s="2162"/>
      <c r="CY49" s="2143"/>
      <c r="CZ49" s="2149" t="str">
        <f>IF('25 Sollumsatz nach Monaten'!BH52=0,"",'25 Sollumsatz nach Monaten'!BH52)</f>
        <v/>
      </c>
      <c r="DA49" s="2150" t="str">
        <f t="shared" ref="DA49:DA63" si="589">IF(CZ49="","",IF(CY49="","",CY49-CZ49))</f>
        <v/>
      </c>
      <c r="DB49" s="2151" t="str">
        <f t="shared" ref="DB49:DB63" si="590">IF(CZ49="","",IF(CY49="","",IF(DA49&lt;0,"",IF(CW49&gt;0,DA49*CW49,IF(DB$6&gt;0,DA49*DB$6,DA49*$B$5)))))</f>
        <v/>
      </c>
      <c r="DC49" s="2143"/>
      <c r="DD49" s="2149" t="str">
        <f>IF('25 Sollumsatz nach Monaten'!BI52=0,"",'25 Sollumsatz nach Monaten'!BI52)</f>
        <v/>
      </c>
      <c r="DE49" s="2150" t="str">
        <f t="shared" ref="DE49:DE63" si="591">IF(DD49="","",IF(DC49="","",DC49-DD49))</f>
        <v/>
      </c>
      <c r="DF49" s="2151" t="str">
        <f t="shared" ref="DF49:DF63" si="592">IF(DD49="","",IF(DC49="","",IF(DE49&lt;0,"",IF(CX49&gt;0,DE49*CX49,IF(DF$6&gt;0,DE49*DF$6,DE49*$C$5)))))</f>
        <v/>
      </c>
      <c r="DG49" s="2142" t="str">
        <f t="shared" ref="DG49:DG63" si="593">CV49</f>
        <v>Lena</v>
      </c>
      <c r="DH49" s="2161"/>
      <c r="DI49" s="2162"/>
      <c r="DJ49" s="2143"/>
      <c r="DK49" s="2144" t="str">
        <f>IF('25 Sollumsatz nach Monaten'!BN52=0,"",'25 Sollumsatz nach Monaten'!BN52)</f>
        <v/>
      </c>
      <c r="DL49" s="2145" t="str">
        <f t="shared" ref="DL49:DL63" si="594">IF(DK49="","",IF(DJ49="","",DJ49-DK49))</f>
        <v/>
      </c>
      <c r="DM49" s="2146" t="str">
        <f t="shared" ref="DM49:DM63" si="595">IF(DK49="","",IF(DJ49="","",IF(DL49&lt;0,"",IF(DH49&gt;0,DL49*DH49,IF(DM$6&gt;0,DL49*DM$6,DL49*$B$5)))))</f>
        <v/>
      </c>
      <c r="DN49" s="2143"/>
      <c r="DO49" s="2144" t="str">
        <f>IF('25 Sollumsatz nach Monaten'!BO52=0,"",'25 Sollumsatz nach Monaten'!BO52)</f>
        <v/>
      </c>
      <c r="DP49" s="2145" t="str">
        <f t="shared" ref="DP49:DP63" si="596">IF(DO49="","",IF(DN49="","",DN49-DO49))</f>
        <v/>
      </c>
      <c r="DQ49" s="2158" t="str">
        <f t="shared" ref="DQ49:DQ63" si="597">IF(DO49="","",IF(DN49="","",IF(DP49&lt;0,"",IF(DI49&gt;0,DP49*DI49,IF(DQ$6&gt;0,DP49*DQ$6,DP49*$C$5)))))</f>
        <v/>
      </c>
      <c r="DR49" s="2148" t="str">
        <f t="shared" ref="DR49:DR63" si="598">DG49</f>
        <v>Lena</v>
      </c>
      <c r="DS49" s="2161"/>
      <c r="DT49" s="2162"/>
      <c r="DU49" s="2143"/>
      <c r="DV49" s="2149" t="str">
        <f>IF('25 Sollumsatz nach Monaten'!BT52=0,"",'25 Sollumsatz nach Monaten'!BT52)</f>
        <v/>
      </c>
      <c r="DW49" s="2150" t="str">
        <f t="shared" ref="DW49:DW63" si="599">IF(DV49="","",IF(DU49="","",DU49-DV49))</f>
        <v/>
      </c>
      <c r="DX49" s="2151" t="str">
        <f t="shared" ref="DX49:DX63" si="600">IF(DV49="","",IF(DU49="","",IF(DW49&lt;0,"",IF(DS49&gt;0,DW49*DS49,IF(DX$6&gt;0,DW49*DX$6,DW49*$B$5)))))</f>
        <v/>
      </c>
      <c r="DY49" s="2143"/>
      <c r="DZ49" s="2149" t="str">
        <f>IF('25 Sollumsatz nach Monaten'!BU52=0,"",'25 Sollumsatz nach Monaten'!BU52)</f>
        <v/>
      </c>
      <c r="EA49" s="2150" t="str">
        <f t="shared" ref="EA49:EA63" si="601">IF(DZ49="","",IF(DY49="","",DY49-DZ49))</f>
        <v/>
      </c>
      <c r="EB49" s="2151" t="str">
        <f t="shared" ref="EB49:EB63" si="602">IF(DZ49="","",IF(DY49="","",IF(EA49&lt;0,"",IF(DT49&gt;0,EA49*DT49,IF(EB$6&gt;0,EA49*EB$6,EA49*$C$5)))))</f>
        <v/>
      </c>
      <c r="EC49" s="2152" t="str">
        <f t="shared" ref="EC49:EC63" si="603">DR49</f>
        <v>Lena</v>
      </c>
      <c r="ED49" s="2280">
        <f t="shared" ref="ED49:ED63" si="604">IF(EC49="","",SUM(DU49,DJ49,CY49,CN49,CC49,BR49,BG49,AV49,AK49,Z49,O49,D49))</f>
        <v>0</v>
      </c>
      <c r="EE49" s="2153">
        <f t="shared" ref="EE49:EE63" si="605">IF(EC49="","",SUM(DV49,DK49,CZ49,CO49,CD49,BS49,BH49,AW49,AL49,AA49,P49,E49))</f>
        <v>0</v>
      </c>
      <c r="EF49" s="2154">
        <f t="shared" ref="EF49:EF63" si="606">IF(EE49="","",IF(ED49="","",ED49-EE49))</f>
        <v>0</v>
      </c>
      <c r="EG49" s="2155" t="str">
        <f t="shared" si="500"/>
        <v/>
      </c>
      <c r="EH49" s="2282">
        <f t="shared" ref="EH49:EH63" si="607">IF(EC49="","",SUM(DY49,DN49,DC49,CR49,CG49,BV49,BK49,AZ49,AO49,AD49,S49,H49))</f>
        <v>0</v>
      </c>
      <c r="EI49" s="2153">
        <f t="shared" ref="EI49:EI63" si="608">IF(EC49="","",SUM(DZ49,DO49,DD49,CS49,CH49,BW49,BL49,BA49,AP49,AE49,T49,I49))</f>
        <v>0</v>
      </c>
      <c r="EJ49" s="2154">
        <f t="shared" ref="EJ49:EJ63" si="609">IF(EI49="","",IF(EH49="","",EH49-EI49))</f>
        <v>0</v>
      </c>
      <c r="EK49" s="2155" t="str">
        <f t="shared" ref="EK49:EK63" si="610">IF(EC49="","",IF(SUM(EB49,DQ49,DF49,CU49,CJ49,BY49,BN49,BC49,AR49,AG49,V49,K49)=0,"",SUM(EB49,DQ49,DF49,CU49,CJ49,BY49,BN49,BC49,AR49,AG49,V49,K49)))</f>
        <v/>
      </c>
      <c r="EL49" s="2160" t="str">
        <f t="shared" si="505"/>
        <v/>
      </c>
      <c r="EM49" s="2160" t="str">
        <f t="shared" si="506"/>
        <v/>
      </c>
      <c r="EN49" s="2160" t="str">
        <f t="shared" si="507"/>
        <v/>
      </c>
      <c r="EO49" s="2152" t="str">
        <f t="shared" ref="EO49:EO63" si="611">EC49</f>
        <v>Lena</v>
      </c>
      <c r="EP49" s="2312" t="e">
        <f>IF('25 Sollumsatz nach Monaten'!BV52="","",SUM(EQ49:ER49))</f>
        <v>#DIV/0!</v>
      </c>
      <c r="EQ49" s="2312" t="e">
        <f>IF('25 Sollumsatz nach Monaten'!BV52="","",ED49/'25 Sollumsatz nach Monaten'!BV52)</f>
        <v>#DIV/0!</v>
      </c>
      <c r="ER49" s="2312" t="e">
        <f>IF('25 Sollumsatz nach Monaten'!BV52="","",EH49/'25 Sollumsatz nach Monaten'!BV52)</f>
        <v>#DIV/0!</v>
      </c>
      <c r="EY49" s="2248"/>
      <c r="EZ49" s="2249"/>
      <c r="FA49" s="2250"/>
      <c r="FB49" s="2251" t="str">
        <f t="shared" ref="FB49:FB63" si="612">IF(D49="","",3)</f>
        <v/>
      </c>
      <c r="FC49" s="2252"/>
      <c r="FD49" s="2253"/>
      <c r="FE49" s="2251" t="str">
        <f t="shared" ref="FE49:FE63" si="613">IF(G49="","",1)</f>
        <v/>
      </c>
      <c r="FF49" s="2254"/>
      <c r="FG49" s="2252"/>
      <c r="FH49" s="2253"/>
      <c r="FI49" s="2251" t="str">
        <f t="shared" ref="FI49:FI63" si="614">IF(K49="","",2)</f>
        <v/>
      </c>
      <c r="FJ49" s="2248"/>
      <c r="FK49" s="2249"/>
      <c r="FL49" s="2250"/>
      <c r="FM49" s="2251" t="str">
        <f t="shared" ref="FM49:FM63" si="615">IF(O49="","",3)</f>
        <v/>
      </c>
      <c r="FN49" s="2252"/>
      <c r="FO49" s="2253"/>
      <c r="FP49" s="2251" t="str">
        <f t="shared" ref="FP49:FP63" si="616">IF(R49="","",1)</f>
        <v/>
      </c>
      <c r="FQ49" s="2254"/>
      <c r="FR49" s="2252"/>
      <c r="FS49" s="2253"/>
      <c r="FT49" s="2251" t="str">
        <f t="shared" ref="FT49:FT63" si="617">IF(V49="","",2)</f>
        <v/>
      </c>
      <c r="FU49" s="2248"/>
      <c r="FV49" s="2249"/>
      <c r="FW49" s="2250"/>
      <c r="FX49" s="2251" t="str">
        <f t="shared" ref="FX49:FX63" si="618">IF(Z49="","",3)</f>
        <v/>
      </c>
      <c r="FY49" s="2252"/>
      <c r="FZ49" s="2253"/>
      <c r="GA49" s="2251" t="str">
        <f t="shared" ref="GA49:GA63" si="619">IF(AC49="","",1)</f>
        <v/>
      </c>
      <c r="GB49" s="2254"/>
      <c r="GC49" s="2252"/>
      <c r="GD49" s="2253"/>
      <c r="GE49" s="2251" t="str">
        <f t="shared" ref="GE49:GE63" si="620">IF(AG49="","",2)</f>
        <v/>
      </c>
      <c r="GF49" s="2248"/>
      <c r="GG49" s="2249"/>
      <c r="GH49" s="2250"/>
      <c r="GI49" s="2251" t="str">
        <f t="shared" ref="GI49:GI63" si="621">IF(AK49="","",3)</f>
        <v/>
      </c>
      <c r="GJ49" s="2252"/>
      <c r="GK49" s="2253"/>
      <c r="GL49" s="2251" t="str">
        <f t="shared" ref="GL49:GL63" si="622">IF(AN49="","",1)</f>
        <v/>
      </c>
      <c r="GM49" s="2254"/>
      <c r="GN49" s="2252"/>
      <c r="GO49" s="2253"/>
      <c r="GP49" s="2251" t="str">
        <f t="shared" ref="GP49:GP63" si="623">IF(AR49="","",2)</f>
        <v/>
      </c>
      <c r="GQ49" s="2248"/>
      <c r="GR49" s="2249"/>
      <c r="GS49" s="2250"/>
      <c r="GT49" s="2251" t="str">
        <f t="shared" ref="GT49:GT63" si="624">IF(AV49="","",3)</f>
        <v/>
      </c>
      <c r="GU49" s="2252"/>
      <c r="GV49" s="2253"/>
      <c r="GW49" s="2251" t="str">
        <f t="shared" ref="GW49:GW63" si="625">IF(AY49="","",1)</f>
        <v/>
      </c>
      <c r="GX49" s="2254"/>
      <c r="GY49" s="2252"/>
      <c r="GZ49" s="2253"/>
      <c r="HA49" s="2251" t="str">
        <f t="shared" ref="HA49:HA63" si="626">IF(BC49="","",2)</f>
        <v/>
      </c>
      <c r="HB49" s="2248"/>
      <c r="HC49" s="2249"/>
      <c r="HD49" s="2250"/>
      <c r="HE49" s="2251" t="str">
        <f t="shared" ref="HE49:HE63" si="627">IF(BG49="","",3)</f>
        <v/>
      </c>
      <c r="HF49" s="2252"/>
      <c r="HG49" s="2253"/>
      <c r="HH49" s="2251" t="str">
        <f t="shared" ref="HH49:HH63" si="628">IF(BJ49="","",1)</f>
        <v/>
      </c>
      <c r="HI49" s="2254"/>
      <c r="HJ49" s="2252"/>
      <c r="HK49" s="2253"/>
      <c r="HL49" s="2251" t="str">
        <f t="shared" ref="HL49:HL63" si="629">IF(BN49="","",2)</f>
        <v/>
      </c>
      <c r="HM49" s="2248"/>
      <c r="HN49" s="2249"/>
      <c r="HO49" s="2250"/>
      <c r="HP49" s="2251" t="str">
        <f t="shared" ref="HP49:HP63" si="630">IF(BR49="","",3)</f>
        <v/>
      </c>
      <c r="HQ49" s="2252"/>
      <c r="HR49" s="2253"/>
      <c r="HS49" s="2251" t="str">
        <f t="shared" ref="HS49:HS63" si="631">IF(BU49="","",1)</f>
        <v/>
      </c>
      <c r="HT49" s="2254"/>
      <c r="HU49" s="2252"/>
      <c r="HV49" s="2253"/>
      <c r="HW49" s="2251" t="str">
        <f t="shared" ref="HW49:HW63" si="632">IF(BY49="","",2)</f>
        <v/>
      </c>
      <c r="HX49" s="2248"/>
      <c r="HY49" s="2249"/>
      <c r="HZ49" s="2250"/>
      <c r="IA49" s="2251" t="str">
        <f t="shared" ref="IA49:IA63" si="633">IF(CC49="","",3)</f>
        <v/>
      </c>
      <c r="IB49" s="2252"/>
      <c r="IC49" s="2253"/>
      <c r="ID49" s="2251" t="str">
        <f t="shared" ref="ID49:ID63" si="634">IF(CF49="","",1)</f>
        <v/>
      </c>
      <c r="IE49" s="2254"/>
      <c r="IF49" s="2252"/>
      <c r="IG49" s="2253"/>
      <c r="IH49" s="2251" t="str">
        <f t="shared" ref="IH49:IH63" si="635">IF(CJ49="","",2)</f>
        <v/>
      </c>
      <c r="II49" s="2248"/>
      <c r="IJ49" s="2249"/>
      <c r="IK49" s="2250"/>
      <c r="IL49" s="2251" t="str">
        <f t="shared" ref="IL49:IL63" si="636">IF(CN49="","",3)</f>
        <v/>
      </c>
      <c r="IM49" s="2252"/>
      <c r="IN49" s="2253"/>
      <c r="IO49" s="2251" t="str">
        <f t="shared" ref="IO49:IO63" si="637">IF(CQ49="","",1)</f>
        <v/>
      </c>
      <c r="IP49" s="2254"/>
      <c r="IQ49" s="2252"/>
      <c r="IR49" s="2253"/>
      <c r="IS49" s="2251" t="str">
        <f t="shared" ref="IS49:IS63" si="638">IF(CU49="","",2)</f>
        <v/>
      </c>
      <c r="IT49" s="2248"/>
      <c r="IU49" s="2249"/>
      <c r="IV49" s="2250"/>
      <c r="IW49" s="2251" t="str">
        <f t="shared" ref="IW49:IW63" si="639">IF(CY49="","",3)</f>
        <v/>
      </c>
      <c r="IX49" s="2252"/>
      <c r="IY49" s="2253"/>
      <c r="IZ49" s="2251" t="str">
        <f t="shared" ref="IZ49:IZ63" si="640">IF(DB49="","",1)</f>
        <v/>
      </c>
      <c r="JA49" s="2254"/>
      <c r="JB49" s="2252"/>
      <c r="JC49" s="2253"/>
      <c r="JD49" s="2251" t="str">
        <f t="shared" ref="JD49:JD63" si="641">IF(DF49="","",2)</f>
        <v/>
      </c>
      <c r="JE49" s="2248"/>
      <c r="JF49" s="2249"/>
      <c r="JG49" s="2250"/>
      <c r="JH49" s="2251" t="str">
        <f t="shared" ref="JH49:JH63" si="642">IF(DJ49="","",3)</f>
        <v/>
      </c>
      <c r="JI49" s="2252"/>
      <c r="JJ49" s="2253"/>
      <c r="JK49" s="2251" t="str">
        <f t="shared" ref="JK49:JK63" si="643">IF(DM49="","",1)</f>
        <v/>
      </c>
      <c r="JL49" s="2254"/>
      <c r="JM49" s="2252"/>
      <c r="JN49" s="2253"/>
      <c r="JO49" s="2251" t="str">
        <f t="shared" ref="JO49:JO63" si="644">IF(DQ49="","",2)</f>
        <v/>
      </c>
      <c r="JP49" s="2248"/>
      <c r="JQ49" s="2249"/>
      <c r="JR49" s="2250"/>
      <c r="JS49" s="2251" t="str">
        <f t="shared" ref="JS49:JS63" si="645">IF(DU49="","",3)</f>
        <v/>
      </c>
      <c r="JT49" s="2252"/>
      <c r="JU49" s="2253"/>
      <c r="JV49" s="2251" t="str">
        <f t="shared" ref="JV49:JV63" si="646">IF(DX49="","",1)</f>
        <v/>
      </c>
      <c r="JW49" s="2254"/>
      <c r="JX49" s="2252"/>
      <c r="JY49" s="2253"/>
      <c r="JZ49" s="2251" t="str">
        <f t="shared" ref="JZ49:JZ63" si="647">IF(EB49="","",2)</f>
        <v/>
      </c>
      <c r="KA49" s="2231"/>
    </row>
    <row r="50" spans="1:287" s="2156" customFormat="1" ht="18" customHeight="1">
      <c r="A50" s="2142" t="str">
        <f>'25 Sollumsatz nach Monaten'!A53</f>
        <v>Sten</v>
      </c>
      <c r="B50" s="2161"/>
      <c r="C50" s="2162"/>
      <c r="D50" s="2143"/>
      <c r="E50" s="2144" t="str">
        <f>IF('25 Sollumsatz nach Monaten'!F53=0,"",'25 Sollumsatz nach Monaten'!F53)</f>
        <v/>
      </c>
      <c r="F50" s="2145" t="str">
        <f t="shared" si="544"/>
        <v/>
      </c>
      <c r="G50" s="2146" t="str">
        <f t="shared" si="545"/>
        <v/>
      </c>
      <c r="H50" s="2143"/>
      <c r="I50" s="2144" t="str">
        <f>IF('25 Sollumsatz nach Monaten'!G53=0,"",'25 Sollumsatz nach Monaten'!G53)</f>
        <v/>
      </c>
      <c r="J50" s="2145" t="str">
        <f t="shared" si="546"/>
        <v/>
      </c>
      <c r="K50" s="2158" t="str">
        <f t="shared" si="547"/>
        <v/>
      </c>
      <c r="L50" s="2148" t="str">
        <f t="shared" si="548"/>
        <v>Sten</v>
      </c>
      <c r="M50" s="2161"/>
      <c r="N50" s="2162"/>
      <c r="O50" s="2143"/>
      <c r="P50" s="2149" t="str">
        <f>IF('25 Sollumsatz nach Monaten'!L53=0,"",'25 Sollumsatz nach Monaten'!L53)</f>
        <v/>
      </c>
      <c r="Q50" s="2150" t="str">
        <f t="shared" si="549"/>
        <v/>
      </c>
      <c r="R50" s="2151" t="str">
        <f t="shared" si="550"/>
        <v/>
      </c>
      <c r="S50" s="2143"/>
      <c r="T50" s="2149" t="str">
        <f>IF('25 Sollumsatz nach Monaten'!M53=0,"",'25 Sollumsatz nach Monaten'!M53)</f>
        <v/>
      </c>
      <c r="U50" s="2150" t="str">
        <f t="shared" si="551"/>
        <v/>
      </c>
      <c r="V50" s="2151" t="str">
        <f t="shared" si="552"/>
        <v/>
      </c>
      <c r="W50" s="2142" t="str">
        <f t="shared" si="553"/>
        <v>Sten</v>
      </c>
      <c r="X50" s="2161"/>
      <c r="Y50" s="2162"/>
      <c r="Z50" s="2143"/>
      <c r="AA50" s="2144" t="str">
        <f>IF('25 Sollumsatz nach Monaten'!R53=0,"",'25 Sollumsatz nach Monaten'!R53)</f>
        <v/>
      </c>
      <c r="AB50" s="2145" t="str">
        <f t="shared" si="554"/>
        <v/>
      </c>
      <c r="AC50" s="2146" t="str">
        <f t="shared" si="555"/>
        <v/>
      </c>
      <c r="AD50" s="2147"/>
      <c r="AE50" s="2144" t="str">
        <f>IF('25 Sollumsatz nach Monaten'!S53=0,"",'25 Sollumsatz nach Monaten'!S53)</f>
        <v/>
      </c>
      <c r="AF50" s="2145" t="str">
        <f t="shared" si="556"/>
        <v/>
      </c>
      <c r="AG50" s="2158" t="str">
        <f t="shared" si="557"/>
        <v/>
      </c>
      <c r="AH50" s="2148" t="str">
        <f t="shared" si="558"/>
        <v>Sten</v>
      </c>
      <c r="AI50" s="2161"/>
      <c r="AJ50" s="2162"/>
      <c r="AK50" s="2143"/>
      <c r="AL50" s="2149" t="str">
        <f>IF('25 Sollumsatz nach Monaten'!X53=0,"",'25 Sollumsatz nach Monaten'!X53)</f>
        <v/>
      </c>
      <c r="AM50" s="2150" t="str">
        <f t="shared" si="559"/>
        <v/>
      </c>
      <c r="AN50" s="2151" t="str">
        <f t="shared" si="560"/>
        <v/>
      </c>
      <c r="AO50" s="2143"/>
      <c r="AP50" s="2149" t="str">
        <f>IF('25 Sollumsatz nach Monaten'!Y53=0,"",'25 Sollumsatz nach Monaten'!Y53)</f>
        <v/>
      </c>
      <c r="AQ50" s="2150" t="str">
        <f t="shared" si="561"/>
        <v/>
      </c>
      <c r="AR50" s="2151" t="str">
        <f t="shared" si="562"/>
        <v/>
      </c>
      <c r="AS50" s="2142" t="str">
        <f t="shared" si="563"/>
        <v>Sten</v>
      </c>
      <c r="AT50" s="2161"/>
      <c r="AU50" s="2162"/>
      <c r="AV50" s="2143"/>
      <c r="AW50" s="2144" t="str">
        <f>IF('25 Sollumsatz nach Monaten'!AD53=0,"",'25 Sollumsatz nach Monaten'!AD53)</f>
        <v/>
      </c>
      <c r="AX50" s="2145" t="str">
        <f t="shared" si="564"/>
        <v/>
      </c>
      <c r="AY50" s="2146" t="str">
        <f t="shared" si="565"/>
        <v/>
      </c>
      <c r="AZ50" s="2143"/>
      <c r="BA50" s="2144" t="str">
        <f>IF('25 Sollumsatz nach Monaten'!AE53=0,"",'25 Sollumsatz nach Monaten'!AE53)</f>
        <v/>
      </c>
      <c r="BB50" s="2145" t="str">
        <f t="shared" si="566"/>
        <v/>
      </c>
      <c r="BC50" s="2158" t="str">
        <f t="shared" si="567"/>
        <v/>
      </c>
      <c r="BD50" s="2148" t="str">
        <f t="shared" si="568"/>
        <v>Sten</v>
      </c>
      <c r="BE50" s="2161"/>
      <c r="BF50" s="2162"/>
      <c r="BG50" s="2143"/>
      <c r="BH50" s="2149" t="str">
        <f>IF('25 Sollumsatz nach Monaten'!AJ53=0,"",'25 Sollumsatz nach Monaten'!AJ53)</f>
        <v/>
      </c>
      <c r="BI50" s="2150" t="str">
        <f t="shared" si="569"/>
        <v/>
      </c>
      <c r="BJ50" s="2151" t="str">
        <f t="shared" si="570"/>
        <v/>
      </c>
      <c r="BK50" s="2143"/>
      <c r="BL50" s="2149" t="str">
        <f>IF('25 Sollumsatz nach Monaten'!AK53=0,"",'25 Sollumsatz nach Monaten'!AK53)</f>
        <v/>
      </c>
      <c r="BM50" s="2150" t="str">
        <f t="shared" si="571"/>
        <v/>
      </c>
      <c r="BN50" s="2151" t="str">
        <f t="shared" si="572"/>
        <v/>
      </c>
      <c r="BO50" s="2142" t="str">
        <f t="shared" si="573"/>
        <v>Sten</v>
      </c>
      <c r="BP50" s="2161"/>
      <c r="BQ50" s="2162"/>
      <c r="BR50" s="2143"/>
      <c r="BS50" s="2144" t="str">
        <f>IF('25 Sollumsatz nach Monaten'!AP53=0,"",'25 Sollumsatz nach Monaten'!AP53)</f>
        <v/>
      </c>
      <c r="BT50" s="2145" t="str">
        <f t="shared" si="574"/>
        <v/>
      </c>
      <c r="BU50" s="2146" t="str">
        <f t="shared" si="575"/>
        <v/>
      </c>
      <c r="BV50" s="2143"/>
      <c r="BW50" s="2144" t="str">
        <f>IF('25 Sollumsatz nach Monaten'!AQ53=0,"",'25 Sollumsatz nach Monaten'!AQ53)</f>
        <v/>
      </c>
      <c r="BX50" s="2145" t="str">
        <f t="shared" si="576"/>
        <v/>
      </c>
      <c r="BY50" s="2158" t="str">
        <f t="shared" si="577"/>
        <v/>
      </c>
      <c r="BZ50" s="2148" t="str">
        <f t="shared" si="578"/>
        <v>Sten</v>
      </c>
      <c r="CA50" s="2161"/>
      <c r="CB50" s="2162"/>
      <c r="CC50" s="2143"/>
      <c r="CD50" s="2149" t="str">
        <f>IF('25 Sollumsatz nach Monaten'!AV53=0,"",'25 Sollumsatz nach Monaten'!AV53)</f>
        <v/>
      </c>
      <c r="CE50" s="2150" t="str">
        <f t="shared" si="579"/>
        <v/>
      </c>
      <c r="CF50" s="2151" t="str">
        <f t="shared" si="580"/>
        <v/>
      </c>
      <c r="CG50" s="2143"/>
      <c r="CH50" s="2149" t="str">
        <f>IF('25 Sollumsatz nach Monaten'!AW53=0,"",'25 Sollumsatz nach Monaten'!AW53)</f>
        <v/>
      </c>
      <c r="CI50" s="2150" t="str">
        <f t="shared" si="581"/>
        <v/>
      </c>
      <c r="CJ50" s="2151" t="str">
        <f t="shared" si="582"/>
        <v/>
      </c>
      <c r="CK50" s="2142" t="str">
        <f t="shared" si="583"/>
        <v>Sten</v>
      </c>
      <c r="CL50" s="2161"/>
      <c r="CM50" s="2162"/>
      <c r="CN50" s="2143"/>
      <c r="CO50" s="2144" t="str">
        <f>IF('25 Sollumsatz nach Monaten'!BB53=0,"",'25 Sollumsatz nach Monaten'!BB53)</f>
        <v/>
      </c>
      <c r="CP50" s="2145" t="str">
        <f t="shared" si="584"/>
        <v/>
      </c>
      <c r="CQ50" s="2146" t="str">
        <f t="shared" si="585"/>
        <v/>
      </c>
      <c r="CR50" s="2143"/>
      <c r="CS50" s="2144" t="str">
        <f>IF('25 Sollumsatz nach Monaten'!BC53=0,"",'25 Sollumsatz nach Monaten'!BC53)</f>
        <v/>
      </c>
      <c r="CT50" s="2145" t="str">
        <f t="shared" si="586"/>
        <v/>
      </c>
      <c r="CU50" s="2158" t="str">
        <f t="shared" si="587"/>
        <v/>
      </c>
      <c r="CV50" s="2148" t="str">
        <f t="shared" si="588"/>
        <v>Sten</v>
      </c>
      <c r="CW50" s="2161"/>
      <c r="CX50" s="2162"/>
      <c r="CY50" s="2143"/>
      <c r="CZ50" s="2149" t="str">
        <f>IF('25 Sollumsatz nach Monaten'!BH53=0,"",'25 Sollumsatz nach Monaten'!BH53)</f>
        <v/>
      </c>
      <c r="DA50" s="2150" t="str">
        <f t="shared" si="589"/>
        <v/>
      </c>
      <c r="DB50" s="2151" t="str">
        <f t="shared" si="590"/>
        <v/>
      </c>
      <c r="DC50" s="2143"/>
      <c r="DD50" s="2149" t="str">
        <f>IF('25 Sollumsatz nach Monaten'!BI53=0,"",'25 Sollumsatz nach Monaten'!BI53)</f>
        <v/>
      </c>
      <c r="DE50" s="2150" t="str">
        <f t="shared" si="591"/>
        <v/>
      </c>
      <c r="DF50" s="2151" t="str">
        <f t="shared" si="592"/>
        <v/>
      </c>
      <c r="DG50" s="2142" t="str">
        <f t="shared" si="593"/>
        <v>Sten</v>
      </c>
      <c r="DH50" s="2161"/>
      <c r="DI50" s="2162"/>
      <c r="DJ50" s="2143"/>
      <c r="DK50" s="2144" t="str">
        <f>IF('25 Sollumsatz nach Monaten'!BN53=0,"",'25 Sollumsatz nach Monaten'!BN53)</f>
        <v/>
      </c>
      <c r="DL50" s="2145" t="str">
        <f t="shared" si="594"/>
        <v/>
      </c>
      <c r="DM50" s="2146" t="str">
        <f t="shared" si="595"/>
        <v/>
      </c>
      <c r="DN50" s="2143"/>
      <c r="DO50" s="2144" t="str">
        <f>IF('25 Sollumsatz nach Monaten'!BO53=0,"",'25 Sollumsatz nach Monaten'!BO53)</f>
        <v/>
      </c>
      <c r="DP50" s="2145" t="str">
        <f t="shared" si="596"/>
        <v/>
      </c>
      <c r="DQ50" s="2158" t="str">
        <f t="shared" si="597"/>
        <v/>
      </c>
      <c r="DR50" s="2148" t="str">
        <f t="shared" si="598"/>
        <v>Sten</v>
      </c>
      <c r="DS50" s="2161"/>
      <c r="DT50" s="2162"/>
      <c r="DU50" s="2143"/>
      <c r="DV50" s="2149" t="str">
        <f>IF('25 Sollumsatz nach Monaten'!BT53=0,"",'25 Sollumsatz nach Monaten'!BT53)</f>
        <v/>
      </c>
      <c r="DW50" s="2150" t="str">
        <f t="shared" si="599"/>
        <v/>
      </c>
      <c r="DX50" s="2151" t="str">
        <f t="shared" si="600"/>
        <v/>
      </c>
      <c r="DY50" s="2143"/>
      <c r="DZ50" s="2149" t="str">
        <f>IF('25 Sollumsatz nach Monaten'!BU53=0,"",'25 Sollumsatz nach Monaten'!BU53)</f>
        <v/>
      </c>
      <c r="EA50" s="2150" t="str">
        <f t="shared" si="601"/>
        <v/>
      </c>
      <c r="EB50" s="2151" t="str">
        <f t="shared" si="602"/>
        <v/>
      </c>
      <c r="EC50" s="2152" t="str">
        <f t="shared" si="603"/>
        <v>Sten</v>
      </c>
      <c r="ED50" s="2280">
        <f t="shared" si="604"/>
        <v>0</v>
      </c>
      <c r="EE50" s="2153">
        <f t="shared" si="605"/>
        <v>0</v>
      </c>
      <c r="EF50" s="2154">
        <f t="shared" si="606"/>
        <v>0</v>
      </c>
      <c r="EG50" s="2155" t="str">
        <f t="shared" si="500"/>
        <v/>
      </c>
      <c r="EH50" s="2282">
        <f t="shared" si="607"/>
        <v>0</v>
      </c>
      <c r="EI50" s="2153">
        <f t="shared" si="608"/>
        <v>0</v>
      </c>
      <c r="EJ50" s="2154">
        <f t="shared" si="609"/>
        <v>0</v>
      </c>
      <c r="EK50" s="2155" t="str">
        <f t="shared" si="610"/>
        <v/>
      </c>
      <c r="EL50" s="2160" t="str">
        <f t="shared" si="505"/>
        <v/>
      </c>
      <c r="EM50" s="2160" t="str">
        <f t="shared" si="506"/>
        <v/>
      </c>
      <c r="EN50" s="2160" t="str">
        <f t="shared" si="507"/>
        <v/>
      </c>
      <c r="EO50" s="2152" t="str">
        <f t="shared" si="611"/>
        <v>Sten</v>
      </c>
      <c r="EP50" s="2312" t="e">
        <f>IF('25 Sollumsatz nach Monaten'!BV53="","",SUM(EQ50:ER50))</f>
        <v>#DIV/0!</v>
      </c>
      <c r="EQ50" s="2312" t="e">
        <f>IF('25 Sollumsatz nach Monaten'!BV53="","",ED50/'25 Sollumsatz nach Monaten'!BV53)</f>
        <v>#DIV/0!</v>
      </c>
      <c r="ER50" s="2312" t="e">
        <f>IF('25 Sollumsatz nach Monaten'!BV53="","",EH50/'25 Sollumsatz nach Monaten'!BV53)</f>
        <v>#DIV/0!</v>
      </c>
      <c r="EY50" s="2248"/>
      <c r="EZ50" s="2249"/>
      <c r="FA50" s="2250"/>
      <c r="FB50" s="2251" t="str">
        <f t="shared" si="612"/>
        <v/>
      </c>
      <c r="FC50" s="2252"/>
      <c r="FD50" s="2253"/>
      <c r="FE50" s="2251" t="str">
        <f t="shared" si="613"/>
        <v/>
      </c>
      <c r="FF50" s="2254"/>
      <c r="FG50" s="2252"/>
      <c r="FH50" s="2253"/>
      <c r="FI50" s="2251" t="str">
        <f t="shared" si="614"/>
        <v/>
      </c>
      <c r="FJ50" s="2248"/>
      <c r="FK50" s="2249"/>
      <c r="FL50" s="2250"/>
      <c r="FM50" s="2251" t="str">
        <f t="shared" si="615"/>
        <v/>
      </c>
      <c r="FN50" s="2252"/>
      <c r="FO50" s="2253"/>
      <c r="FP50" s="2251" t="str">
        <f t="shared" si="616"/>
        <v/>
      </c>
      <c r="FQ50" s="2254"/>
      <c r="FR50" s="2252"/>
      <c r="FS50" s="2253"/>
      <c r="FT50" s="2251" t="str">
        <f t="shared" si="617"/>
        <v/>
      </c>
      <c r="FU50" s="2248"/>
      <c r="FV50" s="2249"/>
      <c r="FW50" s="2250"/>
      <c r="FX50" s="2251" t="str">
        <f t="shared" si="618"/>
        <v/>
      </c>
      <c r="FY50" s="2252"/>
      <c r="FZ50" s="2253"/>
      <c r="GA50" s="2251" t="str">
        <f t="shared" si="619"/>
        <v/>
      </c>
      <c r="GB50" s="2254"/>
      <c r="GC50" s="2252"/>
      <c r="GD50" s="2253"/>
      <c r="GE50" s="2251" t="str">
        <f t="shared" si="620"/>
        <v/>
      </c>
      <c r="GF50" s="2248"/>
      <c r="GG50" s="2249"/>
      <c r="GH50" s="2250"/>
      <c r="GI50" s="2251" t="str">
        <f t="shared" si="621"/>
        <v/>
      </c>
      <c r="GJ50" s="2252"/>
      <c r="GK50" s="2253"/>
      <c r="GL50" s="2251" t="str">
        <f t="shared" si="622"/>
        <v/>
      </c>
      <c r="GM50" s="2254"/>
      <c r="GN50" s="2252"/>
      <c r="GO50" s="2253"/>
      <c r="GP50" s="2251" t="str">
        <f t="shared" si="623"/>
        <v/>
      </c>
      <c r="GQ50" s="2248"/>
      <c r="GR50" s="2249"/>
      <c r="GS50" s="2250"/>
      <c r="GT50" s="2251" t="str">
        <f t="shared" si="624"/>
        <v/>
      </c>
      <c r="GU50" s="2252"/>
      <c r="GV50" s="2253"/>
      <c r="GW50" s="2251" t="str">
        <f t="shared" si="625"/>
        <v/>
      </c>
      <c r="GX50" s="2254"/>
      <c r="GY50" s="2252"/>
      <c r="GZ50" s="2253"/>
      <c r="HA50" s="2251" t="str">
        <f t="shared" si="626"/>
        <v/>
      </c>
      <c r="HB50" s="2248"/>
      <c r="HC50" s="2249"/>
      <c r="HD50" s="2250"/>
      <c r="HE50" s="2251" t="str">
        <f t="shared" si="627"/>
        <v/>
      </c>
      <c r="HF50" s="2252"/>
      <c r="HG50" s="2253"/>
      <c r="HH50" s="2251" t="str">
        <f t="shared" si="628"/>
        <v/>
      </c>
      <c r="HI50" s="2254"/>
      <c r="HJ50" s="2252"/>
      <c r="HK50" s="2253"/>
      <c r="HL50" s="2251" t="str">
        <f t="shared" si="629"/>
        <v/>
      </c>
      <c r="HM50" s="2248"/>
      <c r="HN50" s="2249"/>
      <c r="HO50" s="2250"/>
      <c r="HP50" s="2251" t="str">
        <f t="shared" si="630"/>
        <v/>
      </c>
      <c r="HQ50" s="2252"/>
      <c r="HR50" s="2253"/>
      <c r="HS50" s="2251" t="str">
        <f t="shared" si="631"/>
        <v/>
      </c>
      <c r="HT50" s="2254"/>
      <c r="HU50" s="2252"/>
      <c r="HV50" s="2253"/>
      <c r="HW50" s="2251" t="str">
        <f t="shared" si="632"/>
        <v/>
      </c>
      <c r="HX50" s="2248"/>
      <c r="HY50" s="2249"/>
      <c r="HZ50" s="2250"/>
      <c r="IA50" s="2251" t="str">
        <f t="shared" si="633"/>
        <v/>
      </c>
      <c r="IB50" s="2252"/>
      <c r="IC50" s="2253"/>
      <c r="ID50" s="2251" t="str">
        <f t="shared" si="634"/>
        <v/>
      </c>
      <c r="IE50" s="2254"/>
      <c r="IF50" s="2252"/>
      <c r="IG50" s="2253"/>
      <c r="IH50" s="2251" t="str">
        <f t="shared" si="635"/>
        <v/>
      </c>
      <c r="II50" s="2248"/>
      <c r="IJ50" s="2249"/>
      <c r="IK50" s="2250"/>
      <c r="IL50" s="2251" t="str">
        <f t="shared" si="636"/>
        <v/>
      </c>
      <c r="IM50" s="2252"/>
      <c r="IN50" s="2253"/>
      <c r="IO50" s="2251" t="str">
        <f t="shared" si="637"/>
        <v/>
      </c>
      <c r="IP50" s="2254"/>
      <c r="IQ50" s="2252"/>
      <c r="IR50" s="2253"/>
      <c r="IS50" s="2251" t="str">
        <f t="shared" si="638"/>
        <v/>
      </c>
      <c r="IT50" s="2248"/>
      <c r="IU50" s="2249"/>
      <c r="IV50" s="2250"/>
      <c r="IW50" s="2251" t="str">
        <f t="shared" si="639"/>
        <v/>
      </c>
      <c r="IX50" s="2252"/>
      <c r="IY50" s="2253"/>
      <c r="IZ50" s="2251" t="str">
        <f t="shared" si="640"/>
        <v/>
      </c>
      <c r="JA50" s="2254"/>
      <c r="JB50" s="2252"/>
      <c r="JC50" s="2253"/>
      <c r="JD50" s="2251" t="str">
        <f t="shared" si="641"/>
        <v/>
      </c>
      <c r="JE50" s="2248"/>
      <c r="JF50" s="2249"/>
      <c r="JG50" s="2250"/>
      <c r="JH50" s="2251" t="str">
        <f t="shared" si="642"/>
        <v/>
      </c>
      <c r="JI50" s="2252"/>
      <c r="JJ50" s="2253"/>
      <c r="JK50" s="2251" t="str">
        <f t="shared" si="643"/>
        <v/>
      </c>
      <c r="JL50" s="2254"/>
      <c r="JM50" s="2252"/>
      <c r="JN50" s="2253"/>
      <c r="JO50" s="2251" t="str">
        <f t="shared" si="644"/>
        <v/>
      </c>
      <c r="JP50" s="2248"/>
      <c r="JQ50" s="2249"/>
      <c r="JR50" s="2250"/>
      <c r="JS50" s="2251" t="str">
        <f t="shared" si="645"/>
        <v/>
      </c>
      <c r="JT50" s="2252"/>
      <c r="JU50" s="2253"/>
      <c r="JV50" s="2251" t="str">
        <f t="shared" si="646"/>
        <v/>
      </c>
      <c r="JW50" s="2254"/>
      <c r="JX50" s="2252"/>
      <c r="JY50" s="2253"/>
      <c r="JZ50" s="2251" t="str">
        <f t="shared" si="647"/>
        <v/>
      </c>
      <c r="KA50" s="2231"/>
    </row>
    <row r="51" spans="1:287" s="2156" customFormat="1" ht="18" customHeight="1">
      <c r="A51" s="2142" t="str">
        <f>'25 Sollumsatz nach Monaten'!A54</f>
        <v>Sten</v>
      </c>
      <c r="B51" s="2161"/>
      <c r="C51" s="2162"/>
      <c r="D51" s="2143"/>
      <c r="E51" s="2144" t="str">
        <f>IF('25 Sollumsatz nach Monaten'!F54=0,"",'25 Sollumsatz nach Monaten'!F54)</f>
        <v/>
      </c>
      <c r="F51" s="2145" t="str">
        <f t="shared" si="544"/>
        <v/>
      </c>
      <c r="G51" s="2146" t="str">
        <f t="shared" si="545"/>
        <v/>
      </c>
      <c r="H51" s="2143"/>
      <c r="I51" s="2144" t="str">
        <f>IF('25 Sollumsatz nach Monaten'!G54=0,"",'25 Sollumsatz nach Monaten'!G54)</f>
        <v/>
      </c>
      <c r="J51" s="2145" t="str">
        <f t="shared" si="546"/>
        <v/>
      </c>
      <c r="K51" s="2158" t="str">
        <f t="shared" si="547"/>
        <v/>
      </c>
      <c r="L51" s="2148" t="str">
        <f t="shared" si="548"/>
        <v>Sten</v>
      </c>
      <c r="M51" s="2161"/>
      <c r="N51" s="2162"/>
      <c r="O51" s="2143"/>
      <c r="P51" s="2149" t="str">
        <f>IF('25 Sollumsatz nach Monaten'!L54=0,"",'25 Sollumsatz nach Monaten'!L54)</f>
        <v/>
      </c>
      <c r="Q51" s="2150" t="str">
        <f t="shared" si="549"/>
        <v/>
      </c>
      <c r="R51" s="2151" t="str">
        <f t="shared" si="550"/>
        <v/>
      </c>
      <c r="S51" s="2143"/>
      <c r="T51" s="2149" t="str">
        <f>IF('25 Sollumsatz nach Monaten'!M54=0,"",'25 Sollumsatz nach Monaten'!M54)</f>
        <v/>
      </c>
      <c r="U51" s="2150" t="str">
        <f t="shared" si="551"/>
        <v/>
      </c>
      <c r="V51" s="2151" t="str">
        <f t="shared" si="552"/>
        <v/>
      </c>
      <c r="W51" s="2142" t="str">
        <f t="shared" si="553"/>
        <v>Sten</v>
      </c>
      <c r="X51" s="2161"/>
      <c r="Y51" s="2162"/>
      <c r="Z51" s="2143"/>
      <c r="AA51" s="2144" t="str">
        <f>IF('25 Sollumsatz nach Monaten'!R54=0,"",'25 Sollumsatz nach Monaten'!R54)</f>
        <v/>
      </c>
      <c r="AB51" s="2145" t="str">
        <f t="shared" si="554"/>
        <v/>
      </c>
      <c r="AC51" s="2146" t="str">
        <f t="shared" si="555"/>
        <v/>
      </c>
      <c r="AD51" s="2147"/>
      <c r="AE51" s="2144" t="str">
        <f>IF('25 Sollumsatz nach Monaten'!S54=0,"",'25 Sollumsatz nach Monaten'!S54)</f>
        <v/>
      </c>
      <c r="AF51" s="2145" t="str">
        <f t="shared" si="556"/>
        <v/>
      </c>
      <c r="AG51" s="2158" t="str">
        <f t="shared" si="557"/>
        <v/>
      </c>
      <c r="AH51" s="2148" t="str">
        <f t="shared" si="558"/>
        <v>Sten</v>
      </c>
      <c r="AI51" s="2161"/>
      <c r="AJ51" s="2162"/>
      <c r="AK51" s="2143"/>
      <c r="AL51" s="2149" t="str">
        <f>IF('25 Sollumsatz nach Monaten'!X54=0,"",'25 Sollumsatz nach Monaten'!X54)</f>
        <v/>
      </c>
      <c r="AM51" s="2150" t="str">
        <f t="shared" si="559"/>
        <v/>
      </c>
      <c r="AN51" s="2151" t="str">
        <f t="shared" si="560"/>
        <v/>
      </c>
      <c r="AO51" s="2143"/>
      <c r="AP51" s="2149" t="str">
        <f>IF('25 Sollumsatz nach Monaten'!Y54=0,"",'25 Sollumsatz nach Monaten'!Y54)</f>
        <v/>
      </c>
      <c r="AQ51" s="2150" t="str">
        <f t="shared" si="561"/>
        <v/>
      </c>
      <c r="AR51" s="2151" t="str">
        <f t="shared" si="562"/>
        <v/>
      </c>
      <c r="AS51" s="2142" t="str">
        <f t="shared" si="563"/>
        <v>Sten</v>
      </c>
      <c r="AT51" s="2161"/>
      <c r="AU51" s="2162"/>
      <c r="AV51" s="2143"/>
      <c r="AW51" s="2144" t="str">
        <f>IF('25 Sollumsatz nach Monaten'!AD54=0,"",'25 Sollumsatz nach Monaten'!AD54)</f>
        <v/>
      </c>
      <c r="AX51" s="2145" t="str">
        <f t="shared" si="564"/>
        <v/>
      </c>
      <c r="AY51" s="2146" t="str">
        <f t="shared" si="565"/>
        <v/>
      </c>
      <c r="AZ51" s="2143"/>
      <c r="BA51" s="2144" t="str">
        <f>IF('25 Sollumsatz nach Monaten'!AE54=0,"",'25 Sollumsatz nach Monaten'!AE54)</f>
        <v/>
      </c>
      <c r="BB51" s="2145" t="str">
        <f t="shared" si="566"/>
        <v/>
      </c>
      <c r="BC51" s="2158" t="str">
        <f t="shared" si="567"/>
        <v/>
      </c>
      <c r="BD51" s="2148" t="str">
        <f t="shared" si="568"/>
        <v>Sten</v>
      </c>
      <c r="BE51" s="2161"/>
      <c r="BF51" s="2162"/>
      <c r="BG51" s="2143"/>
      <c r="BH51" s="2149" t="str">
        <f>IF('25 Sollumsatz nach Monaten'!AJ54=0,"",'25 Sollumsatz nach Monaten'!AJ54)</f>
        <v/>
      </c>
      <c r="BI51" s="2150" t="str">
        <f t="shared" si="569"/>
        <v/>
      </c>
      <c r="BJ51" s="2151" t="str">
        <f t="shared" si="570"/>
        <v/>
      </c>
      <c r="BK51" s="2143"/>
      <c r="BL51" s="2149" t="str">
        <f>IF('25 Sollumsatz nach Monaten'!AK54=0,"",'25 Sollumsatz nach Monaten'!AK54)</f>
        <v/>
      </c>
      <c r="BM51" s="2150" t="str">
        <f t="shared" si="571"/>
        <v/>
      </c>
      <c r="BN51" s="2151" t="str">
        <f t="shared" si="572"/>
        <v/>
      </c>
      <c r="BO51" s="2142" t="str">
        <f t="shared" si="573"/>
        <v>Sten</v>
      </c>
      <c r="BP51" s="2161"/>
      <c r="BQ51" s="2162"/>
      <c r="BR51" s="2143"/>
      <c r="BS51" s="2144" t="str">
        <f>IF('25 Sollumsatz nach Monaten'!AP54=0,"",'25 Sollumsatz nach Monaten'!AP54)</f>
        <v/>
      </c>
      <c r="BT51" s="2145" t="str">
        <f t="shared" si="574"/>
        <v/>
      </c>
      <c r="BU51" s="2146" t="str">
        <f t="shared" si="575"/>
        <v/>
      </c>
      <c r="BV51" s="2143"/>
      <c r="BW51" s="2144" t="str">
        <f>IF('25 Sollumsatz nach Monaten'!AQ54=0,"",'25 Sollumsatz nach Monaten'!AQ54)</f>
        <v/>
      </c>
      <c r="BX51" s="2145" t="str">
        <f t="shared" si="576"/>
        <v/>
      </c>
      <c r="BY51" s="2158" t="str">
        <f t="shared" si="577"/>
        <v/>
      </c>
      <c r="BZ51" s="2148" t="str">
        <f t="shared" si="578"/>
        <v>Sten</v>
      </c>
      <c r="CA51" s="2161"/>
      <c r="CB51" s="2162"/>
      <c r="CC51" s="2143"/>
      <c r="CD51" s="2149" t="str">
        <f>IF('25 Sollumsatz nach Monaten'!AV54=0,"",'25 Sollumsatz nach Monaten'!AV54)</f>
        <v/>
      </c>
      <c r="CE51" s="2150" t="str">
        <f t="shared" si="579"/>
        <v/>
      </c>
      <c r="CF51" s="2151" t="str">
        <f t="shared" si="580"/>
        <v/>
      </c>
      <c r="CG51" s="2143"/>
      <c r="CH51" s="2149" t="str">
        <f>IF('25 Sollumsatz nach Monaten'!AW54=0,"",'25 Sollumsatz nach Monaten'!AW54)</f>
        <v/>
      </c>
      <c r="CI51" s="2150" t="str">
        <f t="shared" si="581"/>
        <v/>
      </c>
      <c r="CJ51" s="2151" t="str">
        <f t="shared" si="582"/>
        <v/>
      </c>
      <c r="CK51" s="2142" t="str">
        <f t="shared" si="583"/>
        <v>Sten</v>
      </c>
      <c r="CL51" s="2161"/>
      <c r="CM51" s="2162"/>
      <c r="CN51" s="2143"/>
      <c r="CO51" s="2144" t="str">
        <f>IF('25 Sollumsatz nach Monaten'!BB54=0,"",'25 Sollumsatz nach Monaten'!BB54)</f>
        <v/>
      </c>
      <c r="CP51" s="2145" t="str">
        <f t="shared" si="584"/>
        <v/>
      </c>
      <c r="CQ51" s="2146" t="str">
        <f t="shared" si="585"/>
        <v/>
      </c>
      <c r="CR51" s="2143"/>
      <c r="CS51" s="2144" t="str">
        <f>IF('25 Sollumsatz nach Monaten'!BC54=0,"",'25 Sollumsatz nach Monaten'!BC54)</f>
        <v/>
      </c>
      <c r="CT51" s="2145" t="str">
        <f t="shared" si="586"/>
        <v/>
      </c>
      <c r="CU51" s="2158" t="str">
        <f t="shared" si="587"/>
        <v/>
      </c>
      <c r="CV51" s="2148" t="str">
        <f t="shared" si="588"/>
        <v>Sten</v>
      </c>
      <c r="CW51" s="2161"/>
      <c r="CX51" s="2162"/>
      <c r="CY51" s="2143"/>
      <c r="CZ51" s="2149" t="str">
        <f>IF('25 Sollumsatz nach Monaten'!BH54=0,"",'25 Sollumsatz nach Monaten'!BH54)</f>
        <v/>
      </c>
      <c r="DA51" s="2150" t="str">
        <f t="shared" si="589"/>
        <v/>
      </c>
      <c r="DB51" s="2151" t="str">
        <f t="shared" si="590"/>
        <v/>
      </c>
      <c r="DC51" s="2143"/>
      <c r="DD51" s="2149" t="str">
        <f>IF('25 Sollumsatz nach Monaten'!BI54=0,"",'25 Sollumsatz nach Monaten'!BI54)</f>
        <v/>
      </c>
      <c r="DE51" s="2150" t="str">
        <f t="shared" si="591"/>
        <v/>
      </c>
      <c r="DF51" s="2151" t="str">
        <f t="shared" si="592"/>
        <v/>
      </c>
      <c r="DG51" s="2142" t="str">
        <f t="shared" si="593"/>
        <v>Sten</v>
      </c>
      <c r="DH51" s="2161"/>
      <c r="DI51" s="2162"/>
      <c r="DJ51" s="2143"/>
      <c r="DK51" s="2144" t="str">
        <f>IF('25 Sollumsatz nach Monaten'!BN54=0,"",'25 Sollumsatz nach Monaten'!BN54)</f>
        <v/>
      </c>
      <c r="DL51" s="2145" t="str">
        <f t="shared" si="594"/>
        <v/>
      </c>
      <c r="DM51" s="2146" t="str">
        <f t="shared" si="595"/>
        <v/>
      </c>
      <c r="DN51" s="2143"/>
      <c r="DO51" s="2144" t="str">
        <f>IF('25 Sollumsatz nach Monaten'!BO54=0,"",'25 Sollumsatz nach Monaten'!BO54)</f>
        <v/>
      </c>
      <c r="DP51" s="2145" t="str">
        <f t="shared" si="596"/>
        <v/>
      </c>
      <c r="DQ51" s="2158" t="str">
        <f t="shared" si="597"/>
        <v/>
      </c>
      <c r="DR51" s="2148" t="str">
        <f t="shared" si="598"/>
        <v>Sten</v>
      </c>
      <c r="DS51" s="2161"/>
      <c r="DT51" s="2162"/>
      <c r="DU51" s="2143"/>
      <c r="DV51" s="2149" t="str">
        <f>IF('25 Sollumsatz nach Monaten'!BT54=0,"",'25 Sollumsatz nach Monaten'!BT54)</f>
        <v/>
      </c>
      <c r="DW51" s="2150" t="str">
        <f t="shared" si="599"/>
        <v/>
      </c>
      <c r="DX51" s="2151" t="str">
        <f t="shared" si="600"/>
        <v/>
      </c>
      <c r="DY51" s="2143"/>
      <c r="DZ51" s="2149" t="str">
        <f>IF('25 Sollumsatz nach Monaten'!BU54=0,"",'25 Sollumsatz nach Monaten'!BU54)</f>
        <v/>
      </c>
      <c r="EA51" s="2150" t="str">
        <f t="shared" si="601"/>
        <v/>
      </c>
      <c r="EB51" s="2151" t="str">
        <f t="shared" si="602"/>
        <v/>
      </c>
      <c r="EC51" s="2152" t="str">
        <f t="shared" si="603"/>
        <v>Sten</v>
      </c>
      <c r="ED51" s="2280">
        <f t="shared" si="604"/>
        <v>0</v>
      </c>
      <c r="EE51" s="2153">
        <f t="shared" si="605"/>
        <v>0</v>
      </c>
      <c r="EF51" s="2154">
        <f t="shared" si="606"/>
        <v>0</v>
      </c>
      <c r="EG51" s="2155" t="str">
        <f t="shared" si="500"/>
        <v/>
      </c>
      <c r="EH51" s="2282">
        <f t="shared" si="607"/>
        <v>0</v>
      </c>
      <c r="EI51" s="2153">
        <f t="shared" si="608"/>
        <v>0</v>
      </c>
      <c r="EJ51" s="2154">
        <f t="shared" si="609"/>
        <v>0</v>
      </c>
      <c r="EK51" s="2155" t="str">
        <f t="shared" si="610"/>
        <v/>
      </c>
      <c r="EL51" s="2160" t="str">
        <f t="shared" si="505"/>
        <v/>
      </c>
      <c r="EM51" s="2160" t="str">
        <f t="shared" si="506"/>
        <v/>
      </c>
      <c r="EN51" s="2160" t="str">
        <f t="shared" si="507"/>
        <v/>
      </c>
      <c r="EO51" s="2152" t="str">
        <f t="shared" si="611"/>
        <v>Sten</v>
      </c>
      <c r="EP51" s="2312" t="e">
        <f>IF('25 Sollumsatz nach Monaten'!BV54="","",SUM(EQ51:ER51))</f>
        <v>#DIV/0!</v>
      </c>
      <c r="EQ51" s="2312" t="e">
        <f>IF('25 Sollumsatz nach Monaten'!BV54="","",ED51/'25 Sollumsatz nach Monaten'!BV54)</f>
        <v>#DIV/0!</v>
      </c>
      <c r="ER51" s="2312" t="e">
        <f>IF('25 Sollumsatz nach Monaten'!BV54="","",EH51/'25 Sollumsatz nach Monaten'!BV54)</f>
        <v>#DIV/0!</v>
      </c>
      <c r="EY51" s="2248"/>
      <c r="EZ51" s="2249"/>
      <c r="FA51" s="2250"/>
      <c r="FB51" s="2251" t="str">
        <f t="shared" si="612"/>
        <v/>
      </c>
      <c r="FC51" s="2252"/>
      <c r="FD51" s="2253"/>
      <c r="FE51" s="2251" t="str">
        <f t="shared" si="613"/>
        <v/>
      </c>
      <c r="FF51" s="2254"/>
      <c r="FG51" s="2252"/>
      <c r="FH51" s="2253"/>
      <c r="FI51" s="2251" t="str">
        <f t="shared" si="614"/>
        <v/>
      </c>
      <c r="FJ51" s="2248"/>
      <c r="FK51" s="2249"/>
      <c r="FL51" s="2250"/>
      <c r="FM51" s="2251" t="str">
        <f t="shared" si="615"/>
        <v/>
      </c>
      <c r="FN51" s="2252"/>
      <c r="FO51" s="2253"/>
      <c r="FP51" s="2251" t="str">
        <f t="shared" si="616"/>
        <v/>
      </c>
      <c r="FQ51" s="2254"/>
      <c r="FR51" s="2252"/>
      <c r="FS51" s="2253"/>
      <c r="FT51" s="2251" t="str">
        <f t="shared" si="617"/>
        <v/>
      </c>
      <c r="FU51" s="2248"/>
      <c r="FV51" s="2249"/>
      <c r="FW51" s="2250"/>
      <c r="FX51" s="2251" t="str">
        <f t="shared" si="618"/>
        <v/>
      </c>
      <c r="FY51" s="2252"/>
      <c r="FZ51" s="2253"/>
      <c r="GA51" s="2251" t="str">
        <f t="shared" si="619"/>
        <v/>
      </c>
      <c r="GB51" s="2254"/>
      <c r="GC51" s="2252"/>
      <c r="GD51" s="2253"/>
      <c r="GE51" s="2251" t="str">
        <f t="shared" si="620"/>
        <v/>
      </c>
      <c r="GF51" s="2248"/>
      <c r="GG51" s="2249"/>
      <c r="GH51" s="2250"/>
      <c r="GI51" s="2251" t="str">
        <f t="shared" si="621"/>
        <v/>
      </c>
      <c r="GJ51" s="2252"/>
      <c r="GK51" s="2253"/>
      <c r="GL51" s="2251" t="str">
        <f t="shared" si="622"/>
        <v/>
      </c>
      <c r="GM51" s="2254"/>
      <c r="GN51" s="2252"/>
      <c r="GO51" s="2253"/>
      <c r="GP51" s="2251" t="str">
        <f t="shared" si="623"/>
        <v/>
      </c>
      <c r="GQ51" s="2248"/>
      <c r="GR51" s="2249"/>
      <c r="GS51" s="2250"/>
      <c r="GT51" s="2251" t="str">
        <f t="shared" si="624"/>
        <v/>
      </c>
      <c r="GU51" s="2252"/>
      <c r="GV51" s="2253"/>
      <c r="GW51" s="2251" t="str">
        <f t="shared" si="625"/>
        <v/>
      </c>
      <c r="GX51" s="2254"/>
      <c r="GY51" s="2252"/>
      <c r="GZ51" s="2253"/>
      <c r="HA51" s="2251" t="str">
        <f t="shared" si="626"/>
        <v/>
      </c>
      <c r="HB51" s="2248"/>
      <c r="HC51" s="2249"/>
      <c r="HD51" s="2250"/>
      <c r="HE51" s="2251" t="str">
        <f t="shared" si="627"/>
        <v/>
      </c>
      <c r="HF51" s="2252"/>
      <c r="HG51" s="2253"/>
      <c r="HH51" s="2251" t="str">
        <f t="shared" si="628"/>
        <v/>
      </c>
      <c r="HI51" s="2254"/>
      <c r="HJ51" s="2252"/>
      <c r="HK51" s="2253"/>
      <c r="HL51" s="2251" t="str">
        <f t="shared" si="629"/>
        <v/>
      </c>
      <c r="HM51" s="2248"/>
      <c r="HN51" s="2249"/>
      <c r="HO51" s="2250"/>
      <c r="HP51" s="2251" t="str">
        <f t="shared" si="630"/>
        <v/>
      </c>
      <c r="HQ51" s="2252"/>
      <c r="HR51" s="2253"/>
      <c r="HS51" s="2251" t="str">
        <f t="shared" si="631"/>
        <v/>
      </c>
      <c r="HT51" s="2254"/>
      <c r="HU51" s="2252"/>
      <c r="HV51" s="2253"/>
      <c r="HW51" s="2251" t="str">
        <f t="shared" si="632"/>
        <v/>
      </c>
      <c r="HX51" s="2248"/>
      <c r="HY51" s="2249"/>
      <c r="HZ51" s="2250"/>
      <c r="IA51" s="2251" t="str">
        <f t="shared" si="633"/>
        <v/>
      </c>
      <c r="IB51" s="2252"/>
      <c r="IC51" s="2253"/>
      <c r="ID51" s="2251" t="str">
        <f t="shared" si="634"/>
        <v/>
      </c>
      <c r="IE51" s="2254"/>
      <c r="IF51" s="2252"/>
      <c r="IG51" s="2253"/>
      <c r="IH51" s="2251" t="str">
        <f t="shared" si="635"/>
        <v/>
      </c>
      <c r="II51" s="2248"/>
      <c r="IJ51" s="2249"/>
      <c r="IK51" s="2250"/>
      <c r="IL51" s="2251" t="str">
        <f t="shared" si="636"/>
        <v/>
      </c>
      <c r="IM51" s="2252"/>
      <c r="IN51" s="2253"/>
      <c r="IO51" s="2251" t="str">
        <f t="shared" si="637"/>
        <v/>
      </c>
      <c r="IP51" s="2254"/>
      <c r="IQ51" s="2252"/>
      <c r="IR51" s="2253"/>
      <c r="IS51" s="2251" t="str">
        <f t="shared" si="638"/>
        <v/>
      </c>
      <c r="IT51" s="2248"/>
      <c r="IU51" s="2249"/>
      <c r="IV51" s="2250"/>
      <c r="IW51" s="2251" t="str">
        <f t="shared" si="639"/>
        <v/>
      </c>
      <c r="IX51" s="2252"/>
      <c r="IY51" s="2253"/>
      <c r="IZ51" s="2251" t="str">
        <f t="shared" si="640"/>
        <v/>
      </c>
      <c r="JA51" s="2254"/>
      <c r="JB51" s="2252"/>
      <c r="JC51" s="2253"/>
      <c r="JD51" s="2251" t="str">
        <f t="shared" si="641"/>
        <v/>
      </c>
      <c r="JE51" s="2248"/>
      <c r="JF51" s="2249"/>
      <c r="JG51" s="2250"/>
      <c r="JH51" s="2251" t="str">
        <f t="shared" si="642"/>
        <v/>
      </c>
      <c r="JI51" s="2252"/>
      <c r="JJ51" s="2253"/>
      <c r="JK51" s="2251" t="str">
        <f t="shared" si="643"/>
        <v/>
      </c>
      <c r="JL51" s="2254"/>
      <c r="JM51" s="2252"/>
      <c r="JN51" s="2253"/>
      <c r="JO51" s="2251" t="str">
        <f t="shared" si="644"/>
        <v/>
      </c>
      <c r="JP51" s="2248"/>
      <c r="JQ51" s="2249"/>
      <c r="JR51" s="2250"/>
      <c r="JS51" s="2251" t="str">
        <f t="shared" si="645"/>
        <v/>
      </c>
      <c r="JT51" s="2252"/>
      <c r="JU51" s="2253"/>
      <c r="JV51" s="2251" t="str">
        <f t="shared" si="646"/>
        <v/>
      </c>
      <c r="JW51" s="2254"/>
      <c r="JX51" s="2252"/>
      <c r="JY51" s="2253"/>
      <c r="JZ51" s="2251" t="str">
        <f t="shared" si="647"/>
        <v/>
      </c>
      <c r="KA51" s="2231"/>
    </row>
    <row r="52" spans="1:287" s="2156" customFormat="1" ht="18" customHeight="1">
      <c r="A52" s="2142" t="str">
        <f>'25 Sollumsatz nach Monaten'!A55</f>
        <v/>
      </c>
      <c r="B52" s="2161"/>
      <c r="C52" s="2162"/>
      <c r="D52" s="2143"/>
      <c r="E52" s="2144" t="str">
        <f>IF('25 Sollumsatz nach Monaten'!F55=0,"",'25 Sollumsatz nach Monaten'!F55)</f>
        <v/>
      </c>
      <c r="F52" s="2145" t="str">
        <f t="shared" si="544"/>
        <v/>
      </c>
      <c r="G52" s="2146" t="str">
        <f t="shared" si="545"/>
        <v/>
      </c>
      <c r="H52" s="2143"/>
      <c r="I52" s="2144" t="str">
        <f>IF('25 Sollumsatz nach Monaten'!G55=0,"",'25 Sollumsatz nach Monaten'!G55)</f>
        <v/>
      </c>
      <c r="J52" s="2145" t="str">
        <f t="shared" si="546"/>
        <v/>
      </c>
      <c r="K52" s="2158" t="str">
        <f t="shared" si="547"/>
        <v/>
      </c>
      <c r="L52" s="2148" t="str">
        <f t="shared" si="548"/>
        <v/>
      </c>
      <c r="M52" s="2161"/>
      <c r="N52" s="2162"/>
      <c r="O52" s="2143"/>
      <c r="P52" s="2149" t="str">
        <f>IF('25 Sollumsatz nach Monaten'!L55=0,"",'25 Sollumsatz nach Monaten'!L55)</f>
        <v/>
      </c>
      <c r="Q52" s="2150" t="str">
        <f t="shared" si="549"/>
        <v/>
      </c>
      <c r="R52" s="2151" t="str">
        <f t="shared" si="550"/>
        <v/>
      </c>
      <c r="S52" s="2143"/>
      <c r="T52" s="2149" t="str">
        <f>IF('25 Sollumsatz nach Monaten'!M55=0,"",'25 Sollumsatz nach Monaten'!M55)</f>
        <v/>
      </c>
      <c r="U52" s="2150" t="str">
        <f t="shared" si="551"/>
        <v/>
      </c>
      <c r="V52" s="2151" t="str">
        <f t="shared" si="552"/>
        <v/>
      </c>
      <c r="W52" s="2142" t="str">
        <f t="shared" si="553"/>
        <v/>
      </c>
      <c r="X52" s="2161"/>
      <c r="Y52" s="2162"/>
      <c r="Z52" s="2143"/>
      <c r="AA52" s="2144" t="str">
        <f>IF('25 Sollumsatz nach Monaten'!R55=0,"",'25 Sollumsatz nach Monaten'!R55)</f>
        <v/>
      </c>
      <c r="AB52" s="2145" t="str">
        <f t="shared" si="554"/>
        <v/>
      </c>
      <c r="AC52" s="2146" t="str">
        <f t="shared" si="555"/>
        <v/>
      </c>
      <c r="AD52" s="2147"/>
      <c r="AE52" s="2144" t="str">
        <f>IF('25 Sollumsatz nach Monaten'!S55=0,"",'25 Sollumsatz nach Monaten'!S55)</f>
        <v/>
      </c>
      <c r="AF52" s="2145" t="str">
        <f t="shared" si="556"/>
        <v/>
      </c>
      <c r="AG52" s="2158" t="str">
        <f t="shared" si="557"/>
        <v/>
      </c>
      <c r="AH52" s="2148" t="str">
        <f t="shared" si="558"/>
        <v/>
      </c>
      <c r="AI52" s="2161"/>
      <c r="AJ52" s="2162"/>
      <c r="AK52" s="2143"/>
      <c r="AL52" s="2149" t="str">
        <f>IF('25 Sollumsatz nach Monaten'!X55=0,"",'25 Sollumsatz nach Monaten'!X55)</f>
        <v/>
      </c>
      <c r="AM52" s="2150" t="str">
        <f t="shared" si="559"/>
        <v/>
      </c>
      <c r="AN52" s="2151" t="str">
        <f t="shared" si="560"/>
        <v/>
      </c>
      <c r="AO52" s="2143"/>
      <c r="AP52" s="2149" t="str">
        <f>IF('25 Sollumsatz nach Monaten'!Y55=0,"",'25 Sollumsatz nach Monaten'!Y55)</f>
        <v/>
      </c>
      <c r="AQ52" s="2150" t="str">
        <f t="shared" si="561"/>
        <v/>
      </c>
      <c r="AR52" s="2151" t="str">
        <f t="shared" si="562"/>
        <v/>
      </c>
      <c r="AS52" s="2142" t="str">
        <f t="shared" si="563"/>
        <v/>
      </c>
      <c r="AT52" s="2161"/>
      <c r="AU52" s="2162"/>
      <c r="AV52" s="2143"/>
      <c r="AW52" s="2144" t="str">
        <f>IF('25 Sollumsatz nach Monaten'!AD55=0,"",'25 Sollumsatz nach Monaten'!AD55)</f>
        <v/>
      </c>
      <c r="AX52" s="2145" t="str">
        <f t="shared" si="564"/>
        <v/>
      </c>
      <c r="AY52" s="2146" t="str">
        <f t="shared" si="565"/>
        <v/>
      </c>
      <c r="AZ52" s="2143"/>
      <c r="BA52" s="2144" t="str">
        <f>IF('25 Sollumsatz nach Monaten'!AE55=0,"",'25 Sollumsatz nach Monaten'!AE55)</f>
        <v/>
      </c>
      <c r="BB52" s="2145" t="str">
        <f t="shared" si="566"/>
        <v/>
      </c>
      <c r="BC52" s="2158" t="str">
        <f t="shared" si="567"/>
        <v/>
      </c>
      <c r="BD52" s="2148" t="str">
        <f t="shared" si="568"/>
        <v/>
      </c>
      <c r="BE52" s="2161"/>
      <c r="BF52" s="2162"/>
      <c r="BG52" s="2143"/>
      <c r="BH52" s="2149" t="str">
        <f>IF('25 Sollumsatz nach Monaten'!AJ55=0,"",'25 Sollumsatz nach Monaten'!AJ55)</f>
        <v/>
      </c>
      <c r="BI52" s="2150" t="str">
        <f t="shared" si="569"/>
        <v/>
      </c>
      <c r="BJ52" s="2151" t="str">
        <f t="shared" si="570"/>
        <v/>
      </c>
      <c r="BK52" s="2143"/>
      <c r="BL52" s="2149" t="str">
        <f>IF('25 Sollumsatz nach Monaten'!AK55=0,"",'25 Sollumsatz nach Monaten'!AK55)</f>
        <v/>
      </c>
      <c r="BM52" s="2150" t="str">
        <f t="shared" si="571"/>
        <v/>
      </c>
      <c r="BN52" s="2151" t="str">
        <f t="shared" si="572"/>
        <v/>
      </c>
      <c r="BO52" s="2142" t="str">
        <f t="shared" si="573"/>
        <v/>
      </c>
      <c r="BP52" s="2161"/>
      <c r="BQ52" s="2162"/>
      <c r="BR52" s="2143"/>
      <c r="BS52" s="2144" t="str">
        <f>IF('25 Sollumsatz nach Monaten'!AP55=0,"",'25 Sollumsatz nach Monaten'!AP55)</f>
        <v/>
      </c>
      <c r="BT52" s="2145" t="str">
        <f t="shared" si="574"/>
        <v/>
      </c>
      <c r="BU52" s="2146" t="str">
        <f t="shared" si="575"/>
        <v/>
      </c>
      <c r="BV52" s="2143"/>
      <c r="BW52" s="2144" t="str">
        <f>IF('25 Sollumsatz nach Monaten'!AQ55=0,"",'25 Sollumsatz nach Monaten'!AQ55)</f>
        <v/>
      </c>
      <c r="BX52" s="2145" t="str">
        <f t="shared" si="576"/>
        <v/>
      </c>
      <c r="BY52" s="2158" t="str">
        <f t="shared" si="577"/>
        <v/>
      </c>
      <c r="BZ52" s="2148" t="str">
        <f t="shared" si="578"/>
        <v/>
      </c>
      <c r="CA52" s="2161"/>
      <c r="CB52" s="2162"/>
      <c r="CC52" s="2143"/>
      <c r="CD52" s="2149" t="str">
        <f>IF('25 Sollumsatz nach Monaten'!AV55=0,"",'25 Sollumsatz nach Monaten'!AV55)</f>
        <v/>
      </c>
      <c r="CE52" s="2150" t="str">
        <f t="shared" si="579"/>
        <v/>
      </c>
      <c r="CF52" s="2151" t="str">
        <f t="shared" si="580"/>
        <v/>
      </c>
      <c r="CG52" s="2143"/>
      <c r="CH52" s="2149" t="str">
        <f>IF('25 Sollumsatz nach Monaten'!AW55=0,"",'25 Sollumsatz nach Monaten'!AW55)</f>
        <v/>
      </c>
      <c r="CI52" s="2150" t="str">
        <f t="shared" si="581"/>
        <v/>
      </c>
      <c r="CJ52" s="2151" t="str">
        <f t="shared" si="582"/>
        <v/>
      </c>
      <c r="CK52" s="2142" t="str">
        <f t="shared" si="583"/>
        <v/>
      </c>
      <c r="CL52" s="2161"/>
      <c r="CM52" s="2162"/>
      <c r="CN52" s="2143"/>
      <c r="CO52" s="2144" t="str">
        <f>IF('25 Sollumsatz nach Monaten'!BB55=0,"",'25 Sollumsatz nach Monaten'!BB55)</f>
        <v/>
      </c>
      <c r="CP52" s="2145" t="str">
        <f t="shared" si="584"/>
        <v/>
      </c>
      <c r="CQ52" s="2146" t="str">
        <f t="shared" si="585"/>
        <v/>
      </c>
      <c r="CR52" s="2143"/>
      <c r="CS52" s="2144" t="str">
        <f>IF('25 Sollumsatz nach Monaten'!BC55=0,"",'25 Sollumsatz nach Monaten'!BC55)</f>
        <v/>
      </c>
      <c r="CT52" s="2145" t="str">
        <f t="shared" si="586"/>
        <v/>
      </c>
      <c r="CU52" s="2158" t="str">
        <f t="shared" si="587"/>
        <v/>
      </c>
      <c r="CV52" s="2148" t="str">
        <f t="shared" si="588"/>
        <v/>
      </c>
      <c r="CW52" s="2161"/>
      <c r="CX52" s="2162"/>
      <c r="CY52" s="2143"/>
      <c r="CZ52" s="2149" t="str">
        <f>IF('25 Sollumsatz nach Monaten'!BH55=0,"",'25 Sollumsatz nach Monaten'!BH55)</f>
        <v/>
      </c>
      <c r="DA52" s="2150" t="str">
        <f t="shared" si="589"/>
        <v/>
      </c>
      <c r="DB52" s="2151" t="str">
        <f t="shared" si="590"/>
        <v/>
      </c>
      <c r="DC52" s="2143"/>
      <c r="DD52" s="2149" t="str">
        <f>IF('25 Sollumsatz nach Monaten'!BI55=0,"",'25 Sollumsatz nach Monaten'!BI55)</f>
        <v/>
      </c>
      <c r="DE52" s="2150" t="str">
        <f t="shared" si="591"/>
        <v/>
      </c>
      <c r="DF52" s="2151" t="str">
        <f t="shared" si="592"/>
        <v/>
      </c>
      <c r="DG52" s="2142" t="str">
        <f t="shared" si="593"/>
        <v/>
      </c>
      <c r="DH52" s="2161"/>
      <c r="DI52" s="2162"/>
      <c r="DJ52" s="2143"/>
      <c r="DK52" s="2144" t="str">
        <f>IF('25 Sollumsatz nach Monaten'!BN55=0,"",'25 Sollumsatz nach Monaten'!BN55)</f>
        <v/>
      </c>
      <c r="DL52" s="2145" t="str">
        <f t="shared" si="594"/>
        <v/>
      </c>
      <c r="DM52" s="2146" t="str">
        <f t="shared" si="595"/>
        <v/>
      </c>
      <c r="DN52" s="2143"/>
      <c r="DO52" s="2144" t="str">
        <f>IF('25 Sollumsatz nach Monaten'!BO55=0,"",'25 Sollumsatz nach Monaten'!BO55)</f>
        <v/>
      </c>
      <c r="DP52" s="2145" t="str">
        <f t="shared" si="596"/>
        <v/>
      </c>
      <c r="DQ52" s="2158" t="str">
        <f t="shared" si="597"/>
        <v/>
      </c>
      <c r="DR52" s="2148" t="str">
        <f t="shared" si="598"/>
        <v/>
      </c>
      <c r="DS52" s="2161"/>
      <c r="DT52" s="2162"/>
      <c r="DU52" s="2143"/>
      <c r="DV52" s="2149" t="str">
        <f>IF('25 Sollumsatz nach Monaten'!BT55=0,"",'25 Sollumsatz nach Monaten'!BT55)</f>
        <v/>
      </c>
      <c r="DW52" s="2150" t="str">
        <f t="shared" si="599"/>
        <v/>
      </c>
      <c r="DX52" s="2151" t="str">
        <f t="shared" si="600"/>
        <v/>
      </c>
      <c r="DY52" s="2143"/>
      <c r="DZ52" s="2149" t="str">
        <f>IF('25 Sollumsatz nach Monaten'!BU55=0,"",'25 Sollumsatz nach Monaten'!BU55)</f>
        <v/>
      </c>
      <c r="EA52" s="2150" t="str">
        <f t="shared" si="601"/>
        <v/>
      </c>
      <c r="EB52" s="2151" t="str">
        <f t="shared" si="602"/>
        <v/>
      </c>
      <c r="EC52" s="2152" t="str">
        <f t="shared" si="603"/>
        <v/>
      </c>
      <c r="ED52" s="2280" t="str">
        <f t="shared" si="604"/>
        <v/>
      </c>
      <c r="EE52" s="2153" t="str">
        <f t="shared" si="605"/>
        <v/>
      </c>
      <c r="EF52" s="2154" t="str">
        <f t="shared" si="606"/>
        <v/>
      </c>
      <c r="EG52" s="2155" t="str">
        <f t="shared" si="500"/>
        <v/>
      </c>
      <c r="EH52" s="2282" t="str">
        <f t="shared" si="607"/>
        <v/>
      </c>
      <c r="EI52" s="2153" t="str">
        <f t="shared" si="608"/>
        <v/>
      </c>
      <c r="EJ52" s="2154" t="str">
        <f t="shared" si="609"/>
        <v/>
      </c>
      <c r="EK52" s="2155" t="str">
        <f t="shared" si="610"/>
        <v/>
      </c>
      <c r="EL52" s="2160" t="str">
        <f t="shared" si="505"/>
        <v/>
      </c>
      <c r="EM52" s="2160" t="str">
        <f t="shared" si="506"/>
        <v/>
      </c>
      <c r="EN52" s="2160" t="str">
        <f t="shared" si="507"/>
        <v/>
      </c>
      <c r="EO52" s="2152" t="str">
        <f t="shared" si="611"/>
        <v/>
      </c>
      <c r="EP52" s="2312" t="str">
        <f>IF('25 Sollumsatz nach Monaten'!BV55="","",SUM(EQ52:ER52))</f>
        <v/>
      </c>
      <c r="EQ52" s="2312" t="str">
        <f>IF('25 Sollumsatz nach Monaten'!BV55="","",ED52/'25 Sollumsatz nach Monaten'!BV55)</f>
        <v/>
      </c>
      <c r="ER52" s="2312" t="str">
        <f>IF('25 Sollumsatz nach Monaten'!BV55="","",EH52/'25 Sollumsatz nach Monaten'!BV55)</f>
        <v/>
      </c>
      <c r="EY52" s="2248"/>
      <c r="EZ52" s="2249"/>
      <c r="FA52" s="2250"/>
      <c r="FB52" s="2251" t="str">
        <f t="shared" si="612"/>
        <v/>
      </c>
      <c r="FC52" s="2252"/>
      <c r="FD52" s="2253"/>
      <c r="FE52" s="2251" t="str">
        <f t="shared" si="613"/>
        <v/>
      </c>
      <c r="FF52" s="2254"/>
      <c r="FG52" s="2252"/>
      <c r="FH52" s="2253"/>
      <c r="FI52" s="2251" t="str">
        <f t="shared" si="614"/>
        <v/>
      </c>
      <c r="FJ52" s="2248"/>
      <c r="FK52" s="2249"/>
      <c r="FL52" s="2250"/>
      <c r="FM52" s="2251" t="str">
        <f t="shared" si="615"/>
        <v/>
      </c>
      <c r="FN52" s="2252"/>
      <c r="FO52" s="2253"/>
      <c r="FP52" s="2251" t="str">
        <f t="shared" si="616"/>
        <v/>
      </c>
      <c r="FQ52" s="2254"/>
      <c r="FR52" s="2252"/>
      <c r="FS52" s="2253"/>
      <c r="FT52" s="2251" t="str">
        <f t="shared" si="617"/>
        <v/>
      </c>
      <c r="FU52" s="2248"/>
      <c r="FV52" s="2249"/>
      <c r="FW52" s="2250"/>
      <c r="FX52" s="2251" t="str">
        <f t="shared" si="618"/>
        <v/>
      </c>
      <c r="FY52" s="2252"/>
      <c r="FZ52" s="2253"/>
      <c r="GA52" s="2251" t="str">
        <f t="shared" si="619"/>
        <v/>
      </c>
      <c r="GB52" s="2254"/>
      <c r="GC52" s="2252"/>
      <c r="GD52" s="2253"/>
      <c r="GE52" s="2251" t="str">
        <f t="shared" si="620"/>
        <v/>
      </c>
      <c r="GF52" s="2248"/>
      <c r="GG52" s="2249"/>
      <c r="GH52" s="2250"/>
      <c r="GI52" s="2251" t="str">
        <f t="shared" si="621"/>
        <v/>
      </c>
      <c r="GJ52" s="2252"/>
      <c r="GK52" s="2253"/>
      <c r="GL52" s="2251" t="str">
        <f t="shared" si="622"/>
        <v/>
      </c>
      <c r="GM52" s="2254"/>
      <c r="GN52" s="2252"/>
      <c r="GO52" s="2253"/>
      <c r="GP52" s="2251" t="str">
        <f t="shared" si="623"/>
        <v/>
      </c>
      <c r="GQ52" s="2248"/>
      <c r="GR52" s="2249"/>
      <c r="GS52" s="2250"/>
      <c r="GT52" s="2251" t="str">
        <f t="shared" si="624"/>
        <v/>
      </c>
      <c r="GU52" s="2252"/>
      <c r="GV52" s="2253"/>
      <c r="GW52" s="2251" t="str">
        <f t="shared" si="625"/>
        <v/>
      </c>
      <c r="GX52" s="2254"/>
      <c r="GY52" s="2252"/>
      <c r="GZ52" s="2253"/>
      <c r="HA52" s="2251" t="str">
        <f t="shared" si="626"/>
        <v/>
      </c>
      <c r="HB52" s="2248"/>
      <c r="HC52" s="2249"/>
      <c r="HD52" s="2250"/>
      <c r="HE52" s="2251" t="str">
        <f t="shared" si="627"/>
        <v/>
      </c>
      <c r="HF52" s="2252"/>
      <c r="HG52" s="2253"/>
      <c r="HH52" s="2251" t="str">
        <f t="shared" si="628"/>
        <v/>
      </c>
      <c r="HI52" s="2254"/>
      <c r="HJ52" s="2252"/>
      <c r="HK52" s="2253"/>
      <c r="HL52" s="2251" t="str">
        <f t="shared" si="629"/>
        <v/>
      </c>
      <c r="HM52" s="2248"/>
      <c r="HN52" s="2249"/>
      <c r="HO52" s="2250"/>
      <c r="HP52" s="2251" t="str">
        <f t="shared" si="630"/>
        <v/>
      </c>
      <c r="HQ52" s="2252"/>
      <c r="HR52" s="2253"/>
      <c r="HS52" s="2251" t="str">
        <f t="shared" si="631"/>
        <v/>
      </c>
      <c r="HT52" s="2254"/>
      <c r="HU52" s="2252"/>
      <c r="HV52" s="2253"/>
      <c r="HW52" s="2251" t="str">
        <f t="shared" si="632"/>
        <v/>
      </c>
      <c r="HX52" s="2248"/>
      <c r="HY52" s="2249"/>
      <c r="HZ52" s="2250"/>
      <c r="IA52" s="2251" t="str">
        <f t="shared" si="633"/>
        <v/>
      </c>
      <c r="IB52" s="2252"/>
      <c r="IC52" s="2253"/>
      <c r="ID52" s="2251" t="str">
        <f t="shared" si="634"/>
        <v/>
      </c>
      <c r="IE52" s="2254"/>
      <c r="IF52" s="2252"/>
      <c r="IG52" s="2253"/>
      <c r="IH52" s="2251" t="str">
        <f t="shared" si="635"/>
        <v/>
      </c>
      <c r="II52" s="2248"/>
      <c r="IJ52" s="2249"/>
      <c r="IK52" s="2250"/>
      <c r="IL52" s="2251" t="str">
        <f t="shared" si="636"/>
        <v/>
      </c>
      <c r="IM52" s="2252"/>
      <c r="IN52" s="2253"/>
      <c r="IO52" s="2251" t="str">
        <f t="shared" si="637"/>
        <v/>
      </c>
      <c r="IP52" s="2254"/>
      <c r="IQ52" s="2252"/>
      <c r="IR52" s="2253"/>
      <c r="IS52" s="2251" t="str">
        <f t="shared" si="638"/>
        <v/>
      </c>
      <c r="IT52" s="2248"/>
      <c r="IU52" s="2249"/>
      <c r="IV52" s="2250"/>
      <c r="IW52" s="2251" t="str">
        <f t="shared" si="639"/>
        <v/>
      </c>
      <c r="IX52" s="2252"/>
      <c r="IY52" s="2253"/>
      <c r="IZ52" s="2251" t="str">
        <f t="shared" si="640"/>
        <v/>
      </c>
      <c r="JA52" s="2254"/>
      <c r="JB52" s="2252"/>
      <c r="JC52" s="2253"/>
      <c r="JD52" s="2251" t="str">
        <f t="shared" si="641"/>
        <v/>
      </c>
      <c r="JE52" s="2248"/>
      <c r="JF52" s="2249"/>
      <c r="JG52" s="2250"/>
      <c r="JH52" s="2251" t="str">
        <f t="shared" si="642"/>
        <v/>
      </c>
      <c r="JI52" s="2252"/>
      <c r="JJ52" s="2253"/>
      <c r="JK52" s="2251" t="str">
        <f t="shared" si="643"/>
        <v/>
      </c>
      <c r="JL52" s="2254"/>
      <c r="JM52" s="2252"/>
      <c r="JN52" s="2253"/>
      <c r="JO52" s="2251" t="str">
        <f t="shared" si="644"/>
        <v/>
      </c>
      <c r="JP52" s="2248"/>
      <c r="JQ52" s="2249"/>
      <c r="JR52" s="2250"/>
      <c r="JS52" s="2251" t="str">
        <f t="shared" si="645"/>
        <v/>
      </c>
      <c r="JT52" s="2252"/>
      <c r="JU52" s="2253"/>
      <c r="JV52" s="2251" t="str">
        <f t="shared" si="646"/>
        <v/>
      </c>
      <c r="JW52" s="2254"/>
      <c r="JX52" s="2252"/>
      <c r="JY52" s="2253"/>
      <c r="JZ52" s="2251" t="str">
        <f t="shared" si="647"/>
        <v/>
      </c>
      <c r="KA52" s="2231"/>
    </row>
    <row r="53" spans="1:287" s="2156" customFormat="1" ht="18" customHeight="1">
      <c r="A53" s="2142" t="str">
        <f>'25 Sollumsatz nach Monaten'!A56</f>
        <v/>
      </c>
      <c r="B53" s="2161"/>
      <c r="C53" s="2162"/>
      <c r="D53" s="2143"/>
      <c r="E53" s="2144" t="str">
        <f>IF('25 Sollumsatz nach Monaten'!F56=0,"",'25 Sollumsatz nach Monaten'!F56)</f>
        <v/>
      </c>
      <c r="F53" s="2145" t="str">
        <f t="shared" si="544"/>
        <v/>
      </c>
      <c r="G53" s="2146" t="str">
        <f t="shared" si="545"/>
        <v/>
      </c>
      <c r="H53" s="2143"/>
      <c r="I53" s="2144" t="str">
        <f>IF('25 Sollumsatz nach Monaten'!G56=0,"",'25 Sollumsatz nach Monaten'!G56)</f>
        <v/>
      </c>
      <c r="J53" s="2145" t="str">
        <f t="shared" si="546"/>
        <v/>
      </c>
      <c r="K53" s="2158" t="str">
        <f t="shared" si="547"/>
        <v/>
      </c>
      <c r="L53" s="2148" t="str">
        <f t="shared" si="548"/>
        <v/>
      </c>
      <c r="M53" s="2161"/>
      <c r="N53" s="2162"/>
      <c r="O53" s="2143"/>
      <c r="P53" s="2149" t="str">
        <f>IF('25 Sollumsatz nach Monaten'!L56=0,"",'25 Sollumsatz nach Monaten'!L56)</f>
        <v/>
      </c>
      <c r="Q53" s="2150" t="str">
        <f t="shared" si="549"/>
        <v/>
      </c>
      <c r="R53" s="2151" t="str">
        <f t="shared" si="550"/>
        <v/>
      </c>
      <c r="S53" s="2143"/>
      <c r="T53" s="2149" t="str">
        <f>IF('25 Sollumsatz nach Monaten'!M56=0,"",'25 Sollumsatz nach Monaten'!M56)</f>
        <v/>
      </c>
      <c r="U53" s="2150" t="str">
        <f t="shared" si="551"/>
        <v/>
      </c>
      <c r="V53" s="2151" t="str">
        <f t="shared" si="552"/>
        <v/>
      </c>
      <c r="W53" s="2142" t="str">
        <f t="shared" si="553"/>
        <v/>
      </c>
      <c r="X53" s="2161"/>
      <c r="Y53" s="2162"/>
      <c r="Z53" s="2143"/>
      <c r="AA53" s="2144" t="str">
        <f>IF('25 Sollumsatz nach Monaten'!R56=0,"",'25 Sollumsatz nach Monaten'!R56)</f>
        <v/>
      </c>
      <c r="AB53" s="2145" t="str">
        <f t="shared" si="554"/>
        <v/>
      </c>
      <c r="AC53" s="2146" t="str">
        <f t="shared" si="555"/>
        <v/>
      </c>
      <c r="AD53" s="2147"/>
      <c r="AE53" s="2144" t="str">
        <f>IF('25 Sollumsatz nach Monaten'!S56=0,"",'25 Sollumsatz nach Monaten'!S56)</f>
        <v/>
      </c>
      <c r="AF53" s="2145" t="str">
        <f t="shared" si="556"/>
        <v/>
      </c>
      <c r="AG53" s="2158" t="str">
        <f t="shared" si="557"/>
        <v/>
      </c>
      <c r="AH53" s="2148" t="str">
        <f t="shared" si="558"/>
        <v/>
      </c>
      <c r="AI53" s="2161"/>
      <c r="AJ53" s="2162"/>
      <c r="AK53" s="2143"/>
      <c r="AL53" s="2149" t="str">
        <f>IF('25 Sollumsatz nach Monaten'!X56=0,"",'25 Sollumsatz nach Monaten'!X56)</f>
        <v/>
      </c>
      <c r="AM53" s="2150" t="str">
        <f t="shared" si="559"/>
        <v/>
      </c>
      <c r="AN53" s="2151" t="str">
        <f t="shared" si="560"/>
        <v/>
      </c>
      <c r="AO53" s="2143"/>
      <c r="AP53" s="2149" t="str">
        <f>IF('25 Sollumsatz nach Monaten'!Y56=0,"",'25 Sollumsatz nach Monaten'!Y56)</f>
        <v/>
      </c>
      <c r="AQ53" s="2150" t="str">
        <f t="shared" si="561"/>
        <v/>
      </c>
      <c r="AR53" s="2151" t="str">
        <f t="shared" si="562"/>
        <v/>
      </c>
      <c r="AS53" s="2142" t="str">
        <f t="shared" si="563"/>
        <v/>
      </c>
      <c r="AT53" s="2161"/>
      <c r="AU53" s="2162"/>
      <c r="AV53" s="2143"/>
      <c r="AW53" s="2144" t="str">
        <f>IF('25 Sollumsatz nach Monaten'!AD56=0,"",'25 Sollumsatz nach Monaten'!AD56)</f>
        <v/>
      </c>
      <c r="AX53" s="2145" t="str">
        <f t="shared" si="564"/>
        <v/>
      </c>
      <c r="AY53" s="2146" t="str">
        <f t="shared" si="565"/>
        <v/>
      </c>
      <c r="AZ53" s="2143"/>
      <c r="BA53" s="2144" t="str">
        <f>IF('25 Sollumsatz nach Monaten'!AE56=0,"",'25 Sollumsatz nach Monaten'!AE56)</f>
        <v/>
      </c>
      <c r="BB53" s="2145" t="str">
        <f t="shared" si="566"/>
        <v/>
      </c>
      <c r="BC53" s="2158" t="str">
        <f t="shared" si="567"/>
        <v/>
      </c>
      <c r="BD53" s="2148" t="str">
        <f t="shared" si="568"/>
        <v/>
      </c>
      <c r="BE53" s="2161"/>
      <c r="BF53" s="2162"/>
      <c r="BG53" s="2143"/>
      <c r="BH53" s="2149" t="str">
        <f>IF('25 Sollumsatz nach Monaten'!AJ56=0,"",'25 Sollumsatz nach Monaten'!AJ56)</f>
        <v/>
      </c>
      <c r="BI53" s="2150" t="str">
        <f t="shared" si="569"/>
        <v/>
      </c>
      <c r="BJ53" s="2151" t="str">
        <f t="shared" si="570"/>
        <v/>
      </c>
      <c r="BK53" s="2143"/>
      <c r="BL53" s="2149" t="str">
        <f>IF('25 Sollumsatz nach Monaten'!AK56=0,"",'25 Sollumsatz nach Monaten'!AK56)</f>
        <v/>
      </c>
      <c r="BM53" s="2150" t="str">
        <f t="shared" si="571"/>
        <v/>
      </c>
      <c r="BN53" s="2151" t="str">
        <f t="shared" si="572"/>
        <v/>
      </c>
      <c r="BO53" s="2142" t="str">
        <f t="shared" si="573"/>
        <v/>
      </c>
      <c r="BP53" s="2161"/>
      <c r="BQ53" s="2162"/>
      <c r="BR53" s="2143"/>
      <c r="BS53" s="2144" t="str">
        <f>IF('25 Sollumsatz nach Monaten'!AP56=0,"",'25 Sollumsatz nach Monaten'!AP56)</f>
        <v/>
      </c>
      <c r="BT53" s="2145" t="str">
        <f t="shared" si="574"/>
        <v/>
      </c>
      <c r="BU53" s="2146" t="str">
        <f t="shared" si="575"/>
        <v/>
      </c>
      <c r="BV53" s="2143"/>
      <c r="BW53" s="2144" t="str">
        <f>IF('25 Sollumsatz nach Monaten'!AQ56=0,"",'25 Sollumsatz nach Monaten'!AQ56)</f>
        <v/>
      </c>
      <c r="BX53" s="2145" t="str">
        <f t="shared" si="576"/>
        <v/>
      </c>
      <c r="BY53" s="2158" t="str">
        <f t="shared" si="577"/>
        <v/>
      </c>
      <c r="BZ53" s="2148" t="str">
        <f t="shared" si="578"/>
        <v/>
      </c>
      <c r="CA53" s="2161"/>
      <c r="CB53" s="2162"/>
      <c r="CC53" s="2143"/>
      <c r="CD53" s="2149" t="str">
        <f>IF('25 Sollumsatz nach Monaten'!AV56=0,"",'25 Sollumsatz nach Monaten'!AV56)</f>
        <v/>
      </c>
      <c r="CE53" s="2150" t="str">
        <f t="shared" si="579"/>
        <v/>
      </c>
      <c r="CF53" s="2151" t="str">
        <f t="shared" si="580"/>
        <v/>
      </c>
      <c r="CG53" s="2143"/>
      <c r="CH53" s="2149" t="str">
        <f>IF('25 Sollumsatz nach Monaten'!AW56=0,"",'25 Sollumsatz nach Monaten'!AW56)</f>
        <v/>
      </c>
      <c r="CI53" s="2150" t="str">
        <f t="shared" si="581"/>
        <v/>
      </c>
      <c r="CJ53" s="2151" t="str">
        <f t="shared" si="582"/>
        <v/>
      </c>
      <c r="CK53" s="2142" t="str">
        <f t="shared" si="583"/>
        <v/>
      </c>
      <c r="CL53" s="2161"/>
      <c r="CM53" s="2162"/>
      <c r="CN53" s="2143"/>
      <c r="CO53" s="2144" t="str">
        <f>IF('25 Sollumsatz nach Monaten'!BB56=0,"",'25 Sollumsatz nach Monaten'!BB56)</f>
        <v/>
      </c>
      <c r="CP53" s="2145" t="str">
        <f t="shared" si="584"/>
        <v/>
      </c>
      <c r="CQ53" s="2146" t="str">
        <f t="shared" si="585"/>
        <v/>
      </c>
      <c r="CR53" s="2143"/>
      <c r="CS53" s="2144" t="str">
        <f>IF('25 Sollumsatz nach Monaten'!BC56=0,"",'25 Sollumsatz nach Monaten'!BC56)</f>
        <v/>
      </c>
      <c r="CT53" s="2145" t="str">
        <f t="shared" si="586"/>
        <v/>
      </c>
      <c r="CU53" s="2158" t="str">
        <f t="shared" si="587"/>
        <v/>
      </c>
      <c r="CV53" s="2148" t="str">
        <f t="shared" si="588"/>
        <v/>
      </c>
      <c r="CW53" s="2161"/>
      <c r="CX53" s="2162"/>
      <c r="CY53" s="2143"/>
      <c r="CZ53" s="2149" t="str">
        <f>IF('25 Sollumsatz nach Monaten'!BH56=0,"",'25 Sollumsatz nach Monaten'!BH56)</f>
        <v/>
      </c>
      <c r="DA53" s="2150" t="str">
        <f t="shared" si="589"/>
        <v/>
      </c>
      <c r="DB53" s="2151" t="str">
        <f t="shared" si="590"/>
        <v/>
      </c>
      <c r="DC53" s="2143"/>
      <c r="DD53" s="2149" t="str">
        <f>IF('25 Sollumsatz nach Monaten'!BI56=0,"",'25 Sollumsatz nach Monaten'!BI56)</f>
        <v/>
      </c>
      <c r="DE53" s="2150" t="str">
        <f t="shared" si="591"/>
        <v/>
      </c>
      <c r="DF53" s="2151" t="str">
        <f t="shared" si="592"/>
        <v/>
      </c>
      <c r="DG53" s="2142" t="str">
        <f t="shared" si="593"/>
        <v/>
      </c>
      <c r="DH53" s="2161"/>
      <c r="DI53" s="2162"/>
      <c r="DJ53" s="2143"/>
      <c r="DK53" s="2144" t="str">
        <f>IF('25 Sollumsatz nach Monaten'!BN56=0,"",'25 Sollumsatz nach Monaten'!BN56)</f>
        <v/>
      </c>
      <c r="DL53" s="2145" t="str">
        <f t="shared" si="594"/>
        <v/>
      </c>
      <c r="DM53" s="2146" t="str">
        <f t="shared" si="595"/>
        <v/>
      </c>
      <c r="DN53" s="2143"/>
      <c r="DO53" s="2144" t="str">
        <f>IF('25 Sollumsatz nach Monaten'!BO56=0,"",'25 Sollumsatz nach Monaten'!BO56)</f>
        <v/>
      </c>
      <c r="DP53" s="2145" t="str">
        <f t="shared" si="596"/>
        <v/>
      </c>
      <c r="DQ53" s="2158" t="str">
        <f t="shared" si="597"/>
        <v/>
      </c>
      <c r="DR53" s="2148" t="str">
        <f t="shared" si="598"/>
        <v/>
      </c>
      <c r="DS53" s="2161"/>
      <c r="DT53" s="2162"/>
      <c r="DU53" s="2143"/>
      <c r="DV53" s="2149" t="str">
        <f>IF('25 Sollumsatz nach Monaten'!BT56=0,"",'25 Sollumsatz nach Monaten'!BT56)</f>
        <v/>
      </c>
      <c r="DW53" s="2150" t="str">
        <f t="shared" si="599"/>
        <v/>
      </c>
      <c r="DX53" s="2151" t="str">
        <f t="shared" si="600"/>
        <v/>
      </c>
      <c r="DY53" s="2143"/>
      <c r="DZ53" s="2149" t="str">
        <f>IF('25 Sollumsatz nach Monaten'!BU56=0,"",'25 Sollumsatz nach Monaten'!BU56)</f>
        <v/>
      </c>
      <c r="EA53" s="2150" t="str">
        <f t="shared" si="601"/>
        <v/>
      </c>
      <c r="EB53" s="2151" t="str">
        <f t="shared" si="602"/>
        <v/>
      </c>
      <c r="EC53" s="2152" t="str">
        <f t="shared" si="603"/>
        <v/>
      </c>
      <c r="ED53" s="2280" t="str">
        <f t="shared" si="604"/>
        <v/>
      </c>
      <c r="EE53" s="2153" t="str">
        <f t="shared" si="605"/>
        <v/>
      </c>
      <c r="EF53" s="2154" t="str">
        <f t="shared" si="606"/>
        <v/>
      </c>
      <c r="EG53" s="2155" t="str">
        <f t="shared" si="500"/>
        <v/>
      </c>
      <c r="EH53" s="2282" t="str">
        <f t="shared" si="607"/>
        <v/>
      </c>
      <c r="EI53" s="2153" t="str">
        <f t="shared" si="608"/>
        <v/>
      </c>
      <c r="EJ53" s="2154" t="str">
        <f t="shared" si="609"/>
        <v/>
      </c>
      <c r="EK53" s="2155" t="str">
        <f t="shared" si="610"/>
        <v/>
      </c>
      <c r="EL53" s="2160" t="str">
        <f t="shared" si="505"/>
        <v/>
      </c>
      <c r="EM53" s="2160" t="str">
        <f t="shared" si="506"/>
        <v/>
      </c>
      <c r="EN53" s="2160" t="str">
        <f t="shared" si="507"/>
        <v/>
      </c>
      <c r="EO53" s="2152" t="str">
        <f t="shared" si="611"/>
        <v/>
      </c>
      <c r="EP53" s="2312" t="str">
        <f>IF('25 Sollumsatz nach Monaten'!BV56="","",SUM(EQ53:ER53))</f>
        <v/>
      </c>
      <c r="EQ53" s="2312" t="str">
        <f>IF('25 Sollumsatz nach Monaten'!BV56="","",ED53/'25 Sollumsatz nach Monaten'!BV56)</f>
        <v/>
      </c>
      <c r="ER53" s="2312" t="str">
        <f>IF('25 Sollumsatz nach Monaten'!BV56="","",EH53/'25 Sollumsatz nach Monaten'!BV56)</f>
        <v/>
      </c>
      <c r="EY53" s="2248"/>
      <c r="EZ53" s="2249"/>
      <c r="FA53" s="2250"/>
      <c r="FB53" s="2251" t="str">
        <f t="shared" si="612"/>
        <v/>
      </c>
      <c r="FC53" s="2252"/>
      <c r="FD53" s="2253"/>
      <c r="FE53" s="2251" t="str">
        <f t="shared" si="613"/>
        <v/>
      </c>
      <c r="FF53" s="2254"/>
      <c r="FG53" s="2252"/>
      <c r="FH53" s="2253"/>
      <c r="FI53" s="2251" t="str">
        <f t="shared" si="614"/>
        <v/>
      </c>
      <c r="FJ53" s="2248"/>
      <c r="FK53" s="2249"/>
      <c r="FL53" s="2250"/>
      <c r="FM53" s="2251" t="str">
        <f t="shared" si="615"/>
        <v/>
      </c>
      <c r="FN53" s="2252"/>
      <c r="FO53" s="2253"/>
      <c r="FP53" s="2251" t="str">
        <f t="shared" si="616"/>
        <v/>
      </c>
      <c r="FQ53" s="2254"/>
      <c r="FR53" s="2252"/>
      <c r="FS53" s="2253"/>
      <c r="FT53" s="2251" t="str">
        <f t="shared" si="617"/>
        <v/>
      </c>
      <c r="FU53" s="2248"/>
      <c r="FV53" s="2249"/>
      <c r="FW53" s="2250"/>
      <c r="FX53" s="2251" t="str">
        <f t="shared" si="618"/>
        <v/>
      </c>
      <c r="FY53" s="2252"/>
      <c r="FZ53" s="2253"/>
      <c r="GA53" s="2251" t="str">
        <f t="shared" si="619"/>
        <v/>
      </c>
      <c r="GB53" s="2254"/>
      <c r="GC53" s="2252"/>
      <c r="GD53" s="2253"/>
      <c r="GE53" s="2251" t="str">
        <f t="shared" si="620"/>
        <v/>
      </c>
      <c r="GF53" s="2248"/>
      <c r="GG53" s="2249"/>
      <c r="GH53" s="2250"/>
      <c r="GI53" s="2251" t="str">
        <f t="shared" si="621"/>
        <v/>
      </c>
      <c r="GJ53" s="2252"/>
      <c r="GK53" s="2253"/>
      <c r="GL53" s="2251" t="str">
        <f t="shared" si="622"/>
        <v/>
      </c>
      <c r="GM53" s="2254"/>
      <c r="GN53" s="2252"/>
      <c r="GO53" s="2253"/>
      <c r="GP53" s="2251" t="str">
        <f t="shared" si="623"/>
        <v/>
      </c>
      <c r="GQ53" s="2248"/>
      <c r="GR53" s="2249"/>
      <c r="GS53" s="2250"/>
      <c r="GT53" s="2251" t="str">
        <f t="shared" si="624"/>
        <v/>
      </c>
      <c r="GU53" s="2252"/>
      <c r="GV53" s="2253"/>
      <c r="GW53" s="2251" t="str">
        <f t="shared" si="625"/>
        <v/>
      </c>
      <c r="GX53" s="2254"/>
      <c r="GY53" s="2252"/>
      <c r="GZ53" s="2253"/>
      <c r="HA53" s="2251" t="str">
        <f t="shared" si="626"/>
        <v/>
      </c>
      <c r="HB53" s="2248"/>
      <c r="HC53" s="2249"/>
      <c r="HD53" s="2250"/>
      <c r="HE53" s="2251" t="str">
        <f t="shared" si="627"/>
        <v/>
      </c>
      <c r="HF53" s="2252"/>
      <c r="HG53" s="2253"/>
      <c r="HH53" s="2251" t="str">
        <f t="shared" si="628"/>
        <v/>
      </c>
      <c r="HI53" s="2254"/>
      <c r="HJ53" s="2252"/>
      <c r="HK53" s="2253"/>
      <c r="HL53" s="2251" t="str">
        <f t="shared" si="629"/>
        <v/>
      </c>
      <c r="HM53" s="2248"/>
      <c r="HN53" s="2249"/>
      <c r="HO53" s="2250"/>
      <c r="HP53" s="2251" t="str">
        <f t="shared" si="630"/>
        <v/>
      </c>
      <c r="HQ53" s="2252"/>
      <c r="HR53" s="2253"/>
      <c r="HS53" s="2251" t="str">
        <f t="shared" si="631"/>
        <v/>
      </c>
      <c r="HT53" s="2254"/>
      <c r="HU53" s="2252"/>
      <c r="HV53" s="2253"/>
      <c r="HW53" s="2251" t="str">
        <f t="shared" si="632"/>
        <v/>
      </c>
      <c r="HX53" s="2248"/>
      <c r="HY53" s="2249"/>
      <c r="HZ53" s="2250"/>
      <c r="IA53" s="2251" t="str">
        <f t="shared" si="633"/>
        <v/>
      </c>
      <c r="IB53" s="2252"/>
      <c r="IC53" s="2253"/>
      <c r="ID53" s="2251" t="str">
        <f t="shared" si="634"/>
        <v/>
      </c>
      <c r="IE53" s="2254"/>
      <c r="IF53" s="2252"/>
      <c r="IG53" s="2253"/>
      <c r="IH53" s="2251" t="str">
        <f t="shared" si="635"/>
        <v/>
      </c>
      <c r="II53" s="2248"/>
      <c r="IJ53" s="2249"/>
      <c r="IK53" s="2250"/>
      <c r="IL53" s="2251" t="str">
        <f t="shared" si="636"/>
        <v/>
      </c>
      <c r="IM53" s="2252"/>
      <c r="IN53" s="2253"/>
      <c r="IO53" s="2251" t="str">
        <f t="shared" si="637"/>
        <v/>
      </c>
      <c r="IP53" s="2254"/>
      <c r="IQ53" s="2252"/>
      <c r="IR53" s="2253"/>
      <c r="IS53" s="2251" t="str">
        <f t="shared" si="638"/>
        <v/>
      </c>
      <c r="IT53" s="2248"/>
      <c r="IU53" s="2249"/>
      <c r="IV53" s="2250"/>
      <c r="IW53" s="2251" t="str">
        <f t="shared" si="639"/>
        <v/>
      </c>
      <c r="IX53" s="2252"/>
      <c r="IY53" s="2253"/>
      <c r="IZ53" s="2251" t="str">
        <f t="shared" si="640"/>
        <v/>
      </c>
      <c r="JA53" s="2254"/>
      <c r="JB53" s="2252"/>
      <c r="JC53" s="2253"/>
      <c r="JD53" s="2251" t="str">
        <f t="shared" si="641"/>
        <v/>
      </c>
      <c r="JE53" s="2248"/>
      <c r="JF53" s="2249"/>
      <c r="JG53" s="2250"/>
      <c r="JH53" s="2251" t="str">
        <f t="shared" si="642"/>
        <v/>
      </c>
      <c r="JI53" s="2252"/>
      <c r="JJ53" s="2253"/>
      <c r="JK53" s="2251" t="str">
        <f t="shared" si="643"/>
        <v/>
      </c>
      <c r="JL53" s="2254"/>
      <c r="JM53" s="2252"/>
      <c r="JN53" s="2253"/>
      <c r="JO53" s="2251" t="str">
        <f t="shared" si="644"/>
        <v/>
      </c>
      <c r="JP53" s="2248"/>
      <c r="JQ53" s="2249"/>
      <c r="JR53" s="2250"/>
      <c r="JS53" s="2251" t="str">
        <f t="shared" si="645"/>
        <v/>
      </c>
      <c r="JT53" s="2252"/>
      <c r="JU53" s="2253"/>
      <c r="JV53" s="2251" t="str">
        <f t="shared" si="646"/>
        <v/>
      </c>
      <c r="JW53" s="2254"/>
      <c r="JX53" s="2252"/>
      <c r="JY53" s="2253"/>
      <c r="JZ53" s="2251" t="str">
        <f t="shared" si="647"/>
        <v/>
      </c>
      <c r="KA53" s="2231"/>
    </row>
    <row r="54" spans="1:287" s="2156" customFormat="1" ht="18" customHeight="1">
      <c r="A54" s="2142" t="str">
        <f>'25 Sollumsatz nach Monaten'!A57</f>
        <v/>
      </c>
      <c r="B54" s="2161"/>
      <c r="C54" s="2162"/>
      <c r="D54" s="2143"/>
      <c r="E54" s="2144" t="str">
        <f>IF('25 Sollumsatz nach Monaten'!F57=0,"",'25 Sollumsatz nach Monaten'!F57)</f>
        <v/>
      </c>
      <c r="F54" s="2145" t="str">
        <f t="shared" si="544"/>
        <v/>
      </c>
      <c r="G54" s="2146" t="str">
        <f t="shared" si="545"/>
        <v/>
      </c>
      <c r="H54" s="2143"/>
      <c r="I54" s="2144" t="str">
        <f>IF('25 Sollumsatz nach Monaten'!G57=0,"",'25 Sollumsatz nach Monaten'!G57)</f>
        <v/>
      </c>
      <c r="J54" s="2145" t="str">
        <f t="shared" si="546"/>
        <v/>
      </c>
      <c r="K54" s="2158" t="str">
        <f t="shared" si="547"/>
        <v/>
      </c>
      <c r="L54" s="2148" t="str">
        <f t="shared" si="548"/>
        <v/>
      </c>
      <c r="M54" s="2161"/>
      <c r="N54" s="2162"/>
      <c r="O54" s="2143"/>
      <c r="P54" s="2149" t="str">
        <f>IF('25 Sollumsatz nach Monaten'!L57=0,"",'25 Sollumsatz nach Monaten'!L57)</f>
        <v/>
      </c>
      <c r="Q54" s="2150" t="str">
        <f t="shared" si="549"/>
        <v/>
      </c>
      <c r="R54" s="2151" t="str">
        <f t="shared" si="550"/>
        <v/>
      </c>
      <c r="S54" s="2143"/>
      <c r="T54" s="2149" t="str">
        <f>IF('25 Sollumsatz nach Monaten'!M57=0,"",'25 Sollumsatz nach Monaten'!M57)</f>
        <v/>
      </c>
      <c r="U54" s="2150" t="str">
        <f t="shared" si="551"/>
        <v/>
      </c>
      <c r="V54" s="2151" t="str">
        <f t="shared" si="552"/>
        <v/>
      </c>
      <c r="W54" s="2142" t="str">
        <f t="shared" si="553"/>
        <v/>
      </c>
      <c r="X54" s="2161"/>
      <c r="Y54" s="2162"/>
      <c r="Z54" s="2143"/>
      <c r="AA54" s="2144" t="str">
        <f>IF('25 Sollumsatz nach Monaten'!R57=0,"",'25 Sollumsatz nach Monaten'!R57)</f>
        <v/>
      </c>
      <c r="AB54" s="2145" t="str">
        <f t="shared" si="554"/>
        <v/>
      </c>
      <c r="AC54" s="2146" t="str">
        <f t="shared" si="555"/>
        <v/>
      </c>
      <c r="AD54" s="2147"/>
      <c r="AE54" s="2144" t="str">
        <f>IF('25 Sollumsatz nach Monaten'!S57=0,"",'25 Sollumsatz nach Monaten'!S57)</f>
        <v/>
      </c>
      <c r="AF54" s="2145" t="str">
        <f t="shared" si="556"/>
        <v/>
      </c>
      <c r="AG54" s="2158" t="str">
        <f t="shared" si="557"/>
        <v/>
      </c>
      <c r="AH54" s="2148" t="str">
        <f t="shared" si="558"/>
        <v/>
      </c>
      <c r="AI54" s="2161"/>
      <c r="AJ54" s="2162"/>
      <c r="AK54" s="2143"/>
      <c r="AL54" s="2149" t="str">
        <f>IF('25 Sollumsatz nach Monaten'!X57=0,"",'25 Sollumsatz nach Monaten'!X57)</f>
        <v/>
      </c>
      <c r="AM54" s="2150" t="str">
        <f t="shared" si="559"/>
        <v/>
      </c>
      <c r="AN54" s="2151" t="str">
        <f t="shared" si="560"/>
        <v/>
      </c>
      <c r="AO54" s="2143"/>
      <c r="AP54" s="2149" t="str">
        <f>IF('25 Sollumsatz nach Monaten'!Y57=0,"",'25 Sollumsatz nach Monaten'!Y57)</f>
        <v/>
      </c>
      <c r="AQ54" s="2150" t="str">
        <f t="shared" si="561"/>
        <v/>
      </c>
      <c r="AR54" s="2151" t="str">
        <f t="shared" si="562"/>
        <v/>
      </c>
      <c r="AS54" s="2142" t="str">
        <f t="shared" si="563"/>
        <v/>
      </c>
      <c r="AT54" s="2161"/>
      <c r="AU54" s="2162"/>
      <c r="AV54" s="2143"/>
      <c r="AW54" s="2144" t="str">
        <f>IF('25 Sollumsatz nach Monaten'!AD57=0,"",'25 Sollumsatz nach Monaten'!AD57)</f>
        <v/>
      </c>
      <c r="AX54" s="2145" t="str">
        <f t="shared" si="564"/>
        <v/>
      </c>
      <c r="AY54" s="2146" t="str">
        <f t="shared" si="565"/>
        <v/>
      </c>
      <c r="AZ54" s="2143"/>
      <c r="BA54" s="2144" t="str">
        <f>IF('25 Sollumsatz nach Monaten'!AE57=0,"",'25 Sollumsatz nach Monaten'!AE57)</f>
        <v/>
      </c>
      <c r="BB54" s="2145" t="str">
        <f t="shared" si="566"/>
        <v/>
      </c>
      <c r="BC54" s="2158" t="str">
        <f t="shared" si="567"/>
        <v/>
      </c>
      <c r="BD54" s="2148" t="str">
        <f t="shared" si="568"/>
        <v/>
      </c>
      <c r="BE54" s="2161"/>
      <c r="BF54" s="2162"/>
      <c r="BG54" s="2143"/>
      <c r="BH54" s="2149" t="str">
        <f>IF('25 Sollumsatz nach Monaten'!AJ57=0,"",'25 Sollumsatz nach Monaten'!AJ57)</f>
        <v/>
      </c>
      <c r="BI54" s="2150" t="str">
        <f t="shared" si="569"/>
        <v/>
      </c>
      <c r="BJ54" s="2151" t="str">
        <f t="shared" si="570"/>
        <v/>
      </c>
      <c r="BK54" s="2143"/>
      <c r="BL54" s="2149" t="str">
        <f>IF('25 Sollumsatz nach Monaten'!AK57=0,"",'25 Sollumsatz nach Monaten'!AK57)</f>
        <v/>
      </c>
      <c r="BM54" s="2150" t="str">
        <f t="shared" si="571"/>
        <v/>
      </c>
      <c r="BN54" s="2151" t="str">
        <f t="shared" si="572"/>
        <v/>
      </c>
      <c r="BO54" s="2142" t="str">
        <f t="shared" si="573"/>
        <v/>
      </c>
      <c r="BP54" s="2161"/>
      <c r="BQ54" s="2162"/>
      <c r="BR54" s="2143"/>
      <c r="BS54" s="2144" t="str">
        <f>IF('25 Sollumsatz nach Monaten'!AP57=0,"",'25 Sollumsatz nach Monaten'!AP57)</f>
        <v/>
      </c>
      <c r="BT54" s="2145" t="str">
        <f t="shared" si="574"/>
        <v/>
      </c>
      <c r="BU54" s="2146" t="str">
        <f t="shared" si="575"/>
        <v/>
      </c>
      <c r="BV54" s="2143"/>
      <c r="BW54" s="2144" t="str">
        <f>IF('25 Sollumsatz nach Monaten'!AQ57=0,"",'25 Sollumsatz nach Monaten'!AQ57)</f>
        <v/>
      </c>
      <c r="BX54" s="2145" t="str">
        <f t="shared" si="576"/>
        <v/>
      </c>
      <c r="BY54" s="2158" t="str">
        <f t="shared" si="577"/>
        <v/>
      </c>
      <c r="BZ54" s="2148" t="str">
        <f t="shared" si="578"/>
        <v/>
      </c>
      <c r="CA54" s="2161"/>
      <c r="CB54" s="2162"/>
      <c r="CC54" s="2143"/>
      <c r="CD54" s="2149" t="str">
        <f>IF('25 Sollumsatz nach Monaten'!AV57=0,"",'25 Sollumsatz nach Monaten'!AV57)</f>
        <v/>
      </c>
      <c r="CE54" s="2150" t="str">
        <f t="shared" si="579"/>
        <v/>
      </c>
      <c r="CF54" s="2151" t="str">
        <f t="shared" si="580"/>
        <v/>
      </c>
      <c r="CG54" s="2143"/>
      <c r="CH54" s="2149" t="str">
        <f>IF('25 Sollumsatz nach Monaten'!AW57=0,"",'25 Sollumsatz nach Monaten'!AW57)</f>
        <v/>
      </c>
      <c r="CI54" s="2150" t="str">
        <f t="shared" si="581"/>
        <v/>
      </c>
      <c r="CJ54" s="2151" t="str">
        <f t="shared" si="582"/>
        <v/>
      </c>
      <c r="CK54" s="2142" t="str">
        <f t="shared" si="583"/>
        <v/>
      </c>
      <c r="CL54" s="2161"/>
      <c r="CM54" s="2162"/>
      <c r="CN54" s="2143"/>
      <c r="CO54" s="2144" t="str">
        <f>IF('25 Sollumsatz nach Monaten'!BB57=0,"",'25 Sollumsatz nach Monaten'!BB57)</f>
        <v/>
      </c>
      <c r="CP54" s="2145" t="str">
        <f t="shared" si="584"/>
        <v/>
      </c>
      <c r="CQ54" s="2146" t="str">
        <f t="shared" si="585"/>
        <v/>
      </c>
      <c r="CR54" s="2143"/>
      <c r="CS54" s="2144" t="str">
        <f>IF('25 Sollumsatz nach Monaten'!BC57=0,"",'25 Sollumsatz nach Monaten'!BC57)</f>
        <v/>
      </c>
      <c r="CT54" s="2145" t="str">
        <f t="shared" si="586"/>
        <v/>
      </c>
      <c r="CU54" s="2158" t="str">
        <f t="shared" si="587"/>
        <v/>
      </c>
      <c r="CV54" s="2148" t="str">
        <f t="shared" si="588"/>
        <v/>
      </c>
      <c r="CW54" s="2161"/>
      <c r="CX54" s="2162"/>
      <c r="CY54" s="2143"/>
      <c r="CZ54" s="2149" t="str">
        <f>IF('25 Sollumsatz nach Monaten'!BH57=0,"",'25 Sollumsatz nach Monaten'!BH57)</f>
        <v/>
      </c>
      <c r="DA54" s="2150" t="str">
        <f t="shared" si="589"/>
        <v/>
      </c>
      <c r="DB54" s="2151" t="str">
        <f t="shared" si="590"/>
        <v/>
      </c>
      <c r="DC54" s="2143"/>
      <c r="DD54" s="2149" t="str">
        <f>IF('25 Sollumsatz nach Monaten'!BI57=0,"",'25 Sollumsatz nach Monaten'!BI57)</f>
        <v/>
      </c>
      <c r="DE54" s="2150" t="str">
        <f t="shared" si="591"/>
        <v/>
      </c>
      <c r="DF54" s="2151" t="str">
        <f t="shared" si="592"/>
        <v/>
      </c>
      <c r="DG54" s="2142" t="str">
        <f t="shared" si="593"/>
        <v/>
      </c>
      <c r="DH54" s="2161"/>
      <c r="DI54" s="2162"/>
      <c r="DJ54" s="2143"/>
      <c r="DK54" s="2144" t="str">
        <f>IF('25 Sollumsatz nach Monaten'!BN57=0,"",'25 Sollumsatz nach Monaten'!BN57)</f>
        <v/>
      </c>
      <c r="DL54" s="2145" t="str">
        <f t="shared" si="594"/>
        <v/>
      </c>
      <c r="DM54" s="2146" t="str">
        <f t="shared" si="595"/>
        <v/>
      </c>
      <c r="DN54" s="2143"/>
      <c r="DO54" s="2144" t="str">
        <f>IF('25 Sollumsatz nach Monaten'!BO57=0,"",'25 Sollumsatz nach Monaten'!BO57)</f>
        <v/>
      </c>
      <c r="DP54" s="2145" t="str">
        <f t="shared" si="596"/>
        <v/>
      </c>
      <c r="DQ54" s="2158" t="str">
        <f t="shared" si="597"/>
        <v/>
      </c>
      <c r="DR54" s="2148" t="str">
        <f t="shared" si="598"/>
        <v/>
      </c>
      <c r="DS54" s="2161"/>
      <c r="DT54" s="2162"/>
      <c r="DU54" s="2143"/>
      <c r="DV54" s="2149" t="str">
        <f>IF('25 Sollumsatz nach Monaten'!BT57=0,"",'25 Sollumsatz nach Monaten'!BT57)</f>
        <v/>
      </c>
      <c r="DW54" s="2150" t="str">
        <f t="shared" si="599"/>
        <v/>
      </c>
      <c r="DX54" s="2151" t="str">
        <f t="shared" si="600"/>
        <v/>
      </c>
      <c r="DY54" s="2143"/>
      <c r="DZ54" s="2149" t="str">
        <f>IF('25 Sollumsatz nach Monaten'!BU57=0,"",'25 Sollumsatz nach Monaten'!BU57)</f>
        <v/>
      </c>
      <c r="EA54" s="2150" t="str">
        <f t="shared" si="601"/>
        <v/>
      </c>
      <c r="EB54" s="2151" t="str">
        <f t="shared" si="602"/>
        <v/>
      </c>
      <c r="EC54" s="2152" t="str">
        <f t="shared" si="603"/>
        <v/>
      </c>
      <c r="ED54" s="2280" t="str">
        <f t="shared" si="604"/>
        <v/>
      </c>
      <c r="EE54" s="2153" t="str">
        <f t="shared" si="605"/>
        <v/>
      </c>
      <c r="EF54" s="2154" t="str">
        <f t="shared" si="606"/>
        <v/>
      </c>
      <c r="EG54" s="2155" t="str">
        <f t="shared" si="500"/>
        <v/>
      </c>
      <c r="EH54" s="2282" t="str">
        <f t="shared" si="607"/>
        <v/>
      </c>
      <c r="EI54" s="2153" t="str">
        <f t="shared" si="608"/>
        <v/>
      </c>
      <c r="EJ54" s="2154" t="str">
        <f t="shared" si="609"/>
        <v/>
      </c>
      <c r="EK54" s="2155" t="str">
        <f t="shared" si="610"/>
        <v/>
      </c>
      <c r="EL54" s="2160" t="str">
        <f t="shared" si="505"/>
        <v/>
      </c>
      <c r="EM54" s="2160" t="str">
        <f t="shared" si="506"/>
        <v/>
      </c>
      <c r="EN54" s="2160" t="str">
        <f t="shared" si="507"/>
        <v/>
      </c>
      <c r="EO54" s="2152" t="str">
        <f t="shared" si="611"/>
        <v/>
      </c>
      <c r="EP54" s="2312" t="str">
        <f>IF('25 Sollumsatz nach Monaten'!BV57="","",SUM(EQ54:ER54))</f>
        <v/>
      </c>
      <c r="EQ54" s="2312" t="str">
        <f>IF('25 Sollumsatz nach Monaten'!BV57="","",ED54/'25 Sollumsatz nach Monaten'!BV57)</f>
        <v/>
      </c>
      <c r="ER54" s="2312" t="str">
        <f>IF('25 Sollumsatz nach Monaten'!BV57="","",EH54/'25 Sollumsatz nach Monaten'!BV57)</f>
        <v/>
      </c>
      <c r="EY54" s="2248"/>
      <c r="EZ54" s="2249"/>
      <c r="FA54" s="2250"/>
      <c r="FB54" s="2251" t="str">
        <f t="shared" si="612"/>
        <v/>
      </c>
      <c r="FC54" s="2252"/>
      <c r="FD54" s="2253"/>
      <c r="FE54" s="2251" t="str">
        <f t="shared" si="613"/>
        <v/>
      </c>
      <c r="FF54" s="2254"/>
      <c r="FG54" s="2252"/>
      <c r="FH54" s="2253"/>
      <c r="FI54" s="2251" t="str">
        <f t="shared" si="614"/>
        <v/>
      </c>
      <c r="FJ54" s="2248"/>
      <c r="FK54" s="2249"/>
      <c r="FL54" s="2250"/>
      <c r="FM54" s="2251" t="str">
        <f t="shared" si="615"/>
        <v/>
      </c>
      <c r="FN54" s="2252"/>
      <c r="FO54" s="2253"/>
      <c r="FP54" s="2251" t="str">
        <f t="shared" si="616"/>
        <v/>
      </c>
      <c r="FQ54" s="2254"/>
      <c r="FR54" s="2252"/>
      <c r="FS54" s="2253"/>
      <c r="FT54" s="2251" t="str">
        <f t="shared" si="617"/>
        <v/>
      </c>
      <c r="FU54" s="2248"/>
      <c r="FV54" s="2249"/>
      <c r="FW54" s="2250"/>
      <c r="FX54" s="2251" t="str">
        <f t="shared" si="618"/>
        <v/>
      </c>
      <c r="FY54" s="2252"/>
      <c r="FZ54" s="2253"/>
      <c r="GA54" s="2251" t="str">
        <f t="shared" si="619"/>
        <v/>
      </c>
      <c r="GB54" s="2254"/>
      <c r="GC54" s="2252"/>
      <c r="GD54" s="2253"/>
      <c r="GE54" s="2251" t="str">
        <f t="shared" si="620"/>
        <v/>
      </c>
      <c r="GF54" s="2248"/>
      <c r="GG54" s="2249"/>
      <c r="GH54" s="2250"/>
      <c r="GI54" s="2251" t="str">
        <f t="shared" si="621"/>
        <v/>
      </c>
      <c r="GJ54" s="2252"/>
      <c r="GK54" s="2253"/>
      <c r="GL54" s="2251" t="str">
        <f t="shared" si="622"/>
        <v/>
      </c>
      <c r="GM54" s="2254"/>
      <c r="GN54" s="2252"/>
      <c r="GO54" s="2253"/>
      <c r="GP54" s="2251" t="str">
        <f t="shared" si="623"/>
        <v/>
      </c>
      <c r="GQ54" s="2248"/>
      <c r="GR54" s="2249"/>
      <c r="GS54" s="2250"/>
      <c r="GT54" s="2251" t="str">
        <f t="shared" si="624"/>
        <v/>
      </c>
      <c r="GU54" s="2252"/>
      <c r="GV54" s="2253"/>
      <c r="GW54" s="2251" t="str">
        <f t="shared" si="625"/>
        <v/>
      </c>
      <c r="GX54" s="2254"/>
      <c r="GY54" s="2252"/>
      <c r="GZ54" s="2253"/>
      <c r="HA54" s="2251" t="str">
        <f t="shared" si="626"/>
        <v/>
      </c>
      <c r="HB54" s="2248"/>
      <c r="HC54" s="2249"/>
      <c r="HD54" s="2250"/>
      <c r="HE54" s="2251" t="str">
        <f t="shared" si="627"/>
        <v/>
      </c>
      <c r="HF54" s="2252"/>
      <c r="HG54" s="2253"/>
      <c r="HH54" s="2251" t="str">
        <f t="shared" si="628"/>
        <v/>
      </c>
      <c r="HI54" s="2254"/>
      <c r="HJ54" s="2252"/>
      <c r="HK54" s="2253"/>
      <c r="HL54" s="2251" t="str">
        <f t="shared" si="629"/>
        <v/>
      </c>
      <c r="HM54" s="2248"/>
      <c r="HN54" s="2249"/>
      <c r="HO54" s="2250"/>
      <c r="HP54" s="2251" t="str">
        <f t="shared" si="630"/>
        <v/>
      </c>
      <c r="HQ54" s="2252"/>
      <c r="HR54" s="2253"/>
      <c r="HS54" s="2251" t="str">
        <f t="shared" si="631"/>
        <v/>
      </c>
      <c r="HT54" s="2254"/>
      <c r="HU54" s="2252"/>
      <c r="HV54" s="2253"/>
      <c r="HW54" s="2251" t="str">
        <f t="shared" si="632"/>
        <v/>
      </c>
      <c r="HX54" s="2248"/>
      <c r="HY54" s="2249"/>
      <c r="HZ54" s="2250"/>
      <c r="IA54" s="2251" t="str">
        <f t="shared" si="633"/>
        <v/>
      </c>
      <c r="IB54" s="2252"/>
      <c r="IC54" s="2253"/>
      <c r="ID54" s="2251" t="str">
        <f t="shared" si="634"/>
        <v/>
      </c>
      <c r="IE54" s="2254"/>
      <c r="IF54" s="2252"/>
      <c r="IG54" s="2253"/>
      <c r="IH54" s="2251" t="str">
        <f t="shared" si="635"/>
        <v/>
      </c>
      <c r="II54" s="2248"/>
      <c r="IJ54" s="2249"/>
      <c r="IK54" s="2250"/>
      <c r="IL54" s="2251" t="str">
        <f t="shared" si="636"/>
        <v/>
      </c>
      <c r="IM54" s="2252"/>
      <c r="IN54" s="2253"/>
      <c r="IO54" s="2251" t="str">
        <f t="shared" si="637"/>
        <v/>
      </c>
      <c r="IP54" s="2254"/>
      <c r="IQ54" s="2252"/>
      <c r="IR54" s="2253"/>
      <c r="IS54" s="2251" t="str">
        <f t="shared" si="638"/>
        <v/>
      </c>
      <c r="IT54" s="2248"/>
      <c r="IU54" s="2249"/>
      <c r="IV54" s="2250"/>
      <c r="IW54" s="2251" t="str">
        <f t="shared" si="639"/>
        <v/>
      </c>
      <c r="IX54" s="2252"/>
      <c r="IY54" s="2253"/>
      <c r="IZ54" s="2251" t="str">
        <f t="shared" si="640"/>
        <v/>
      </c>
      <c r="JA54" s="2254"/>
      <c r="JB54" s="2252"/>
      <c r="JC54" s="2253"/>
      <c r="JD54" s="2251" t="str">
        <f t="shared" si="641"/>
        <v/>
      </c>
      <c r="JE54" s="2248"/>
      <c r="JF54" s="2249"/>
      <c r="JG54" s="2250"/>
      <c r="JH54" s="2251" t="str">
        <f t="shared" si="642"/>
        <v/>
      </c>
      <c r="JI54" s="2252"/>
      <c r="JJ54" s="2253"/>
      <c r="JK54" s="2251" t="str">
        <f t="shared" si="643"/>
        <v/>
      </c>
      <c r="JL54" s="2254"/>
      <c r="JM54" s="2252"/>
      <c r="JN54" s="2253"/>
      <c r="JO54" s="2251" t="str">
        <f t="shared" si="644"/>
        <v/>
      </c>
      <c r="JP54" s="2248"/>
      <c r="JQ54" s="2249"/>
      <c r="JR54" s="2250"/>
      <c r="JS54" s="2251" t="str">
        <f t="shared" si="645"/>
        <v/>
      </c>
      <c r="JT54" s="2252"/>
      <c r="JU54" s="2253"/>
      <c r="JV54" s="2251" t="str">
        <f t="shared" si="646"/>
        <v/>
      </c>
      <c r="JW54" s="2254"/>
      <c r="JX54" s="2252"/>
      <c r="JY54" s="2253"/>
      <c r="JZ54" s="2251" t="str">
        <f t="shared" si="647"/>
        <v/>
      </c>
      <c r="KA54" s="2231"/>
    </row>
    <row r="55" spans="1:287" s="2156" customFormat="1" ht="18" customHeight="1">
      <c r="A55" s="2142" t="str">
        <f>'25 Sollumsatz nach Monaten'!A58</f>
        <v/>
      </c>
      <c r="B55" s="2161"/>
      <c r="C55" s="2162"/>
      <c r="D55" s="2143"/>
      <c r="E55" s="2144" t="str">
        <f>IF('25 Sollumsatz nach Monaten'!F58=0,"",'25 Sollumsatz nach Monaten'!F58)</f>
        <v/>
      </c>
      <c r="F55" s="2145" t="str">
        <f t="shared" si="544"/>
        <v/>
      </c>
      <c r="G55" s="2146" t="str">
        <f t="shared" si="545"/>
        <v/>
      </c>
      <c r="H55" s="2143"/>
      <c r="I55" s="2144" t="str">
        <f>IF('25 Sollumsatz nach Monaten'!G58=0,"",'25 Sollumsatz nach Monaten'!G58)</f>
        <v/>
      </c>
      <c r="J55" s="2145" t="str">
        <f t="shared" si="546"/>
        <v/>
      </c>
      <c r="K55" s="2158" t="str">
        <f t="shared" si="547"/>
        <v/>
      </c>
      <c r="L55" s="2148" t="str">
        <f t="shared" si="548"/>
        <v/>
      </c>
      <c r="M55" s="2161"/>
      <c r="N55" s="2162"/>
      <c r="O55" s="2143"/>
      <c r="P55" s="2149" t="str">
        <f>IF('25 Sollumsatz nach Monaten'!L58=0,"",'25 Sollumsatz nach Monaten'!L58)</f>
        <v/>
      </c>
      <c r="Q55" s="2150" t="str">
        <f t="shared" si="549"/>
        <v/>
      </c>
      <c r="R55" s="2151" t="str">
        <f t="shared" si="550"/>
        <v/>
      </c>
      <c r="S55" s="2143"/>
      <c r="T55" s="2149" t="str">
        <f>IF('25 Sollumsatz nach Monaten'!M58=0,"",'25 Sollumsatz nach Monaten'!M58)</f>
        <v/>
      </c>
      <c r="U55" s="2150" t="str">
        <f t="shared" si="551"/>
        <v/>
      </c>
      <c r="V55" s="2151" t="str">
        <f t="shared" si="552"/>
        <v/>
      </c>
      <c r="W55" s="2142" t="str">
        <f t="shared" si="553"/>
        <v/>
      </c>
      <c r="X55" s="2161"/>
      <c r="Y55" s="2162"/>
      <c r="Z55" s="2143"/>
      <c r="AA55" s="2144" t="str">
        <f>IF('25 Sollumsatz nach Monaten'!R58=0,"",'25 Sollumsatz nach Monaten'!R58)</f>
        <v/>
      </c>
      <c r="AB55" s="2145" t="str">
        <f t="shared" si="554"/>
        <v/>
      </c>
      <c r="AC55" s="2146" t="str">
        <f t="shared" si="555"/>
        <v/>
      </c>
      <c r="AD55" s="2147"/>
      <c r="AE55" s="2144" t="str">
        <f>IF('25 Sollumsatz nach Monaten'!S58=0,"",'25 Sollumsatz nach Monaten'!S58)</f>
        <v/>
      </c>
      <c r="AF55" s="2145" t="str">
        <f t="shared" si="556"/>
        <v/>
      </c>
      <c r="AG55" s="2158" t="str">
        <f t="shared" si="557"/>
        <v/>
      </c>
      <c r="AH55" s="2148" t="str">
        <f t="shared" si="558"/>
        <v/>
      </c>
      <c r="AI55" s="2161"/>
      <c r="AJ55" s="2162"/>
      <c r="AK55" s="2143"/>
      <c r="AL55" s="2149" t="str">
        <f>IF('25 Sollumsatz nach Monaten'!X58=0,"",'25 Sollumsatz nach Monaten'!X58)</f>
        <v/>
      </c>
      <c r="AM55" s="2150" t="str">
        <f t="shared" si="559"/>
        <v/>
      </c>
      <c r="AN55" s="2151" t="str">
        <f t="shared" si="560"/>
        <v/>
      </c>
      <c r="AO55" s="2143"/>
      <c r="AP55" s="2149" t="str">
        <f>IF('25 Sollumsatz nach Monaten'!Y58=0,"",'25 Sollumsatz nach Monaten'!Y58)</f>
        <v/>
      </c>
      <c r="AQ55" s="2150" t="str">
        <f t="shared" si="561"/>
        <v/>
      </c>
      <c r="AR55" s="2151" t="str">
        <f t="shared" si="562"/>
        <v/>
      </c>
      <c r="AS55" s="2142" t="str">
        <f t="shared" si="563"/>
        <v/>
      </c>
      <c r="AT55" s="2161"/>
      <c r="AU55" s="2162"/>
      <c r="AV55" s="2143"/>
      <c r="AW55" s="2144" t="str">
        <f>IF('25 Sollumsatz nach Monaten'!AD58=0,"",'25 Sollumsatz nach Monaten'!AD58)</f>
        <v/>
      </c>
      <c r="AX55" s="2145" t="str">
        <f t="shared" si="564"/>
        <v/>
      </c>
      <c r="AY55" s="2146" t="str">
        <f t="shared" si="565"/>
        <v/>
      </c>
      <c r="AZ55" s="2143"/>
      <c r="BA55" s="2144" t="str">
        <f>IF('25 Sollumsatz nach Monaten'!AE58=0,"",'25 Sollumsatz nach Monaten'!AE58)</f>
        <v/>
      </c>
      <c r="BB55" s="2145" t="str">
        <f t="shared" si="566"/>
        <v/>
      </c>
      <c r="BC55" s="2158" t="str">
        <f t="shared" si="567"/>
        <v/>
      </c>
      <c r="BD55" s="2148" t="str">
        <f t="shared" si="568"/>
        <v/>
      </c>
      <c r="BE55" s="2161"/>
      <c r="BF55" s="2162"/>
      <c r="BG55" s="2143"/>
      <c r="BH55" s="2149" t="str">
        <f>IF('25 Sollumsatz nach Monaten'!AJ58=0,"",'25 Sollumsatz nach Monaten'!AJ58)</f>
        <v/>
      </c>
      <c r="BI55" s="2150" t="str">
        <f t="shared" si="569"/>
        <v/>
      </c>
      <c r="BJ55" s="2151" t="str">
        <f t="shared" si="570"/>
        <v/>
      </c>
      <c r="BK55" s="2143"/>
      <c r="BL55" s="2149" t="str">
        <f>IF('25 Sollumsatz nach Monaten'!AK58=0,"",'25 Sollumsatz nach Monaten'!AK58)</f>
        <v/>
      </c>
      <c r="BM55" s="2150" t="str">
        <f t="shared" si="571"/>
        <v/>
      </c>
      <c r="BN55" s="2151" t="str">
        <f t="shared" si="572"/>
        <v/>
      </c>
      <c r="BO55" s="2142" t="str">
        <f t="shared" si="573"/>
        <v/>
      </c>
      <c r="BP55" s="2161"/>
      <c r="BQ55" s="2162"/>
      <c r="BR55" s="2143"/>
      <c r="BS55" s="2144" t="str">
        <f>IF('25 Sollumsatz nach Monaten'!AP58=0,"",'25 Sollumsatz nach Monaten'!AP58)</f>
        <v/>
      </c>
      <c r="BT55" s="2145" t="str">
        <f t="shared" si="574"/>
        <v/>
      </c>
      <c r="BU55" s="2146" t="str">
        <f t="shared" si="575"/>
        <v/>
      </c>
      <c r="BV55" s="2143"/>
      <c r="BW55" s="2144" t="str">
        <f>IF('25 Sollumsatz nach Monaten'!AQ58=0,"",'25 Sollumsatz nach Monaten'!AQ58)</f>
        <v/>
      </c>
      <c r="BX55" s="2145" t="str">
        <f t="shared" si="576"/>
        <v/>
      </c>
      <c r="BY55" s="2158" t="str">
        <f t="shared" si="577"/>
        <v/>
      </c>
      <c r="BZ55" s="2148" t="str">
        <f t="shared" si="578"/>
        <v/>
      </c>
      <c r="CA55" s="2161"/>
      <c r="CB55" s="2162"/>
      <c r="CC55" s="2143"/>
      <c r="CD55" s="2149" t="str">
        <f>IF('25 Sollumsatz nach Monaten'!AV58=0,"",'25 Sollumsatz nach Monaten'!AV58)</f>
        <v/>
      </c>
      <c r="CE55" s="2150" t="str">
        <f t="shared" si="579"/>
        <v/>
      </c>
      <c r="CF55" s="2151" t="str">
        <f t="shared" si="580"/>
        <v/>
      </c>
      <c r="CG55" s="2143"/>
      <c r="CH55" s="2149" t="str">
        <f>IF('25 Sollumsatz nach Monaten'!AW58=0,"",'25 Sollumsatz nach Monaten'!AW58)</f>
        <v/>
      </c>
      <c r="CI55" s="2150" t="str">
        <f t="shared" si="581"/>
        <v/>
      </c>
      <c r="CJ55" s="2151" t="str">
        <f t="shared" si="582"/>
        <v/>
      </c>
      <c r="CK55" s="2142" t="str">
        <f t="shared" si="583"/>
        <v/>
      </c>
      <c r="CL55" s="2161"/>
      <c r="CM55" s="2162"/>
      <c r="CN55" s="2143"/>
      <c r="CO55" s="2144" t="str">
        <f>IF('25 Sollumsatz nach Monaten'!BB58=0,"",'25 Sollumsatz nach Monaten'!BB58)</f>
        <v/>
      </c>
      <c r="CP55" s="2145" t="str">
        <f t="shared" si="584"/>
        <v/>
      </c>
      <c r="CQ55" s="2146" t="str">
        <f t="shared" si="585"/>
        <v/>
      </c>
      <c r="CR55" s="2143"/>
      <c r="CS55" s="2144" t="str">
        <f>IF('25 Sollumsatz nach Monaten'!BC58=0,"",'25 Sollumsatz nach Monaten'!BC58)</f>
        <v/>
      </c>
      <c r="CT55" s="2145" t="str">
        <f t="shared" si="586"/>
        <v/>
      </c>
      <c r="CU55" s="2158" t="str">
        <f t="shared" si="587"/>
        <v/>
      </c>
      <c r="CV55" s="2148" t="str">
        <f t="shared" si="588"/>
        <v/>
      </c>
      <c r="CW55" s="2161"/>
      <c r="CX55" s="2162"/>
      <c r="CY55" s="2143"/>
      <c r="CZ55" s="2149" t="str">
        <f>IF('25 Sollumsatz nach Monaten'!BH58=0,"",'25 Sollumsatz nach Monaten'!BH58)</f>
        <v/>
      </c>
      <c r="DA55" s="2150" t="str">
        <f t="shared" si="589"/>
        <v/>
      </c>
      <c r="DB55" s="2151" t="str">
        <f t="shared" si="590"/>
        <v/>
      </c>
      <c r="DC55" s="2143"/>
      <c r="DD55" s="2149" t="str">
        <f>IF('25 Sollumsatz nach Monaten'!BI58=0,"",'25 Sollumsatz nach Monaten'!BI58)</f>
        <v/>
      </c>
      <c r="DE55" s="2150" t="str">
        <f t="shared" si="591"/>
        <v/>
      </c>
      <c r="DF55" s="2151" t="str">
        <f t="shared" si="592"/>
        <v/>
      </c>
      <c r="DG55" s="2142" t="str">
        <f t="shared" si="593"/>
        <v/>
      </c>
      <c r="DH55" s="2161"/>
      <c r="DI55" s="2162"/>
      <c r="DJ55" s="2143"/>
      <c r="DK55" s="2144" t="str">
        <f>IF('25 Sollumsatz nach Monaten'!BN58=0,"",'25 Sollumsatz nach Monaten'!BN58)</f>
        <v/>
      </c>
      <c r="DL55" s="2145" t="str">
        <f t="shared" si="594"/>
        <v/>
      </c>
      <c r="DM55" s="2146" t="str">
        <f t="shared" si="595"/>
        <v/>
      </c>
      <c r="DN55" s="2143"/>
      <c r="DO55" s="2144" t="str">
        <f>IF('25 Sollumsatz nach Monaten'!BO58=0,"",'25 Sollumsatz nach Monaten'!BO58)</f>
        <v/>
      </c>
      <c r="DP55" s="2145" t="str">
        <f t="shared" si="596"/>
        <v/>
      </c>
      <c r="DQ55" s="2158" t="str">
        <f t="shared" si="597"/>
        <v/>
      </c>
      <c r="DR55" s="2148" t="str">
        <f t="shared" si="598"/>
        <v/>
      </c>
      <c r="DS55" s="2161"/>
      <c r="DT55" s="2162"/>
      <c r="DU55" s="2143"/>
      <c r="DV55" s="2149" t="str">
        <f>IF('25 Sollumsatz nach Monaten'!BT58=0,"",'25 Sollumsatz nach Monaten'!BT58)</f>
        <v/>
      </c>
      <c r="DW55" s="2150" t="str">
        <f t="shared" si="599"/>
        <v/>
      </c>
      <c r="DX55" s="2151" t="str">
        <f t="shared" si="600"/>
        <v/>
      </c>
      <c r="DY55" s="2143"/>
      <c r="DZ55" s="2149" t="str">
        <f>IF('25 Sollumsatz nach Monaten'!BU58=0,"",'25 Sollumsatz nach Monaten'!BU58)</f>
        <v/>
      </c>
      <c r="EA55" s="2150" t="str">
        <f t="shared" si="601"/>
        <v/>
      </c>
      <c r="EB55" s="2151" t="str">
        <f t="shared" si="602"/>
        <v/>
      </c>
      <c r="EC55" s="2152" t="str">
        <f t="shared" si="603"/>
        <v/>
      </c>
      <c r="ED55" s="2280" t="str">
        <f t="shared" si="604"/>
        <v/>
      </c>
      <c r="EE55" s="2153" t="str">
        <f t="shared" si="605"/>
        <v/>
      </c>
      <c r="EF55" s="2154" t="str">
        <f t="shared" si="606"/>
        <v/>
      </c>
      <c r="EG55" s="2155" t="str">
        <f t="shared" si="500"/>
        <v/>
      </c>
      <c r="EH55" s="2282" t="str">
        <f t="shared" si="607"/>
        <v/>
      </c>
      <c r="EI55" s="2153" t="str">
        <f t="shared" si="608"/>
        <v/>
      </c>
      <c r="EJ55" s="2154" t="str">
        <f t="shared" si="609"/>
        <v/>
      </c>
      <c r="EK55" s="2155" t="str">
        <f t="shared" si="610"/>
        <v/>
      </c>
      <c r="EL55" s="2160" t="str">
        <f t="shared" si="505"/>
        <v/>
      </c>
      <c r="EM55" s="2160" t="str">
        <f t="shared" si="506"/>
        <v/>
      </c>
      <c r="EN55" s="2160" t="str">
        <f t="shared" si="507"/>
        <v/>
      </c>
      <c r="EO55" s="2152" t="str">
        <f t="shared" si="611"/>
        <v/>
      </c>
      <c r="EP55" s="2312" t="str">
        <f>IF('25 Sollumsatz nach Monaten'!BV58="","",SUM(EQ55:ER55))</f>
        <v/>
      </c>
      <c r="EQ55" s="2312" t="str">
        <f>IF('25 Sollumsatz nach Monaten'!BV58="","",ED55/'25 Sollumsatz nach Monaten'!BV58)</f>
        <v/>
      </c>
      <c r="ER55" s="2312" t="str">
        <f>IF('25 Sollumsatz nach Monaten'!BV58="","",EH55/'25 Sollumsatz nach Monaten'!BV58)</f>
        <v/>
      </c>
      <c r="EY55" s="2248"/>
      <c r="EZ55" s="2249"/>
      <c r="FA55" s="2250"/>
      <c r="FB55" s="2251" t="str">
        <f t="shared" si="612"/>
        <v/>
      </c>
      <c r="FC55" s="2252"/>
      <c r="FD55" s="2253"/>
      <c r="FE55" s="2251" t="str">
        <f t="shared" si="613"/>
        <v/>
      </c>
      <c r="FF55" s="2254"/>
      <c r="FG55" s="2252"/>
      <c r="FH55" s="2253"/>
      <c r="FI55" s="2251" t="str">
        <f t="shared" si="614"/>
        <v/>
      </c>
      <c r="FJ55" s="2248"/>
      <c r="FK55" s="2249"/>
      <c r="FL55" s="2250"/>
      <c r="FM55" s="2251" t="str">
        <f t="shared" si="615"/>
        <v/>
      </c>
      <c r="FN55" s="2252"/>
      <c r="FO55" s="2253"/>
      <c r="FP55" s="2251" t="str">
        <f t="shared" si="616"/>
        <v/>
      </c>
      <c r="FQ55" s="2254"/>
      <c r="FR55" s="2252"/>
      <c r="FS55" s="2253"/>
      <c r="FT55" s="2251" t="str">
        <f t="shared" si="617"/>
        <v/>
      </c>
      <c r="FU55" s="2248"/>
      <c r="FV55" s="2249"/>
      <c r="FW55" s="2250"/>
      <c r="FX55" s="2251" t="str">
        <f t="shared" si="618"/>
        <v/>
      </c>
      <c r="FY55" s="2252"/>
      <c r="FZ55" s="2253"/>
      <c r="GA55" s="2251" t="str">
        <f t="shared" si="619"/>
        <v/>
      </c>
      <c r="GB55" s="2254"/>
      <c r="GC55" s="2252"/>
      <c r="GD55" s="2253"/>
      <c r="GE55" s="2251" t="str">
        <f t="shared" si="620"/>
        <v/>
      </c>
      <c r="GF55" s="2248"/>
      <c r="GG55" s="2249"/>
      <c r="GH55" s="2250"/>
      <c r="GI55" s="2251" t="str">
        <f t="shared" si="621"/>
        <v/>
      </c>
      <c r="GJ55" s="2252"/>
      <c r="GK55" s="2253"/>
      <c r="GL55" s="2251" t="str">
        <f t="shared" si="622"/>
        <v/>
      </c>
      <c r="GM55" s="2254"/>
      <c r="GN55" s="2252"/>
      <c r="GO55" s="2253"/>
      <c r="GP55" s="2251" t="str">
        <f t="shared" si="623"/>
        <v/>
      </c>
      <c r="GQ55" s="2248"/>
      <c r="GR55" s="2249"/>
      <c r="GS55" s="2250"/>
      <c r="GT55" s="2251" t="str">
        <f t="shared" si="624"/>
        <v/>
      </c>
      <c r="GU55" s="2252"/>
      <c r="GV55" s="2253"/>
      <c r="GW55" s="2251" t="str">
        <f t="shared" si="625"/>
        <v/>
      </c>
      <c r="GX55" s="2254"/>
      <c r="GY55" s="2252"/>
      <c r="GZ55" s="2253"/>
      <c r="HA55" s="2251" t="str">
        <f t="shared" si="626"/>
        <v/>
      </c>
      <c r="HB55" s="2248"/>
      <c r="HC55" s="2249"/>
      <c r="HD55" s="2250"/>
      <c r="HE55" s="2251" t="str">
        <f t="shared" si="627"/>
        <v/>
      </c>
      <c r="HF55" s="2252"/>
      <c r="HG55" s="2253"/>
      <c r="HH55" s="2251" t="str">
        <f t="shared" si="628"/>
        <v/>
      </c>
      <c r="HI55" s="2254"/>
      <c r="HJ55" s="2252"/>
      <c r="HK55" s="2253"/>
      <c r="HL55" s="2251" t="str">
        <f t="shared" si="629"/>
        <v/>
      </c>
      <c r="HM55" s="2248"/>
      <c r="HN55" s="2249"/>
      <c r="HO55" s="2250"/>
      <c r="HP55" s="2251" t="str">
        <f t="shared" si="630"/>
        <v/>
      </c>
      <c r="HQ55" s="2252"/>
      <c r="HR55" s="2253"/>
      <c r="HS55" s="2251" t="str">
        <f t="shared" si="631"/>
        <v/>
      </c>
      <c r="HT55" s="2254"/>
      <c r="HU55" s="2252"/>
      <c r="HV55" s="2253"/>
      <c r="HW55" s="2251" t="str">
        <f t="shared" si="632"/>
        <v/>
      </c>
      <c r="HX55" s="2248"/>
      <c r="HY55" s="2249"/>
      <c r="HZ55" s="2250"/>
      <c r="IA55" s="2251" t="str">
        <f t="shared" si="633"/>
        <v/>
      </c>
      <c r="IB55" s="2252"/>
      <c r="IC55" s="2253"/>
      <c r="ID55" s="2251" t="str">
        <f t="shared" si="634"/>
        <v/>
      </c>
      <c r="IE55" s="2254"/>
      <c r="IF55" s="2252"/>
      <c r="IG55" s="2253"/>
      <c r="IH55" s="2251" t="str">
        <f t="shared" si="635"/>
        <v/>
      </c>
      <c r="II55" s="2248"/>
      <c r="IJ55" s="2249"/>
      <c r="IK55" s="2250"/>
      <c r="IL55" s="2251" t="str">
        <f t="shared" si="636"/>
        <v/>
      </c>
      <c r="IM55" s="2252"/>
      <c r="IN55" s="2253"/>
      <c r="IO55" s="2251" t="str">
        <f t="shared" si="637"/>
        <v/>
      </c>
      <c r="IP55" s="2254"/>
      <c r="IQ55" s="2252"/>
      <c r="IR55" s="2253"/>
      <c r="IS55" s="2251" t="str">
        <f t="shared" si="638"/>
        <v/>
      </c>
      <c r="IT55" s="2248"/>
      <c r="IU55" s="2249"/>
      <c r="IV55" s="2250"/>
      <c r="IW55" s="2251" t="str">
        <f t="shared" si="639"/>
        <v/>
      </c>
      <c r="IX55" s="2252"/>
      <c r="IY55" s="2253"/>
      <c r="IZ55" s="2251" t="str">
        <f t="shared" si="640"/>
        <v/>
      </c>
      <c r="JA55" s="2254"/>
      <c r="JB55" s="2252"/>
      <c r="JC55" s="2253"/>
      <c r="JD55" s="2251" t="str">
        <f t="shared" si="641"/>
        <v/>
      </c>
      <c r="JE55" s="2248"/>
      <c r="JF55" s="2249"/>
      <c r="JG55" s="2250"/>
      <c r="JH55" s="2251" t="str">
        <f t="shared" si="642"/>
        <v/>
      </c>
      <c r="JI55" s="2252"/>
      <c r="JJ55" s="2253"/>
      <c r="JK55" s="2251" t="str">
        <f t="shared" si="643"/>
        <v/>
      </c>
      <c r="JL55" s="2254"/>
      <c r="JM55" s="2252"/>
      <c r="JN55" s="2253"/>
      <c r="JO55" s="2251" t="str">
        <f t="shared" si="644"/>
        <v/>
      </c>
      <c r="JP55" s="2248"/>
      <c r="JQ55" s="2249"/>
      <c r="JR55" s="2250"/>
      <c r="JS55" s="2251" t="str">
        <f t="shared" si="645"/>
        <v/>
      </c>
      <c r="JT55" s="2252"/>
      <c r="JU55" s="2253"/>
      <c r="JV55" s="2251" t="str">
        <f t="shared" si="646"/>
        <v/>
      </c>
      <c r="JW55" s="2254"/>
      <c r="JX55" s="2252"/>
      <c r="JY55" s="2253"/>
      <c r="JZ55" s="2251" t="str">
        <f t="shared" si="647"/>
        <v/>
      </c>
      <c r="KA55" s="2231"/>
    </row>
    <row r="56" spans="1:287" s="2156" customFormat="1" ht="18" customHeight="1">
      <c r="A56" s="2142" t="str">
        <f>'25 Sollumsatz nach Monaten'!A59</f>
        <v/>
      </c>
      <c r="B56" s="2161"/>
      <c r="C56" s="2162"/>
      <c r="D56" s="2143"/>
      <c r="E56" s="2144" t="str">
        <f>IF('25 Sollumsatz nach Monaten'!F59=0,"",'25 Sollumsatz nach Monaten'!F59)</f>
        <v/>
      </c>
      <c r="F56" s="2145" t="str">
        <f t="shared" si="544"/>
        <v/>
      </c>
      <c r="G56" s="2146" t="str">
        <f t="shared" si="545"/>
        <v/>
      </c>
      <c r="H56" s="2143"/>
      <c r="I56" s="2144" t="str">
        <f>IF('25 Sollumsatz nach Monaten'!G59=0,"",'25 Sollumsatz nach Monaten'!G59)</f>
        <v/>
      </c>
      <c r="J56" s="2145" t="str">
        <f t="shared" si="546"/>
        <v/>
      </c>
      <c r="K56" s="2158" t="str">
        <f t="shared" si="547"/>
        <v/>
      </c>
      <c r="L56" s="2148" t="str">
        <f t="shared" si="548"/>
        <v/>
      </c>
      <c r="M56" s="2161"/>
      <c r="N56" s="2162"/>
      <c r="O56" s="2143"/>
      <c r="P56" s="2149" t="str">
        <f>IF('25 Sollumsatz nach Monaten'!L59=0,"",'25 Sollumsatz nach Monaten'!L59)</f>
        <v/>
      </c>
      <c r="Q56" s="2150" t="str">
        <f t="shared" si="549"/>
        <v/>
      </c>
      <c r="R56" s="2151" t="str">
        <f t="shared" si="550"/>
        <v/>
      </c>
      <c r="S56" s="2143"/>
      <c r="T56" s="2149" t="str">
        <f>IF('25 Sollumsatz nach Monaten'!M59=0,"",'25 Sollumsatz nach Monaten'!M59)</f>
        <v/>
      </c>
      <c r="U56" s="2150" t="str">
        <f t="shared" si="551"/>
        <v/>
      </c>
      <c r="V56" s="2151" t="str">
        <f t="shared" si="552"/>
        <v/>
      </c>
      <c r="W56" s="2142" t="str">
        <f t="shared" si="553"/>
        <v/>
      </c>
      <c r="X56" s="2161"/>
      <c r="Y56" s="2162"/>
      <c r="Z56" s="2143"/>
      <c r="AA56" s="2144" t="str">
        <f>IF('25 Sollumsatz nach Monaten'!R59=0,"",'25 Sollumsatz nach Monaten'!R59)</f>
        <v/>
      </c>
      <c r="AB56" s="2145" t="str">
        <f t="shared" si="554"/>
        <v/>
      </c>
      <c r="AC56" s="2146" t="str">
        <f t="shared" si="555"/>
        <v/>
      </c>
      <c r="AD56" s="2147"/>
      <c r="AE56" s="2144" t="str">
        <f>IF('25 Sollumsatz nach Monaten'!S59=0,"",'25 Sollumsatz nach Monaten'!S59)</f>
        <v/>
      </c>
      <c r="AF56" s="2145" t="str">
        <f t="shared" si="556"/>
        <v/>
      </c>
      <c r="AG56" s="2158" t="str">
        <f t="shared" si="557"/>
        <v/>
      </c>
      <c r="AH56" s="2148" t="str">
        <f t="shared" si="558"/>
        <v/>
      </c>
      <c r="AI56" s="2161"/>
      <c r="AJ56" s="2162"/>
      <c r="AK56" s="2143"/>
      <c r="AL56" s="2149" t="str">
        <f>IF('25 Sollumsatz nach Monaten'!X59=0,"",'25 Sollumsatz nach Monaten'!X59)</f>
        <v/>
      </c>
      <c r="AM56" s="2150" t="str">
        <f t="shared" si="559"/>
        <v/>
      </c>
      <c r="AN56" s="2151" t="str">
        <f t="shared" si="560"/>
        <v/>
      </c>
      <c r="AO56" s="2143"/>
      <c r="AP56" s="2149" t="str">
        <f>IF('25 Sollumsatz nach Monaten'!Y59=0,"",'25 Sollumsatz nach Monaten'!Y59)</f>
        <v/>
      </c>
      <c r="AQ56" s="2150" t="str">
        <f t="shared" si="561"/>
        <v/>
      </c>
      <c r="AR56" s="2151" t="str">
        <f t="shared" si="562"/>
        <v/>
      </c>
      <c r="AS56" s="2142" t="str">
        <f t="shared" si="563"/>
        <v/>
      </c>
      <c r="AT56" s="2161"/>
      <c r="AU56" s="2162"/>
      <c r="AV56" s="2143"/>
      <c r="AW56" s="2144" t="str">
        <f>IF('25 Sollumsatz nach Monaten'!AD59=0,"",'25 Sollumsatz nach Monaten'!AD59)</f>
        <v/>
      </c>
      <c r="AX56" s="2145" t="str">
        <f t="shared" si="564"/>
        <v/>
      </c>
      <c r="AY56" s="2146" t="str">
        <f t="shared" si="565"/>
        <v/>
      </c>
      <c r="AZ56" s="2143"/>
      <c r="BA56" s="2144" t="str">
        <f>IF('25 Sollumsatz nach Monaten'!AE59=0,"",'25 Sollumsatz nach Monaten'!AE59)</f>
        <v/>
      </c>
      <c r="BB56" s="2145" t="str">
        <f t="shared" si="566"/>
        <v/>
      </c>
      <c r="BC56" s="2158" t="str">
        <f t="shared" si="567"/>
        <v/>
      </c>
      <c r="BD56" s="2148" t="str">
        <f t="shared" si="568"/>
        <v/>
      </c>
      <c r="BE56" s="2161"/>
      <c r="BF56" s="2162"/>
      <c r="BG56" s="2143"/>
      <c r="BH56" s="2149" t="str">
        <f>IF('25 Sollumsatz nach Monaten'!AJ59=0,"",'25 Sollumsatz nach Monaten'!AJ59)</f>
        <v/>
      </c>
      <c r="BI56" s="2150" t="str">
        <f t="shared" si="569"/>
        <v/>
      </c>
      <c r="BJ56" s="2151" t="str">
        <f t="shared" si="570"/>
        <v/>
      </c>
      <c r="BK56" s="2143"/>
      <c r="BL56" s="2149" t="str">
        <f>IF('25 Sollumsatz nach Monaten'!AK59=0,"",'25 Sollumsatz nach Monaten'!AK59)</f>
        <v/>
      </c>
      <c r="BM56" s="2150" t="str">
        <f t="shared" si="571"/>
        <v/>
      </c>
      <c r="BN56" s="2151" t="str">
        <f t="shared" si="572"/>
        <v/>
      </c>
      <c r="BO56" s="2142" t="str">
        <f t="shared" si="573"/>
        <v/>
      </c>
      <c r="BP56" s="2161"/>
      <c r="BQ56" s="2162"/>
      <c r="BR56" s="2143"/>
      <c r="BS56" s="2144" t="str">
        <f>IF('25 Sollumsatz nach Monaten'!AP59=0,"",'25 Sollumsatz nach Monaten'!AP59)</f>
        <v/>
      </c>
      <c r="BT56" s="2145" t="str">
        <f t="shared" si="574"/>
        <v/>
      </c>
      <c r="BU56" s="2146" t="str">
        <f t="shared" si="575"/>
        <v/>
      </c>
      <c r="BV56" s="2143"/>
      <c r="BW56" s="2144" t="str">
        <f>IF('25 Sollumsatz nach Monaten'!AQ59=0,"",'25 Sollumsatz nach Monaten'!AQ59)</f>
        <v/>
      </c>
      <c r="BX56" s="2145" t="str">
        <f t="shared" si="576"/>
        <v/>
      </c>
      <c r="BY56" s="2158" t="str">
        <f t="shared" si="577"/>
        <v/>
      </c>
      <c r="BZ56" s="2148" t="str">
        <f t="shared" si="578"/>
        <v/>
      </c>
      <c r="CA56" s="2161"/>
      <c r="CB56" s="2162"/>
      <c r="CC56" s="2143"/>
      <c r="CD56" s="2149" t="str">
        <f>IF('25 Sollumsatz nach Monaten'!AV59=0,"",'25 Sollumsatz nach Monaten'!AV59)</f>
        <v/>
      </c>
      <c r="CE56" s="2150" t="str">
        <f t="shared" si="579"/>
        <v/>
      </c>
      <c r="CF56" s="2151" t="str">
        <f t="shared" si="580"/>
        <v/>
      </c>
      <c r="CG56" s="2143"/>
      <c r="CH56" s="2149" t="str">
        <f>IF('25 Sollumsatz nach Monaten'!AW59=0,"",'25 Sollumsatz nach Monaten'!AW59)</f>
        <v/>
      </c>
      <c r="CI56" s="2150" t="str">
        <f t="shared" si="581"/>
        <v/>
      </c>
      <c r="CJ56" s="2151" t="str">
        <f t="shared" si="582"/>
        <v/>
      </c>
      <c r="CK56" s="2142" t="str">
        <f t="shared" si="583"/>
        <v/>
      </c>
      <c r="CL56" s="2161"/>
      <c r="CM56" s="2162"/>
      <c r="CN56" s="2143"/>
      <c r="CO56" s="2144" t="str">
        <f>IF('25 Sollumsatz nach Monaten'!BB59=0,"",'25 Sollumsatz nach Monaten'!BB59)</f>
        <v/>
      </c>
      <c r="CP56" s="2145" t="str">
        <f t="shared" si="584"/>
        <v/>
      </c>
      <c r="CQ56" s="2146" t="str">
        <f t="shared" si="585"/>
        <v/>
      </c>
      <c r="CR56" s="2143"/>
      <c r="CS56" s="2144" t="str">
        <f>IF('25 Sollumsatz nach Monaten'!BC59=0,"",'25 Sollumsatz nach Monaten'!BC59)</f>
        <v/>
      </c>
      <c r="CT56" s="2145" t="str">
        <f t="shared" si="586"/>
        <v/>
      </c>
      <c r="CU56" s="2158" t="str">
        <f t="shared" si="587"/>
        <v/>
      </c>
      <c r="CV56" s="2148" t="str">
        <f t="shared" si="588"/>
        <v/>
      </c>
      <c r="CW56" s="2161"/>
      <c r="CX56" s="2162"/>
      <c r="CY56" s="2143"/>
      <c r="CZ56" s="2149" t="str">
        <f>IF('25 Sollumsatz nach Monaten'!BH59=0,"",'25 Sollumsatz nach Monaten'!BH59)</f>
        <v/>
      </c>
      <c r="DA56" s="2150" t="str">
        <f t="shared" si="589"/>
        <v/>
      </c>
      <c r="DB56" s="2151" t="str">
        <f t="shared" si="590"/>
        <v/>
      </c>
      <c r="DC56" s="2143"/>
      <c r="DD56" s="2149" t="str">
        <f>IF('25 Sollumsatz nach Monaten'!BI59=0,"",'25 Sollumsatz nach Monaten'!BI59)</f>
        <v/>
      </c>
      <c r="DE56" s="2150" t="str">
        <f t="shared" si="591"/>
        <v/>
      </c>
      <c r="DF56" s="2151" t="str">
        <f t="shared" si="592"/>
        <v/>
      </c>
      <c r="DG56" s="2142" t="str">
        <f t="shared" si="593"/>
        <v/>
      </c>
      <c r="DH56" s="2161"/>
      <c r="DI56" s="2162"/>
      <c r="DJ56" s="2143"/>
      <c r="DK56" s="2144" t="str">
        <f>IF('25 Sollumsatz nach Monaten'!BN59=0,"",'25 Sollumsatz nach Monaten'!BN59)</f>
        <v/>
      </c>
      <c r="DL56" s="2145" t="str">
        <f t="shared" si="594"/>
        <v/>
      </c>
      <c r="DM56" s="2146" t="str">
        <f t="shared" si="595"/>
        <v/>
      </c>
      <c r="DN56" s="2143"/>
      <c r="DO56" s="2144" t="str">
        <f>IF('25 Sollumsatz nach Monaten'!BO59=0,"",'25 Sollumsatz nach Monaten'!BO59)</f>
        <v/>
      </c>
      <c r="DP56" s="2145" t="str">
        <f t="shared" si="596"/>
        <v/>
      </c>
      <c r="DQ56" s="2158" t="str">
        <f t="shared" si="597"/>
        <v/>
      </c>
      <c r="DR56" s="2148" t="str">
        <f t="shared" si="598"/>
        <v/>
      </c>
      <c r="DS56" s="2161"/>
      <c r="DT56" s="2162"/>
      <c r="DU56" s="2143"/>
      <c r="DV56" s="2149" t="str">
        <f>IF('25 Sollumsatz nach Monaten'!BT59=0,"",'25 Sollumsatz nach Monaten'!BT59)</f>
        <v/>
      </c>
      <c r="DW56" s="2150" t="str">
        <f t="shared" si="599"/>
        <v/>
      </c>
      <c r="DX56" s="2151" t="str">
        <f t="shared" si="600"/>
        <v/>
      </c>
      <c r="DY56" s="2143"/>
      <c r="DZ56" s="2149" t="str">
        <f>IF('25 Sollumsatz nach Monaten'!BU59=0,"",'25 Sollumsatz nach Monaten'!BU59)</f>
        <v/>
      </c>
      <c r="EA56" s="2150" t="str">
        <f t="shared" si="601"/>
        <v/>
      </c>
      <c r="EB56" s="2151" t="str">
        <f t="shared" si="602"/>
        <v/>
      </c>
      <c r="EC56" s="2152" t="str">
        <f t="shared" si="603"/>
        <v/>
      </c>
      <c r="ED56" s="2280" t="str">
        <f t="shared" si="604"/>
        <v/>
      </c>
      <c r="EE56" s="2153" t="str">
        <f t="shared" si="605"/>
        <v/>
      </c>
      <c r="EF56" s="2154" t="str">
        <f t="shared" si="606"/>
        <v/>
      </c>
      <c r="EG56" s="2155" t="str">
        <f t="shared" si="500"/>
        <v/>
      </c>
      <c r="EH56" s="2282" t="str">
        <f t="shared" si="607"/>
        <v/>
      </c>
      <c r="EI56" s="2153" t="str">
        <f t="shared" si="608"/>
        <v/>
      </c>
      <c r="EJ56" s="2154" t="str">
        <f t="shared" si="609"/>
        <v/>
      </c>
      <c r="EK56" s="2155" t="str">
        <f t="shared" si="610"/>
        <v/>
      </c>
      <c r="EL56" s="2160" t="str">
        <f t="shared" si="505"/>
        <v/>
      </c>
      <c r="EM56" s="2160" t="str">
        <f t="shared" si="506"/>
        <v/>
      </c>
      <c r="EN56" s="2160" t="str">
        <f t="shared" si="507"/>
        <v/>
      </c>
      <c r="EO56" s="2152" t="str">
        <f t="shared" si="611"/>
        <v/>
      </c>
      <c r="EP56" s="2312" t="str">
        <f>IF('25 Sollumsatz nach Monaten'!BV59="","",SUM(EQ56:ER56))</f>
        <v/>
      </c>
      <c r="EQ56" s="2312" t="str">
        <f>IF('25 Sollumsatz nach Monaten'!BV59="","",ED56/'25 Sollumsatz nach Monaten'!BV59)</f>
        <v/>
      </c>
      <c r="ER56" s="2312" t="str">
        <f>IF('25 Sollumsatz nach Monaten'!BV59="","",EH56/'25 Sollumsatz nach Monaten'!BV59)</f>
        <v/>
      </c>
      <c r="EY56" s="2248"/>
      <c r="EZ56" s="2249"/>
      <c r="FA56" s="2250"/>
      <c r="FB56" s="2251" t="str">
        <f t="shared" si="612"/>
        <v/>
      </c>
      <c r="FC56" s="2252"/>
      <c r="FD56" s="2253"/>
      <c r="FE56" s="2251" t="str">
        <f t="shared" si="613"/>
        <v/>
      </c>
      <c r="FF56" s="2254"/>
      <c r="FG56" s="2252"/>
      <c r="FH56" s="2253"/>
      <c r="FI56" s="2251" t="str">
        <f t="shared" si="614"/>
        <v/>
      </c>
      <c r="FJ56" s="2248"/>
      <c r="FK56" s="2249"/>
      <c r="FL56" s="2250"/>
      <c r="FM56" s="2251" t="str">
        <f t="shared" si="615"/>
        <v/>
      </c>
      <c r="FN56" s="2252"/>
      <c r="FO56" s="2253"/>
      <c r="FP56" s="2251" t="str">
        <f t="shared" si="616"/>
        <v/>
      </c>
      <c r="FQ56" s="2254"/>
      <c r="FR56" s="2252"/>
      <c r="FS56" s="2253"/>
      <c r="FT56" s="2251" t="str">
        <f t="shared" si="617"/>
        <v/>
      </c>
      <c r="FU56" s="2248"/>
      <c r="FV56" s="2249"/>
      <c r="FW56" s="2250"/>
      <c r="FX56" s="2251" t="str">
        <f t="shared" si="618"/>
        <v/>
      </c>
      <c r="FY56" s="2252"/>
      <c r="FZ56" s="2253"/>
      <c r="GA56" s="2251" t="str">
        <f t="shared" si="619"/>
        <v/>
      </c>
      <c r="GB56" s="2254"/>
      <c r="GC56" s="2252"/>
      <c r="GD56" s="2253"/>
      <c r="GE56" s="2251" t="str">
        <f t="shared" si="620"/>
        <v/>
      </c>
      <c r="GF56" s="2248"/>
      <c r="GG56" s="2249"/>
      <c r="GH56" s="2250"/>
      <c r="GI56" s="2251" t="str">
        <f t="shared" si="621"/>
        <v/>
      </c>
      <c r="GJ56" s="2252"/>
      <c r="GK56" s="2253"/>
      <c r="GL56" s="2251" t="str">
        <f t="shared" si="622"/>
        <v/>
      </c>
      <c r="GM56" s="2254"/>
      <c r="GN56" s="2252"/>
      <c r="GO56" s="2253"/>
      <c r="GP56" s="2251" t="str">
        <f t="shared" si="623"/>
        <v/>
      </c>
      <c r="GQ56" s="2248"/>
      <c r="GR56" s="2249"/>
      <c r="GS56" s="2250"/>
      <c r="GT56" s="2251" t="str">
        <f t="shared" si="624"/>
        <v/>
      </c>
      <c r="GU56" s="2252"/>
      <c r="GV56" s="2253"/>
      <c r="GW56" s="2251" t="str">
        <f t="shared" si="625"/>
        <v/>
      </c>
      <c r="GX56" s="2254"/>
      <c r="GY56" s="2252"/>
      <c r="GZ56" s="2253"/>
      <c r="HA56" s="2251" t="str">
        <f t="shared" si="626"/>
        <v/>
      </c>
      <c r="HB56" s="2248"/>
      <c r="HC56" s="2249"/>
      <c r="HD56" s="2250"/>
      <c r="HE56" s="2251" t="str">
        <f t="shared" si="627"/>
        <v/>
      </c>
      <c r="HF56" s="2252"/>
      <c r="HG56" s="2253"/>
      <c r="HH56" s="2251" t="str">
        <f t="shared" si="628"/>
        <v/>
      </c>
      <c r="HI56" s="2254"/>
      <c r="HJ56" s="2252"/>
      <c r="HK56" s="2253"/>
      <c r="HL56" s="2251" t="str">
        <f t="shared" si="629"/>
        <v/>
      </c>
      <c r="HM56" s="2248"/>
      <c r="HN56" s="2249"/>
      <c r="HO56" s="2250"/>
      <c r="HP56" s="2251" t="str">
        <f t="shared" si="630"/>
        <v/>
      </c>
      <c r="HQ56" s="2252"/>
      <c r="HR56" s="2253"/>
      <c r="HS56" s="2251" t="str">
        <f t="shared" si="631"/>
        <v/>
      </c>
      <c r="HT56" s="2254"/>
      <c r="HU56" s="2252"/>
      <c r="HV56" s="2253"/>
      <c r="HW56" s="2251" t="str">
        <f t="shared" si="632"/>
        <v/>
      </c>
      <c r="HX56" s="2248"/>
      <c r="HY56" s="2249"/>
      <c r="HZ56" s="2250"/>
      <c r="IA56" s="2251" t="str">
        <f t="shared" si="633"/>
        <v/>
      </c>
      <c r="IB56" s="2252"/>
      <c r="IC56" s="2253"/>
      <c r="ID56" s="2251" t="str">
        <f t="shared" si="634"/>
        <v/>
      </c>
      <c r="IE56" s="2254"/>
      <c r="IF56" s="2252"/>
      <c r="IG56" s="2253"/>
      <c r="IH56" s="2251" t="str">
        <f t="shared" si="635"/>
        <v/>
      </c>
      <c r="II56" s="2248"/>
      <c r="IJ56" s="2249"/>
      <c r="IK56" s="2250"/>
      <c r="IL56" s="2251" t="str">
        <f t="shared" si="636"/>
        <v/>
      </c>
      <c r="IM56" s="2252"/>
      <c r="IN56" s="2253"/>
      <c r="IO56" s="2251" t="str">
        <f t="shared" si="637"/>
        <v/>
      </c>
      <c r="IP56" s="2254"/>
      <c r="IQ56" s="2252"/>
      <c r="IR56" s="2253"/>
      <c r="IS56" s="2251" t="str">
        <f t="shared" si="638"/>
        <v/>
      </c>
      <c r="IT56" s="2248"/>
      <c r="IU56" s="2249"/>
      <c r="IV56" s="2250"/>
      <c r="IW56" s="2251" t="str">
        <f t="shared" si="639"/>
        <v/>
      </c>
      <c r="IX56" s="2252"/>
      <c r="IY56" s="2253"/>
      <c r="IZ56" s="2251" t="str">
        <f t="shared" si="640"/>
        <v/>
      </c>
      <c r="JA56" s="2254"/>
      <c r="JB56" s="2252"/>
      <c r="JC56" s="2253"/>
      <c r="JD56" s="2251" t="str">
        <f t="shared" si="641"/>
        <v/>
      </c>
      <c r="JE56" s="2248"/>
      <c r="JF56" s="2249"/>
      <c r="JG56" s="2250"/>
      <c r="JH56" s="2251" t="str">
        <f t="shared" si="642"/>
        <v/>
      </c>
      <c r="JI56" s="2252"/>
      <c r="JJ56" s="2253"/>
      <c r="JK56" s="2251" t="str">
        <f t="shared" si="643"/>
        <v/>
      </c>
      <c r="JL56" s="2254"/>
      <c r="JM56" s="2252"/>
      <c r="JN56" s="2253"/>
      <c r="JO56" s="2251" t="str">
        <f t="shared" si="644"/>
        <v/>
      </c>
      <c r="JP56" s="2248"/>
      <c r="JQ56" s="2249"/>
      <c r="JR56" s="2250"/>
      <c r="JS56" s="2251" t="str">
        <f t="shared" si="645"/>
        <v/>
      </c>
      <c r="JT56" s="2252"/>
      <c r="JU56" s="2253"/>
      <c r="JV56" s="2251" t="str">
        <f t="shared" si="646"/>
        <v/>
      </c>
      <c r="JW56" s="2254"/>
      <c r="JX56" s="2252"/>
      <c r="JY56" s="2253"/>
      <c r="JZ56" s="2251" t="str">
        <f t="shared" si="647"/>
        <v/>
      </c>
      <c r="KA56" s="2231"/>
    </row>
    <row r="57" spans="1:287" s="2156" customFormat="1" ht="18" customHeight="1">
      <c r="A57" s="2142" t="str">
        <f>'25 Sollumsatz nach Monaten'!A60</f>
        <v/>
      </c>
      <c r="B57" s="2161"/>
      <c r="C57" s="2162"/>
      <c r="D57" s="2143"/>
      <c r="E57" s="2144" t="str">
        <f>IF('25 Sollumsatz nach Monaten'!F60=0,"",'25 Sollumsatz nach Monaten'!F60)</f>
        <v/>
      </c>
      <c r="F57" s="2145" t="str">
        <f t="shared" si="544"/>
        <v/>
      </c>
      <c r="G57" s="2146" t="str">
        <f t="shared" si="545"/>
        <v/>
      </c>
      <c r="H57" s="2143"/>
      <c r="I57" s="2144" t="str">
        <f>IF('25 Sollumsatz nach Monaten'!G60=0,"",'25 Sollumsatz nach Monaten'!G60)</f>
        <v/>
      </c>
      <c r="J57" s="2145" t="str">
        <f t="shared" si="546"/>
        <v/>
      </c>
      <c r="K57" s="2158" t="str">
        <f t="shared" si="547"/>
        <v/>
      </c>
      <c r="L57" s="2148" t="str">
        <f t="shared" si="548"/>
        <v/>
      </c>
      <c r="M57" s="2161"/>
      <c r="N57" s="2162"/>
      <c r="O57" s="2143"/>
      <c r="P57" s="2149" t="str">
        <f>IF('25 Sollumsatz nach Monaten'!L60=0,"",'25 Sollumsatz nach Monaten'!L60)</f>
        <v/>
      </c>
      <c r="Q57" s="2150" t="str">
        <f t="shared" si="549"/>
        <v/>
      </c>
      <c r="R57" s="2151" t="str">
        <f t="shared" si="550"/>
        <v/>
      </c>
      <c r="S57" s="2143"/>
      <c r="T57" s="2149" t="str">
        <f>IF('25 Sollumsatz nach Monaten'!M60=0,"",'25 Sollumsatz nach Monaten'!M60)</f>
        <v/>
      </c>
      <c r="U57" s="2150" t="str">
        <f t="shared" si="551"/>
        <v/>
      </c>
      <c r="V57" s="2151" t="str">
        <f t="shared" si="552"/>
        <v/>
      </c>
      <c r="W57" s="2142" t="str">
        <f t="shared" si="553"/>
        <v/>
      </c>
      <c r="X57" s="2161"/>
      <c r="Y57" s="2162"/>
      <c r="Z57" s="2143"/>
      <c r="AA57" s="2144" t="str">
        <f>IF('25 Sollumsatz nach Monaten'!R60=0,"",'25 Sollumsatz nach Monaten'!R60)</f>
        <v/>
      </c>
      <c r="AB57" s="2145" t="str">
        <f t="shared" si="554"/>
        <v/>
      </c>
      <c r="AC57" s="2146" t="str">
        <f t="shared" si="555"/>
        <v/>
      </c>
      <c r="AD57" s="2147"/>
      <c r="AE57" s="2144" t="str">
        <f>IF('25 Sollumsatz nach Monaten'!S60=0,"",'25 Sollumsatz nach Monaten'!S60)</f>
        <v/>
      </c>
      <c r="AF57" s="2145" t="str">
        <f t="shared" si="556"/>
        <v/>
      </c>
      <c r="AG57" s="2158" t="str">
        <f t="shared" si="557"/>
        <v/>
      </c>
      <c r="AH57" s="2148" t="str">
        <f t="shared" si="558"/>
        <v/>
      </c>
      <c r="AI57" s="2161"/>
      <c r="AJ57" s="2162"/>
      <c r="AK57" s="2143"/>
      <c r="AL57" s="2149" t="str">
        <f>IF('25 Sollumsatz nach Monaten'!X60=0,"",'25 Sollumsatz nach Monaten'!X60)</f>
        <v/>
      </c>
      <c r="AM57" s="2150" t="str">
        <f t="shared" si="559"/>
        <v/>
      </c>
      <c r="AN57" s="2151" t="str">
        <f t="shared" si="560"/>
        <v/>
      </c>
      <c r="AO57" s="2143"/>
      <c r="AP57" s="2149" t="str">
        <f>IF('25 Sollumsatz nach Monaten'!Y60=0,"",'25 Sollumsatz nach Monaten'!Y60)</f>
        <v/>
      </c>
      <c r="AQ57" s="2150" t="str">
        <f t="shared" si="561"/>
        <v/>
      </c>
      <c r="AR57" s="2151" t="str">
        <f t="shared" si="562"/>
        <v/>
      </c>
      <c r="AS57" s="2142" t="str">
        <f t="shared" si="563"/>
        <v/>
      </c>
      <c r="AT57" s="2161"/>
      <c r="AU57" s="2162"/>
      <c r="AV57" s="2143"/>
      <c r="AW57" s="2144" t="str">
        <f>IF('25 Sollumsatz nach Monaten'!AD60=0,"",'25 Sollumsatz nach Monaten'!AD60)</f>
        <v/>
      </c>
      <c r="AX57" s="2145" t="str">
        <f t="shared" si="564"/>
        <v/>
      </c>
      <c r="AY57" s="2146" t="str">
        <f t="shared" si="565"/>
        <v/>
      </c>
      <c r="AZ57" s="2143"/>
      <c r="BA57" s="2144" t="str">
        <f>IF('25 Sollumsatz nach Monaten'!AE60=0,"",'25 Sollumsatz nach Monaten'!AE60)</f>
        <v/>
      </c>
      <c r="BB57" s="2145" t="str">
        <f t="shared" si="566"/>
        <v/>
      </c>
      <c r="BC57" s="2158" t="str">
        <f t="shared" si="567"/>
        <v/>
      </c>
      <c r="BD57" s="2148" t="str">
        <f t="shared" si="568"/>
        <v/>
      </c>
      <c r="BE57" s="2161"/>
      <c r="BF57" s="2162"/>
      <c r="BG57" s="2143"/>
      <c r="BH57" s="2149" t="str">
        <f>IF('25 Sollumsatz nach Monaten'!AJ60=0,"",'25 Sollumsatz nach Monaten'!AJ60)</f>
        <v/>
      </c>
      <c r="BI57" s="2150" t="str">
        <f t="shared" si="569"/>
        <v/>
      </c>
      <c r="BJ57" s="2151" t="str">
        <f t="shared" si="570"/>
        <v/>
      </c>
      <c r="BK57" s="2143"/>
      <c r="BL57" s="2149" t="str">
        <f>IF('25 Sollumsatz nach Monaten'!AK60=0,"",'25 Sollumsatz nach Monaten'!AK60)</f>
        <v/>
      </c>
      <c r="BM57" s="2150" t="str">
        <f t="shared" si="571"/>
        <v/>
      </c>
      <c r="BN57" s="2151" t="str">
        <f t="shared" si="572"/>
        <v/>
      </c>
      <c r="BO57" s="2142" t="str">
        <f t="shared" si="573"/>
        <v/>
      </c>
      <c r="BP57" s="2161"/>
      <c r="BQ57" s="2162"/>
      <c r="BR57" s="2143"/>
      <c r="BS57" s="2144" t="str">
        <f>IF('25 Sollumsatz nach Monaten'!AP60=0,"",'25 Sollumsatz nach Monaten'!AP60)</f>
        <v/>
      </c>
      <c r="BT57" s="2145" t="str">
        <f t="shared" si="574"/>
        <v/>
      </c>
      <c r="BU57" s="2146" t="str">
        <f t="shared" si="575"/>
        <v/>
      </c>
      <c r="BV57" s="2143"/>
      <c r="BW57" s="2144" t="str">
        <f>IF('25 Sollumsatz nach Monaten'!AQ60=0,"",'25 Sollumsatz nach Monaten'!AQ60)</f>
        <v/>
      </c>
      <c r="BX57" s="2145" t="str">
        <f t="shared" si="576"/>
        <v/>
      </c>
      <c r="BY57" s="2158" t="str">
        <f t="shared" si="577"/>
        <v/>
      </c>
      <c r="BZ57" s="2148" t="str">
        <f t="shared" si="578"/>
        <v/>
      </c>
      <c r="CA57" s="2161"/>
      <c r="CB57" s="2162"/>
      <c r="CC57" s="2143"/>
      <c r="CD57" s="2149" t="str">
        <f>IF('25 Sollumsatz nach Monaten'!AV60=0,"",'25 Sollumsatz nach Monaten'!AV60)</f>
        <v/>
      </c>
      <c r="CE57" s="2150" t="str">
        <f t="shared" si="579"/>
        <v/>
      </c>
      <c r="CF57" s="2151" t="str">
        <f t="shared" si="580"/>
        <v/>
      </c>
      <c r="CG57" s="2143"/>
      <c r="CH57" s="2149" t="str">
        <f>IF('25 Sollumsatz nach Monaten'!AW60=0,"",'25 Sollumsatz nach Monaten'!AW60)</f>
        <v/>
      </c>
      <c r="CI57" s="2150" t="str">
        <f t="shared" si="581"/>
        <v/>
      </c>
      <c r="CJ57" s="2151" t="str">
        <f t="shared" si="582"/>
        <v/>
      </c>
      <c r="CK57" s="2142" t="str">
        <f t="shared" si="583"/>
        <v/>
      </c>
      <c r="CL57" s="2161"/>
      <c r="CM57" s="2162"/>
      <c r="CN57" s="2143"/>
      <c r="CO57" s="2144" t="str">
        <f>IF('25 Sollumsatz nach Monaten'!BB60=0,"",'25 Sollumsatz nach Monaten'!BB60)</f>
        <v/>
      </c>
      <c r="CP57" s="2145" t="str">
        <f t="shared" si="584"/>
        <v/>
      </c>
      <c r="CQ57" s="2146" t="str">
        <f t="shared" si="585"/>
        <v/>
      </c>
      <c r="CR57" s="2143"/>
      <c r="CS57" s="2144" t="str">
        <f>IF('25 Sollumsatz nach Monaten'!BC60=0,"",'25 Sollumsatz nach Monaten'!BC60)</f>
        <v/>
      </c>
      <c r="CT57" s="2145" t="str">
        <f t="shared" si="586"/>
        <v/>
      </c>
      <c r="CU57" s="2158" t="str">
        <f t="shared" si="587"/>
        <v/>
      </c>
      <c r="CV57" s="2148" t="str">
        <f t="shared" si="588"/>
        <v/>
      </c>
      <c r="CW57" s="2161"/>
      <c r="CX57" s="2162"/>
      <c r="CY57" s="2143"/>
      <c r="CZ57" s="2149" t="str">
        <f>IF('25 Sollumsatz nach Monaten'!BH60=0,"",'25 Sollumsatz nach Monaten'!BH60)</f>
        <v/>
      </c>
      <c r="DA57" s="2150" t="str">
        <f t="shared" si="589"/>
        <v/>
      </c>
      <c r="DB57" s="2151" t="str">
        <f t="shared" si="590"/>
        <v/>
      </c>
      <c r="DC57" s="2143"/>
      <c r="DD57" s="2149" t="str">
        <f>IF('25 Sollumsatz nach Monaten'!BI60=0,"",'25 Sollumsatz nach Monaten'!BI60)</f>
        <v/>
      </c>
      <c r="DE57" s="2150" t="str">
        <f t="shared" si="591"/>
        <v/>
      </c>
      <c r="DF57" s="2151" t="str">
        <f t="shared" si="592"/>
        <v/>
      </c>
      <c r="DG57" s="2142" t="str">
        <f t="shared" si="593"/>
        <v/>
      </c>
      <c r="DH57" s="2161"/>
      <c r="DI57" s="2162"/>
      <c r="DJ57" s="2143"/>
      <c r="DK57" s="2144" t="str">
        <f>IF('25 Sollumsatz nach Monaten'!BN60=0,"",'25 Sollumsatz nach Monaten'!BN60)</f>
        <v/>
      </c>
      <c r="DL57" s="2145" t="str">
        <f t="shared" si="594"/>
        <v/>
      </c>
      <c r="DM57" s="2146" t="str">
        <f t="shared" si="595"/>
        <v/>
      </c>
      <c r="DN57" s="2143"/>
      <c r="DO57" s="2144" t="str">
        <f>IF('25 Sollumsatz nach Monaten'!BO60=0,"",'25 Sollumsatz nach Monaten'!BO60)</f>
        <v/>
      </c>
      <c r="DP57" s="2145" t="str">
        <f t="shared" si="596"/>
        <v/>
      </c>
      <c r="DQ57" s="2158" t="str">
        <f t="shared" si="597"/>
        <v/>
      </c>
      <c r="DR57" s="2148" t="str">
        <f t="shared" si="598"/>
        <v/>
      </c>
      <c r="DS57" s="2161"/>
      <c r="DT57" s="2162"/>
      <c r="DU57" s="2143"/>
      <c r="DV57" s="2149" t="str">
        <f>IF('25 Sollumsatz nach Monaten'!BT60=0,"",'25 Sollumsatz nach Monaten'!BT60)</f>
        <v/>
      </c>
      <c r="DW57" s="2150" t="str">
        <f t="shared" si="599"/>
        <v/>
      </c>
      <c r="DX57" s="2151" t="str">
        <f t="shared" si="600"/>
        <v/>
      </c>
      <c r="DY57" s="2143"/>
      <c r="DZ57" s="2149" t="str">
        <f>IF('25 Sollumsatz nach Monaten'!BU60=0,"",'25 Sollumsatz nach Monaten'!BU60)</f>
        <v/>
      </c>
      <c r="EA57" s="2150" t="str">
        <f t="shared" si="601"/>
        <v/>
      </c>
      <c r="EB57" s="2151" t="str">
        <f t="shared" si="602"/>
        <v/>
      </c>
      <c r="EC57" s="2152" t="str">
        <f t="shared" si="603"/>
        <v/>
      </c>
      <c r="ED57" s="2280" t="str">
        <f t="shared" si="604"/>
        <v/>
      </c>
      <c r="EE57" s="2153" t="str">
        <f t="shared" si="605"/>
        <v/>
      </c>
      <c r="EF57" s="2154" t="str">
        <f t="shared" si="606"/>
        <v/>
      </c>
      <c r="EG57" s="2155" t="str">
        <f t="shared" si="500"/>
        <v/>
      </c>
      <c r="EH57" s="2282" t="str">
        <f t="shared" si="607"/>
        <v/>
      </c>
      <c r="EI57" s="2153" t="str">
        <f t="shared" si="608"/>
        <v/>
      </c>
      <c r="EJ57" s="2154" t="str">
        <f t="shared" si="609"/>
        <v/>
      </c>
      <c r="EK57" s="2155" t="str">
        <f t="shared" si="610"/>
        <v/>
      </c>
      <c r="EL57" s="2160" t="str">
        <f t="shared" si="505"/>
        <v/>
      </c>
      <c r="EM57" s="2160" t="str">
        <f t="shared" si="506"/>
        <v/>
      </c>
      <c r="EN57" s="2160" t="str">
        <f t="shared" si="507"/>
        <v/>
      </c>
      <c r="EO57" s="2152" t="str">
        <f t="shared" si="611"/>
        <v/>
      </c>
      <c r="EP57" s="2312" t="str">
        <f>IF('25 Sollumsatz nach Monaten'!BV60="","",SUM(EQ57:ER57))</f>
        <v/>
      </c>
      <c r="EQ57" s="2312" t="str">
        <f>IF('25 Sollumsatz nach Monaten'!BV60="","",ED57/'25 Sollumsatz nach Monaten'!BV60)</f>
        <v/>
      </c>
      <c r="ER57" s="2312" t="str">
        <f>IF('25 Sollumsatz nach Monaten'!BV60="","",EH57/'25 Sollumsatz nach Monaten'!BV60)</f>
        <v/>
      </c>
      <c r="EY57" s="2248"/>
      <c r="EZ57" s="2249"/>
      <c r="FA57" s="2250"/>
      <c r="FB57" s="2251" t="str">
        <f t="shared" si="612"/>
        <v/>
      </c>
      <c r="FC57" s="2252"/>
      <c r="FD57" s="2253"/>
      <c r="FE57" s="2251" t="str">
        <f t="shared" si="613"/>
        <v/>
      </c>
      <c r="FF57" s="2254"/>
      <c r="FG57" s="2252"/>
      <c r="FH57" s="2253"/>
      <c r="FI57" s="2251" t="str">
        <f t="shared" si="614"/>
        <v/>
      </c>
      <c r="FJ57" s="2248"/>
      <c r="FK57" s="2249"/>
      <c r="FL57" s="2250"/>
      <c r="FM57" s="2251" t="str">
        <f t="shared" si="615"/>
        <v/>
      </c>
      <c r="FN57" s="2252"/>
      <c r="FO57" s="2253"/>
      <c r="FP57" s="2251" t="str">
        <f t="shared" si="616"/>
        <v/>
      </c>
      <c r="FQ57" s="2254"/>
      <c r="FR57" s="2252"/>
      <c r="FS57" s="2253"/>
      <c r="FT57" s="2251" t="str">
        <f t="shared" si="617"/>
        <v/>
      </c>
      <c r="FU57" s="2248"/>
      <c r="FV57" s="2249"/>
      <c r="FW57" s="2250"/>
      <c r="FX57" s="2251" t="str">
        <f t="shared" si="618"/>
        <v/>
      </c>
      <c r="FY57" s="2252"/>
      <c r="FZ57" s="2253"/>
      <c r="GA57" s="2251" t="str">
        <f t="shared" si="619"/>
        <v/>
      </c>
      <c r="GB57" s="2254"/>
      <c r="GC57" s="2252"/>
      <c r="GD57" s="2253"/>
      <c r="GE57" s="2251" t="str">
        <f t="shared" si="620"/>
        <v/>
      </c>
      <c r="GF57" s="2248"/>
      <c r="GG57" s="2249"/>
      <c r="GH57" s="2250"/>
      <c r="GI57" s="2251" t="str">
        <f t="shared" si="621"/>
        <v/>
      </c>
      <c r="GJ57" s="2252"/>
      <c r="GK57" s="2253"/>
      <c r="GL57" s="2251" t="str">
        <f t="shared" si="622"/>
        <v/>
      </c>
      <c r="GM57" s="2254"/>
      <c r="GN57" s="2252"/>
      <c r="GO57" s="2253"/>
      <c r="GP57" s="2251" t="str">
        <f t="shared" si="623"/>
        <v/>
      </c>
      <c r="GQ57" s="2248"/>
      <c r="GR57" s="2249"/>
      <c r="GS57" s="2250"/>
      <c r="GT57" s="2251" t="str">
        <f t="shared" si="624"/>
        <v/>
      </c>
      <c r="GU57" s="2252"/>
      <c r="GV57" s="2253"/>
      <c r="GW57" s="2251" t="str">
        <f t="shared" si="625"/>
        <v/>
      </c>
      <c r="GX57" s="2254"/>
      <c r="GY57" s="2252"/>
      <c r="GZ57" s="2253"/>
      <c r="HA57" s="2251" t="str">
        <f t="shared" si="626"/>
        <v/>
      </c>
      <c r="HB57" s="2248"/>
      <c r="HC57" s="2249"/>
      <c r="HD57" s="2250"/>
      <c r="HE57" s="2251" t="str">
        <f t="shared" si="627"/>
        <v/>
      </c>
      <c r="HF57" s="2252"/>
      <c r="HG57" s="2253"/>
      <c r="HH57" s="2251" t="str">
        <f t="shared" si="628"/>
        <v/>
      </c>
      <c r="HI57" s="2254"/>
      <c r="HJ57" s="2252"/>
      <c r="HK57" s="2253"/>
      <c r="HL57" s="2251" t="str">
        <f t="shared" si="629"/>
        <v/>
      </c>
      <c r="HM57" s="2248"/>
      <c r="HN57" s="2249"/>
      <c r="HO57" s="2250"/>
      <c r="HP57" s="2251" t="str">
        <f t="shared" si="630"/>
        <v/>
      </c>
      <c r="HQ57" s="2252"/>
      <c r="HR57" s="2253"/>
      <c r="HS57" s="2251" t="str">
        <f t="shared" si="631"/>
        <v/>
      </c>
      <c r="HT57" s="2254"/>
      <c r="HU57" s="2252"/>
      <c r="HV57" s="2253"/>
      <c r="HW57" s="2251" t="str">
        <f t="shared" si="632"/>
        <v/>
      </c>
      <c r="HX57" s="2248"/>
      <c r="HY57" s="2249"/>
      <c r="HZ57" s="2250"/>
      <c r="IA57" s="2251" t="str">
        <f t="shared" si="633"/>
        <v/>
      </c>
      <c r="IB57" s="2252"/>
      <c r="IC57" s="2253"/>
      <c r="ID57" s="2251" t="str">
        <f t="shared" si="634"/>
        <v/>
      </c>
      <c r="IE57" s="2254"/>
      <c r="IF57" s="2252"/>
      <c r="IG57" s="2253"/>
      <c r="IH57" s="2251" t="str">
        <f t="shared" si="635"/>
        <v/>
      </c>
      <c r="II57" s="2248"/>
      <c r="IJ57" s="2249"/>
      <c r="IK57" s="2250"/>
      <c r="IL57" s="2251" t="str">
        <f t="shared" si="636"/>
        <v/>
      </c>
      <c r="IM57" s="2252"/>
      <c r="IN57" s="2253"/>
      <c r="IO57" s="2251" t="str">
        <f t="shared" si="637"/>
        <v/>
      </c>
      <c r="IP57" s="2254"/>
      <c r="IQ57" s="2252"/>
      <c r="IR57" s="2253"/>
      <c r="IS57" s="2251" t="str">
        <f t="shared" si="638"/>
        <v/>
      </c>
      <c r="IT57" s="2248"/>
      <c r="IU57" s="2249"/>
      <c r="IV57" s="2250"/>
      <c r="IW57" s="2251" t="str">
        <f t="shared" si="639"/>
        <v/>
      </c>
      <c r="IX57" s="2252"/>
      <c r="IY57" s="2253"/>
      <c r="IZ57" s="2251" t="str">
        <f t="shared" si="640"/>
        <v/>
      </c>
      <c r="JA57" s="2254"/>
      <c r="JB57" s="2252"/>
      <c r="JC57" s="2253"/>
      <c r="JD57" s="2251" t="str">
        <f t="shared" si="641"/>
        <v/>
      </c>
      <c r="JE57" s="2248"/>
      <c r="JF57" s="2249"/>
      <c r="JG57" s="2250"/>
      <c r="JH57" s="2251" t="str">
        <f t="shared" si="642"/>
        <v/>
      </c>
      <c r="JI57" s="2252"/>
      <c r="JJ57" s="2253"/>
      <c r="JK57" s="2251" t="str">
        <f t="shared" si="643"/>
        <v/>
      </c>
      <c r="JL57" s="2254"/>
      <c r="JM57" s="2252"/>
      <c r="JN57" s="2253"/>
      <c r="JO57" s="2251" t="str">
        <f t="shared" si="644"/>
        <v/>
      </c>
      <c r="JP57" s="2248"/>
      <c r="JQ57" s="2249"/>
      <c r="JR57" s="2250"/>
      <c r="JS57" s="2251" t="str">
        <f t="shared" si="645"/>
        <v/>
      </c>
      <c r="JT57" s="2252"/>
      <c r="JU57" s="2253"/>
      <c r="JV57" s="2251" t="str">
        <f t="shared" si="646"/>
        <v/>
      </c>
      <c r="JW57" s="2254"/>
      <c r="JX57" s="2252"/>
      <c r="JY57" s="2253"/>
      <c r="JZ57" s="2251" t="str">
        <f t="shared" si="647"/>
        <v/>
      </c>
      <c r="KA57" s="2231"/>
    </row>
    <row r="58" spans="1:287" s="2156" customFormat="1" ht="18" customHeight="1">
      <c r="A58" s="2142" t="str">
        <f>'25 Sollumsatz nach Monaten'!A61</f>
        <v/>
      </c>
      <c r="B58" s="2161"/>
      <c r="C58" s="2162"/>
      <c r="D58" s="2143"/>
      <c r="E58" s="2144" t="str">
        <f>IF('25 Sollumsatz nach Monaten'!F61=0,"",'25 Sollumsatz nach Monaten'!F61)</f>
        <v/>
      </c>
      <c r="F58" s="2145" t="str">
        <f t="shared" si="544"/>
        <v/>
      </c>
      <c r="G58" s="2146" t="str">
        <f t="shared" si="545"/>
        <v/>
      </c>
      <c r="H58" s="2143"/>
      <c r="I58" s="2144" t="str">
        <f>IF('25 Sollumsatz nach Monaten'!G61=0,"",'25 Sollumsatz nach Monaten'!G61)</f>
        <v/>
      </c>
      <c r="J58" s="2145" t="str">
        <f t="shared" si="546"/>
        <v/>
      </c>
      <c r="K58" s="2158" t="str">
        <f t="shared" si="547"/>
        <v/>
      </c>
      <c r="L58" s="2148" t="str">
        <f t="shared" si="548"/>
        <v/>
      </c>
      <c r="M58" s="2161"/>
      <c r="N58" s="2162"/>
      <c r="O58" s="2143"/>
      <c r="P58" s="2149" t="str">
        <f>IF('25 Sollumsatz nach Monaten'!L61=0,"",'25 Sollumsatz nach Monaten'!L61)</f>
        <v/>
      </c>
      <c r="Q58" s="2150" t="str">
        <f t="shared" si="549"/>
        <v/>
      </c>
      <c r="R58" s="2151" t="str">
        <f t="shared" si="550"/>
        <v/>
      </c>
      <c r="S58" s="2143"/>
      <c r="T58" s="2149" t="str">
        <f>IF('25 Sollumsatz nach Monaten'!M61=0,"",'25 Sollumsatz nach Monaten'!M61)</f>
        <v/>
      </c>
      <c r="U58" s="2150" t="str">
        <f t="shared" si="551"/>
        <v/>
      </c>
      <c r="V58" s="2151" t="str">
        <f t="shared" si="552"/>
        <v/>
      </c>
      <c r="W58" s="2142" t="str">
        <f t="shared" si="553"/>
        <v/>
      </c>
      <c r="X58" s="2161"/>
      <c r="Y58" s="2162"/>
      <c r="Z58" s="2143"/>
      <c r="AA58" s="2144" t="str">
        <f>IF('25 Sollumsatz nach Monaten'!R61=0,"",'25 Sollumsatz nach Monaten'!R61)</f>
        <v/>
      </c>
      <c r="AB58" s="2145" t="str">
        <f t="shared" si="554"/>
        <v/>
      </c>
      <c r="AC58" s="2146" t="str">
        <f t="shared" si="555"/>
        <v/>
      </c>
      <c r="AD58" s="2147"/>
      <c r="AE58" s="2144" t="str">
        <f>IF('25 Sollumsatz nach Monaten'!S61=0,"",'25 Sollumsatz nach Monaten'!S61)</f>
        <v/>
      </c>
      <c r="AF58" s="2145" t="str">
        <f t="shared" si="556"/>
        <v/>
      </c>
      <c r="AG58" s="2158" t="str">
        <f t="shared" si="557"/>
        <v/>
      </c>
      <c r="AH58" s="2148" t="str">
        <f t="shared" si="558"/>
        <v/>
      </c>
      <c r="AI58" s="2161"/>
      <c r="AJ58" s="2162"/>
      <c r="AK58" s="2143"/>
      <c r="AL58" s="2149" t="str">
        <f>IF('25 Sollumsatz nach Monaten'!X61=0,"",'25 Sollumsatz nach Monaten'!X61)</f>
        <v/>
      </c>
      <c r="AM58" s="2150" t="str">
        <f t="shared" si="559"/>
        <v/>
      </c>
      <c r="AN58" s="2151" t="str">
        <f t="shared" si="560"/>
        <v/>
      </c>
      <c r="AO58" s="2143"/>
      <c r="AP58" s="2149" t="str">
        <f>IF('25 Sollumsatz nach Monaten'!Y61=0,"",'25 Sollumsatz nach Monaten'!Y61)</f>
        <v/>
      </c>
      <c r="AQ58" s="2150" t="str">
        <f t="shared" si="561"/>
        <v/>
      </c>
      <c r="AR58" s="2151" t="str">
        <f t="shared" si="562"/>
        <v/>
      </c>
      <c r="AS58" s="2142" t="str">
        <f t="shared" si="563"/>
        <v/>
      </c>
      <c r="AT58" s="2161"/>
      <c r="AU58" s="2162"/>
      <c r="AV58" s="2143"/>
      <c r="AW58" s="2144" t="str">
        <f>IF('25 Sollumsatz nach Monaten'!AD61=0,"",'25 Sollumsatz nach Monaten'!AD61)</f>
        <v/>
      </c>
      <c r="AX58" s="2145" t="str">
        <f t="shared" si="564"/>
        <v/>
      </c>
      <c r="AY58" s="2146" t="str">
        <f t="shared" si="565"/>
        <v/>
      </c>
      <c r="AZ58" s="2143"/>
      <c r="BA58" s="2144" t="str">
        <f>IF('25 Sollumsatz nach Monaten'!AE61=0,"",'25 Sollumsatz nach Monaten'!AE61)</f>
        <v/>
      </c>
      <c r="BB58" s="2145" t="str">
        <f t="shared" si="566"/>
        <v/>
      </c>
      <c r="BC58" s="2158" t="str">
        <f t="shared" si="567"/>
        <v/>
      </c>
      <c r="BD58" s="2148" t="str">
        <f t="shared" si="568"/>
        <v/>
      </c>
      <c r="BE58" s="2161"/>
      <c r="BF58" s="2162"/>
      <c r="BG58" s="2143"/>
      <c r="BH58" s="2149" t="str">
        <f>IF('25 Sollumsatz nach Monaten'!AJ61=0,"",'25 Sollumsatz nach Monaten'!AJ61)</f>
        <v/>
      </c>
      <c r="BI58" s="2150" t="str">
        <f t="shared" si="569"/>
        <v/>
      </c>
      <c r="BJ58" s="2151" t="str">
        <f t="shared" si="570"/>
        <v/>
      </c>
      <c r="BK58" s="2143"/>
      <c r="BL58" s="2149" t="str">
        <f>IF('25 Sollumsatz nach Monaten'!AK61=0,"",'25 Sollumsatz nach Monaten'!AK61)</f>
        <v/>
      </c>
      <c r="BM58" s="2150" t="str">
        <f t="shared" si="571"/>
        <v/>
      </c>
      <c r="BN58" s="2151" t="str">
        <f t="shared" si="572"/>
        <v/>
      </c>
      <c r="BO58" s="2142" t="str">
        <f t="shared" si="573"/>
        <v/>
      </c>
      <c r="BP58" s="2161"/>
      <c r="BQ58" s="2162"/>
      <c r="BR58" s="2143"/>
      <c r="BS58" s="2144" t="str">
        <f>IF('25 Sollumsatz nach Monaten'!AP61=0,"",'25 Sollumsatz nach Monaten'!AP61)</f>
        <v/>
      </c>
      <c r="BT58" s="2145" t="str">
        <f t="shared" si="574"/>
        <v/>
      </c>
      <c r="BU58" s="2146" t="str">
        <f t="shared" si="575"/>
        <v/>
      </c>
      <c r="BV58" s="2143"/>
      <c r="BW58" s="2144" t="str">
        <f>IF('25 Sollumsatz nach Monaten'!AQ61=0,"",'25 Sollumsatz nach Monaten'!AQ61)</f>
        <v/>
      </c>
      <c r="BX58" s="2145" t="str">
        <f t="shared" si="576"/>
        <v/>
      </c>
      <c r="BY58" s="2158" t="str">
        <f t="shared" si="577"/>
        <v/>
      </c>
      <c r="BZ58" s="2148" t="str">
        <f t="shared" si="578"/>
        <v/>
      </c>
      <c r="CA58" s="2161"/>
      <c r="CB58" s="2162"/>
      <c r="CC58" s="2143"/>
      <c r="CD58" s="2149" t="str">
        <f>IF('25 Sollumsatz nach Monaten'!AV61=0,"",'25 Sollumsatz nach Monaten'!AV61)</f>
        <v/>
      </c>
      <c r="CE58" s="2150" t="str">
        <f t="shared" si="579"/>
        <v/>
      </c>
      <c r="CF58" s="2151" t="str">
        <f t="shared" si="580"/>
        <v/>
      </c>
      <c r="CG58" s="2143"/>
      <c r="CH58" s="2149" t="str">
        <f>IF('25 Sollumsatz nach Monaten'!AW61=0,"",'25 Sollumsatz nach Monaten'!AW61)</f>
        <v/>
      </c>
      <c r="CI58" s="2150" t="str">
        <f t="shared" si="581"/>
        <v/>
      </c>
      <c r="CJ58" s="2151" t="str">
        <f t="shared" si="582"/>
        <v/>
      </c>
      <c r="CK58" s="2142" t="str">
        <f t="shared" si="583"/>
        <v/>
      </c>
      <c r="CL58" s="2161"/>
      <c r="CM58" s="2162"/>
      <c r="CN58" s="2143"/>
      <c r="CO58" s="2144" t="str">
        <f>IF('25 Sollumsatz nach Monaten'!BB61=0,"",'25 Sollumsatz nach Monaten'!BB61)</f>
        <v/>
      </c>
      <c r="CP58" s="2145" t="str">
        <f t="shared" si="584"/>
        <v/>
      </c>
      <c r="CQ58" s="2146" t="str">
        <f t="shared" si="585"/>
        <v/>
      </c>
      <c r="CR58" s="2143"/>
      <c r="CS58" s="2144" t="str">
        <f>IF('25 Sollumsatz nach Monaten'!BC61=0,"",'25 Sollumsatz nach Monaten'!BC61)</f>
        <v/>
      </c>
      <c r="CT58" s="2145" t="str">
        <f t="shared" si="586"/>
        <v/>
      </c>
      <c r="CU58" s="2158" t="str">
        <f t="shared" si="587"/>
        <v/>
      </c>
      <c r="CV58" s="2148" t="str">
        <f t="shared" si="588"/>
        <v/>
      </c>
      <c r="CW58" s="2161"/>
      <c r="CX58" s="2162"/>
      <c r="CY58" s="2143"/>
      <c r="CZ58" s="2149" t="str">
        <f>IF('25 Sollumsatz nach Monaten'!BH61=0,"",'25 Sollumsatz nach Monaten'!BH61)</f>
        <v/>
      </c>
      <c r="DA58" s="2150" t="str">
        <f t="shared" si="589"/>
        <v/>
      </c>
      <c r="DB58" s="2151" t="str">
        <f t="shared" si="590"/>
        <v/>
      </c>
      <c r="DC58" s="2143"/>
      <c r="DD58" s="2149" t="str">
        <f>IF('25 Sollumsatz nach Monaten'!BI61=0,"",'25 Sollumsatz nach Monaten'!BI61)</f>
        <v/>
      </c>
      <c r="DE58" s="2150" t="str">
        <f t="shared" si="591"/>
        <v/>
      </c>
      <c r="DF58" s="2151" t="str">
        <f t="shared" si="592"/>
        <v/>
      </c>
      <c r="DG58" s="2142" t="str">
        <f t="shared" si="593"/>
        <v/>
      </c>
      <c r="DH58" s="2161"/>
      <c r="DI58" s="2162"/>
      <c r="DJ58" s="2143"/>
      <c r="DK58" s="2144" t="str">
        <f>IF('25 Sollumsatz nach Monaten'!BN61=0,"",'25 Sollumsatz nach Monaten'!BN61)</f>
        <v/>
      </c>
      <c r="DL58" s="2145" t="str">
        <f t="shared" si="594"/>
        <v/>
      </c>
      <c r="DM58" s="2146" t="str">
        <f t="shared" si="595"/>
        <v/>
      </c>
      <c r="DN58" s="2143"/>
      <c r="DO58" s="2144" t="str">
        <f>IF('25 Sollumsatz nach Monaten'!BO61=0,"",'25 Sollumsatz nach Monaten'!BO61)</f>
        <v/>
      </c>
      <c r="DP58" s="2145" t="str">
        <f t="shared" si="596"/>
        <v/>
      </c>
      <c r="DQ58" s="2158" t="str">
        <f t="shared" si="597"/>
        <v/>
      </c>
      <c r="DR58" s="2148" t="str">
        <f t="shared" si="598"/>
        <v/>
      </c>
      <c r="DS58" s="2161"/>
      <c r="DT58" s="2162"/>
      <c r="DU58" s="2143"/>
      <c r="DV58" s="2149" t="str">
        <f>IF('25 Sollumsatz nach Monaten'!BT61=0,"",'25 Sollumsatz nach Monaten'!BT61)</f>
        <v/>
      </c>
      <c r="DW58" s="2150" t="str">
        <f t="shared" si="599"/>
        <v/>
      </c>
      <c r="DX58" s="2151" t="str">
        <f t="shared" si="600"/>
        <v/>
      </c>
      <c r="DY58" s="2143"/>
      <c r="DZ58" s="2149" t="str">
        <f>IF('25 Sollumsatz nach Monaten'!BU61=0,"",'25 Sollumsatz nach Monaten'!BU61)</f>
        <v/>
      </c>
      <c r="EA58" s="2150" t="str">
        <f t="shared" si="601"/>
        <v/>
      </c>
      <c r="EB58" s="2151" t="str">
        <f t="shared" si="602"/>
        <v/>
      </c>
      <c r="EC58" s="2152" t="str">
        <f t="shared" si="603"/>
        <v/>
      </c>
      <c r="ED58" s="2280" t="str">
        <f t="shared" si="604"/>
        <v/>
      </c>
      <c r="EE58" s="2153" t="str">
        <f t="shared" si="605"/>
        <v/>
      </c>
      <c r="EF58" s="2154" t="str">
        <f t="shared" si="606"/>
        <v/>
      </c>
      <c r="EG58" s="2155" t="str">
        <f t="shared" si="500"/>
        <v/>
      </c>
      <c r="EH58" s="2282" t="str">
        <f t="shared" si="607"/>
        <v/>
      </c>
      <c r="EI58" s="2153" t="str">
        <f t="shared" si="608"/>
        <v/>
      </c>
      <c r="EJ58" s="2154" t="str">
        <f t="shared" si="609"/>
        <v/>
      </c>
      <c r="EK58" s="2155" t="str">
        <f t="shared" si="610"/>
        <v/>
      </c>
      <c r="EL58" s="2160" t="str">
        <f t="shared" si="505"/>
        <v/>
      </c>
      <c r="EM58" s="2160" t="str">
        <f t="shared" si="506"/>
        <v/>
      </c>
      <c r="EN58" s="2160" t="str">
        <f t="shared" si="507"/>
        <v/>
      </c>
      <c r="EO58" s="2152" t="str">
        <f t="shared" si="611"/>
        <v/>
      </c>
      <c r="EP58" s="2312" t="str">
        <f>IF('25 Sollumsatz nach Monaten'!BV61="","",SUM(EQ58:ER58))</f>
        <v/>
      </c>
      <c r="EQ58" s="2312" t="str">
        <f>IF('25 Sollumsatz nach Monaten'!BV61="","",ED58/'25 Sollumsatz nach Monaten'!BV61)</f>
        <v/>
      </c>
      <c r="ER58" s="2312" t="str">
        <f>IF('25 Sollumsatz nach Monaten'!BV61="","",EH58/'25 Sollumsatz nach Monaten'!BV61)</f>
        <v/>
      </c>
      <c r="EY58" s="2248"/>
      <c r="EZ58" s="2249"/>
      <c r="FA58" s="2250"/>
      <c r="FB58" s="2251" t="str">
        <f t="shared" si="612"/>
        <v/>
      </c>
      <c r="FC58" s="2252"/>
      <c r="FD58" s="2253"/>
      <c r="FE58" s="2251" t="str">
        <f t="shared" si="613"/>
        <v/>
      </c>
      <c r="FF58" s="2254"/>
      <c r="FG58" s="2252"/>
      <c r="FH58" s="2253"/>
      <c r="FI58" s="2251" t="str">
        <f t="shared" si="614"/>
        <v/>
      </c>
      <c r="FJ58" s="2248"/>
      <c r="FK58" s="2249"/>
      <c r="FL58" s="2250"/>
      <c r="FM58" s="2251" t="str">
        <f t="shared" si="615"/>
        <v/>
      </c>
      <c r="FN58" s="2252"/>
      <c r="FO58" s="2253"/>
      <c r="FP58" s="2251" t="str">
        <f t="shared" si="616"/>
        <v/>
      </c>
      <c r="FQ58" s="2254"/>
      <c r="FR58" s="2252"/>
      <c r="FS58" s="2253"/>
      <c r="FT58" s="2251" t="str">
        <f t="shared" si="617"/>
        <v/>
      </c>
      <c r="FU58" s="2248"/>
      <c r="FV58" s="2249"/>
      <c r="FW58" s="2250"/>
      <c r="FX58" s="2251" t="str">
        <f t="shared" si="618"/>
        <v/>
      </c>
      <c r="FY58" s="2252"/>
      <c r="FZ58" s="2253"/>
      <c r="GA58" s="2251" t="str">
        <f t="shared" si="619"/>
        <v/>
      </c>
      <c r="GB58" s="2254"/>
      <c r="GC58" s="2252"/>
      <c r="GD58" s="2253"/>
      <c r="GE58" s="2251" t="str">
        <f t="shared" si="620"/>
        <v/>
      </c>
      <c r="GF58" s="2248"/>
      <c r="GG58" s="2249"/>
      <c r="GH58" s="2250"/>
      <c r="GI58" s="2251" t="str">
        <f t="shared" si="621"/>
        <v/>
      </c>
      <c r="GJ58" s="2252"/>
      <c r="GK58" s="2253"/>
      <c r="GL58" s="2251" t="str">
        <f t="shared" si="622"/>
        <v/>
      </c>
      <c r="GM58" s="2254"/>
      <c r="GN58" s="2252"/>
      <c r="GO58" s="2253"/>
      <c r="GP58" s="2251" t="str">
        <f t="shared" si="623"/>
        <v/>
      </c>
      <c r="GQ58" s="2248"/>
      <c r="GR58" s="2249"/>
      <c r="GS58" s="2250"/>
      <c r="GT58" s="2251" t="str">
        <f t="shared" si="624"/>
        <v/>
      </c>
      <c r="GU58" s="2252"/>
      <c r="GV58" s="2253"/>
      <c r="GW58" s="2251" t="str">
        <f t="shared" si="625"/>
        <v/>
      </c>
      <c r="GX58" s="2254"/>
      <c r="GY58" s="2252"/>
      <c r="GZ58" s="2253"/>
      <c r="HA58" s="2251" t="str">
        <f t="shared" si="626"/>
        <v/>
      </c>
      <c r="HB58" s="2248"/>
      <c r="HC58" s="2249"/>
      <c r="HD58" s="2250"/>
      <c r="HE58" s="2251" t="str">
        <f t="shared" si="627"/>
        <v/>
      </c>
      <c r="HF58" s="2252"/>
      <c r="HG58" s="2253"/>
      <c r="HH58" s="2251" t="str">
        <f t="shared" si="628"/>
        <v/>
      </c>
      <c r="HI58" s="2254"/>
      <c r="HJ58" s="2252"/>
      <c r="HK58" s="2253"/>
      <c r="HL58" s="2251" t="str">
        <f t="shared" si="629"/>
        <v/>
      </c>
      <c r="HM58" s="2248"/>
      <c r="HN58" s="2249"/>
      <c r="HO58" s="2250"/>
      <c r="HP58" s="2251" t="str">
        <f t="shared" si="630"/>
        <v/>
      </c>
      <c r="HQ58" s="2252"/>
      <c r="HR58" s="2253"/>
      <c r="HS58" s="2251" t="str">
        <f t="shared" si="631"/>
        <v/>
      </c>
      <c r="HT58" s="2254"/>
      <c r="HU58" s="2252"/>
      <c r="HV58" s="2253"/>
      <c r="HW58" s="2251" t="str">
        <f t="shared" si="632"/>
        <v/>
      </c>
      <c r="HX58" s="2248"/>
      <c r="HY58" s="2249"/>
      <c r="HZ58" s="2250"/>
      <c r="IA58" s="2251" t="str">
        <f t="shared" si="633"/>
        <v/>
      </c>
      <c r="IB58" s="2252"/>
      <c r="IC58" s="2253"/>
      <c r="ID58" s="2251" t="str">
        <f t="shared" si="634"/>
        <v/>
      </c>
      <c r="IE58" s="2254"/>
      <c r="IF58" s="2252"/>
      <c r="IG58" s="2253"/>
      <c r="IH58" s="2251" t="str">
        <f t="shared" si="635"/>
        <v/>
      </c>
      <c r="II58" s="2248"/>
      <c r="IJ58" s="2249"/>
      <c r="IK58" s="2250"/>
      <c r="IL58" s="2251" t="str">
        <f t="shared" si="636"/>
        <v/>
      </c>
      <c r="IM58" s="2252"/>
      <c r="IN58" s="2253"/>
      <c r="IO58" s="2251" t="str">
        <f t="shared" si="637"/>
        <v/>
      </c>
      <c r="IP58" s="2254"/>
      <c r="IQ58" s="2252"/>
      <c r="IR58" s="2253"/>
      <c r="IS58" s="2251" t="str">
        <f t="shared" si="638"/>
        <v/>
      </c>
      <c r="IT58" s="2248"/>
      <c r="IU58" s="2249"/>
      <c r="IV58" s="2250"/>
      <c r="IW58" s="2251" t="str">
        <f t="shared" si="639"/>
        <v/>
      </c>
      <c r="IX58" s="2252"/>
      <c r="IY58" s="2253"/>
      <c r="IZ58" s="2251" t="str">
        <f t="shared" si="640"/>
        <v/>
      </c>
      <c r="JA58" s="2254"/>
      <c r="JB58" s="2252"/>
      <c r="JC58" s="2253"/>
      <c r="JD58" s="2251" t="str">
        <f t="shared" si="641"/>
        <v/>
      </c>
      <c r="JE58" s="2248"/>
      <c r="JF58" s="2249"/>
      <c r="JG58" s="2250"/>
      <c r="JH58" s="2251" t="str">
        <f t="shared" si="642"/>
        <v/>
      </c>
      <c r="JI58" s="2252"/>
      <c r="JJ58" s="2253"/>
      <c r="JK58" s="2251" t="str">
        <f t="shared" si="643"/>
        <v/>
      </c>
      <c r="JL58" s="2254"/>
      <c r="JM58" s="2252"/>
      <c r="JN58" s="2253"/>
      <c r="JO58" s="2251" t="str">
        <f t="shared" si="644"/>
        <v/>
      </c>
      <c r="JP58" s="2248"/>
      <c r="JQ58" s="2249"/>
      <c r="JR58" s="2250"/>
      <c r="JS58" s="2251" t="str">
        <f t="shared" si="645"/>
        <v/>
      </c>
      <c r="JT58" s="2252"/>
      <c r="JU58" s="2253"/>
      <c r="JV58" s="2251" t="str">
        <f t="shared" si="646"/>
        <v/>
      </c>
      <c r="JW58" s="2254"/>
      <c r="JX58" s="2252"/>
      <c r="JY58" s="2253"/>
      <c r="JZ58" s="2251" t="str">
        <f t="shared" si="647"/>
        <v/>
      </c>
      <c r="KA58" s="2231"/>
    </row>
    <row r="59" spans="1:287" s="2156" customFormat="1" ht="18" customHeight="1">
      <c r="A59" s="2142" t="str">
        <f>'25 Sollumsatz nach Monaten'!A62</f>
        <v/>
      </c>
      <c r="B59" s="2161"/>
      <c r="C59" s="2162"/>
      <c r="D59" s="2143"/>
      <c r="E59" s="2144" t="str">
        <f>IF('25 Sollumsatz nach Monaten'!F62=0,"",'25 Sollumsatz nach Monaten'!F62)</f>
        <v/>
      </c>
      <c r="F59" s="2145" t="str">
        <f t="shared" si="544"/>
        <v/>
      </c>
      <c r="G59" s="2146" t="str">
        <f t="shared" si="545"/>
        <v/>
      </c>
      <c r="H59" s="2143"/>
      <c r="I59" s="2144" t="str">
        <f>IF('25 Sollumsatz nach Monaten'!G62=0,"",'25 Sollumsatz nach Monaten'!G62)</f>
        <v/>
      </c>
      <c r="J59" s="2145" t="str">
        <f t="shared" si="546"/>
        <v/>
      </c>
      <c r="K59" s="2158" t="str">
        <f t="shared" si="547"/>
        <v/>
      </c>
      <c r="L59" s="2148" t="str">
        <f t="shared" si="548"/>
        <v/>
      </c>
      <c r="M59" s="2161"/>
      <c r="N59" s="2162"/>
      <c r="O59" s="2143"/>
      <c r="P59" s="2149" t="str">
        <f>IF('25 Sollumsatz nach Monaten'!L62=0,"",'25 Sollumsatz nach Monaten'!L62)</f>
        <v/>
      </c>
      <c r="Q59" s="2150" t="str">
        <f t="shared" si="549"/>
        <v/>
      </c>
      <c r="R59" s="2151" t="str">
        <f t="shared" si="550"/>
        <v/>
      </c>
      <c r="S59" s="2143"/>
      <c r="T59" s="2149" t="str">
        <f>IF('25 Sollumsatz nach Monaten'!M62=0,"",'25 Sollumsatz nach Monaten'!M62)</f>
        <v/>
      </c>
      <c r="U59" s="2150" t="str">
        <f t="shared" si="551"/>
        <v/>
      </c>
      <c r="V59" s="2151" t="str">
        <f t="shared" si="552"/>
        <v/>
      </c>
      <c r="W59" s="2142" t="str">
        <f t="shared" si="553"/>
        <v/>
      </c>
      <c r="X59" s="2161"/>
      <c r="Y59" s="2162"/>
      <c r="Z59" s="2143"/>
      <c r="AA59" s="2144" t="str">
        <f>IF('25 Sollumsatz nach Monaten'!R62=0,"",'25 Sollumsatz nach Monaten'!R62)</f>
        <v/>
      </c>
      <c r="AB59" s="2145" t="str">
        <f t="shared" si="554"/>
        <v/>
      </c>
      <c r="AC59" s="2146" t="str">
        <f t="shared" si="555"/>
        <v/>
      </c>
      <c r="AD59" s="2147"/>
      <c r="AE59" s="2144" t="str">
        <f>IF('25 Sollumsatz nach Monaten'!S62=0,"",'25 Sollumsatz nach Monaten'!S62)</f>
        <v/>
      </c>
      <c r="AF59" s="2145" t="str">
        <f t="shared" si="556"/>
        <v/>
      </c>
      <c r="AG59" s="2158" t="str">
        <f t="shared" si="557"/>
        <v/>
      </c>
      <c r="AH59" s="2148" t="str">
        <f t="shared" si="558"/>
        <v/>
      </c>
      <c r="AI59" s="2161"/>
      <c r="AJ59" s="2162"/>
      <c r="AK59" s="2143"/>
      <c r="AL59" s="2149" t="str">
        <f>IF('25 Sollumsatz nach Monaten'!X62=0,"",'25 Sollumsatz nach Monaten'!X62)</f>
        <v/>
      </c>
      <c r="AM59" s="2150" t="str">
        <f t="shared" si="559"/>
        <v/>
      </c>
      <c r="AN59" s="2151" t="str">
        <f t="shared" si="560"/>
        <v/>
      </c>
      <c r="AO59" s="2143"/>
      <c r="AP59" s="2149" t="str">
        <f>IF('25 Sollumsatz nach Monaten'!Y62=0,"",'25 Sollumsatz nach Monaten'!Y62)</f>
        <v/>
      </c>
      <c r="AQ59" s="2150" t="str">
        <f t="shared" si="561"/>
        <v/>
      </c>
      <c r="AR59" s="2151" t="str">
        <f t="shared" si="562"/>
        <v/>
      </c>
      <c r="AS59" s="2142" t="str">
        <f t="shared" si="563"/>
        <v/>
      </c>
      <c r="AT59" s="2161"/>
      <c r="AU59" s="2162"/>
      <c r="AV59" s="2143"/>
      <c r="AW59" s="2144" t="str">
        <f>IF('25 Sollumsatz nach Monaten'!AD62=0,"",'25 Sollumsatz nach Monaten'!AD62)</f>
        <v/>
      </c>
      <c r="AX59" s="2145" t="str">
        <f t="shared" si="564"/>
        <v/>
      </c>
      <c r="AY59" s="2146" t="str">
        <f t="shared" si="565"/>
        <v/>
      </c>
      <c r="AZ59" s="2143"/>
      <c r="BA59" s="2144" t="str">
        <f>IF('25 Sollumsatz nach Monaten'!AE62=0,"",'25 Sollumsatz nach Monaten'!AE62)</f>
        <v/>
      </c>
      <c r="BB59" s="2145" t="str">
        <f t="shared" si="566"/>
        <v/>
      </c>
      <c r="BC59" s="2158" t="str">
        <f t="shared" si="567"/>
        <v/>
      </c>
      <c r="BD59" s="2148" t="str">
        <f t="shared" si="568"/>
        <v/>
      </c>
      <c r="BE59" s="2161"/>
      <c r="BF59" s="2162"/>
      <c r="BG59" s="2143"/>
      <c r="BH59" s="2149" t="str">
        <f>IF('25 Sollumsatz nach Monaten'!AJ62=0,"",'25 Sollumsatz nach Monaten'!AJ62)</f>
        <v/>
      </c>
      <c r="BI59" s="2150" t="str">
        <f t="shared" si="569"/>
        <v/>
      </c>
      <c r="BJ59" s="2151" t="str">
        <f t="shared" si="570"/>
        <v/>
      </c>
      <c r="BK59" s="2143"/>
      <c r="BL59" s="2149" t="str">
        <f>IF('25 Sollumsatz nach Monaten'!AK62=0,"",'25 Sollumsatz nach Monaten'!AK62)</f>
        <v/>
      </c>
      <c r="BM59" s="2150" t="str">
        <f t="shared" si="571"/>
        <v/>
      </c>
      <c r="BN59" s="2151" t="str">
        <f t="shared" si="572"/>
        <v/>
      </c>
      <c r="BO59" s="2142" t="str">
        <f t="shared" si="573"/>
        <v/>
      </c>
      <c r="BP59" s="2161"/>
      <c r="BQ59" s="2162"/>
      <c r="BR59" s="2143"/>
      <c r="BS59" s="2144" t="str">
        <f>IF('25 Sollumsatz nach Monaten'!AP62=0,"",'25 Sollumsatz nach Monaten'!AP62)</f>
        <v/>
      </c>
      <c r="BT59" s="2145" t="str">
        <f t="shared" si="574"/>
        <v/>
      </c>
      <c r="BU59" s="2146" t="str">
        <f t="shared" si="575"/>
        <v/>
      </c>
      <c r="BV59" s="2143"/>
      <c r="BW59" s="2144" t="str">
        <f>IF('25 Sollumsatz nach Monaten'!AQ62=0,"",'25 Sollumsatz nach Monaten'!AQ62)</f>
        <v/>
      </c>
      <c r="BX59" s="2145" t="str">
        <f t="shared" si="576"/>
        <v/>
      </c>
      <c r="BY59" s="2158" t="str">
        <f t="shared" si="577"/>
        <v/>
      </c>
      <c r="BZ59" s="2148" t="str">
        <f t="shared" si="578"/>
        <v/>
      </c>
      <c r="CA59" s="2161"/>
      <c r="CB59" s="2162"/>
      <c r="CC59" s="2143"/>
      <c r="CD59" s="2149" t="str">
        <f>IF('25 Sollumsatz nach Monaten'!AV62=0,"",'25 Sollumsatz nach Monaten'!AV62)</f>
        <v/>
      </c>
      <c r="CE59" s="2150" t="str">
        <f t="shared" si="579"/>
        <v/>
      </c>
      <c r="CF59" s="2151" t="str">
        <f t="shared" si="580"/>
        <v/>
      </c>
      <c r="CG59" s="2143"/>
      <c r="CH59" s="2149" t="str">
        <f>IF('25 Sollumsatz nach Monaten'!AW62=0,"",'25 Sollumsatz nach Monaten'!AW62)</f>
        <v/>
      </c>
      <c r="CI59" s="2150" t="str">
        <f t="shared" si="581"/>
        <v/>
      </c>
      <c r="CJ59" s="2151" t="str">
        <f t="shared" si="582"/>
        <v/>
      </c>
      <c r="CK59" s="2142" t="str">
        <f t="shared" si="583"/>
        <v/>
      </c>
      <c r="CL59" s="2161"/>
      <c r="CM59" s="2162"/>
      <c r="CN59" s="2143"/>
      <c r="CO59" s="2144" t="str">
        <f>IF('25 Sollumsatz nach Monaten'!BB62=0,"",'25 Sollumsatz nach Monaten'!BB62)</f>
        <v/>
      </c>
      <c r="CP59" s="2145" t="str">
        <f t="shared" si="584"/>
        <v/>
      </c>
      <c r="CQ59" s="2146" t="str">
        <f t="shared" si="585"/>
        <v/>
      </c>
      <c r="CR59" s="2143"/>
      <c r="CS59" s="2144" t="str">
        <f>IF('25 Sollumsatz nach Monaten'!BC62=0,"",'25 Sollumsatz nach Monaten'!BC62)</f>
        <v/>
      </c>
      <c r="CT59" s="2145" t="str">
        <f t="shared" si="586"/>
        <v/>
      </c>
      <c r="CU59" s="2158" t="str">
        <f t="shared" si="587"/>
        <v/>
      </c>
      <c r="CV59" s="2148" t="str">
        <f t="shared" si="588"/>
        <v/>
      </c>
      <c r="CW59" s="2161"/>
      <c r="CX59" s="2162"/>
      <c r="CY59" s="2143"/>
      <c r="CZ59" s="2149" t="str">
        <f>IF('25 Sollumsatz nach Monaten'!BH62=0,"",'25 Sollumsatz nach Monaten'!BH62)</f>
        <v/>
      </c>
      <c r="DA59" s="2150" t="str">
        <f t="shared" si="589"/>
        <v/>
      </c>
      <c r="DB59" s="2151" t="str">
        <f t="shared" si="590"/>
        <v/>
      </c>
      <c r="DC59" s="2143"/>
      <c r="DD59" s="2149" t="str">
        <f>IF('25 Sollumsatz nach Monaten'!BI62=0,"",'25 Sollumsatz nach Monaten'!BI62)</f>
        <v/>
      </c>
      <c r="DE59" s="2150" t="str">
        <f t="shared" si="591"/>
        <v/>
      </c>
      <c r="DF59" s="2151" t="str">
        <f t="shared" si="592"/>
        <v/>
      </c>
      <c r="DG59" s="2142" t="str">
        <f t="shared" si="593"/>
        <v/>
      </c>
      <c r="DH59" s="2161"/>
      <c r="DI59" s="2162"/>
      <c r="DJ59" s="2143"/>
      <c r="DK59" s="2144" t="str">
        <f>IF('25 Sollumsatz nach Monaten'!BN62=0,"",'25 Sollumsatz nach Monaten'!BN62)</f>
        <v/>
      </c>
      <c r="DL59" s="2145" t="str">
        <f t="shared" si="594"/>
        <v/>
      </c>
      <c r="DM59" s="2146" t="str">
        <f t="shared" si="595"/>
        <v/>
      </c>
      <c r="DN59" s="2143"/>
      <c r="DO59" s="2144" t="str">
        <f>IF('25 Sollumsatz nach Monaten'!BO62=0,"",'25 Sollumsatz nach Monaten'!BO62)</f>
        <v/>
      </c>
      <c r="DP59" s="2145" t="str">
        <f t="shared" si="596"/>
        <v/>
      </c>
      <c r="DQ59" s="2158" t="str">
        <f t="shared" si="597"/>
        <v/>
      </c>
      <c r="DR59" s="2148" t="str">
        <f t="shared" si="598"/>
        <v/>
      </c>
      <c r="DS59" s="2161"/>
      <c r="DT59" s="2162"/>
      <c r="DU59" s="2143"/>
      <c r="DV59" s="2149" t="str">
        <f>IF('25 Sollumsatz nach Monaten'!BT62=0,"",'25 Sollumsatz nach Monaten'!BT62)</f>
        <v/>
      </c>
      <c r="DW59" s="2150" t="str">
        <f t="shared" si="599"/>
        <v/>
      </c>
      <c r="DX59" s="2151" t="str">
        <f t="shared" si="600"/>
        <v/>
      </c>
      <c r="DY59" s="2143"/>
      <c r="DZ59" s="2149" t="str">
        <f>IF('25 Sollumsatz nach Monaten'!BU62=0,"",'25 Sollumsatz nach Monaten'!BU62)</f>
        <v/>
      </c>
      <c r="EA59" s="2150" t="str">
        <f t="shared" si="601"/>
        <v/>
      </c>
      <c r="EB59" s="2151" t="str">
        <f t="shared" si="602"/>
        <v/>
      </c>
      <c r="EC59" s="2152" t="str">
        <f t="shared" si="603"/>
        <v/>
      </c>
      <c r="ED59" s="2280" t="str">
        <f t="shared" si="604"/>
        <v/>
      </c>
      <c r="EE59" s="2153" t="str">
        <f t="shared" si="605"/>
        <v/>
      </c>
      <c r="EF59" s="2154" t="str">
        <f t="shared" si="606"/>
        <v/>
      </c>
      <c r="EG59" s="2155" t="str">
        <f t="shared" si="500"/>
        <v/>
      </c>
      <c r="EH59" s="2282" t="str">
        <f t="shared" si="607"/>
        <v/>
      </c>
      <c r="EI59" s="2153" t="str">
        <f t="shared" si="608"/>
        <v/>
      </c>
      <c r="EJ59" s="2154" t="str">
        <f t="shared" si="609"/>
        <v/>
      </c>
      <c r="EK59" s="2155" t="str">
        <f t="shared" si="610"/>
        <v/>
      </c>
      <c r="EL59" s="2160" t="str">
        <f t="shared" si="505"/>
        <v/>
      </c>
      <c r="EM59" s="2160" t="str">
        <f t="shared" si="506"/>
        <v/>
      </c>
      <c r="EN59" s="2160" t="str">
        <f t="shared" si="507"/>
        <v/>
      </c>
      <c r="EO59" s="2152" t="str">
        <f t="shared" si="611"/>
        <v/>
      </c>
      <c r="EP59" s="2312" t="str">
        <f>IF('25 Sollumsatz nach Monaten'!BV62="","",SUM(EQ59:ER59))</f>
        <v/>
      </c>
      <c r="EQ59" s="2312" t="str">
        <f>IF('25 Sollumsatz nach Monaten'!BV62="","",ED59/'25 Sollumsatz nach Monaten'!BV62)</f>
        <v/>
      </c>
      <c r="ER59" s="2312" t="str">
        <f>IF('25 Sollumsatz nach Monaten'!BV62="","",EH59/'25 Sollumsatz nach Monaten'!BV62)</f>
        <v/>
      </c>
      <c r="EY59" s="2248"/>
      <c r="EZ59" s="2249"/>
      <c r="FA59" s="2250"/>
      <c r="FB59" s="2251" t="str">
        <f t="shared" si="612"/>
        <v/>
      </c>
      <c r="FC59" s="2252"/>
      <c r="FD59" s="2253"/>
      <c r="FE59" s="2251" t="str">
        <f t="shared" si="613"/>
        <v/>
      </c>
      <c r="FF59" s="2254"/>
      <c r="FG59" s="2252"/>
      <c r="FH59" s="2253"/>
      <c r="FI59" s="2251" t="str">
        <f t="shared" si="614"/>
        <v/>
      </c>
      <c r="FJ59" s="2248"/>
      <c r="FK59" s="2249"/>
      <c r="FL59" s="2250"/>
      <c r="FM59" s="2251" t="str">
        <f t="shared" si="615"/>
        <v/>
      </c>
      <c r="FN59" s="2252"/>
      <c r="FO59" s="2253"/>
      <c r="FP59" s="2251" t="str">
        <f t="shared" si="616"/>
        <v/>
      </c>
      <c r="FQ59" s="2254"/>
      <c r="FR59" s="2252"/>
      <c r="FS59" s="2253"/>
      <c r="FT59" s="2251" t="str">
        <f t="shared" si="617"/>
        <v/>
      </c>
      <c r="FU59" s="2248"/>
      <c r="FV59" s="2249"/>
      <c r="FW59" s="2250"/>
      <c r="FX59" s="2251" t="str">
        <f t="shared" si="618"/>
        <v/>
      </c>
      <c r="FY59" s="2252"/>
      <c r="FZ59" s="2253"/>
      <c r="GA59" s="2251" t="str">
        <f t="shared" si="619"/>
        <v/>
      </c>
      <c r="GB59" s="2254"/>
      <c r="GC59" s="2252"/>
      <c r="GD59" s="2253"/>
      <c r="GE59" s="2251" t="str">
        <f t="shared" si="620"/>
        <v/>
      </c>
      <c r="GF59" s="2248"/>
      <c r="GG59" s="2249"/>
      <c r="GH59" s="2250"/>
      <c r="GI59" s="2251" t="str">
        <f t="shared" si="621"/>
        <v/>
      </c>
      <c r="GJ59" s="2252"/>
      <c r="GK59" s="2253"/>
      <c r="GL59" s="2251" t="str">
        <f t="shared" si="622"/>
        <v/>
      </c>
      <c r="GM59" s="2254"/>
      <c r="GN59" s="2252"/>
      <c r="GO59" s="2253"/>
      <c r="GP59" s="2251" t="str">
        <f t="shared" si="623"/>
        <v/>
      </c>
      <c r="GQ59" s="2248"/>
      <c r="GR59" s="2249"/>
      <c r="GS59" s="2250"/>
      <c r="GT59" s="2251" t="str">
        <f t="shared" si="624"/>
        <v/>
      </c>
      <c r="GU59" s="2252"/>
      <c r="GV59" s="2253"/>
      <c r="GW59" s="2251" t="str">
        <f t="shared" si="625"/>
        <v/>
      </c>
      <c r="GX59" s="2254"/>
      <c r="GY59" s="2252"/>
      <c r="GZ59" s="2253"/>
      <c r="HA59" s="2251" t="str">
        <f t="shared" si="626"/>
        <v/>
      </c>
      <c r="HB59" s="2248"/>
      <c r="HC59" s="2249"/>
      <c r="HD59" s="2250"/>
      <c r="HE59" s="2251" t="str">
        <f t="shared" si="627"/>
        <v/>
      </c>
      <c r="HF59" s="2252"/>
      <c r="HG59" s="2253"/>
      <c r="HH59" s="2251" t="str">
        <f t="shared" si="628"/>
        <v/>
      </c>
      <c r="HI59" s="2254"/>
      <c r="HJ59" s="2252"/>
      <c r="HK59" s="2253"/>
      <c r="HL59" s="2251" t="str">
        <f t="shared" si="629"/>
        <v/>
      </c>
      <c r="HM59" s="2248"/>
      <c r="HN59" s="2249"/>
      <c r="HO59" s="2250"/>
      <c r="HP59" s="2251" t="str">
        <f t="shared" si="630"/>
        <v/>
      </c>
      <c r="HQ59" s="2252"/>
      <c r="HR59" s="2253"/>
      <c r="HS59" s="2251" t="str">
        <f t="shared" si="631"/>
        <v/>
      </c>
      <c r="HT59" s="2254"/>
      <c r="HU59" s="2252"/>
      <c r="HV59" s="2253"/>
      <c r="HW59" s="2251" t="str">
        <f t="shared" si="632"/>
        <v/>
      </c>
      <c r="HX59" s="2248"/>
      <c r="HY59" s="2249"/>
      <c r="HZ59" s="2250"/>
      <c r="IA59" s="2251" t="str">
        <f t="shared" si="633"/>
        <v/>
      </c>
      <c r="IB59" s="2252"/>
      <c r="IC59" s="2253"/>
      <c r="ID59" s="2251" t="str">
        <f t="shared" si="634"/>
        <v/>
      </c>
      <c r="IE59" s="2254"/>
      <c r="IF59" s="2252"/>
      <c r="IG59" s="2253"/>
      <c r="IH59" s="2251" t="str">
        <f t="shared" si="635"/>
        <v/>
      </c>
      <c r="II59" s="2248"/>
      <c r="IJ59" s="2249"/>
      <c r="IK59" s="2250"/>
      <c r="IL59" s="2251" t="str">
        <f t="shared" si="636"/>
        <v/>
      </c>
      <c r="IM59" s="2252"/>
      <c r="IN59" s="2253"/>
      <c r="IO59" s="2251" t="str">
        <f t="shared" si="637"/>
        <v/>
      </c>
      <c r="IP59" s="2254"/>
      <c r="IQ59" s="2252"/>
      <c r="IR59" s="2253"/>
      <c r="IS59" s="2251" t="str">
        <f t="shared" si="638"/>
        <v/>
      </c>
      <c r="IT59" s="2248"/>
      <c r="IU59" s="2249"/>
      <c r="IV59" s="2250"/>
      <c r="IW59" s="2251" t="str">
        <f t="shared" si="639"/>
        <v/>
      </c>
      <c r="IX59" s="2252"/>
      <c r="IY59" s="2253"/>
      <c r="IZ59" s="2251" t="str">
        <f t="shared" si="640"/>
        <v/>
      </c>
      <c r="JA59" s="2254"/>
      <c r="JB59" s="2252"/>
      <c r="JC59" s="2253"/>
      <c r="JD59" s="2251" t="str">
        <f t="shared" si="641"/>
        <v/>
      </c>
      <c r="JE59" s="2248"/>
      <c r="JF59" s="2249"/>
      <c r="JG59" s="2250"/>
      <c r="JH59" s="2251" t="str">
        <f t="shared" si="642"/>
        <v/>
      </c>
      <c r="JI59" s="2252"/>
      <c r="JJ59" s="2253"/>
      <c r="JK59" s="2251" t="str">
        <f t="shared" si="643"/>
        <v/>
      </c>
      <c r="JL59" s="2254"/>
      <c r="JM59" s="2252"/>
      <c r="JN59" s="2253"/>
      <c r="JO59" s="2251" t="str">
        <f t="shared" si="644"/>
        <v/>
      </c>
      <c r="JP59" s="2248"/>
      <c r="JQ59" s="2249"/>
      <c r="JR59" s="2250"/>
      <c r="JS59" s="2251" t="str">
        <f t="shared" si="645"/>
        <v/>
      </c>
      <c r="JT59" s="2252"/>
      <c r="JU59" s="2253"/>
      <c r="JV59" s="2251" t="str">
        <f t="shared" si="646"/>
        <v/>
      </c>
      <c r="JW59" s="2254"/>
      <c r="JX59" s="2252"/>
      <c r="JY59" s="2253"/>
      <c r="JZ59" s="2251" t="str">
        <f t="shared" si="647"/>
        <v/>
      </c>
      <c r="KA59" s="2231"/>
    </row>
    <row r="60" spans="1:287" s="2156" customFormat="1" ht="18" customHeight="1">
      <c r="A60" s="2142" t="str">
        <f>'25 Sollumsatz nach Monaten'!A63</f>
        <v/>
      </c>
      <c r="B60" s="2161"/>
      <c r="C60" s="2162"/>
      <c r="D60" s="2143"/>
      <c r="E60" s="2144" t="str">
        <f>IF('25 Sollumsatz nach Monaten'!F63=0,"",'25 Sollumsatz nach Monaten'!F63)</f>
        <v/>
      </c>
      <c r="F60" s="2145" t="str">
        <f t="shared" si="544"/>
        <v/>
      </c>
      <c r="G60" s="2146" t="str">
        <f t="shared" si="545"/>
        <v/>
      </c>
      <c r="H60" s="2143"/>
      <c r="I60" s="2144" t="str">
        <f>IF('25 Sollumsatz nach Monaten'!G63=0,"",'25 Sollumsatz nach Monaten'!G63)</f>
        <v/>
      </c>
      <c r="J60" s="2145" t="str">
        <f t="shared" si="546"/>
        <v/>
      </c>
      <c r="K60" s="2158" t="str">
        <f t="shared" si="547"/>
        <v/>
      </c>
      <c r="L60" s="2148" t="str">
        <f t="shared" si="548"/>
        <v/>
      </c>
      <c r="M60" s="2161"/>
      <c r="N60" s="2162"/>
      <c r="O60" s="2143"/>
      <c r="P60" s="2149" t="str">
        <f>IF('25 Sollumsatz nach Monaten'!L63=0,"",'25 Sollumsatz nach Monaten'!L63)</f>
        <v/>
      </c>
      <c r="Q60" s="2150" t="str">
        <f t="shared" si="549"/>
        <v/>
      </c>
      <c r="R60" s="2151" t="str">
        <f t="shared" si="550"/>
        <v/>
      </c>
      <c r="S60" s="2143"/>
      <c r="T60" s="2149" t="str">
        <f>IF('25 Sollumsatz nach Monaten'!M63=0,"",'25 Sollumsatz nach Monaten'!M63)</f>
        <v/>
      </c>
      <c r="U60" s="2150" t="str">
        <f t="shared" si="551"/>
        <v/>
      </c>
      <c r="V60" s="2151" t="str">
        <f t="shared" si="552"/>
        <v/>
      </c>
      <c r="W60" s="2142" t="str">
        <f t="shared" si="553"/>
        <v/>
      </c>
      <c r="X60" s="2161"/>
      <c r="Y60" s="2162"/>
      <c r="Z60" s="2143"/>
      <c r="AA60" s="2144" t="str">
        <f>IF('25 Sollumsatz nach Monaten'!R63=0,"",'25 Sollumsatz nach Monaten'!R63)</f>
        <v/>
      </c>
      <c r="AB60" s="2145" t="str">
        <f t="shared" si="554"/>
        <v/>
      </c>
      <c r="AC60" s="2146" t="str">
        <f t="shared" si="555"/>
        <v/>
      </c>
      <c r="AD60" s="2147"/>
      <c r="AE60" s="2144" t="str">
        <f>IF('25 Sollumsatz nach Monaten'!S63=0,"",'25 Sollumsatz nach Monaten'!S63)</f>
        <v/>
      </c>
      <c r="AF60" s="2145" t="str">
        <f t="shared" si="556"/>
        <v/>
      </c>
      <c r="AG60" s="2158" t="str">
        <f t="shared" si="557"/>
        <v/>
      </c>
      <c r="AH60" s="2148" t="str">
        <f t="shared" si="558"/>
        <v/>
      </c>
      <c r="AI60" s="2161"/>
      <c r="AJ60" s="2162"/>
      <c r="AK60" s="2143"/>
      <c r="AL60" s="2149" t="str">
        <f>IF('25 Sollumsatz nach Monaten'!X63=0,"",'25 Sollumsatz nach Monaten'!X63)</f>
        <v/>
      </c>
      <c r="AM60" s="2150" t="str">
        <f t="shared" si="559"/>
        <v/>
      </c>
      <c r="AN60" s="2151" t="str">
        <f t="shared" si="560"/>
        <v/>
      </c>
      <c r="AO60" s="2143"/>
      <c r="AP60" s="2149" t="str">
        <f>IF('25 Sollumsatz nach Monaten'!Y63=0,"",'25 Sollumsatz nach Monaten'!Y63)</f>
        <v/>
      </c>
      <c r="AQ60" s="2150" t="str">
        <f t="shared" si="561"/>
        <v/>
      </c>
      <c r="AR60" s="2151" t="str">
        <f t="shared" si="562"/>
        <v/>
      </c>
      <c r="AS60" s="2142" t="str">
        <f t="shared" si="563"/>
        <v/>
      </c>
      <c r="AT60" s="2161"/>
      <c r="AU60" s="2162"/>
      <c r="AV60" s="2143"/>
      <c r="AW60" s="2144" t="str">
        <f>IF('25 Sollumsatz nach Monaten'!AD63=0,"",'25 Sollumsatz nach Monaten'!AD63)</f>
        <v/>
      </c>
      <c r="AX60" s="2145" t="str">
        <f t="shared" si="564"/>
        <v/>
      </c>
      <c r="AY60" s="2146" t="str">
        <f t="shared" si="565"/>
        <v/>
      </c>
      <c r="AZ60" s="2143"/>
      <c r="BA60" s="2144" t="str">
        <f>IF('25 Sollumsatz nach Monaten'!AE63=0,"",'25 Sollumsatz nach Monaten'!AE63)</f>
        <v/>
      </c>
      <c r="BB60" s="2145" t="str">
        <f t="shared" si="566"/>
        <v/>
      </c>
      <c r="BC60" s="2158" t="str">
        <f t="shared" si="567"/>
        <v/>
      </c>
      <c r="BD60" s="2148" t="str">
        <f t="shared" si="568"/>
        <v/>
      </c>
      <c r="BE60" s="2161"/>
      <c r="BF60" s="2162"/>
      <c r="BG60" s="2143"/>
      <c r="BH60" s="2149" t="str">
        <f>IF('25 Sollumsatz nach Monaten'!AJ63=0,"",'25 Sollumsatz nach Monaten'!AJ63)</f>
        <v/>
      </c>
      <c r="BI60" s="2150" t="str">
        <f t="shared" si="569"/>
        <v/>
      </c>
      <c r="BJ60" s="2151" t="str">
        <f t="shared" si="570"/>
        <v/>
      </c>
      <c r="BK60" s="2143"/>
      <c r="BL60" s="2149" t="str">
        <f>IF('25 Sollumsatz nach Monaten'!AK63=0,"",'25 Sollumsatz nach Monaten'!AK63)</f>
        <v/>
      </c>
      <c r="BM60" s="2150" t="str">
        <f t="shared" si="571"/>
        <v/>
      </c>
      <c r="BN60" s="2151" t="str">
        <f t="shared" si="572"/>
        <v/>
      </c>
      <c r="BO60" s="2142" t="str">
        <f t="shared" si="573"/>
        <v/>
      </c>
      <c r="BP60" s="2161"/>
      <c r="BQ60" s="2162"/>
      <c r="BR60" s="2143"/>
      <c r="BS60" s="2144" t="str">
        <f>IF('25 Sollumsatz nach Monaten'!AP63=0,"",'25 Sollumsatz nach Monaten'!AP63)</f>
        <v/>
      </c>
      <c r="BT60" s="2145" t="str">
        <f t="shared" si="574"/>
        <v/>
      </c>
      <c r="BU60" s="2146" t="str">
        <f t="shared" si="575"/>
        <v/>
      </c>
      <c r="BV60" s="2143"/>
      <c r="BW60" s="2144" t="str">
        <f>IF('25 Sollumsatz nach Monaten'!AQ63=0,"",'25 Sollumsatz nach Monaten'!AQ63)</f>
        <v/>
      </c>
      <c r="BX60" s="2145" t="str">
        <f t="shared" si="576"/>
        <v/>
      </c>
      <c r="BY60" s="2158" t="str">
        <f t="shared" si="577"/>
        <v/>
      </c>
      <c r="BZ60" s="2148" t="str">
        <f t="shared" si="578"/>
        <v/>
      </c>
      <c r="CA60" s="2161"/>
      <c r="CB60" s="2162"/>
      <c r="CC60" s="2143"/>
      <c r="CD60" s="2149" t="str">
        <f>IF('25 Sollumsatz nach Monaten'!AV63=0,"",'25 Sollumsatz nach Monaten'!AV63)</f>
        <v/>
      </c>
      <c r="CE60" s="2150" t="str">
        <f t="shared" si="579"/>
        <v/>
      </c>
      <c r="CF60" s="2151" t="str">
        <f t="shared" si="580"/>
        <v/>
      </c>
      <c r="CG60" s="2143"/>
      <c r="CH60" s="2149" t="str">
        <f>IF('25 Sollumsatz nach Monaten'!AW63=0,"",'25 Sollumsatz nach Monaten'!AW63)</f>
        <v/>
      </c>
      <c r="CI60" s="2150" t="str">
        <f t="shared" si="581"/>
        <v/>
      </c>
      <c r="CJ60" s="2151" t="str">
        <f t="shared" si="582"/>
        <v/>
      </c>
      <c r="CK60" s="2142" t="str">
        <f t="shared" si="583"/>
        <v/>
      </c>
      <c r="CL60" s="2161"/>
      <c r="CM60" s="2162"/>
      <c r="CN60" s="2143"/>
      <c r="CO60" s="2144" t="str">
        <f>IF('25 Sollumsatz nach Monaten'!BB63=0,"",'25 Sollumsatz nach Monaten'!BB63)</f>
        <v/>
      </c>
      <c r="CP60" s="2145" t="str">
        <f t="shared" si="584"/>
        <v/>
      </c>
      <c r="CQ60" s="2146" t="str">
        <f t="shared" si="585"/>
        <v/>
      </c>
      <c r="CR60" s="2143"/>
      <c r="CS60" s="2144" t="str">
        <f>IF('25 Sollumsatz nach Monaten'!BC63=0,"",'25 Sollumsatz nach Monaten'!BC63)</f>
        <v/>
      </c>
      <c r="CT60" s="2145" t="str">
        <f t="shared" si="586"/>
        <v/>
      </c>
      <c r="CU60" s="2158" t="str">
        <f t="shared" si="587"/>
        <v/>
      </c>
      <c r="CV60" s="2148" t="str">
        <f t="shared" si="588"/>
        <v/>
      </c>
      <c r="CW60" s="2161"/>
      <c r="CX60" s="2162"/>
      <c r="CY60" s="2143"/>
      <c r="CZ60" s="2149" t="str">
        <f>IF('25 Sollumsatz nach Monaten'!BH63=0,"",'25 Sollumsatz nach Monaten'!BH63)</f>
        <v/>
      </c>
      <c r="DA60" s="2150" t="str">
        <f t="shared" si="589"/>
        <v/>
      </c>
      <c r="DB60" s="2151" t="str">
        <f t="shared" si="590"/>
        <v/>
      </c>
      <c r="DC60" s="2143"/>
      <c r="DD60" s="2149" t="str">
        <f>IF('25 Sollumsatz nach Monaten'!BI63=0,"",'25 Sollumsatz nach Monaten'!BI63)</f>
        <v/>
      </c>
      <c r="DE60" s="2150" t="str">
        <f t="shared" si="591"/>
        <v/>
      </c>
      <c r="DF60" s="2151" t="str">
        <f t="shared" si="592"/>
        <v/>
      </c>
      <c r="DG60" s="2142" t="str">
        <f t="shared" si="593"/>
        <v/>
      </c>
      <c r="DH60" s="2161"/>
      <c r="DI60" s="2162"/>
      <c r="DJ60" s="2143"/>
      <c r="DK60" s="2144" t="str">
        <f>IF('25 Sollumsatz nach Monaten'!BN63=0,"",'25 Sollumsatz nach Monaten'!BN63)</f>
        <v/>
      </c>
      <c r="DL60" s="2145" t="str">
        <f t="shared" si="594"/>
        <v/>
      </c>
      <c r="DM60" s="2146" t="str">
        <f t="shared" si="595"/>
        <v/>
      </c>
      <c r="DN60" s="2143"/>
      <c r="DO60" s="2144" t="str">
        <f>IF('25 Sollumsatz nach Monaten'!BO63=0,"",'25 Sollumsatz nach Monaten'!BO63)</f>
        <v/>
      </c>
      <c r="DP60" s="2145" t="str">
        <f t="shared" si="596"/>
        <v/>
      </c>
      <c r="DQ60" s="2158" t="str">
        <f t="shared" si="597"/>
        <v/>
      </c>
      <c r="DR60" s="2148" t="str">
        <f t="shared" si="598"/>
        <v/>
      </c>
      <c r="DS60" s="2161"/>
      <c r="DT60" s="2162"/>
      <c r="DU60" s="2143"/>
      <c r="DV60" s="2149" t="str">
        <f>IF('25 Sollumsatz nach Monaten'!BT63=0,"",'25 Sollumsatz nach Monaten'!BT63)</f>
        <v/>
      </c>
      <c r="DW60" s="2150" t="str">
        <f t="shared" si="599"/>
        <v/>
      </c>
      <c r="DX60" s="2151" t="str">
        <f t="shared" si="600"/>
        <v/>
      </c>
      <c r="DY60" s="2143"/>
      <c r="DZ60" s="2149" t="str">
        <f>IF('25 Sollumsatz nach Monaten'!BU63=0,"",'25 Sollumsatz nach Monaten'!BU63)</f>
        <v/>
      </c>
      <c r="EA60" s="2150" t="str">
        <f t="shared" si="601"/>
        <v/>
      </c>
      <c r="EB60" s="2151" t="str">
        <f t="shared" si="602"/>
        <v/>
      </c>
      <c r="EC60" s="2152" t="str">
        <f t="shared" si="603"/>
        <v/>
      </c>
      <c r="ED60" s="2280" t="str">
        <f t="shared" si="604"/>
        <v/>
      </c>
      <c r="EE60" s="2153" t="str">
        <f t="shared" si="605"/>
        <v/>
      </c>
      <c r="EF60" s="2154" t="str">
        <f t="shared" si="606"/>
        <v/>
      </c>
      <c r="EG60" s="2155" t="str">
        <f t="shared" si="500"/>
        <v/>
      </c>
      <c r="EH60" s="2282" t="str">
        <f t="shared" si="607"/>
        <v/>
      </c>
      <c r="EI60" s="2153" t="str">
        <f t="shared" si="608"/>
        <v/>
      </c>
      <c r="EJ60" s="2154" t="str">
        <f t="shared" si="609"/>
        <v/>
      </c>
      <c r="EK60" s="2155" t="str">
        <f t="shared" si="610"/>
        <v/>
      </c>
      <c r="EL60" s="2160" t="str">
        <f t="shared" si="505"/>
        <v/>
      </c>
      <c r="EM60" s="2160" t="str">
        <f t="shared" si="506"/>
        <v/>
      </c>
      <c r="EN60" s="2160" t="str">
        <f t="shared" si="507"/>
        <v/>
      </c>
      <c r="EO60" s="2152" t="str">
        <f t="shared" si="611"/>
        <v/>
      </c>
      <c r="EP60" s="2312" t="str">
        <f>IF('25 Sollumsatz nach Monaten'!BV63="","",SUM(EQ60:ER60))</f>
        <v/>
      </c>
      <c r="EQ60" s="2312" t="str">
        <f>IF('25 Sollumsatz nach Monaten'!BV63="","",ED60/'25 Sollumsatz nach Monaten'!BV63)</f>
        <v/>
      </c>
      <c r="ER60" s="2312" t="str">
        <f>IF('25 Sollumsatz nach Monaten'!BV63="","",EH60/'25 Sollumsatz nach Monaten'!BV63)</f>
        <v/>
      </c>
      <c r="EY60" s="2248"/>
      <c r="EZ60" s="2249"/>
      <c r="FA60" s="2250"/>
      <c r="FB60" s="2251" t="str">
        <f t="shared" si="612"/>
        <v/>
      </c>
      <c r="FC60" s="2252"/>
      <c r="FD60" s="2253"/>
      <c r="FE60" s="2251" t="str">
        <f t="shared" si="613"/>
        <v/>
      </c>
      <c r="FF60" s="2254"/>
      <c r="FG60" s="2252"/>
      <c r="FH60" s="2253"/>
      <c r="FI60" s="2251" t="str">
        <f t="shared" si="614"/>
        <v/>
      </c>
      <c r="FJ60" s="2248"/>
      <c r="FK60" s="2249"/>
      <c r="FL60" s="2250"/>
      <c r="FM60" s="2251" t="str">
        <f t="shared" si="615"/>
        <v/>
      </c>
      <c r="FN60" s="2252"/>
      <c r="FO60" s="2253"/>
      <c r="FP60" s="2251" t="str">
        <f t="shared" si="616"/>
        <v/>
      </c>
      <c r="FQ60" s="2254"/>
      <c r="FR60" s="2252"/>
      <c r="FS60" s="2253"/>
      <c r="FT60" s="2251" t="str">
        <f t="shared" si="617"/>
        <v/>
      </c>
      <c r="FU60" s="2248"/>
      <c r="FV60" s="2249"/>
      <c r="FW60" s="2250"/>
      <c r="FX60" s="2251" t="str">
        <f t="shared" si="618"/>
        <v/>
      </c>
      <c r="FY60" s="2252"/>
      <c r="FZ60" s="2253"/>
      <c r="GA60" s="2251" t="str">
        <f t="shared" si="619"/>
        <v/>
      </c>
      <c r="GB60" s="2254"/>
      <c r="GC60" s="2252"/>
      <c r="GD60" s="2253"/>
      <c r="GE60" s="2251" t="str">
        <f t="shared" si="620"/>
        <v/>
      </c>
      <c r="GF60" s="2248"/>
      <c r="GG60" s="2249"/>
      <c r="GH60" s="2250"/>
      <c r="GI60" s="2251" t="str">
        <f t="shared" si="621"/>
        <v/>
      </c>
      <c r="GJ60" s="2252"/>
      <c r="GK60" s="2253"/>
      <c r="GL60" s="2251" t="str">
        <f t="shared" si="622"/>
        <v/>
      </c>
      <c r="GM60" s="2254"/>
      <c r="GN60" s="2252"/>
      <c r="GO60" s="2253"/>
      <c r="GP60" s="2251" t="str">
        <f t="shared" si="623"/>
        <v/>
      </c>
      <c r="GQ60" s="2248"/>
      <c r="GR60" s="2249"/>
      <c r="GS60" s="2250"/>
      <c r="GT60" s="2251" t="str">
        <f t="shared" si="624"/>
        <v/>
      </c>
      <c r="GU60" s="2252"/>
      <c r="GV60" s="2253"/>
      <c r="GW60" s="2251" t="str">
        <f t="shared" si="625"/>
        <v/>
      </c>
      <c r="GX60" s="2254"/>
      <c r="GY60" s="2252"/>
      <c r="GZ60" s="2253"/>
      <c r="HA60" s="2251" t="str">
        <f t="shared" si="626"/>
        <v/>
      </c>
      <c r="HB60" s="2248"/>
      <c r="HC60" s="2249"/>
      <c r="HD60" s="2250"/>
      <c r="HE60" s="2251" t="str">
        <f t="shared" si="627"/>
        <v/>
      </c>
      <c r="HF60" s="2252"/>
      <c r="HG60" s="2253"/>
      <c r="HH60" s="2251" t="str">
        <f t="shared" si="628"/>
        <v/>
      </c>
      <c r="HI60" s="2254"/>
      <c r="HJ60" s="2252"/>
      <c r="HK60" s="2253"/>
      <c r="HL60" s="2251" t="str">
        <f t="shared" si="629"/>
        <v/>
      </c>
      <c r="HM60" s="2248"/>
      <c r="HN60" s="2249"/>
      <c r="HO60" s="2250"/>
      <c r="HP60" s="2251" t="str">
        <f t="shared" si="630"/>
        <v/>
      </c>
      <c r="HQ60" s="2252"/>
      <c r="HR60" s="2253"/>
      <c r="HS60" s="2251" t="str">
        <f t="shared" si="631"/>
        <v/>
      </c>
      <c r="HT60" s="2254"/>
      <c r="HU60" s="2252"/>
      <c r="HV60" s="2253"/>
      <c r="HW60" s="2251" t="str">
        <f t="shared" si="632"/>
        <v/>
      </c>
      <c r="HX60" s="2248"/>
      <c r="HY60" s="2249"/>
      <c r="HZ60" s="2250"/>
      <c r="IA60" s="2251" t="str">
        <f t="shared" si="633"/>
        <v/>
      </c>
      <c r="IB60" s="2252"/>
      <c r="IC60" s="2253"/>
      <c r="ID60" s="2251" t="str">
        <f t="shared" si="634"/>
        <v/>
      </c>
      <c r="IE60" s="2254"/>
      <c r="IF60" s="2252"/>
      <c r="IG60" s="2253"/>
      <c r="IH60" s="2251" t="str">
        <f t="shared" si="635"/>
        <v/>
      </c>
      <c r="II60" s="2248"/>
      <c r="IJ60" s="2249"/>
      <c r="IK60" s="2250"/>
      <c r="IL60" s="2251" t="str">
        <f t="shared" si="636"/>
        <v/>
      </c>
      <c r="IM60" s="2252"/>
      <c r="IN60" s="2253"/>
      <c r="IO60" s="2251" t="str">
        <f t="shared" si="637"/>
        <v/>
      </c>
      <c r="IP60" s="2254"/>
      <c r="IQ60" s="2252"/>
      <c r="IR60" s="2253"/>
      <c r="IS60" s="2251" t="str">
        <f t="shared" si="638"/>
        <v/>
      </c>
      <c r="IT60" s="2248"/>
      <c r="IU60" s="2249"/>
      <c r="IV60" s="2250"/>
      <c r="IW60" s="2251" t="str">
        <f t="shared" si="639"/>
        <v/>
      </c>
      <c r="IX60" s="2252"/>
      <c r="IY60" s="2253"/>
      <c r="IZ60" s="2251" t="str">
        <f t="shared" si="640"/>
        <v/>
      </c>
      <c r="JA60" s="2254"/>
      <c r="JB60" s="2252"/>
      <c r="JC60" s="2253"/>
      <c r="JD60" s="2251" t="str">
        <f t="shared" si="641"/>
        <v/>
      </c>
      <c r="JE60" s="2248"/>
      <c r="JF60" s="2249"/>
      <c r="JG60" s="2250"/>
      <c r="JH60" s="2251" t="str">
        <f t="shared" si="642"/>
        <v/>
      </c>
      <c r="JI60" s="2252"/>
      <c r="JJ60" s="2253"/>
      <c r="JK60" s="2251" t="str">
        <f t="shared" si="643"/>
        <v/>
      </c>
      <c r="JL60" s="2254"/>
      <c r="JM60" s="2252"/>
      <c r="JN60" s="2253"/>
      <c r="JO60" s="2251" t="str">
        <f t="shared" si="644"/>
        <v/>
      </c>
      <c r="JP60" s="2248"/>
      <c r="JQ60" s="2249"/>
      <c r="JR60" s="2250"/>
      <c r="JS60" s="2251" t="str">
        <f t="shared" si="645"/>
        <v/>
      </c>
      <c r="JT60" s="2252"/>
      <c r="JU60" s="2253"/>
      <c r="JV60" s="2251" t="str">
        <f t="shared" si="646"/>
        <v/>
      </c>
      <c r="JW60" s="2254"/>
      <c r="JX60" s="2252"/>
      <c r="JY60" s="2253"/>
      <c r="JZ60" s="2251" t="str">
        <f t="shared" si="647"/>
        <v/>
      </c>
      <c r="KA60" s="2231"/>
    </row>
    <row r="61" spans="1:287" s="2156" customFormat="1" ht="18" customHeight="1">
      <c r="A61" s="2142" t="str">
        <f>'25 Sollumsatz nach Monaten'!A64</f>
        <v/>
      </c>
      <c r="B61" s="2161"/>
      <c r="C61" s="2162"/>
      <c r="D61" s="2143"/>
      <c r="E61" s="2144" t="str">
        <f>IF('25 Sollumsatz nach Monaten'!F64=0,"",'25 Sollumsatz nach Monaten'!F64)</f>
        <v/>
      </c>
      <c r="F61" s="2145" t="str">
        <f t="shared" si="544"/>
        <v/>
      </c>
      <c r="G61" s="2146" t="str">
        <f t="shared" si="545"/>
        <v/>
      </c>
      <c r="H61" s="2143"/>
      <c r="I61" s="2144" t="str">
        <f>IF('25 Sollumsatz nach Monaten'!G64=0,"",'25 Sollumsatz nach Monaten'!G64)</f>
        <v/>
      </c>
      <c r="J61" s="2145" t="str">
        <f t="shared" si="546"/>
        <v/>
      </c>
      <c r="K61" s="2158" t="str">
        <f t="shared" si="547"/>
        <v/>
      </c>
      <c r="L61" s="2148" t="str">
        <f t="shared" si="548"/>
        <v/>
      </c>
      <c r="M61" s="2161"/>
      <c r="N61" s="2162"/>
      <c r="O61" s="2143"/>
      <c r="P61" s="2149" t="str">
        <f>IF('25 Sollumsatz nach Monaten'!L64=0,"",'25 Sollumsatz nach Monaten'!L64)</f>
        <v/>
      </c>
      <c r="Q61" s="2150" t="str">
        <f t="shared" si="549"/>
        <v/>
      </c>
      <c r="R61" s="2151" t="str">
        <f t="shared" si="550"/>
        <v/>
      </c>
      <c r="S61" s="2143"/>
      <c r="T61" s="2149" t="str">
        <f>IF('25 Sollumsatz nach Monaten'!M64=0,"",'25 Sollumsatz nach Monaten'!M64)</f>
        <v/>
      </c>
      <c r="U61" s="2150" t="str">
        <f t="shared" si="551"/>
        <v/>
      </c>
      <c r="V61" s="2151" t="str">
        <f t="shared" si="552"/>
        <v/>
      </c>
      <c r="W61" s="2142" t="str">
        <f t="shared" si="553"/>
        <v/>
      </c>
      <c r="X61" s="2161"/>
      <c r="Y61" s="2162"/>
      <c r="Z61" s="2143"/>
      <c r="AA61" s="2144" t="str">
        <f>IF('25 Sollumsatz nach Monaten'!R64=0,"",'25 Sollumsatz nach Monaten'!R64)</f>
        <v/>
      </c>
      <c r="AB61" s="2145" t="str">
        <f t="shared" si="554"/>
        <v/>
      </c>
      <c r="AC61" s="2146" t="str">
        <f t="shared" si="555"/>
        <v/>
      </c>
      <c r="AD61" s="2147"/>
      <c r="AE61" s="2144" t="str">
        <f>IF('25 Sollumsatz nach Monaten'!S64=0,"",'25 Sollumsatz nach Monaten'!S64)</f>
        <v/>
      </c>
      <c r="AF61" s="2145" t="str">
        <f t="shared" si="556"/>
        <v/>
      </c>
      <c r="AG61" s="2158" t="str">
        <f t="shared" si="557"/>
        <v/>
      </c>
      <c r="AH61" s="2148" t="str">
        <f t="shared" si="558"/>
        <v/>
      </c>
      <c r="AI61" s="2161"/>
      <c r="AJ61" s="2162"/>
      <c r="AK61" s="2143"/>
      <c r="AL61" s="2149" t="str">
        <f>IF('25 Sollumsatz nach Monaten'!X64=0,"",'25 Sollumsatz nach Monaten'!X64)</f>
        <v/>
      </c>
      <c r="AM61" s="2150" t="str">
        <f t="shared" si="559"/>
        <v/>
      </c>
      <c r="AN61" s="2151" t="str">
        <f t="shared" si="560"/>
        <v/>
      </c>
      <c r="AO61" s="2143"/>
      <c r="AP61" s="2149" t="str">
        <f>IF('25 Sollumsatz nach Monaten'!Y64=0,"",'25 Sollumsatz nach Monaten'!Y64)</f>
        <v/>
      </c>
      <c r="AQ61" s="2150" t="str">
        <f t="shared" si="561"/>
        <v/>
      </c>
      <c r="AR61" s="2151" t="str">
        <f t="shared" si="562"/>
        <v/>
      </c>
      <c r="AS61" s="2142" t="str">
        <f t="shared" si="563"/>
        <v/>
      </c>
      <c r="AT61" s="2161"/>
      <c r="AU61" s="2162"/>
      <c r="AV61" s="2143"/>
      <c r="AW61" s="2144" t="str">
        <f>IF('25 Sollumsatz nach Monaten'!AD64=0,"",'25 Sollumsatz nach Monaten'!AD64)</f>
        <v/>
      </c>
      <c r="AX61" s="2145" t="str">
        <f t="shared" si="564"/>
        <v/>
      </c>
      <c r="AY61" s="2146" t="str">
        <f t="shared" si="565"/>
        <v/>
      </c>
      <c r="AZ61" s="2143"/>
      <c r="BA61" s="2144" t="str">
        <f>IF('25 Sollumsatz nach Monaten'!AE64=0,"",'25 Sollumsatz nach Monaten'!AE64)</f>
        <v/>
      </c>
      <c r="BB61" s="2145" t="str">
        <f t="shared" si="566"/>
        <v/>
      </c>
      <c r="BC61" s="2158" t="str">
        <f t="shared" si="567"/>
        <v/>
      </c>
      <c r="BD61" s="2148" t="str">
        <f t="shared" si="568"/>
        <v/>
      </c>
      <c r="BE61" s="2161"/>
      <c r="BF61" s="2162"/>
      <c r="BG61" s="2143"/>
      <c r="BH61" s="2149" t="str">
        <f>IF('25 Sollumsatz nach Monaten'!AJ64=0,"",'25 Sollumsatz nach Monaten'!AJ64)</f>
        <v/>
      </c>
      <c r="BI61" s="2150" t="str">
        <f t="shared" si="569"/>
        <v/>
      </c>
      <c r="BJ61" s="2151" t="str">
        <f t="shared" si="570"/>
        <v/>
      </c>
      <c r="BK61" s="2143"/>
      <c r="BL61" s="2149" t="str">
        <f>IF('25 Sollumsatz nach Monaten'!AK64=0,"",'25 Sollumsatz nach Monaten'!AK64)</f>
        <v/>
      </c>
      <c r="BM61" s="2150" t="str">
        <f t="shared" si="571"/>
        <v/>
      </c>
      <c r="BN61" s="2151" t="str">
        <f t="shared" si="572"/>
        <v/>
      </c>
      <c r="BO61" s="2142" t="str">
        <f t="shared" si="573"/>
        <v/>
      </c>
      <c r="BP61" s="2161"/>
      <c r="BQ61" s="2162"/>
      <c r="BR61" s="2143"/>
      <c r="BS61" s="2144" t="str">
        <f>IF('25 Sollumsatz nach Monaten'!AP64=0,"",'25 Sollumsatz nach Monaten'!AP64)</f>
        <v/>
      </c>
      <c r="BT61" s="2145" t="str">
        <f t="shared" si="574"/>
        <v/>
      </c>
      <c r="BU61" s="2146" t="str">
        <f t="shared" si="575"/>
        <v/>
      </c>
      <c r="BV61" s="2143"/>
      <c r="BW61" s="2144" t="str">
        <f>IF('25 Sollumsatz nach Monaten'!AQ64=0,"",'25 Sollumsatz nach Monaten'!AQ64)</f>
        <v/>
      </c>
      <c r="BX61" s="2145" t="str">
        <f t="shared" si="576"/>
        <v/>
      </c>
      <c r="BY61" s="2158" t="str">
        <f t="shared" si="577"/>
        <v/>
      </c>
      <c r="BZ61" s="2148" t="str">
        <f t="shared" si="578"/>
        <v/>
      </c>
      <c r="CA61" s="2161"/>
      <c r="CB61" s="2162"/>
      <c r="CC61" s="2143"/>
      <c r="CD61" s="2149" t="str">
        <f>IF('25 Sollumsatz nach Monaten'!AV64=0,"",'25 Sollumsatz nach Monaten'!AV64)</f>
        <v/>
      </c>
      <c r="CE61" s="2150" t="str">
        <f t="shared" si="579"/>
        <v/>
      </c>
      <c r="CF61" s="2151" t="str">
        <f t="shared" si="580"/>
        <v/>
      </c>
      <c r="CG61" s="2143"/>
      <c r="CH61" s="2149" t="str">
        <f>IF('25 Sollumsatz nach Monaten'!AW64=0,"",'25 Sollumsatz nach Monaten'!AW64)</f>
        <v/>
      </c>
      <c r="CI61" s="2150" t="str">
        <f t="shared" si="581"/>
        <v/>
      </c>
      <c r="CJ61" s="2151" t="str">
        <f t="shared" si="582"/>
        <v/>
      </c>
      <c r="CK61" s="2142" t="str">
        <f t="shared" si="583"/>
        <v/>
      </c>
      <c r="CL61" s="2161"/>
      <c r="CM61" s="2162"/>
      <c r="CN61" s="2143"/>
      <c r="CO61" s="2144" t="str">
        <f>IF('25 Sollumsatz nach Monaten'!BB64=0,"",'25 Sollumsatz nach Monaten'!BB64)</f>
        <v/>
      </c>
      <c r="CP61" s="2145" t="str">
        <f t="shared" si="584"/>
        <v/>
      </c>
      <c r="CQ61" s="2146" t="str">
        <f t="shared" si="585"/>
        <v/>
      </c>
      <c r="CR61" s="2143"/>
      <c r="CS61" s="2144" t="str">
        <f>IF('25 Sollumsatz nach Monaten'!BC64=0,"",'25 Sollumsatz nach Monaten'!BC64)</f>
        <v/>
      </c>
      <c r="CT61" s="2145" t="str">
        <f t="shared" si="586"/>
        <v/>
      </c>
      <c r="CU61" s="2158" t="str">
        <f t="shared" si="587"/>
        <v/>
      </c>
      <c r="CV61" s="2148" t="str">
        <f t="shared" si="588"/>
        <v/>
      </c>
      <c r="CW61" s="2161"/>
      <c r="CX61" s="2162"/>
      <c r="CY61" s="2143"/>
      <c r="CZ61" s="2149" t="str">
        <f>IF('25 Sollumsatz nach Monaten'!BH64=0,"",'25 Sollumsatz nach Monaten'!BH64)</f>
        <v/>
      </c>
      <c r="DA61" s="2150" t="str">
        <f t="shared" si="589"/>
        <v/>
      </c>
      <c r="DB61" s="2151" t="str">
        <f t="shared" si="590"/>
        <v/>
      </c>
      <c r="DC61" s="2143"/>
      <c r="DD61" s="2149" t="str">
        <f>IF('25 Sollumsatz nach Monaten'!BI64=0,"",'25 Sollumsatz nach Monaten'!BI64)</f>
        <v/>
      </c>
      <c r="DE61" s="2150" t="str">
        <f t="shared" si="591"/>
        <v/>
      </c>
      <c r="DF61" s="2151" t="str">
        <f t="shared" si="592"/>
        <v/>
      </c>
      <c r="DG61" s="2142" t="str">
        <f t="shared" si="593"/>
        <v/>
      </c>
      <c r="DH61" s="2161"/>
      <c r="DI61" s="2162"/>
      <c r="DJ61" s="2143"/>
      <c r="DK61" s="2144" t="str">
        <f>IF('25 Sollumsatz nach Monaten'!BN64=0,"",'25 Sollumsatz nach Monaten'!BN64)</f>
        <v/>
      </c>
      <c r="DL61" s="2145" t="str">
        <f t="shared" si="594"/>
        <v/>
      </c>
      <c r="DM61" s="2146" t="str">
        <f t="shared" si="595"/>
        <v/>
      </c>
      <c r="DN61" s="2143"/>
      <c r="DO61" s="2144" t="str">
        <f>IF('25 Sollumsatz nach Monaten'!BO64=0,"",'25 Sollumsatz nach Monaten'!BO64)</f>
        <v/>
      </c>
      <c r="DP61" s="2145" t="str">
        <f t="shared" si="596"/>
        <v/>
      </c>
      <c r="DQ61" s="2158" t="str">
        <f t="shared" si="597"/>
        <v/>
      </c>
      <c r="DR61" s="2148" t="str">
        <f t="shared" si="598"/>
        <v/>
      </c>
      <c r="DS61" s="2161"/>
      <c r="DT61" s="2162"/>
      <c r="DU61" s="2143"/>
      <c r="DV61" s="2149" t="str">
        <f>IF('25 Sollumsatz nach Monaten'!BT64=0,"",'25 Sollumsatz nach Monaten'!BT64)</f>
        <v/>
      </c>
      <c r="DW61" s="2150" t="str">
        <f t="shared" si="599"/>
        <v/>
      </c>
      <c r="DX61" s="2151" t="str">
        <f t="shared" si="600"/>
        <v/>
      </c>
      <c r="DY61" s="2143"/>
      <c r="DZ61" s="2149" t="str">
        <f>IF('25 Sollumsatz nach Monaten'!BU64=0,"",'25 Sollumsatz nach Monaten'!BU64)</f>
        <v/>
      </c>
      <c r="EA61" s="2150" t="str">
        <f t="shared" si="601"/>
        <v/>
      </c>
      <c r="EB61" s="2151" t="str">
        <f t="shared" si="602"/>
        <v/>
      </c>
      <c r="EC61" s="2152" t="str">
        <f t="shared" si="603"/>
        <v/>
      </c>
      <c r="ED61" s="2280" t="str">
        <f t="shared" si="604"/>
        <v/>
      </c>
      <c r="EE61" s="2153" t="str">
        <f t="shared" si="605"/>
        <v/>
      </c>
      <c r="EF61" s="2154" t="str">
        <f t="shared" si="606"/>
        <v/>
      </c>
      <c r="EG61" s="2155" t="str">
        <f t="shared" si="500"/>
        <v/>
      </c>
      <c r="EH61" s="2282" t="str">
        <f t="shared" si="607"/>
        <v/>
      </c>
      <c r="EI61" s="2153" t="str">
        <f t="shared" si="608"/>
        <v/>
      </c>
      <c r="EJ61" s="2154" t="str">
        <f t="shared" si="609"/>
        <v/>
      </c>
      <c r="EK61" s="2155" t="str">
        <f t="shared" si="610"/>
        <v/>
      </c>
      <c r="EL61" s="2160" t="str">
        <f t="shared" si="505"/>
        <v/>
      </c>
      <c r="EM61" s="2160" t="str">
        <f t="shared" si="506"/>
        <v/>
      </c>
      <c r="EN61" s="2160" t="str">
        <f t="shared" si="507"/>
        <v/>
      </c>
      <c r="EO61" s="2152" t="str">
        <f t="shared" si="611"/>
        <v/>
      </c>
      <c r="EP61" s="2312" t="str">
        <f>IF('25 Sollumsatz nach Monaten'!BV64="","",SUM(EQ61:ER61))</f>
        <v/>
      </c>
      <c r="EQ61" s="2312" t="str">
        <f>IF('25 Sollumsatz nach Monaten'!BV64="","",ED61/'25 Sollumsatz nach Monaten'!BV64)</f>
        <v/>
      </c>
      <c r="ER61" s="2312" t="str">
        <f>IF('25 Sollumsatz nach Monaten'!BV64="","",EH61/'25 Sollumsatz nach Monaten'!BV64)</f>
        <v/>
      </c>
      <c r="EY61" s="2248"/>
      <c r="EZ61" s="2249"/>
      <c r="FA61" s="2250"/>
      <c r="FB61" s="2251" t="str">
        <f t="shared" si="612"/>
        <v/>
      </c>
      <c r="FC61" s="2252"/>
      <c r="FD61" s="2253"/>
      <c r="FE61" s="2251" t="str">
        <f t="shared" si="613"/>
        <v/>
      </c>
      <c r="FF61" s="2254"/>
      <c r="FG61" s="2252"/>
      <c r="FH61" s="2253"/>
      <c r="FI61" s="2251" t="str">
        <f t="shared" si="614"/>
        <v/>
      </c>
      <c r="FJ61" s="2248"/>
      <c r="FK61" s="2249"/>
      <c r="FL61" s="2250"/>
      <c r="FM61" s="2251" t="str">
        <f t="shared" si="615"/>
        <v/>
      </c>
      <c r="FN61" s="2252"/>
      <c r="FO61" s="2253"/>
      <c r="FP61" s="2251" t="str">
        <f t="shared" si="616"/>
        <v/>
      </c>
      <c r="FQ61" s="2254"/>
      <c r="FR61" s="2252"/>
      <c r="FS61" s="2253"/>
      <c r="FT61" s="2251" t="str">
        <f t="shared" si="617"/>
        <v/>
      </c>
      <c r="FU61" s="2248"/>
      <c r="FV61" s="2249"/>
      <c r="FW61" s="2250"/>
      <c r="FX61" s="2251" t="str">
        <f t="shared" si="618"/>
        <v/>
      </c>
      <c r="FY61" s="2252"/>
      <c r="FZ61" s="2253"/>
      <c r="GA61" s="2251" t="str">
        <f t="shared" si="619"/>
        <v/>
      </c>
      <c r="GB61" s="2254"/>
      <c r="GC61" s="2252"/>
      <c r="GD61" s="2253"/>
      <c r="GE61" s="2251" t="str">
        <f t="shared" si="620"/>
        <v/>
      </c>
      <c r="GF61" s="2248"/>
      <c r="GG61" s="2249"/>
      <c r="GH61" s="2250"/>
      <c r="GI61" s="2251" t="str">
        <f t="shared" si="621"/>
        <v/>
      </c>
      <c r="GJ61" s="2252"/>
      <c r="GK61" s="2253"/>
      <c r="GL61" s="2251" t="str">
        <f t="shared" si="622"/>
        <v/>
      </c>
      <c r="GM61" s="2254"/>
      <c r="GN61" s="2252"/>
      <c r="GO61" s="2253"/>
      <c r="GP61" s="2251" t="str">
        <f t="shared" si="623"/>
        <v/>
      </c>
      <c r="GQ61" s="2248"/>
      <c r="GR61" s="2249"/>
      <c r="GS61" s="2250"/>
      <c r="GT61" s="2251" t="str">
        <f t="shared" si="624"/>
        <v/>
      </c>
      <c r="GU61" s="2252"/>
      <c r="GV61" s="2253"/>
      <c r="GW61" s="2251" t="str">
        <f t="shared" si="625"/>
        <v/>
      </c>
      <c r="GX61" s="2254"/>
      <c r="GY61" s="2252"/>
      <c r="GZ61" s="2253"/>
      <c r="HA61" s="2251" t="str">
        <f t="shared" si="626"/>
        <v/>
      </c>
      <c r="HB61" s="2248"/>
      <c r="HC61" s="2249"/>
      <c r="HD61" s="2250"/>
      <c r="HE61" s="2251" t="str">
        <f t="shared" si="627"/>
        <v/>
      </c>
      <c r="HF61" s="2252"/>
      <c r="HG61" s="2253"/>
      <c r="HH61" s="2251" t="str">
        <f t="shared" si="628"/>
        <v/>
      </c>
      <c r="HI61" s="2254"/>
      <c r="HJ61" s="2252"/>
      <c r="HK61" s="2253"/>
      <c r="HL61" s="2251" t="str">
        <f t="shared" si="629"/>
        <v/>
      </c>
      <c r="HM61" s="2248"/>
      <c r="HN61" s="2249"/>
      <c r="HO61" s="2250"/>
      <c r="HP61" s="2251" t="str">
        <f t="shared" si="630"/>
        <v/>
      </c>
      <c r="HQ61" s="2252"/>
      <c r="HR61" s="2253"/>
      <c r="HS61" s="2251" t="str">
        <f t="shared" si="631"/>
        <v/>
      </c>
      <c r="HT61" s="2254"/>
      <c r="HU61" s="2252"/>
      <c r="HV61" s="2253"/>
      <c r="HW61" s="2251" t="str">
        <f t="shared" si="632"/>
        <v/>
      </c>
      <c r="HX61" s="2248"/>
      <c r="HY61" s="2249"/>
      <c r="HZ61" s="2250"/>
      <c r="IA61" s="2251" t="str">
        <f t="shared" si="633"/>
        <v/>
      </c>
      <c r="IB61" s="2252"/>
      <c r="IC61" s="2253"/>
      <c r="ID61" s="2251" t="str">
        <f t="shared" si="634"/>
        <v/>
      </c>
      <c r="IE61" s="2254"/>
      <c r="IF61" s="2252"/>
      <c r="IG61" s="2253"/>
      <c r="IH61" s="2251" t="str">
        <f t="shared" si="635"/>
        <v/>
      </c>
      <c r="II61" s="2248"/>
      <c r="IJ61" s="2249"/>
      <c r="IK61" s="2250"/>
      <c r="IL61" s="2251" t="str">
        <f t="shared" si="636"/>
        <v/>
      </c>
      <c r="IM61" s="2252"/>
      <c r="IN61" s="2253"/>
      <c r="IO61" s="2251" t="str">
        <f t="shared" si="637"/>
        <v/>
      </c>
      <c r="IP61" s="2254"/>
      <c r="IQ61" s="2252"/>
      <c r="IR61" s="2253"/>
      <c r="IS61" s="2251" t="str">
        <f t="shared" si="638"/>
        <v/>
      </c>
      <c r="IT61" s="2248"/>
      <c r="IU61" s="2249"/>
      <c r="IV61" s="2250"/>
      <c r="IW61" s="2251" t="str">
        <f t="shared" si="639"/>
        <v/>
      </c>
      <c r="IX61" s="2252"/>
      <c r="IY61" s="2253"/>
      <c r="IZ61" s="2251" t="str">
        <f t="shared" si="640"/>
        <v/>
      </c>
      <c r="JA61" s="2254"/>
      <c r="JB61" s="2252"/>
      <c r="JC61" s="2253"/>
      <c r="JD61" s="2251" t="str">
        <f t="shared" si="641"/>
        <v/>
      </c>
      <c r="JE61" s="2248"/>
      <c r="JF61" s="2249"/>
      <c r="JG61" s="2250"/>
      <c r="JH61" s="2251" t="str">
        <f t="shared" si="642"/>
        <v/>
      </c>
      <c r="JI61" s="2252"/>
      <c r="JJ61" s="2253"/>
      <c r="JK61" s="2251" t="str">
        <f t="shared" si="643"/>
        <v/>
      </c>
      <c r="JL61" s="2254"/>
      <c r="JM61" s="2252"/>
      <c r="JN61" s="2253"/>
      <c r="JO61" s="2251" t="str">
        <f t="shared" si="644"/>
        <v/>
      </c>
      <c r="JP61" s="2248"/>
      <c r="JQ61" s="2249"/>
      <c r="JR61" s="2250"/>
      <c r="JS61" s="2251" t="str">
        <f t="shared" si="645"/>
        <v/>
      </c>
      <c r="JT61" s="2252"/>
      <c r="JU61" s="2253"/>
      <c r="JV61" s="2251" t="str">
        <f t="shared" si="646"/>
        <v/>
      </c>
      <c r="JW61" s="2254"/>
      <c r="JX61" s="2252"/>
      <c r="JY61" s="2253"/>
      <c r="JZ61" s="2251" t="str">
        <f t="shared" si="647"/>
        <v/>
      </c>
      <c r="KA61" s="2231"/>
    </row>
    <row r="62" spans="1:287" s="2156" customFormat="1" ht="18" customHeight="1">
      <c r="A62" s="2142" t="str">
        <f>'25 Sollumsatz nach Monaten'!A65</f>
        <v/>
      </c>
      <c r="B62" s="2161"/>
      <c r="C62" s="2162"/>
      <c r="D62" s="2143"/>
      <c r="E62" s="2144" t="str">
        <f>IF('25 Sollumsatz nach Monaten'!F65=0,"",'25 Sollumsatz nach Monaten'!F65)</f>
        <v/>
      </c>
      <c r="F62" s="2145" t="str">
        <f t="shared" si="544"/>
        <v/>
      </c>
      <c r="G62" s="2146" t="str">
        <f t="shared" si="545"/>
        <v/>
      </c>
      <c r="H62" s="2143"/>
      <c r="I62" s="2144" t="str">
        <f>IF('25 Sollumsatz nach Monaten'!G65=0,"",'25 Sollumsatz nach Monaten'!G65)</f>
        <v/>
      </c>
      <c r="J62" s="2145" t="str">
        <f t="shared" si="546"/>
        <v/>
      </c>
      <c r="K62" s="2158" t="str">
        <f t="shared" si="547"/>
        <v/>
      </c>
      <c r="L62" s="2148" t="str">
        <f t="shared" si="548"/>
        <v/>
      </c>
      <c r="M62" s="2161"/>
      <c r="N62" s="2162"/>
      <c r="O62" s="2143"/>
      <c r="P62" s="2149" t="str">
        <f>IF('25 Sollumsatz nach Monaten'!L65=0,"",'25 Sollumsatz nach Monaten'!L65)</f>
        <v/>
      </c>
      <c r="Q62" s="2150" t="str">
        <f t="shared" si="549"/>
        <v/>
      </c>
      <c r="R62" s="2151" t="str">
        <f t="shared" si="550"/>
        <v/>
      </c>
      <c r="S62" s="2143"/>
      <c r="T62" s="2149" t="str">
        <f>IF('25 Sollumsatz nach Monaten'!M65=0,"",'25 Sollumsatz nach Monaten'!M65)</f>
        <v/>
      </c>
      <c r="U62" s="2150" t="str">
        <f t="shared" si="551"/>
        <v/>
      </c>
      <c r="V62" s="2151" t="str">
        <f t="shared" si="552"/>
        <v/>
      </c>
      <c r="W62" s="2142" t="str">
        <f t="shared" si="553"/>
        <v/>
      </c>
      <c r="X62" s="2161"/>
      <c r="Y62" s="2162"/>
      <c r="Z62" s="2143"/>
      <c r="AA62" s="2144" t="str">
        <f>IF('25 Sollumsatz nach Monaten'!R65=0,"",'25 Sollumsatz nach Monaten'!R65)</f>
        <v/>
      </c>
      <c r="AB62" s="2145" t="str">
        <f t="shared" si="554"/>
        <v/>
      </c>
      <c r="AC62" s="2146" t="str">
        <f t="shared" si="555"/>
        <v/>
      </c>
      <c r="AD62" s="2147"/>
      <c r="AE62" s="2144" t="str">
        <f>IF('25 Sollumsatz nach Monaten'!S65=0,"",'25 Sollumsatz nach Monaten'!S65)</f>
        <v/>
      </c>
      <c r="AF62" s="2145" t="str">
        <f t="shared" si="556"/>
        <v/>
      </c>
      <c r="AG62" s="2158" t="str">
        <f t="shared" si="557"/>
        <v/>
      </c>
      <c r="AH62" s="2148" t="str">
        <f t="shared" si="558"/>
        <v/>
      </c>
      <c r="AI62" s="2161"/>
      <c r="AJ62" s="2162"/>
      <c r="AK62" s="2143"/>
      <c r="AL62" s="2149" t="str">
        <f>IF('25 Sollumsatz nach Monaten'!X65=0,"",'25 Sollumsatz nach Monaten'!X65)</f>
        <v/>
      </c>
      <c r="AM62" s="2150" t="str">
        <f t="shared" si="559"/>
        <v/>
      </c>
      <c r="AN62" s="2151" t="str">
        <f t="shared" si="560"/>
        <v/>
      </c>
      <c r="AO62" s="2143"/>
      <c r="AP62" s="2149" t="str">
        <f>IF('25 Sollumsatz nach Monaten'!Y65=0,"",'25 Sollumsatz nach Monaten'!Y65)</f>
        <v/>
      </c>
      <c r="AQ62" s="2150" t="str">
        <f t="shared" si="561"/>
        <v/>
      </c>
      <c r="AR62" s="2151" t="str">
        <f t="shared" si="562"/>
        <v/>
      </c>
      <c r="AS62" s="2142" t="str">
        <f t="shared" si="563"/>
        <v/>
      </c>
      <c r="AT62" s="2161"/>
      <c r="AU62" s="2162"/>
      <c r="AV62" s="2143"/>
      <c r="AW62" s="2144" t="str">
        <f>IF('25 Sollumsatz nach Monaten'!AD65=0,"",'25 Sollumsatz nach Monaten'!AD65)</f>
        <v/>
      </c>
      <c r="AX62" s="2145" t="str">
        <f t="shared" si="564"/>
        <v/>
      </c>
      <c r="AY62" s="2146" t="str">
        <f t="shared" si="565"/>
        <v/>
      </c>
      <c r="AZ62" s="2143"/>
      <c r="BA62" s="2144" t="str">
        <f>IF('25 Sollumsatz nach Monaten'!AE65=0,"",'25 Sollumsatz nach Monaten'!AE65)</f>
        <v/>
      </c>
      <c r="BB62" s="2145" t="str">
        <f t="shared" si="566"/>
        <v/>
      </c>
      <c r="BC62" s="2158" t="str">
        <f t="shared" si="567"/>
        <v/>
      </c>
      <c r="BD62" s="2148" t="str">
        <f t="shared" si="568"/>
        <v/>
      </c>
      <c r="BE62" s="2161"/>
      <c r="BF62" s="2162"/>
      <c r="BG62" s="2143"/>
      <c r="BH62" s="2149" t="str">
        <f>IF('25 Sollumsatz nach Monaten'!AJ65=0,"",'25 Sollumsatz nach Monaten'!AJ65)</f>
        <v/>
      </c>
      <c r="BI62" s="2150" t="str">
        <f t="shared" si="569"/>
        <v/>
      </c>
      <c r="BJ62" s="2151" t="str">
        <f t="shared" si="570"/>
        <v/>
      </c>
      <c r="BK62" s="2143"/>
      <c r="BL62" s="2149" t="str">
        <f>IF('25 Sollumsatz nach Monaten'!AK65=0,"",'25 Sollumsatz nach Monaten'!AK65)</f>
        <v/>
      </c>
      <c r="BM62" s="2150" t="str">
        <f t="shared" si="571"/>
        <v/>
      </c>
      <c r="BN62" s="2151" t="str">
        <f t="shared" si="572"/>
        <v/>
      </c>
      <c r="BO62" s="2142" t="str">
        <f t="shared" si="573"/>
        <v/>
      </c>
      <c r="BP62" s="2161"/>
      <c r="BQ62" s="2162"/>
      <c r="BR62" s="2143"/>
      <c r="BS62" s="2144" t="str">
        <f>IF('25 Sollumsatz nach Monaten'!AP65=0,"",'25 Sollumsatz nach Monaten'!AP65)</f>
        <v/>
      </c>
      <c r="BT62" s="2145" t="str">
        <f t="shared" si="574"/>
        <v/>
      </c>
      <c r="BU62" s="2146" t="str">
        <f t="shared" si="575"/>
        <v/>
      </c>
      <c r="BV62" s="2143"/>
      <c r="BW62" s="2144" t="str">
        <f>IF('25 Sollumsatz nach Monaten'!AQ65=0,"",'25 Sollumsatz nach Monaten'!AQ65)</f>
        <v/>
      </c>
      <c r="BX62" s="2145" t="str">
        <f t="shared" si="576"/>
        <v/>
      </c>
      <c r="BY62" s="2158" t="str">
        <f t="shared" si="577"/>
        <v/>
      </c>
      <c r="BZ62" s="2148" t="str">
        <f t="shared" si="578"/>
        <v/>
      </c>
      <c r="CA62" s="2161"/>
      <c r="CB62" s="2162"/>
      <c r="CC62" s="2143"/>
      <c r="CD62" s="2149" t="str">
        <f>IF('25 Sollumsatz nach Monaten'!AV65=0,"",'25 Sollumsatz nach Monaten'!AV65)</f>
        <v/>
      </c>
      <c r="CE62" s="2150" t="str">
        <f t="shared" si="579"/>
        <v/>
      </c>
      <c r="CF62" s="2151" t="str">
        <f t="shared" si="580"/>
        <v/>
      </c>
      <c r="CG62" s="2143"/>
      <c r="CH62" s="2149" t="str">
        <f>IF('25 Sollumsatz nach Monaten'!AW65=0,"",'25 Sollumsatz nach Monaten'!AW65)</f>
        <v/>
      </c>
      <c r="CI62" s="2150" t="str">
        <f t="shared" si="581"/>
        <v/>
      </c>
      <c r="CJ62" s="2151" t="str">
        <f t="shared" si="582"/>
        <v/>
      </c>
      <c r="CK62" s="2142" t="str">
        <f t="shared" si="583"/>
        <v/>
      </c>
      <c r="CL62" s="2161"/>
      <c r="CM62" s="2162"/>
      <c r="CN62" s="2143"/>
      <c r="CO62" s="2144" t="str">
        <f>IF('25 Sollumsatz nach Monaten'!BB65=0,"",'25 Sollumsatz nach Monaten'!BB65)</f>
        <v/>
      </c>
      <c r="CP62" s="2145" t="str">
        <f t="shared" si="584"/>
        <v/>
      </c>
      <c r="CQ62" s="2146" t="str">
        <f t="shared" si="585"/>
        <v/>
      </c>
      <c r="CR62" s="2143"/>
      <c r="CS62" s="2144" t="str">
        <f>IF('25 Sollumsatz nach Monaten'!BC65=0,"",'25 Sollumsatz nach Monaten'!BC65)</f>
        <v/>
      </c>
      <c r="CT62" s="2145" t="str">
        <f t="shared" si="586"/>
        <v/>
      </c>
      <c r="CU62" s="2158" t="str">
        <f t="shared" si="587"/>
        <v/>
      </c>
      <c r="CV62" s="2148" t="str">
        <f t="shared" si="588"/>
        <v/>
      </c>
      <c r="CW62" s="2161"/>
      <c r="CX62" s="2162"/>
      <c r="CY62" s="2143"/>
      <c r="CZ62" s="2149" t="str">
        <f>IF('25 Sollumsatz nach Monaten'!BH65=0,"",'25 Sollumsatz nach Monaten'!BH65)</f>
        <v/>
      </c>
      <c r="DA62" s="2150" t="str">
        <f t="shared" si="589"/>
        <v/>
      </c>
      <c r="DB62" s="2151" t="str">
        <f t="shared" si="590"/>
        <v/>
      </c>
      <c r="DC62" s="2143"/>
      <c r="DD62" s="2149" t="str">
        <f>IF('25 Sollumsatz nach Monaten'!BI65=0,"",'25 Sollumsatz nach Monaten'!BI65)</f>
        <v/>
      </c>
      <c r="DE62" s="2150" t="str">
        <f t="shared" si="591"/>
        <v/>
      </c>
      <c r="DF62" s="2151" t="str">
        <f t="shared" si="592"/>
        <v/>
      </c>
      <c r="DG62" s="2142" t="str">
        <f t="shared" si="593"/>
        <v/>
      </c>
      <c r="DH62" s="2161"/>
      <c r="DI62" s="2162"/>
      <c r="DJ62" s="2143"/>
      <c r="DK62" s="2144" t="str">
        <f>IF('25 Sollumsatz nach Monaten'!BN65=0,"",'25 Sollumsatz nach Monaten'!BN65)</f>
        <v/>
      </c>
      <c r="DL62" s="2145" t="str">
        <f t="shared" si="594"/>
        <v/>
      </c>
      <c r="DM62" s="2146" t="str">
        <f t="shared" si="595"/>
        <v/>
      </c>
      <c r="DN62" s="2143"/>
      <c r="DO62" s="2144" t="str">
        <f>IF('25 Sollumsatz nach Monaten'!BO65=0,"",'25 Sollumsatz nach Monaten'!BO65)</f>
        <v/>
      </c>
      <c r="DP62" s="2145" t="str">
        <f t="shared" si="596"/>
        <v/>
      </c>
      <c r="DQ62" s="2158" t="str">
        <f t="shared" si="597"/>
        <v/>
      </c>
      <c r="DR62" s="2148" t="str">
        <f t="shared" si="598"/>
        <v/>
      </c>
      <c r="DS62" s="2161"/>
      <c r="DT62" s="2162"/>
      <c r="DU62" s="2143"/>
      <c r="DV62" s="2149" t="str">
        <f>IF('25 Sollumsatz nach Monaten'!BT65=0,"",'25 Sollumsatz nach Monaten'!BT65)</f>
        <v/>
      </c>
      <c r="DW62" s="2150" t="str">
        <f t="shared" si="599"/>
        <v/>
      </c>
      <c r="DX62" s="2151" t="str">
        <f t="shared" si="600"/>
        <v/>
      </c>
      <c r="DY62" s="2143"/>
      <c r="DZ62" s="2149" t="str">
        <f>IF('25 Sollumsatz nach Monaten'!BU65=0,"",'25 Sollumsatz nach Monaten'!BU65)</f>
        <v/>
      </c>
      <c r="EA62" s="2150" t="str">
        <f t="shared" si="601"/>
        <v/>
      </c>
      <c r="EB62" s="2151" t="str">
        <f t="shared" si="602"/>
        <v/>
      </c>
      <c r="EC62" s="2152" t="str">
        <f t="shared" si="603"/>
        <v/>
      </c>
      <c r="ED62" s="2280" t="str">
        <f t="shared" si="604"/>
        <v/>
      </c>
      <c r="EE62" s="2153" t="str">
        <f t="shared" si="605"/>
        <v/>
      </c>
      <c r="EF62" s="2154" t="str">
        <f t="shared" si="606"/>
        <v/>
      </c>
      <c r="EG62" s="2155" t="str">
        <f t="shared" si="500"/>
        <v/>
      </c>
      <c r="EH62" s="2282" t="str">
        <f t="shared" si="607"/>
        <v/>
      </c>
      <c r="EI62" s="2153" t="str">
        <f t="shared" si="608"/>
        <v/>
      </c>
      <c r="EJ62" s="2154" t="str">
        <f t="shared" si="609"/>
        <v/>
      </c>
      <c r="EK62" s="2155" t="str">
        <f t="shared" si="610"/>
        <v/>
      </c>
      <c r="EL62" s="2160" t="str">
        <f t="shared" si="505"/>
        <v/>
      </c>
      <c r="EM62" s="2160" t="str">
        <f t="shared" si="506"/>
        <v/>
      </c>
      <c r="EN62" s="2160" t="str">
        <f t="shared" si="507"/>
        <v/>
      </c>
      <c r="EO62" s="2152" t="str">
        <f t="shared" si="611"/>
        <v/>
      </c>
      <c r="EP62" s="2312" t="str">
        <f>IF('25 Sollumsatz nach Monaten'!BV65="","",SUM(EQ62:ER62))</f>
        <v/>
      </c>
      <c r="EQ62" s="2312" t="str">
        <f>IF('25 Sollumsatz nach Monaten'!BV65="","",ED62/'25 Sollumsatz nach Monaten'!BV65)</f>
        <v/>
      </c>
      <c r="ER62" s="2312" t="str">
        <f>IF('25 Sollumsatz nach Monaten'!BV65="","",EH62/'25 Sollumsatz nach Monaten'!BV65)</f>
        <v/>
      </c>
      <c r="EY62" s="2248"/>
      <c r="EZ62" s="2249"/>
      <c r="FA62" s="2250"/>
      <c r="FB62" s="2251" t="str">
        <f t="shared" si="612"/>
        <v/>
      </c>
      <c r="FC62" s="2252"/>
      <c r="FD62" s="2253"/>
      <c r="FE62" s="2251" t="str">
        <f t="shared" si="613"/>
        <v/>
      </c>
      <c r="FF62" s="2254"/>
      <c r="FG62" s="2252"/>
      <c r="FH62" s="2253"/>
      <c r="FI62" s="2251" t="str">
        <f t="shared" si="614"/>
        <v/>
      </c>
      <c r="FJ62" s="2248"/>
      <c r="FK62" s="2249"/>
      <c r="FL62" s="2250"/>
      <c r="FM62" s="2251" t="str">
        <f t="shared" si="615"/>
        <v/>
      </c>
      <c r="FN62" s="2252"/>
      <c r="FO62" s="2253"/>
      <c r="FP62" s="2251" t="str">
        <f t="shared" si="616"/>
        <v/>
      </c>
      <c r="FQ62" s="2254"/>
      <c r="FR62" s="2252"/>
      <c r="FS62" s="2253"/>
      <c r="FT62" s="2251" t="str">
        <f t="shared" si="617"/>
        <v/>
      </c>
      <c r="FU62" s="2248"/>
      <c r="FV62" s="2249"/>
      <c r="FW62" s="2250"/>
      <c r="FX62" s="2251" t="str">
        <f t="shared" si="618"/>
        <v/>
      </c>
      <c r="FY62" s="2252"/>
      <c r="FZ62" s="2253"/>
      <c r="GA62" s="2251" t="str">
        <f t="shared" si="619"/>
        <v/>
      </c>
      <c r="GB62" s="2254"/>
      <c r="GC62" s="2252"/>
      <c r="GD62" s="2253"/>
      <c r="GE62" s="2251" t="str">
        <f t="shared" si="620"/>
        <v/>
      </c>
      <c r="GF62" s="2248"/>
      <c r="GG62" s="2249"/>
      <c r="GH62" s="2250"/>
      <c r="GI62" s="2251" t="str">
        <f t="shared" si="621"/>
        <v/>
      </c>
      <c r="GJ62" s="2252"/>
      <c r="GK62" s="2253"/>
      <c r="GL62" s="2251" t="str">
        <f t="shared" si="622"/>
        <v/>
      </c>
      <c r="GM62" s="2254"/>
      <c r="GN62" s="2252"/>
      <c r="GO62" s="2253"/>
      <c r="GP62" s="2251" t="str">
        <f t="shared" si="623"/>
        <v/>
      </c>
      <c r="GQ62" s="2248"/>
      <c r="GR62" s="2249"/>
      <c r="GS62" s="2250"/>
      <c r="GT62" s="2251" t="str">
        <f t="shared" si="624"/>
        <v/>
      </c>
      <c r="GU62" s="2252"/>
      <c r="GV62" s="2253"/>
      <c r="GW62" s="2251" t="str">
        <f t="shared" si="625"/>
        <v/>
      </c>
      <c r="GX62" s="2254"/>
      <c r="GY62" s="2252"/>
      <c r="GZ62" s="2253"/>
      <c r="HA62" s="2251" t="str">
        <f t="shared" si="626"/>
        <v/>
      </c>
      <c r="HB62" s="2248"/>
      <c r="HC62" s="2249"/>
      <c r="HD62" s="2250"/>
      <c r="HE62" s="2251" t="str">
        <f t="shared" si="627"/>
        <v/>
      </c>
      <c r="HF62" s="2252"/>
      <c r="HG62" s="2253"/>
      <c r="HH62" s="2251" t="str">
        <f t="shared" si="628"/>
        <v/>
      </c>
      <c r="HI62" s="2254"/>
      <c r="HJ62" s="2252"/>
      <c r="HK62" s="2253"/>
      <c r="HL62" s="2251" t="str">
        <f t="shared" si="629"/>
        <v/>
      </c>
      <c r="HM62" s="2248"/>
      <c r="HN62" s="2249"/>
      <c r="HO62" s="2250"/>
      <c r="HP62" s="2251" t="str">
        <f t="shared" si="630"/>
        <v/>
      </c>
      <c r="HQ62" s="2252"/>
      <c r="HR62" s="2253"/>
      <c r="HS62" s="2251" t="str">
        <f t="shared" si="631"/>
        <v/>
      </c>
      <c r="HT62" s="2254"/>
      <c r="HU62" s="2252"/>
      <c r="HV62" s="2253"/>
      <c r="HW62" s="2251" t="str">
        <f t="shared" si="632"/>
        <v/>
      </c>
      <c r="HX62" s="2248"/>
      <c r="HY62" s="2249"/>
      <c r="HZ62" s="2250"/>
      <c r="IA62" s="2251" t="str">
        <f t="shared" si="633"/>
        <v/>
      </c>
      <c r="IB62" s="2252"/>
      <c r="IC62" s="2253"/>
      <c r="ID62" s="2251" t="str">
        <f t="shared" si="634"/>
        <v/>
      </c>
      <c r="IE62" s="2254"/>
      <c r="IF62" s="2252"/>
      <c r="IG62" s="2253"/>
      <c r="IH62" s="2251" t="str">
        <f t="shared" si="635"/>
        <v/>
      </c>
      <c r="II62" s="2248"/>
      <c r="IJ62" s="2249"/>
      <c r="IK62" s="2250"/>
      <c r="IL62" s="2251" t="str">
        <f t="shared" si="636"/>
        <v/>
      </c>
      <c r="IM62" s="2252"/>
      <c r="IN62" s="2253"/>
      <c r="IO62" s="2251" t="str">
        <f t="shared" si="637"/>
        <v/>
      </c>
      <c r="IP62" s="2254"/>
      <c r="IQ62" s="2252"/>
      <c r="IR62" s="2253"/>
      <c r="IS62" s="2251" t="str">
        <f t="shared" si="638"/>
        <v/>
      </c>
      <c r="IT62" s="2248"/>
      <c r="IU62" s="2249"/>
      <c r="IV62" s="2250"/>
      <c r="IW62" s="2251" t="str">
        <f t="shared" si="639"/>
        <v/>
      </c>
      <c r="IX62" s="2252"/>
      <c r="IY62" s="2253"/>
      <c r="IZ62" s="2251" t="str">
        <f t="shared" si="640"/>
        <v/>
      </c>
      <c r="JA62" s="2254"/>
      <c r="JB62" s="2252"/>
      <c r="JC62" s="2253"/>
      <c r="JD62" s="2251" t="str">
        <f t="shared" si="641"/>
        <v/>
      </c>
      <c r="JE62" s="2248"/>
      <c r="JF62" s="2249"/>
      <c r="JG62" s="2250"/>
      <c r="JH62" s="2251" t="str">
        <f t="shared" si="642"/>
        <v/>
      </c>
      <c r="JI62" s="2252"/>
      <c r="JJ62" s="2253"/>
      <c r="JK62" s="2251" t="str">
        <f t="shared" si="643"/>
        <v/>
      </c>
      <c r="JL62" s="2254"/>
      <c r="JM62" s="2252"/>
      <c r="JN62" s="2253"/>
      <c r="JO62" s="2251" t="str">
        <f t="shared" si="644"/>
        <v/>
      </c>
      <c r="JP62" s="2248"/>
      <c r="JQ62" s="2249"/>
      <c r="JR62" s="2250"/>
      <c r="JS62" s="2251" t="str">
        <f t="shared" si="645"/>
        <v/>
      </c>
      <c r="JT62" s="2252"/>
      <c r="JU62" s="2253"/>
      <c r="JV62" s="2251" t="str">
        <f t="shared" si="646"/>
        <v/>
      </c>
      <c r="JW62" s="2254"/>
      <c r="JX62" s="2252"/>
      <c r="JY62" s="2253"/>
      <c r="JZ62" s="2251" t="str">
        <f t="shared" si="647"/>
        <v/>
      </c>
      <c r="KA62" s="2231"/>
    </row>
    <row r="63" spans="1:287" s="2156" customFormat="1" ht="18" customHeight="1">
      <c r="A63" s="2142" t="str">
        <f>'25 Sollumsatz nach Monaten'!A66</f>
        <v/>
      </c>
      <c r="B63" s="2161"/>
      <c r="C63" s="2162"/>
      <c r="D63" s="2143"/>
      <c r="E63" s="2144" t="str">
        <f>IF('25 Sollumsatz nach Monaten'!F66=0,"",'25 Sollumsatz nach Monaten'!F66)</f>
        <v/>
      </c>
      <c r="F63" s="2145" t="str">
        <f t="shared" si="544"/>
        <v/>
      </c>
      <c r="G63" s="2146" t="str">
        <f t="shared" si="545"/>
        <v/>
      </c>
      <c r="H63" s="2143"/>
      <c r="I63" s="2144" t="str">
        <f>IF('25 Sollumsatz nach Monaten'!G66=0,"",'25 Sollumsatz nach Monaten'!G66)</f>
        <v/>
      </c>
      <c r="J63" s="2145" t="str">
        <f t="shared" si="546"/>
        <v/>
      </c>
      <c r="K63" s="2158" t="str">
        <f t="shared" si="547"/>
        <v/>
      </c>
      <c r="L63" s="2148" t="str">
        <f t="shared" si="548"/>
        <v/>
      </c>
      <c r="M63" s="2161"/>
      <c r="N63" s="2162"/>
      <c r="O63" s="2143"/>
      <c r="P63" s="2149" t="str">
        <f>IF('25 Sollumsatz nach Monaten'!L66=0,"",'25 Sollumsatz nach Monaten'!L66)</f>
        <v/>
      </c>
      <c r="Q63" s="2150" t="str">
        <f t="shared" si="549"/>
        <v/>
      </c>
      <c r="R63" s="2151" t="str">
        <f t="shared" si="550"/>
        <v/>
      </c>
      <c r="S63" s="2143"/>
      <c r="T63" s="2149" t="str">
        <f>IF('25 Sollumsatz nach Monaten'!M66=0,"",'25 Sollumsatz nach Monaten'!M66)</f>
        <v/>
      </c>
      <c r="U63" s="2150" t="str">
        <f t="shared" si="551"/>
        <v/>
      </c>
      <c r="V63" s="2151" t="str">
        <f t="shared" si="552"/>
        <v/>
      </c>
      <c r="W63" s="2142" t="str">
        <f t="shared" si="553"/>
        <v/>
      </c>
      <c r="X63" s="2161"/>
      <c r="Y63" s="2162"/>
      <c r="Z63" s="2143"/>
      <c r="AA63" s="2144" t="str">
        <f>IF('25 Sollumsatz nach Monaten'!R66=0,"",'25 Sollumsatz nach Monaten'!R66)</f>
        <v/>
      </c>
      <c r="AB63" s="2145" t="str">
        <f t="shared" si="554"/>
        <v/>
      </c>
      <c r="AC63" s="2146" t="str">
        <f t="shared" si="555"/>
        <v/>
      </c>
      <c r="AD63" s="2147"/>
      <c r="AE63" s="2144" t="str">
        <f>IF('25 Sollumsatz nach Monaten'!S66=0,"",'25 Sollumsatz nach Monaten'!S66)</f>
        <v/>
      </c>
      <c r="AF63" s="2145" t="str">
        <f t="shared" si="556"/>
        <v/>
      </c>
      <c r="AG63" s="2158" t="str">
        <f t="shared" si="557"/>
        <v/>
      </c>
      <c r="AH63" s="2148" t="str">
        <f t="shared" si="558"/>
        <v/>
      </c>
      <c r="AI63" s="2161"/>
      <c r="AJ63" s="2162"/>
      <c r="AK63" s="2143"/>
      <c r="AL63" s="2149" t="str">
        <f>IF('25 Sollumsatz nach Monaten'!X66=0,"",'25 Sollumsatz nach Monaten'!X66)</f>
        <v/>
      </c>
      <c r="AM63" s="2150" t="str">
        <f t="shared" si="559"/>
        <v/>
      </c>
      <c r="AN63" s="2151" t="str">
        <f t="shared" si="560"/>
        <v/>
      </c>
      <c r="AO63" s="2143"/>
      <c r="AP63" s="2149" t="str">
        <f>IF('25 Sollumsatz nach Monaten'!Y66=0,"",'25 Sollumsatz nach Monaten'!Y66)</f>
        <v/>
      </c>
      <c r="AQ63" s="2150" t="str">
        <f t="shared" si="561"/>
        <v/>
      </c>
      <c r="AR63" s="2151" t="str">
        <f t="shared" si="562"/>
        <v/>
      </c>
      <c r="AS63" s="2142" t="str">
        <f t="shared" si="563"/>
        <v/>
      </c>
      <c r="AT63" s="2161"/>
      <c r="AU63" s="2162"/>
      <c r="AV63" s="2143"/>
      <c r="AW63" s="2144" t="str">
        <f>IF('25 Sollumsatz nach Monaten'!AD66=0,"",'25 Sollumsatz nach Monaten'!AD66)</f>
        <v/>
      </c>
      <c r="AX63" s="2145" t="str">
        <f t="shared" si="564"/>
        <v/>
      </c>
      <c r="AY63" s="2146" t="str">
        <f t="shared" si="565"/>
        <v/>
      </c>
      <c r="AZ63" s="2143"/>
      <c r="BA63" s="2144" t="str">
        <f>IF('25 Sollumsatz nach Monaten'!AE66=0,"",'25 Sollumsatz nach Monaten'!AE66)</f>
        <v/>
      </c>
      <c r="BB63" s="2145" t="str">
        <f t="shared" si="566"/>
        <v/>
      </c>
      <c r="BC63" s="2158" t="str">
        <f t="shared" si="567"/>
        <v/>
      </c>
      <c r="BD63" s="2148" t="str">
        <f t="shared" si="568"/>
        <v/>
      </c>
      <c r="BE63" s="2161"/>
      <c r="BF63" s="2162"/>
      <c r="BG63" s="2143"/>
      <c r="BH63" s="2149" t="str">
        <f>IF('25 Sollumsatz nach Monaten'!AJ66=0,"",'25 Sollumsatz nach Monaten'!AJ66)</f>
        <v/>
      </c>
      <c r="BI63" s="2150" t="str">
        <f t="shared" si="569"/>
        <v/>
      </c>
      <c r="BJ63" s="2151" t="str">
        <f t="shared" si="570"/>
        <v/>
      </c>
      <c r="BK63" s="2143"/>
      <c r="BL63" s="2149" t="str">
        <f>IF('25 Sollumsatz nach Monaten'!AK66=0,"",'25 Sollumsatz nach Monaten'!AK66)</f>
        <v/>
      </c>
      <c r="BM63" s="2150" t="str">
        <f t="shared" si="571"/>
        <v/>
      </c>
      <c r="BN63" s="2151" t="str">
        <f t="shared" si="572"/>
        <v/>
      </c>
      <c r="BO63" s="2142" t="str">
        <f t="shared" si="573"/>
        <v/>
      </c>
      <c r="BP63" s="2161"/>
      <c r="BQ63" s="2162"/>
      <c r="BR63" s="2143"/>
      <c r="BS63" s="2144" t="str">
        <f>IF('25 Sollumsatz nach Monaten'!AP66=0,"",'25 Sollumsatz nach Monaten'!AP66)</f>
        <v/>
      </c>
      <c r="BT63" s="2145" t="str">
        <f t="shared" si="574"/>
        <v/>
      </c>
      <c r="BU63" s="2146" t="str">
        <f t="shared" si="575"/>
        <v/>
      </c>
      <c r="BV63" s="2143"/>
      <c r="BW63" s="2144" t="str">
        <f>IF('25 Sollumsatz nach Monaten'!AQ66=0,"",'25 Sollumsatz nach Monaten'!AQ66)</f>
        <v/>
      </c>
      <c r="BX63" s="2145" t="str">
        <f t="shared" si="576"/>
        <v/>
      </c>
      <c r="BY63" s="2158" t="str">
        <f t="shared" si="577"/>
        <v/>
      </c>
      <c r="BZ63" s="2148" t="str">
        <f t="shared" si="578"/>
        <v/>
      </c>
      <c r="CA63" s="2161"/>
      <c r="CB63" s="2162"/>
      <c r="CC63" s="2143"/>
      <c r="CD63" s="2149" t="str">
        <f>IF('25 Sollumsatz nach Monaten'!AV66=0,"",'25 Sollumsatz nach Monaten'!AV66)</f>
        <v/>
      </c>
      <c r="CE63" s="2150" t="str">
        <f t="shared" si="579"/>
        <v/>
      </c>
      <c r="CF63" s="2151" t="str">
        <f t="shared" si="580"/>
        <v/>
      </c>
      <c r="CG63" s="2143"/>
      <c r="CH63" s="2149" t="str">
        <f>IF('25 Sollumsatz nach Monaten'!AW66=0,"",'25 Sollumsatz nach Monaten'!AW66)</f>
        <v/>
      </c>
      <c r="CI63" s="2150" t="str">
        <f t="shared" si="581"/>
        <v/>
      </c>
      <c r="CJ63" s="2151" t="str">
        <f t="shared" si="582"/>
        <v/>
      </c>
      <c r="CK63" s="2142" t="str">
        <f t="shared" si="583"/>
        <v/>
      </c>
      <c r="CL63" s="2161"/>
      <c r="CM63" s="2162"/>
      <c r="CN63" s="2143"/>
      <c r="CO63" s="2144" t="str">
        <f>IF('25 Sollumsatz nach Monaten'!BB66=0,"",'25 Sollumsatz nach Monaten'!BB66)</f>
        <v/>
      </c>
      <c r="CP63" s="2145" t="str">
        <f t="shared" si="584"/>
        <v/>
      </c>
      <c r="CQ63" s="2146" t="str">
        <f t="shared" si="585"/>
        <v/>
      </c>
      <c r="CR63" s="2143"/>
      <c r="CS63" s="2144" t="str">
        <f>IF('25 Sollumsatz nach Monaten'!BC66=0,"",'25 Sollumsatz nach Monaten'!BC66)</f>
        <v/>
      </c>
      <c r="CT63" s="2145" t="str">
        <f t="shared" si="586"/>
        <v/>
      </c>
      <c r="CU63" s="2158" t="str">
        <f t="shared" si="587"/>
        <v/>
      </c>
      <c r="CV63" s="2148" t="str">
        <f t="shared" si="588"/>
        <v/>
      </c>
      <c r="CW63" s="2161"/>
      <c r="CX63" s="2162"/>
      <c r="CY63" s="2143"/>
      <c r="CZ63" s="2149" t="str">
        <f>IF('25 Sollumsatz nach Monaten'!BH66=0,"",'25 Sollumsatz nach Monaten'!BH66)</f>
        <v/>
      </c>
      <c r="DA63" s="2150" t="str">
        <f t="shared" si="589"/>
        <v/>
      </c>
      <c r="DB63" s="2151" t="str">
        <f t="shared" si="590"/>
        <v/>
      </c>
      <c r="DC63" s="2143"/>
      <c r="DD63" s="2149" t="str">
        <f>IF('25 Sollumsatz nach Monaten'!BI66=0,"",'25 Sollumsatz nach Monaten'!BI66)</f>
        <v/>
      </c>
      <c r="DE63" s="2150" t="str">
        <f t="shared" si="591"/>
        <v/>
      </c>
      <c r="DF63" s="2151" t="str">
        <f t="shared" si="592"/>
        <v/>
      </c>
      <c r="DG63" s="2142" t="str">
        <f t="shared" si="593"/>
        <v/>
      </c>
      <c r="DH63" s="2161"/>
      <c r="DI63" s="2162"/>
      <c r="DJ63" s="2143"/>
      <c r="DK63" s="2144" t="str">
        <f>IF('25 Sollumsatz nach Monaten'!BN66=0,"",'25 Sollumsatz nach Monaten'!BN66)</f>
        <v/>
      </c>
      <c r="DL63" s="2145" t="str">
        <f t="shared" si="594"/>
        <v/>
      </c>
      <c r="DM63" s="2146" t="str">
        <f t="shared" si="595"/>
        <v/>
      </c>
      <c r="DN63" s="2143"/>
      <c r="DO63" s="2144" t="str">
        <f>IF('25 Sollumsatz nach Monaten'!BO66=0,"",'25 Sollumsatz nach Monaten'!BO66)</f>
        <v/>
      </c>
      <c r="DP63" s="2145" t="str">
        <f t="shared" si="596"/>
        <v/>
      </c>
      <c r="DQ63" s="2158" t="str">
        <f t="shared" si="597"/>
        <v/>
      </c>
      <c r="DR63" s="2148" t="str">
        <f t="shared" si="598"/>
        <v/>
      </c>
      <c r="DS63" s="2161"/>
      <c r="DT63" s="2162"/>
      <c r="DU63" s="2143"/>
      <c r="DV63" s="2149" t="str">
        <f>IF('25 Sollumsatz nach Monaten'!BT66=0,"",'25 Sollumsatz nach Monaten'!BT66)</f>
        <v/>
      </c>
      <c r="DW63" s="2150" t="str">
        <f t="shared" si="599"/>
        <v/>
      </c>
      <c r="DX63" s="2151" t="str">
        <f t="shared" si="600"/>
        <v/>
      </c>
      <c r="DY63" s="2143"/>
      <c r="DZ63" s="2149" t="str">
        <f>IF('25 Sollumsatz nach Monaten'!BU66=0,"",'25 Sollumsatz nach Monaten'!BU66)</f>
        <v/>
      </c>
      <c r="EA63" s="2150" t="str">
        <f t="shared" si="601"/>
        <v/>
      </c>
      <c r="EB63" s="2151" t="str">
        <f t="shared" si="602"/>
        <v/>
      </c>
      <c r="EC63" s="2152" t="str">
        <f t="shared" si="603"/>
        <v/>
      </c>
      <c r="ED63" s="2280" t="str">
        <f t="shared" si="604"/>
        <v/>
      </c>
      <c r="EE63" s="2153" t="str">
        <f t="shared" si="605"/>
        <v/>
      </c>
      <c r="EF63" s="2154" t="str">
        <f t="shared" si="606"/>
        <v/>
      </c>
      <c r="EG63" s="2155" t="str">
        <f t="shared" si="500"/>
        <v/>
      </c>
      <c r="EH63" s="2282" t="str">
        <f t="shared" si="607"/>
        <v/>
      </c>
      <c r="EI63" s="2153" t="str">
        <f t="shared" si="608"/>
        <v/>
      </c>
      <c r="EJ63" s="2154" t="str">
        <f t="shared" si="609"/>
        <v/>
      </c>
      <c r="EK63" s="2155" t="str">
        <f t="shared" si="610"/>
        <v/>
      </c>
      <c r="EL63" s="2160" t="str">
        <f t="shared" si="505"/>
        <v/>
      </c>
      <c r="EM63" s="2160" t="str">
        <f t="shared" si="506"/>
        <v/>
      </c>
      <c r="EN63" s="2160" t="str">
        <f t="shared" si="507"/>
        <v/>
      </c>
      <c r="EO63" s="2152" t="str">
        <f t="shared" si="611"/>
        <v/>
      </c>
      <c r="EP63" s="2312" t="str">
        <f>IF('25 Sollumsatz nach Monaten'!BV66="","",SUM(EQ63:ER63))</f>
        <v/>
      </c>
      <c r="EQ63" s="2312" t="str">
        <f>IF('25 Sollumsatz nach Monaten'!BV66="","",ED63/'25 Sollumsatz nach Monaten'!BV66)</f>
        <v/>
      </c>
      <c r="ER63" s="2312" t="str">
        <f>IF('25 Sollumsatz nach Monaten'!BV66="","",EH63/'25 Sollumsatz nach Monaten'!BV66)</f>
        <v/>
      </c>
      <c r="EY63" s="2248"/>
      <c r="EZ63" s="2249"/>
      <c r="FA63" s="2250"/>
      <c r="FB63" s="2251" t="str">
        <f t="shared" si="612"/>
        <v/>
      </c>
      <c r="FC63" s="2252"/>
      <c r="FD63" s="2253"/>
      <c r="FE63" s="2251" t="str">
        <f t="shared" si="613"/>
        <v/>
      </c>
      <c r="FF63" s="2254"/>
      <c r="FG63" s="2252"/>
      <c r="FH63" s="2253"/>
      <c r="FI63" s="2251" t="str">
        <f t="shared" si="614"/>
        <v/>
      </c>
      <c r="FJ63" s="2248"/>
      <c r="FK63" s="2249"/>
      <c r="FL63" s="2250"/>
      <c r="FM63" s="2251" t="str">
        <f t="shared" si="615"/>
        <v/>
      </c>
      <c r="FN63" s="2252"/>
      <c r="FO63" s="2253"/>
      <c r="FP63" s="2251" t="str">
        <f t="shared" si="616"/>
        <v/>
      </c>
      <c r="FQ63" s="2254"/>
      <c r="FR63" s="2252"/>
      <c r="FS63" s="2253"/>
      <c r="FT63" s="2251" t="str">
        <f t="shared" si="617"/>
        <v/>
      </c>
      <c r="FU63" s="2248"/>
      <c r="FV63" s="2249"/>
      <c r="FW63" s="2250"/>
      <c r="FX63" s="2251" t="str">
        <f t="shared" si="618"/>
        <v/>
      </c>
      <c r="FY63" s="2252"/>
      <c r="FZ63" s="2253"/>
      <c r="GA63" s="2251" t="str">
        <f t="shared" si="619"/>
        <v/>
      </c>
      <c r="GB63" s="2254"/>
      <c r="GC63" s="2252"/>
      <c r="GD63" s="2253"/>
      <c r="GE63" s="2251" t="str">
        <f t="shared" si="620"/>
        <v/>
      </c>
      <c r="GF63" s="2248"/>
      <c r="GG63" s="2249"/>
      <c r="GH63" s="2250"/>
      <c r="GI63" s="2251" t="str">
        <f t="shared" si="621"/>
        <v/>
      </c>
      <c r="GJ63" s="2252"/>
      <c r="GK63" s="2253"/>
      <c r="GL63" s="2251" t="str">
        <f t="shared" si="622"/>
        <v/>
      </c>
      <c r="GM63" s="2254"/>
      <c r="GN63" s="2252"/>
      <c r="GO63" s="2253"/>
      <c r="GP63" s="2251" t="str">
        <f t="shared" si="623"/>
        <v/>
      </c>
      <c r="GQ63" s="2248"/>
      <c r="GR63" s="2249"/>
      <c r="GS63" s="2250"/>
      <c r="GT63" s="2251" t="str">
        <f t="shared" si="624"/>
        <v/>
      </c>
      <c r="GU63" s="2252"/>
      <c r="GV63" s="2253"/>
      <c r="GW63" s="2251" t="str">
        <f t="shared" si="625"/>
        <v/>
      </c>
      <c r="GX63" s="2254"/>
      <c r="GY63" s="2252"/>
      <c r="GZ63" s="2253"/>
      <c r="HA63" s="2251" t="str">
        <f t="shared" si="626"/>
        <v/>
      </c>
      <c r="HB63" s="2248"/>
      <c r="HC63" s="2249"/>
      <c r="HD63" s="2250"/>
      <c r="HE63" s="2251" t="str">
        <f t="shared" si="627"/>
        <v/>
      </c>
      <c r="HF63" s="2252"/>
      <c r="HG63" s="2253"/>
      <c r="HH63" s="2251" t="str">
        <f t="shared" si="628"/>
        <v/>
      </c>
      <c r="HI63" s="2254"/>
      <c r="HJ63" s="2252"/>
      <c r="HK63" s="2253"/>
      <c r="HL63" s="2251" t="str">
        <f t="shared" si="629"/>
        <v/>
      </c>
      <c r="HM63" s="2248"/>
      <c r="HN63" s="2249"/>
      <c r="HO63" s="2250"/>
      <c r="HP63" s="2251" t="str">
        <f t="shared" si="630"/>
        <v/>
      </c>
      <c r="HQ63" s="2252"/>
      <c r="HR63" s="2253"/>
      <c r="HS63" s="2251" t="str">
        <f t="shared" si="631"/>
        <v/>
      </c>
      <c r="HT63" s="2254"/>
      <c r="HU63" s="2252"/>
      <c r="HV63" s="2253"/>
      <c r="HW63" s="2251" t="str">
        <f t="shared" si="632"/>
        <v/>
      </c>
      <c r="HX63" s="2248"/>
      <c r="HY63" s="2249"/>
      <c r="HZ63" s="2250"/>
      <c r="IA63" s="2251" t="str">
        <f t="shared" si="633"/>
        <v/>
      </c>
      <c r="IB63" s="2252"/>
      <c r="IC63" s="2253"/>
      <c r="ID63" s="2251" t="str">
        <f t="shared" si="634"/>
        <v/>
      </c>
      <c r="IE63" s="2254"/>
      <c r="IF63" s="2252"/>
      <c r="IG63" s="2253"/>
      <c r="IH63" s="2251" t="str">
        <f t="shared" si="635"/>
        <v/>
      </c>
      <c r="II63" s="2248"/>
      <c r="IJ63" s="2249"/>
      <c r="IK63" s="2250"/>
      <c r="IL63" s="2251" t="str">
        <f t="shared" si="636"/>
        <v/>
      </c>
      <c r="IM63" s="2252"/>
      <c r="IN63" s="2253"/>
      <c r="IO63" s="2251" t="str">
        <f t="shared" si="637"/>
        <v/>
      </c>
      <c r="IP63" s="2254"/>
      <c r="IQ63" s="2252"/>
      <c r="IR63" s="2253"/>
      <c r="IS63" s="2251" t="str">
        <f t="shared" si="638"/>
        <v/>
      </c>
      <c r="IT63" s="2248"/>
      <c r="IU63" s="2249"/>
      <c r="IV63" s="2250"/>
      <c r="IW63" s="2251" t="str">
        <f t="shared" si="639"/>
        <v/>
      </c>
      <c r="IX63" s="2252"/>
      <c r="IY63" s="2253"/>
      <c r="IZ63" s="2251" t="str">
        <f t="shared" si="640"/>
        <v/>
      </c>
      <c r="JA63" s="2254"/>
      <c r="JB63" s="2252"/>
      <c r="JC63" s="2253"/>
      <c r="JD63" s="2251" t="str">
        <f t="shared" si="641"/>
        <v/>
      </c>
      <c r="JE63" s="2248"/>
      <c r="JF63" s="2249"/>
      <c r="JG63" s="2250"/>
      <c r="JH63" s="2251" t="str">
        <f t="shared" si="642"/>
        <v/>
      </c>
      <c r="JI63" s="2252"/>
      <c r="JJ63" s="2253"/>
      <c r="JK63" s="2251" t="str">
        <f t="shared" si="643"/>
        <v/>
      </c>
      <c r="JL63" s="2254"/>
      <c r="JM63" s="2252"/>
      <c r="JN63" s="2253"/>
      <c r="JO63" s="2251" t="str">
        <f t="shared" si="644"/>
        <v/>
      </c>
      <c r="JP63" s="2248"/>
      <c r="JQ63" s="2249"/>
      <c r="JR63" s="2250"/>
      <c r="JS63" s="2251" t="str">
        <f t="shared" si="645"/>
        <v/>
      </c>
      <c r="JT63" s="2252"/>
      <c r="JU63" s="2253"/>
      <c r="JV63" s="2251" t="str">
        <f t="shared" si="646"/>
        <v/>
      </c>
      <c r="JW63" s="2254"/>
      <c r="JX63" s="2252"/>
      <c r="JY63" s="2253"/>
      <c r="JZ63" s="2251" t="str">
        <f t="shared" si="647"/>
        <v/>
      </c>
      <c r="KA63" s="2231"/>
    </row>
    <row r="64" spans="1:287">
      <c r="A64" s="2119"/>
      <c r="B64" s="2119"/>
      <c r="C64" s="2119"/>
    </row>
    <row r="65" spans="1:3" ht="15" customHeight="1">
      <c r="A65" s="2119"/>
      <c r="B65" s="2119"/>
      <c r="C65" s="2119"/>
    </row>
    <row r="66" spans="1:3">
      <c r="A66" s="2119"/>
      <c r="B66" s="2119"/>
      <c r="C66" s="2119"/>
    </row>
    <row r="67" spans="1:3">
      <c r="A67" s="2119"/>
      <c r="B67" s="2119"/>
      <c r="C67" s="2119"/>
    </row>
    <row r="68" spans="1:3">
      <c r="A68" s="2119"/>
      <c r="B68" s="2119"/>
      <c r="C68" s="2119"/>
    </row>
    <row r="69" spans="1:3">
      <c r="A69" s="2119"/>
      <c r="B69" s="2119"/>
      <c r="C69" s="2119"/>
    </row>
    <row r="70" spans="1:3">
      <c r="A70" s="2119"/>
      <c r="B70" s="2119"/>
      <c r="C70" s="2119"/>
    </row>
    <row r="71" spans="1:3">
      <c r="A71" s="2119"/>
      <c r="B71" s="2119"/>
      <c r="C71" s="2119"/>
    </row>
    <row r="72" spans="1:3">
      <c r="A72" s="2119"/>
      <c r="B72" s="2119"/>
      <c r="C72" s="2119"/>
    </row>
    <row r="73" spans="1:3">
      <c r="A73" s="2119"/>
      <c r="B73" s="2119"/>
      <c r="C73" s="2119"/>
    </row>
  </sheetData>
  <sheetProtection algorithmName="SHA-512" hashValue="fn7LPZihUEra5gD4ne+Qpwny4gFZqlNo5K7x2AajKjf38RBVF5vk7bfUU3X4nitZT7nSwukgiOQFfKcqHwtj1Q==" saltValue="JfYLoo1z+/GpOEJl4Lxj2g==" spinCount="100000" sheet="1" objects="1" scenarios="1"/>
  <mergeCells count="133">
    <mergeCell ref="A2:I3"/>
    <mergeCell ref="A4:C4"/>
    <mergeCell ref="D5:F5"/>
    <mergeCell ref="H5:J5"/>
    <mergeCell ref="O5:Q5"/>
    <mergeCell ref="S5:U5"/>
    <mergeCell ref="L4:N4"/>
    <mergeCell ref="D4:F4"/>
    <mergeCell ref="H4:J4"/>
    <mergeCell ref="K1:S1"/>
    <mergeCell ref="K2:O3"/>
    <mergeCell ref="BD4:BF4"/>
    <mergeCell ref="BG5:BI5"/>
    <mergeCell ref="BK5:BM5"/>
    <mergeCell ref="BG4:BI4"/>
    <mergeCell ref="BK4:BM4"/>
    <mergeCell ref="AS4:AU4"/>
    <mergeCell ref="AV5:AX5"/>
    <mergeCell ref="AZ5:BB5"/>
    <mergeCell ref="AV4:AX4"/>
    <mergeCell ref="AZ4:BB4"/>
    <mergeCell ref="O4:Q4"/>
    <mergeCell ref="S4:U4"/>
    <mergeCell ref="AD4:AF4"/>
    <mergeCell ref="Z4:AB4"/>
    <mergeCell ref="Z5:AB5"/>
    <mergeCell ref="AD5:AF5"/>
    <mergeCell ref="AH4:AJ4"/>
    <mergeCell ref="AK5:AM5"/>
    <mergeCell ref="AO5:AQ5"/>
    <mergeCell ref="AK4:AM4"/>
    <mergeCell ref="AO4:AQ4"/>
    <mergeCell ref="W4:Y4"/>
    <mergeCell ref="BZ4:CB4"/>
    <mergeCell ref="CC5:CE5"/>
    <mergeCell ref="CG5:CI5"/>
    <mergeCell ref="CC4:CE4"/>
    <mergeCell ref="CG4:CI4"/>
    <mergeCell ref="BO4:BQ4"/>
    <mergeCell ref="BR5:BT5"/>
    <mergeCell ref="BV5:BX5"/>
    <mergeCell ref="BR4:BT4"/>
    <mergeCell ref="BV4:BX4"/>
    <mergeCell ref="EY4:FA4"/>
    <mergeCell ref="FB4:FE4"/>
    <mergeCell ref="FF4:FI4"/>
    <mergeCell ref="FJ4:FL4"/>
    <mergeCell ref="FM4:FP4"/>
    <mergeCell ref="DJ5:DL5"/>
    <mergeCell ref="DN5:DP5"/>
    <mergeCell ref="DU5:DW5"/>
    <mergeCell ref="DY5:EA5"/>
    <mergeCell ref="DJ4:DL4"/>
    <mergeCell ref="DN4:DP4"/>
    <mergeCell ref="DU4:DW4"/>
    <mergeCell ref="DY4:EA4"/>
    <mergeCell ref="DR4:DT4"/>
    <mergeCell ref="GI4:GL4"/>
    <mergeCell ref="GM4:GP4"/>
    <mergeCell ref="GQ4:GS4"/>
    <mergeCell ref="GT4:GW4"/>
    <mergeCell ref="GX4:HA4"/>
    <mergeCell ref="FQ4:FT4"/>
    <mergeCell ref="FU4:FW4"/>
    <mergeCell ref="FX4:GA4"/>
    <mergeCell ref="GB4:GE4"/>
    <mergeCell ref="GF4:GH4"/>
    <mergeCell ref="GM5:GO5"/>
    <mergeCell ref="JW4:JZ4"/>
    <mergeCell ref="FB5:FD5"/>
    <mergeCell ref="FF5:FH5"/>
    <mergeCell ref="JE4:JG4"/>
    <mergeCell ref="JH4:JK4"/>
    <mergeCell ref="JL4:JO4"/>
    <mergeCell ref="JP4:JR4"/>
    <mergeCell ref="JS4:JV4"/>
    <mergeCell ref="IL4:IO4"/>
    <mergeCell ref="IP4:IS4"/>
    <mergeCell ref="IT4:IV4"/>
    <mergeCell ref="IW4:IZ4"/>
    <mergeCell ref="JA4:JD4"/>
    <mergeCell ref="HT4:HW4"/>
    <mergeCell ref="HX4:HZ4"/>
    <mergeCell ref="IA4:ID4"/>
    <mergeCell ref="IE4:IH4"/>
    <mergeCell ref="II4:IK4"/>
    <mergeCell ref="HB4:HD4"/>
    <mergeCell ref="HE4:HH4"/>
    <mergeCell ref="HI4:HL4"/>
    <mergeCell ref="HM4:HO4"/>
    <mergeCell ref="HP4:HS4"/>
    <mergeCell ref="JW5:JY5"/>
    <mergeCell ref="EM4:EM5"/>
    <mergeCell ref="EN4:EN5"/>
    <mergeCell ref="EL4:EL6"/>
    <mergeCell ref="IW5:IY5"/>
    <mergeCell ref="JA5:JC5"/>
    <mergeCell ref="JH5:JJ5"/>
    <mergeCell ref="JL5:JN5"/>
    <mergeCell ref="JS5:JU5"/>
    <mergeCell ref="HT5:HV5"/>
    <mergeCell ref="IA5:IC5"/>
    <mergeCell ref="IE5:IG5"/>
    <mergeCell ref="IL5:IN5"/>
    <mergeCell ref="IP5:IR5"/>
    <mergeCell ref="GT5:GV5"/>
    <mergeCell ref="GX5:GZ5"/>
    <mergeCell ref="HE5:HG5"/>
    <mergeCell ref="HI5:HK5"/>
    <mergeCell ref="HP5:HR5"/>
    <mergeCell ref="FX5:FZ5"/>
    <mergeCell ref="FM5:FO5"/>
    <mergeCell ref="FQ5:FS5"/>
    <mergeCell ref="GB5:GD5"/>
    <mergeCell ref="GI5:GK5"/>
    <mergeCell ref="CK4:CM4"/>
    <mergeCell ref="CN5:CP5"/>
    <mergeCell ref="CR5:CT5"/>
    <mergeCell ref="CN4:CP4"/>
    <mergeCell ref="CR4:CT4"/>
    <mergeCell ref="EL45:EL47"/>
    <mergeCell ref="EM45:EM46"/>
    <mergeCell ref="EN45:EN46"/>
    <mergeCell ref="ED4:EE4"/>
    <mergeCell ref="ED5:EE5"/>
    <mergeCell ref="EH4:EI4"/>
    <mergeCell ref="EH5:EI5"/>
    <mergeCell ref="DG4:DI4"/>
    <mergeCell ref="CV4:CX4"/>
    <mergeCell ref="CY5:DA5"/>
    <mergeCell ref="DC5:DE5"/>
    <mergeCell ref="CY4:DA4"/>
    <mergeCell ref="DC4:DE4"/>
  </mergeCells>
  <pageMargins left="0.7" right="0.7" top="0.78740157499999996" bottom="0.78740157499999996"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857F-4553-48A1-BCCC-BCB4C4ECC9C8}">
  <dimension ref="A1:DB218"/>
  <sheetViews>
    <sheetView showGridLines="0" workbookViewId="0">
      <selection sqref="A1:B1"/>
    </sheetView>
  </sheetViews>
  <sheetFormatPr baseColWidth="10" defaultRowHeight="13.8"/>
  <cols>
    <col min="1" max="4" width="11.5546875" style="494"/>
    <col min="5" max="5" width="12" style="494" customWidth="1"/>
    <col min="6" max="6" width="13.44140625" style="494" bestFit="1" customWidth="1"/>
    <col min="7" max="7" width="12.109375" style="494" customWidth="1"/>
    <col min="8" max="8" width="11.6640625" style="494" bestFit="1" customWidth="1"/>
    <col min="9" max="9" width="12.44140625" style="494" bestFit="1" customWidth="1"/>
    <col min="10" max="10" width="11.88671875" style="494" customWidth="1"/>
    <col min="11" max="11" width="10.88671875" style="494" customWidth="1"/>
    <col min="12" max="12" width="11.6640625" style="494" bestFit="1" customWidth="1"/>
    <col min="13" max="16" width="11.5546875" style="494"/>
    <col min="17" max="102" width="11.5546875" style="565"/>
    <col min="103" max="106" width="11.5546875" style="1869"/>
    <col min="107" max="16384" width="11.5546875" style="494"/>
  </cols>
  <sheetData>
    <row r="1" spans="1:106" ht="76.8" customHeight="1">
      <c r="A1" s="4360" t="str">
        <f>N3</f>
        <v>Maria</v>
      </c>
      <c r="B1" s="4361"/>
      <c r="C1" s="3168" t="s">
        <v>1348</v>
      </c>
      <c r="D1" s="3168" t="s">
        <v>1349</v>
      </c>
      <c r="E1" s="3168" t="s">
        <v>1350</v>
      </c>
      <c r="F1" s="3168" t="s">
        <v>1351</v>
      </c>
      <c r="G1" s="3168" t="s">
        <v>663</v>
      </c>
      <c r="H1" s="3168" t="s">
        <v>490</v>
      </c>
      <c r="I1" s="3168" t="s">
        <v>1352</v>
      </c>
      <c r="J1" s="3168" t="s">
        <v>1353</v>
      </c>
      <c r="K1" s="3168" t="s">
        <v>1354</v>
      </c>
      <c r="L1" s="3169"/>
      <c r="M1" s="3241"/>
      <c r="N1" s="4375" t="s">
        <v>1381</v>
      </c>
      <c r="O1" s="4375"/>
      <c r="P1" s="4375"/>
      <c r="Q1" s="3074" t="s">
        <v>1380</v>
      </c>
      <c r="R1" s="3075" t="s">
        <v>662</v>
      </c>
      <c r="S1" s="3076" t="s">
        <v>670</v>
      </c>
      <c r="T1" s="3077" t="s">
        <v>491</v>
      </c>
      <c r="U1" s="3078" t="s">
        <v>663</v>
      </c>
      <c r="V1" s="3078" t="s">
        <v>490</v>
      </c>
      <c r="W1" s="3074" t="s">
        <v>1296</v>
      </c>
      <c r="X1" s="3079" t="s">
        <v>1346</v>
      </c>
      <c r="Y1" s="3080" t="s">
        <v>201</v>
      </c>
      <c r="Z1" s="3081" t="s">
        <v>653</v>
      </c>
      <c r="AA1" s="3082" t="s">
        <v>489</v>
      </c>
      <c r="AB1" s="3083" t="s">
        <v>978</v>
      </c>
      <c r="AC1" s="3082" t="s">
        <v>300</v>
      </c>
      <c r="AD1" s="3056" t="s">
        <v>493</v>
      </c>
      <c r="AE1" s="4377" t="s">
        <v>664</v>
      </c>
      <c r="AF1" s="3057" t="s">
        <v>49</v>
      </c>
      <c r="AG1" s="3057" t="str">
        <f>MAdaten!T2</f>
        <v>Sollumsatz pro Arbeits-monat €</v>
      </c>
      <c r="AH1" s="3057" t="str">
        <f>MAdaten!U2</f>
        <v>Sollumsatz DL pro Anwesen-heitstag €</v>
      </c>
      <c r="AI1" s="3057" t="s">
        <v>1347</v>
      </c>
      <c r="AJ1" s="3057" t="s">
        <v>1372</v>
      </c>
      <c r="AK1" s="3071"/>
      <c r="AL1" s="3057" t="s">
        <v>1379</v>
      </c>
      <c r="AM1" s="568"/>
      <c r="AN1" s="568"/>
      <c r="AO1" s="3084" t="s">
        <v>60</v>
      </c>
      <c r="AP1" s="3057" t="s">
        <v>1358</v>
      </c>
      <c r="AQ1" s="3057" t="s">
        <v>1359</v>
      </c>
      <c r="AR1" s="3085" t="s">
        <v>1373</v>
      </c>
      <c r="AS1" s="3085" t="s">
        <v>1374</v>
      </c>
      <c r="AT1" s="3085" t="s">
        <v>1375</v>
      </c>
      <c r="AU1" s="3058" t="s">
        <v>1376</v>
      </c>
      <c r="AV1" s="3058" t="s">
        <v>1377</v>
      </c>
      <c r="AW1" s="3058"/>
      <c r="AX1" s="565" t="s">
        <v>1378</v>
      </c>
      <c r="AY1" s="3059" t="s">
        <v>962</v>
      </c>
      <c r="AZ1" s="568"/>
      <c r="BA1" s="4373" t="s">
        <v>168</v>
      </c>
      <c r="BB1" s="4373"/>
      <c r="BC1" s="4373" t="s">
        <v>169</v>
      </c>
      <c r="BD1" s="4373"/>
      <c r="BE1" s="4373" t="s">
        <v>170</v>
      </c>
      <c r="BF1" s="4373"/>
      <c r="BG1" s="4373" t="s">
        <v>171</v>
      </c>
      <c r="BH1" s="4373"/>
      <c r="BI1" s="4373" t="s">
        <v>172</v>
      </c>
      <c r="BJ1" s="4373"/>
      <c r="BK1" s="4373" t="s">
        <v>173</v>
      </c>
      <c r="BL1" s="4373"/>
      <c r="BM1" s="3086" t="s">
        <v>1102</v>
      </c>
      <c r="BN1" s="3086" t="s">
        <v>1120</v>
      </c>
      <c r="BO1" s="3086" t="s">
        <v>1121</v>
      </c>
      <c r="BP1" s="3087" t="s">
        <v>1117</v>
      </c>
      <c r="BQ1" s="3087" t="s">
        <v>1111</v>
      </c>
      <c r="BR1" s="3087" t="s">
        <v>1112</v>
      </c>
      <c r="BS1" s="4374" t="s">
        <v>1364</v>
      </c>
      <c r="BT1" s="4374"/>
      <c r="BU1" s="3089"/>
      <c r="BV1" s="3090"/>
      <c r="BW1" s="4374" t="s">
        <v>1365</v>
      </c>
      <c r="BX1" s="4374"/>
      <c r="BY1" s="3089"/>
      <c r="BZ1" s="3090"/>
      <c r="CA1" s="3060"/>
      <c r="CB1" s="3091" t="s">
        <v>1136</v>
      </c>
      <c r="CC1" s="3091" t="s">
        <v>1136</v>
      </c>
      <c r="CD1" s="568"/>
      <c r="CE1" s="568"/>
      <c r="CF1" s="568"/>
      <c r="CG1" s="568"/>
    </row>
    <row r="2" spans="1:106" s="3000" customFormat="1" ht="20.399999999999999" customHeight="1" thickBot="1">
      <c r="A2" s="3051">
        <f>CH3</f>
        <v>1</v>
      </c>
      <c r="B2" s="3001"/>
      <c r="C2" s="3002">
        <f t="shared" ref="C2:H2" si="0">Q3</f>
        <v>2765.6359500000003</v>
      </c>
      <c r="D2" s="3002">
        <f t="shared" si="0"/>
        <v>0</v>
      </c>
      <c r="E2" s="3002">
        <f t="shared" si="0"/>
        <v>0</v>
      </c>
      <c r="F2" s="3002">
        <f t="shared" si="0"/>
        <v>0</v>
      </c>
      <c r="G2" s="3002">
        <f t="shared" si="0"/>
        <v>125</v>
      </c>
      <c r="H2" s="3002">
        <f t="shared" si="0"/>
        <v>0</v>
      </c>
      <c r="I2" s="3002">
        <f>X3</f>
        <v>2776.0526166666668</v>
      </c>
      <c r="J2" s="3003">
        <f>AA3</f>
        <v>12</v>
      </c>
      <c r="K2" s="3004">
        <f>AD3</f>
        <v>33312.631399999998</v>
      </c>
      <c r="M2" s="3242"/>
      <c r="N2" s="3005"/>
      <c r="O2" s="3005"/>
      <c r="P2" s="565"/>
      <c r="Q2" s="565"/>
      <c r="R2" s="565"/>
      <c r="S2" s="3092"/>
      <c r="T2" s="3093"/>
      <c r="U2" s="3093"/>
      <c r="V2" s="3093"/>
      <c r="W2" s="3058"/>
      <c r="X2" s="3094"/>
      <c r="Y2" s="3093"/>
      <c r="Z2" s="3095"/>
      <c r="AA2" s="3062"/>
      <c r="AB2" s="3094"/>
      <c r="AC2" s="3062"/>
      <c r="AD2" s="3094"/>
      <c r="AE2" s="4377"/>
      <c r="AF2" s="3057"/>
      <c r="AG2" s="3057"/>
      <c r="AH2" s="3057"/>
      <c r="AI2" s="3071"/>
      <c r="AJ2" s="3071"/>
      <c r="AK2" s="3071"/>
      <c r="AL2" s="3057"/>
      <c r="AM2" s="565"/>
      <c r="AN2" s="565"/>
      <c r="AO2" s="3084" t="e">
        <f>ROUND(#REF!*4.33,0)</f>
        <v>#REF!</v>
      </c>
      <c r="AP2" s="3084"/>
      <c r="AQ2" s="3084"/>
      <c r="AR2" s="3085"/>
      <c r="AS2" s="3085"/>
      <c r="AT2" s="3085"/>
      <c r="AU2" s="3058"/>
      <c r="AV2" s="3058"/>
      <c r="AW2" s="3058"/>
      <c r="AX2" s="565"/>
      <c r="AY2" s="4376" t="s">
        <v>106</v>
      </c>
      <c r="AZ2" s="4376"/>
      <c r="BA2" s="3058" t="s">
        <v>217</v>
      </c>
      <c r="BB2" s="3058" t="s">
        <v>61</v>
      </c>
      <c r="BC2" s="3058" t="s">
        <v>217</v>
      </c>
      <c r="BD2" s="3058" t="s">
        <v>61</v>
      </c>
      <c r="BE2" s="3058" t="s">
        <v>217</v>
      </c>
      <c r="BF2" s="3058" t="s">
        <v>61</v>
      </c>
      <c r="BG2" s="3058" t="s">
        <v>217</v>
      </c>
      <c r="BH2" s="3058" t="s">
        <v>61</v>
      </c>
      <c r="BI2" s="3058" t="s">
        <v>217</v>
      </c>
      <c r="BJ2" s="3058" t="s">
        <v>61</v>
      </c>
      <c r="BK2" s="3058" t="s">
        <v>217</v>
      </c>
      <c r="BL2" s="3058" t="s">
        <v>61</v>
      </c>
      <c r="BM2" s="565"/>
      <c r="BN2" s="565"/>
      <c r="BO2" s="565"/>
      <c r="BP2" s="565"/>
      <c r="BQ2" s="565"/>
      <c r="BR2" s="565"/>
      <c r="BS2" s="3096" t="s">
        <v>1113</v>
      </c>
      <c r="BT2" s="3096" t="s">
        <v>1115</v>
      </c>
      <c r="BU2" s="3097" t="s">
        <v>1135</v>
      </c>
      <c r="BV2" s="3096" t="s">
        <v>907</v>
      </c>
      <c r="BW2" s="3096" t="s">
        <v>1114</v>
      </c>
      <c r="BX2" s="3096" t="s">
        <v>1116</v>
      </c>
      <c r="BY2" s="3097" t="s">
        <v>1135</v>
      </c>
      <c r="BZ2" s="3096" t="s">
        <v>907</v>
      </c>
      <c r="CA2" s="3098" t="s">
        <v>1137</v>
      </c>
      <c r="CB2" s="3096" t="s">
        <v>127</v>
      </c>
      <c r="CC2" s="3096" t="s">
        <v>128</v>
      </c>
      <c r="CD2" s="565"/>
      <c r="CE2" s="3096" t="s">
        <v>1150</v>
      </c>
      <c r="CF2" s="3096" t="s">
        <v>1148</v>
      </c>
      <c r="CG2" s="3096" t="s">
        <v>1149</v>
      </c>
      <c r="CH2" s="565"/>
      <c r="CI2" s="565"/>
      <c r="CJ2" s="565" t="str">
        <f>MAdaten!BW3</f>
        <v>Arbeitstage</v>
      </c>
      <c r="CK2" s="565" t="str">
        <f>MAdaten!BX3</f>
        <v>Urlaubstage</v>
      </c>
      <c r="CL2" s="565" t="str">
        <f>MAdaten!BY3</f>
        <v>Krankentage</v>
      </c>
      <c r="CM2" s="565" t="str">
        <f>MAdaten!BZ3</f>
        <v>Ist Ums DL</v>
      </c>
      <c r="CN2" s="565" t="str">
        <f>MAdaten!CA3</f>
        <v>Soll DL</v>
      </c>
      <c r="CO2" s="565" t="str">
        <f>MAdaten!CB3</f>
        <v xml:space="preserve"> + / -</v>
      </c>
      <c r="CP2" s="565" t="str">
        <f>MAdaten!CC3</f>
        <v>Provision</v>
      </c>
      <c r="CQ2" s="565" t="str">
        <f>MAdaten!CD3</f>
        <v>Ist Ums VK</v>
      </c>
      <c r="CR2" s="565" t="str">
        <f>MAdaten!CE3</f>
        <v>Soll VK</v>
      </c>
      <c r="CS2" s="565" t="str">
        <f>MAdaten!CF3</f>
        <v xml:space="preserve"> + / -</v>
      </c>
      <c r="CT2" s="565" t="str">
        <f>MAdaten!CG3</f>
        <v>Provision</v>
      </c>
      <c r="CU2" s="565"/>
      <c r="CV2" s="565"/>
      <c r="CW2" s="3062"/>
      <c r="CX2" s="3062"/>
      <c r="CY2" s="3159"/>
      <c r="CZ2" s="3159"/>
      <c r="DA2" s="3159"/>
      <c r="DB2" s="3159"/>
    </row>
    <row r="3" spans="1:106" s="3005" customFormat="1" ht="41.4" customHeight="1">
      <c r="B3" s="3006"/>
      <c r="C3" s="3007" t="s">
        <v>1296</v>
      </c>
      <c r="D3" s="3007" t="s">
        <v>1355</v>
      </c>
      <c r="E3" s="3007" t="s">
        <v>1356</v>
      </c>
      <c r="F3" s="3007" t="s">
        <v>1357</v>
      </c>
      <c r="G3" s="3007" t="s">
        <v>1358</v>
      </c>
      <c r="H3" s="3007" t="s">
        <v>1359</v>
      </c>
      <c r="I3" s="3007" t="s">
        <v>1360</v>
      </c>
      <c r="J3" s="3007" t="s">
        <v>1361</v>
      </c>
      <c r="M3" s="3242"/>
      <c r="N3" s="565" t="str">
        <f>MAdaten!A4</f>
        <v>Maria</v>
      </c>
      <c r="O3" s="3068">
        <f>MAdaten!BU4</f>
        <v>1</v>
      </c>
      <c r="P3" s="3063"/>
      <c r="Q3" s="3063">
        <f>MAdaten!D4</f>
        <v>2765.6359500000003</v>
      </c>
      <c r="R3" s="3063">
        <f>MAdaten!E4</f>
        <v>0</v>
      </c>
      <c r="S3" s="3063">
        <f>MAdaten!F4</f>
        <v>0</v>
      </c>
      <c r="T3" s="3063">
        <f>MAdaten!G4</f>
        <v>0</v>
      </c>
      <c r="U3" s="3063">
        <f>MAdaten!H4</f>
        <v>125</v>
      </c>
      <c r="V3" s="3063">
        <f>MAdaten!I4</f>
        <v>0</v>
      </c>
      <c r="W3" s="3063">
        <f>MAdaten!J4</f>
        <v>16.170000000000002</v>
      </c>
      <c r="X3" s="3063">
        <f>MAdaten!K4</f>
        <v>2776.0526166666668</v>
      </c>
      <c r="Y3" s="3063">
        <f>MAdaten!L4</f>
        <v>171.035</v>
      </c>
      <c r="Z3" s="3063">
        <f>MAdaten!M4</f>
        <v>16.230903713664844</v>
      </c>
      <c r="AA3" s="3064">
        <f>MAdaten!N4</f>
        <v>12</v>
      </c>
      <c r="AB3" s="3064">
        <f>MAdaten!O4</f>
        <v>216.49133999999995</v>
      </c>
      <c r="AC3" s="3064">
        <f>MAdaten!P4</f>
        <v>0.98750000000000004</v>
      </c>
      <c r="AD3" s="565">
        <f>MAdaten!Q4</f>
        <v>33312.631399999998</v>
      </c>
      <c r="AE3" s="3063">
        <f>MAdaten!R4</f>
        <v>10.416666666666666</v>
      </c>
      <c r="AF3" s="3063">
        <f>MAdaten!S4</f>
        <v>4.63</v>
      </c>
      <c r="AG3" s="3063">
        <f>MAdaten!T4</f>
        <v>11647</v>
      </c>
      <c r="AH3" s="3063">
        <f>MAdaten!U4</f>
        <v>524.10304512971379</v>
      </c>
      <c r="AI3" s="3065">
        <f>MAdaten!V4</f>
        <v>5.5021555102258944E-2</v>
      </c>
      <c r="AJ3" s="3063">
        <f>MAdaten!W4</f>
        <v>30.536963081753715</v>
      </c>
      <c r="AK3" s="3063">
        <f>MAdaten!X4</f>
        <v>0</v>
      </c>
      <c r="AL3" s="3063">
        <f>MAdaten!Y4</f>
        <v>554.62</v>
      </c>
      <c r="AM3" s="3063">
        <f>MAdaten!Z4</f>
        <v>0</v>
      </c>
      <c r="AN3" s="3063">
        <f>MAdaten!AA4</f>
        <v>0</v>
      </c>
      <c r="AO3" s="3063">
        <f>MAdaten!AB4</f>
        <v>39.5</v>
      </c>
      <c r="AP3" s="3063">
        <f>MAdaten!AC4</f>
        <v>5</v>
      </c>
      <c r="AQ3" s="3063">
        <f>MAdaten!AD4</f>
        <v>21</v>
      </c>
      <c r="AR3" s="3063">
        <f>MAdaten!AE4</f>
        <v>11647</v>
      </c>
      <c r="AS3" s="3063">
        <f>MAdaten!AF4</f>
        <v>11006.16394772399</v>
      </c>
      <c r="AT3" s="3063">
        <f>MAdaten!AG4</f>
        <v>640.83605227600992</v>
      </c>
      <c r="AU3" s="3063">
        <f>MAdaten!AH4</f>
        <v>2775</v>
      </c>
      <c r="AV3" s="3063">
        <f>MAdaten!AI4</f>
        <v>68.09717309322653</v>
      </c>
      <c r="AW3" s="3063">
        <f>MAdaten!AJ4</f>
        <v>0</v>
      </c>
      <c r="AX3" s="3063">
        <f>MAdaten!AK4</f>
        <v>85.121466366533156</v>
      </c>
      <c r="AY3" s="3063" t="str">
        <f>MAdaten!AL4</f>
        <v>Maria</v>
      </c>
      <c r="AZ3" s="3063">
        <f>MAdaten!AM4</f>
        <v>116550</v>
      </c>
      <c r="BA3" s="565">
        <f>MAdaten!AN4</f>
        <v>8</v>
      </c>
      <c r="BB3" s="565">
        <f>MAdaten!AO4</f>
        <v>544.77738474581224</v>
      </c>
      <c r="BC3" s="3063">
        <f>MAdaten!AP4</f>
        <v>8</v>
      </c>
      <c r="BD3" s="3063">
        <f>MAdaten!AQ4</f>
        <v>544.77738474581224</v>
      </c>
      <c r="BE3" s="3064" t="str">
        <f>MAdaten!AR4</f>
        <v/>
      </c>
      <c r="BF3" s="3063" t="str">
        <f>MAdaten!AS4</f>
        <v/>
      </c>
      <c r="BG3" s="3064">
        <f>MAdaten!AT4</f>
        <v>8</v>
      </c>
      <c r="BH3" s="3063">
        <f>MAdaten!AU4</f>
        <v>544.77738474581224</v>
      </c>
      <c r="BI3" s="3064">
        <f>MAdaten!AV4</f>
        <v>8</v>
      </c>
      <c r="BJ3" s="3063">
        <f>MAdaten!AW4</f>
        <v>544.77738474581224</v>
      </c>
      <c r="BK3" s="3064">
        <f>MAdaten!AX4</f>
        <v>7.5</v>
      </c>
      <c r="BL3" s="3063">
        <f>MAdaten!AY4</f>
        <v>510.72879819919899</v>
      </c>
      <c r="BM3" s="3066">
        <f>MAdaten!AZ4</f>
        <v>216</v>
      </c>
      <c r="BN3" s="3066">
        <f>MAdaten!BA4</f>
        <v>22</v>
      </c>
      <c r="BO3" s="3067">
        <f>MAdaten!BB4</f>
        <v>12</v>
      </c>
      <c r="BP3" s="3067">
        <f>MAdaten!BC4</f>
        <v>119797.92</v>
      </c>
      <c r="BQ3" s="3067">
        <f>MAdaten!BD4</f>
        <v>113206.25774801819</v>
      </c>
      <c r="BR3" s="3067">
        <f>MAdaten!BE4</f>
        <v>6591.4565376961027</v>
      </c>
      <c r="BS3" s="3068">
        <f>MAdaten!BF4</f>
        <v>0</v>
      </c>
      <c r="BT3" s="3068">
        <f>MAdaten!BG4</f>
        <v>113206.25774801819</v>
      </c>
      <c r="BU3" s="3068">
        <f>MAdaten!BH4</f>
        <v>-113206.25774801819</v>
      </c>
      <c r="BV3" s="3068" t="str">
        <f>MAdaten!BI4</f>
        <v/>
      </c>
      <c r="BW3" s="3068">
        <f>MAdaten!BJ4</f>
        <v>0</v>
      </c>
      <c r="BX3" s="3068">
        <f>MAdaten!BK4</f>
        <v>6591.4565376961036</v>
      </c>
      <c r="BY3" s="3068">
        <f>MAdaten!BL4</f>
        <v>-6591.4565376961036</v>
      </c>
      <c r="BZ3" s="3068" t="str">
        <f>MAdaten!BM4</f>
        <v/>
      </c>
      <c r="CA3" s="3068" t="str">
        <f>MAdaten!BN4</f>
        <v/>
      </c>
      <c r="CB3" s="3068" t="str">
        <f>MAdaten!BO4</f>
        <v/>
      </c>
      <c r="CC3" s="3068" t="str">
        <f>MAdaten!BP4</f>
        <v/>
      </c>
      <c r="CD3" s="565" t="str">
        <f>MAdaten!BQ4</f>
        <v>Maria</v>
      </c>
      <c r="CE3" s="565">
        <f>MAdaten!BR4</f>
        <v>0</v>
      </c>
      <c r="CF3" s="565">
        <f>MAdaten!BS4</f>
        <v>0</v>
      </c>
      <c r="CG3" s="565">
        <f>MAdaten!BT4</f>
        <v>0</v>
      </c>
      <c r="CH3" s="565">
        <f>MAdaten!BU4</f>
        <v>1</v>
      </c>
      <c r="CI3" s="565" t="str">
        <f>MAdaten!BV4</f>
        <v>Januar</v>
      </c>
      <c r="CJ3" s="565">
        <f>MAdaten!BW4</f>
        <v>18</v>
      </c>
      <c r="CK3" s="565">
        <f>MAdaten!BX4</f>
        <v>2</v>
      </c>
      <c r="CL3" s="565">
        <f>MAdaten!BY4</f>
        <v>0</v>
      </c>
      <c r="CM3" s="565">
        <f>MAdaten!BZ4</f>
        <v>0</v>
      </c>
      <c r="CN3" s="565">
        <f>MAdaten!CA4</f>
        <v>9433.8548123348482</v>
      </c>
      <c r="CO3" s="565" t="str">
        <f>MAdaten!CB4</f>
        <v/>
      </c>
      <c r="CP3" s="565" t="str">
        <f>MAdaten!CC4</f>
        <v/>
      </c>
      <c r="CQ3" s="565">
        <f>MAdaten!CD4</f>
        <v>0</v>
      </c>
      <c r="CR3" s="565">
        <f>MAdaten!CE4</f>
        <v>549.28804480800852</v>
      </c>
      <c r="CS3" s="565" t="str">
        <f>MAdaten!CF4</f>
        <v/>
      </c>
      <c r="CT3" s="565" t="str">
        <f>MAdaten!CG4</f>
        <v/>
      </c>
      <c r="CU3" s="565"/>
      <c r="CV3" s="565"/>
      <c r="CW3" s="3069"/>
      <c r="CX3" s="3069"/>
      <c r="CY3" s="3160"/>
      <c r="CZ3" s="3160"/>
      <c r="DA3" s="3160"/>
      <c r="DB3" s="3160"/>
    </row>
    <row r="4" spans="1:106" s="3000" customFormat="1" ht="20.399999999999999" customHeight="1" thickBot="1">
      <c r="B4" s="3001"/>
      <c r="C4" s="3008">
        <f>W3</f>
        <v>16.170000000000002</v>
      </c>
      <c r="D4" s="3008">
        <f>Z3</f>
        <v>16.230903713664844</v>
      </c>
      <c r="E4" s="3008">
        <f>AO3</f>
        <v>39.5</v>
      </c>
      <c r="F4" s="3008">
        <f>Y3</f>
        <v>171.035</v>
      </c>
      <c r="G4" s="3008">
        <f>AP3</f>
        <v>5</v>
      </c>
      <c r="H4" s="3008">
        <f>AQ3</f>
        <v>21</v>
      </c>
      <c r="I4" s="3004">
        <f>AB3</f>
        <v>216.49133999999995</v>
      </c>
      <c r="J4" s="3003">
        <f>AC3</f>
        <v>0.98750000000000004</v>
      </c>
      <c r="M4" s="3243"/>
      <c r="N4" s="3240" t="s">
        <v>1393</v>
      </c>
      <c r="O4" s="3240"/>
      <c r="P4" s="3240"/>
      <c r="Q4" s="3062"/>
      <c r="R4" s="3062"/>
      <c r="S4" s="3062"/>
      <c r="T4" s="3062"/>
      <c r="U4" s="3062"/>
      <c r="V4" s="3062"/>
      <c r="W4" s="3062"/>
      <c r="X4" s="3062"/>
      <c r="Y4" s="3062"/>
      <c r="Z4" s="3062"/>
      <c r="AA4" s="3062"/>
      <c r="AB4" s="3062"/>
      <c r="AC4" s="3062"/>
      <c r="AD4" s="3062"/>
      <c r="AE4" s="3062"/>
      <c r="AF4" s="3062"/>
      <c r="AG4" s="3062"/>
      <c r="AH4" s="3062"/>
      <c r="AI4" s="3062"/>
      <c r="AJ4" s="3062"/>
      <c r="AK4" s="3062"/>
      <c r="AL4" s="3062"/>
      <c r="AM4" s="3062"/>
      <c r="AN4" s="3062"/>
      <c r="AO4" s="3062"/>
      <c r="AP4" s="3062"/>
      <c r="AQ4" s="3062"/>
      <c r="AR4" s="3062"/>
      <c r="AS4" s="3062"/>
      <c r="AT4" s="3062"/>
      <c r="AU4" s="3062"/>
      <c r="AV4" s="3062"/>
      <c r="AW4" s="3062"/>
      <c r="AX4" s="3062"/>
      <c r="AY4" s="3062"/>
      <c r="AZ4" s="3062"/>
      <c r="BA4" s="3062"/>
      <c r="BB4" s="3062"/>
      <c r="BC4" s="3062"/>
      <c r="BD4" s="3062"/>
      <c r="BE4" s="3062"/>
      <c r="BF4" s="3062"/>
      <c r="BG4" s="3062"/>
      <c r="BH4" s="3062"/>
      <c r="BI4" s="3062"/>
      <c r="BJ4" s="3062"/>
      <c r="BK4" s="3062"/>
      <c r="BL4" s="3062"/>
      <c r="BM4" s="3062"/>
      <c r="BN4" s="3062"/>
      <c r="BO4" s="3062"/>
      <c r="BP4" s="3062"/>
      <c r="BQ4" s="3062"/>
      <c r="BR4" s="3062"/>
      <c r="BS4" s="3062"/>
      <c r="BT4" s="3062"/>
      <c r="BU4" s="3062"/>
      <c r="BV4" s="3062"/>
      <c r="BW4" s="3062"/>
      <c r="BX4" s="3062"/>
      <c r="BY4" s="3062"/>
      <c r="BZ4" s="3062"/>
      <c r="CA4" s="3062"/>
      <c r="CB4" s="3062"/>
      <c r="CC4" s="3062"/>
      <c r="CD4" s="3062"/>
      <c r="CE4" s="3062"/>
      <c r="CF4" s="3062"/>
      <c r="CG4" s="3062"/>
      <c r="CH4" s="3062"/>
      <c r="CI4" s="3062"/>
      <c r="CJ4" s="3062"/>
      <c r="CK4" s="3062"/>
      <c r="CL4" s="3062"/>
      <c r="CM4" s="3062"/>
      <c r="CN4" s="3062"/>
      <c r="CO4" s="3062"/>
      <c r="CP4" s="3062"/>
      <c r="CQ4" s="3062"/>
      <c r="CR4" s="3062"/>
      <c r="CS4" s="3062"/>
      <c r="CT4" s="3062"/>
      <c r="CU4" s="3062"/>
      <c r="CV4" s="3062"/>
      <c r="CW4" s="3062"/>
      <c r="CX4" s="3062"/>
      <c r="CY4" s="3159"/>
      <c r="CZ4" s="3159"/>
      <c r="DA4" s="3159"/>
      <c r="DB4" s="3159"/>
    </row>
    <row r="5" spans="1:106" ht="21.6" customHeight="1" thickBot="1">
      <c r="A5" s="3009"/>
      <c r="B5" s="3010"/>
      <c r="C5" s="3011"/>
      <c r="D5" s="3012"/>
      <c r="E5" s="3011"/>
      <c r="F5" s="3012"/>
      <c r="G5" s="3011"/>
      <c r="H5" s="3012"/>
      <c r="I5" s="3054"/>
      <c r="J5" s="3054"/>
      <c r="K5" s="3055"/>
      <c r="L5" s="3054"/>
      <c r="M5" s="3244"/>
      <c r="N5" s="3240"/>
      <c r="O5" s="3240"/>
      <c r="P5" s="3240"/>
    </row>
    <row r="6" spans="1:106" s="3005" customFormat="1" ht="66" customHeight="1">
      <c r="A6" s="4362" t="s">
        <v>1362</v>
      </c>
      <c r="B6" s="4363"/>
      <c r="C6" s="3013" t="str">
        <f>AG1</f>
        <v>Sollumsatz pro Arbeits-monat €</v>
      </c>
      <c r="D6" s="3013" t="str">
        <f>AL1</f>
        <v>Gesamt-sollumsatz pro Tag €</v>
      </c>
      <c r="E6" s="3013" t="str">
        <f>AU1</f>
        <v>Umsatz p. Woche</v>
      </c>
      <c r="F6" s="3013" t="str">
        <f>AV1</f>
        <v>Umsatz p. Std</v>
      </c>
      <c r="G6" s="3013" t="str">
        <f>AX1</f>
        <v>Umsatz p. Std mit Leerlauf</v>
      </c>
      <c r="H6" s="3014" t="str">
        <f>AS1</f>
        <v>DL-Umsatz pro M.</v>
      </c>
      <c r="I6" s="3014" t="str">
        <f>AH1</f>
        <v>Sollumsatz DL pro Anwesen-heitstag €</v>
      </c>
      <c r="J6" s="3014" t="str">
        <f>AT1</f>
        <v>VK-Umsatz pro M.</v>
      </c>
      <c r="K6" s="3014" t="str">
        <f>AI1</f>
        <v>Verkaufs-anteil %</v>
      </c>
      <c r="L6" s="3014" t="str">
        <f>AJ1</f>
        <v>Verkaufs-anteil € pro Tag</v>
      </c>
      <c r="M6" s="3242"/>
      <c r="N6" s="4378" t="s">
        <v>1395</v>
      </c>
      <c r="O6" s="4378"/>
      <c r="P6" s="4378"/>
      <c r="Q6" s="3069"/>
      <c r="R6" s="3069"/>
      <c r="S6" s="3069"/>
      <c r="T6" s="3069"/>
      <c r="U6" s="3069"/>
      <c r="V6" s="3069"/>
      <c r="W6" s="3069"/>
      <c r="X6" s="3069"/>
      <c r="Y6" s="3069"/>
      <c r="Z6" s="3069"/>
      <c r="AA6" s="3069"/>
      <c r="AB6" s="3069"/>
      <c r="AC6" s="3069"/>
      <c r="AD6" s="3069"/>
      <c r="AE6" s="3069"/>
      <c r="AF6" s="3069"/>
      <c r="AG6" s="3069"/>
      <c r="AH6" s="3069"/>
      <c r="AI6" s="3069"/>
      <c r="AJ6" s="3069"/>
      <c r="AK6" s="3069"/>
      <c r="AL6" s="3069"/>
      <c r="AM6" s="3069"/>
      <c r="AN6" s="3069"/>
      <c r="AO6" s="3069"/>
      <c r="AP6" s="3069"/>
      <c r="AQ6" s="3069"/>
      <c r="AR6" s="3069"/>
      <c r="AS6" s="3069"/>
      <c r="AT6" s="3069"/>
      <c r="AU6" s="3069"/>
      <c r="AV6" s="3069"/>
      <c r="AW6" s="3069"/>
      <c r="AX6" s="3069"/>
      <c r="AY6" s="3069"/>
      <c r="AZ6" s="3069"/>
      <c r="BA6" s="3069"/>
      <c r="BB6" s="3069"/>
      <c r="BC6" s="3069"/>
      <c r="BD6" s="3069"/>
      <c r="BE6" s="3069"/>
      <c r="BF6" s="3069"/>
      <c r="BG6" s="3069"/>
      <c r="BH6" s="3069"/>
      <c r="BI6" s="3069"/>
      <c r="BJ6" s="3069"/>
      <c r="BK6" s="3069"/>
      <c r="BL6" s="3069"/>
      <c r="BM6" s="3069"/>
      <c r="BN6" s="3069"/>
      <c r="BO6" s="3069"/>
      <c r="BP6" s="3069"/>
      <c r="BQ6" s="3069"/>
      <c r="BR6" s="3069"/>
      <c r="BS6" s="3069"/>
      <c r="BT6" s="3069"/>
      <c r="BU6" s="3069"/>
      <c r="BV6" s="3069"/>
      <c r="BW6" s="3069"/>
      <c r="BX6" s="3069"/>
      <c r="BY6" s="3069"/>
      <c r="BZ6" s="3069"/>
      <c r="CA6" s="3069"/>
      <c r="CB6" s="3069"/>
      <c r="CC6" s="3069"/>
      <c r="CD6" s="3069"/>
      <c r="CE6" s="3069"/>
      <c r="CF6" s="3069"/>
      <c r="CG6" s="3069"/>
      <c r="CH6" s="3069"/>
      <c r="CI6" s="3069"/>
      <c r="CJ6" s="3069"/>
      <c r="CK6" s="3069"/>
      <c r="CL6" s="3069"/>
      <c r="CM6" s="3069"/>
      <c r="CN6" s="3069"/>
      <c r="CO6" s="3069"/>
      <c r="CP6" s="3069"/>
      <c r="CQ6" s="3069"/>
      <c r="CR6" s="3069"/>
      <c r="CS6" s="3069"/>
      <c r="CT6" s="3069"/>
      <c r="CU6" s="3069"/>
      <c r="CV6" s="3069"/>
      <c r="CW6" s="3069"/>
      <c r="CX6" s="3069"/>
      <c r="CY6" s="3160"/>
      <c r="CZ6" s="3160"/>
      <c r="DA6" s="3160"/>
      <c r="DB6" s="3160"/>
    </row>
    <row r="7" spans="1:106" s="3049" customFormat="1">
      <c r="A7" s="3015"/>
      <c r="B7" s="3016"/>
      <c r="C7" s="3017">
        <f>AR3</f>
        <v>11647</v>
      </c>
      <c r="D7" s="3017">
        <f>AL3</f>
        <v>554.62</v>
      </c>
      <c r="E7" s="3017">
        <f>AU3</f>
        <v>2775</v>
      </c>
      <c r="F7" s="3018">
        <f>AV3</f>
        <v>68.09717309322653</v>
      </c>
      <c r="G7" s="3018">
        <f>AX3</f>
        <v>85.121466366533156</v>
      </c>
      <c r="H7" s="3019">
        <f>AS3</f>
        <v>11006.16394772399</v>
      </c>
      <c r="I7" s="3020">
        <f>AH3</f>
        <v>524.10304512971379</v>
      </c>
      <c r="J7" s="3020">
        <f>AT3</f>
        <v>640.83605227600992</v>
      </c>
      <c r="K7" s="3021">
        <f>AI3</f>
        <v>5.5021555102258944E-2</v>
      </c>
      <c r="L7" s="3020">
        <f>AJ3</f>
        <v>30.536963081753715</v>
      </c>
      <c r="M7" s="3245"/>
      <c r="N7" s="4379" t="s">
        <v>1400</v>
      </c>
      <c r="O7" s="4379"/>
      <c r="P7" s="4379"/>
      <c r="Q7" s="3070"/>
      <c r="R7" s="3070"/>
      <c r="S7" s="3070"/>
      <c r="T7" s="3070"/>
      <c r="U7" s="3070"/>
      <c r="V7" s="3070"/>
      <c r="W7" s="3070"/>
      <c r="X7" s="3070"/>
      <c r="Y7" s="3070"/>
      <c r="Z7" s="3070"/>
      <c r="AA7" s="3070"/>
      <c r="AB7" s="3070"/>
      <c r="AC7" s="3070"/>
      <c r="AD7" s="3070"/>
      <c r="AE7" s="3070"/>
      <c r="AF7" s="3070"/>
      <c r="AG7" s="3070"/>
      <c r="AH7" s="3070"/>
      <c r="AI7" s="3070"/>
      <c r="AJ7" s="3070"/>
      <c r="AK7" s="3070"/>
      <c r="AL7" s="3070"/>
      <c r="AM7" s="3070"/>
      <c r="AN7" s="3070"/>
      <c r="AO7" s="3070"/>
      <c r="AP7" s="3070"/>
      <c r="AQ7" s="3070"/>
      <c r="AR7" s="3070"/>
      <c r="AS7" s="3070"/>
      <c r="AT7" s="3070"/>
      <c r="AU7" s="3070"/>
      <c r="AV7" s="3070"/>
      <c r="AW7" s="3070"/>
      <c r="AX7" s="3070"/>
      <c r="AY7" s="3070"/>
      <c r="AZ7" s="3070"/>
      <c r="BA7" s="3070"/>
      <c r="BB7" s="3070"/>
      <c r="BC7" s="3070"/>
      <c r="BD7" s="3070"/>
      <c r="BE7" s="3070"/>
      <c r="BF7" s="3070"/>
      <c r="BG7" s="3070"/>
      <c r="BH7" s="3070"/>
      <c r="BI7" s="3070"/>
      <c r="BJ7" s="3070"/>
      <c r="BK7" s="3070"/>
      <c r="BL7" s="3070"/>
      <c r="BM7" s="3070"/>
      <c r="BN7" s="3070"/>
      <c r="BO7" s="3070"/>
      <c r="BP7" s="3070"/>
      <c r="BQ7" s="3070"/>
      <c r="BR7" s="3070"/>
      <c r="BS7" s="3070"/>
      <c r="BT7" s="3070"/>
      <c r="BU7" s="3070"/>
      <c r="BV7" s="3070"/>
      <c r="BW7" s="3070"/>
      <c r="BX7" s="3070"/>
      <c r="BY7" s="3070"/>
      <c r="BZ7" s="3070"/>
      <c r="CA7" s="3070"/>
      <c r="CB7" s="3070"/>
      <c r="CC7" s="3070"/>
      <c r="CD7" s="3070"/>
      <c r="CE7" s="3070"/>
      <c r="CF7" s="3070"/>
      <c r="CG7" s="3070"/>
      <c r="CH7" s="3070"/>
      <c r="CI7" s="3070"/>
      <c r="CJ7" s="3070"/>
      <c r="CK7" s="3070"/>
      <c r="CL7" s="3070"/>
      <c r="CM7" s="3070"/>
      <c r="CN7" s="3070"/>
      <c r="CO7" s="3070"/>
      <c r="CP7" s="3070"/>
      <c r="CQ7" s="3070"/>
      <c r="CR7" s="3070"/>
      <c r="CS7" s="3070"/>
      <c r="CT7" s="3070"/>
      <c r="CU7" s="3070"/>
      <c r="CV7" s="3070"/>
      <c r="CW7" s="3070"/>
      <c r="CX7" s="3070"/>
      <c r="CY7" s="3158"/>
      <c r="CZ7" s="3158"/>
      <c r="DA7" s="3158"/>
      <c r="DB7" s="3158"/>
    </row>
    <row r="8" spans="1:106" s="3005" customFormat="1" ht="20.399999999999999" customHeight="1">
      <c r="A8" s="4370" t="s">
        <v>168</v>
      </c>
      <c r="B8" s="4370"/>
      <c r="C8" s="4370" t="s">
        <v>169</v>
      </c>
      <c r="D8" s="4370"/>
      <c r="E8" s="4370" t="s">
        <v>170</v>
      </c>
      <c r="F8" s="4370"/>
      <c r="G8" s="4370" t="s">
        <v>171</v>
      </c>
      <c r="H8" s="4370"/>
      <c r="I8" s="4370" t="s">
        <v>172</v>
      </c>
      <c r="J8" s="4370"/>
      <c r="K8" s="4370" t="s">
        <v>173</v>
      </c>
      <c r="L8" s="4370"/>
      <c r="M8" s="3242"/>
      <c r="N8" s="4379"/>
      <c r="O8" s="4379"/>
      <c r="P8" s="4379"/>
      <c r="Q8" s="3069"/>
      <c r="R8" s="3069"/>
      <c r="S8" s="3069"/>
      <c r="T8" s="3069"/>
      <c r="U8" s="3069"/>
      <c r="V8" s="3069"/>
      <c r="W8" s="3069"/>
      <c r="X8" s="3069"/>
      <c r="Y8" s="3069"/>
      <c r="Z8" s="3069"/>
      <c r="AA8" s="3069"/>
      <c r="AB8" s="3069"/>
      <c r="AC8" s="3069"/>
      <c r="AD8" s="3069"/>
      <c r="AE8" s="3069"/>
      <c r="AF8" s="3069"/>
      <c r="AG8" s="3069"/>
      <c r="AH8" s="3069"/>
      <c r="AI8" s="3069"/>
      <c r="AJ8" s="3069"/>
      <c r="AK8" s="3069"/>
      <c r="AL8" s="3069"/>
      <c r="AM8" s="3069"/>
      <c r="AN8" s="3069"/>
      <c r="AO8" s="3069"/>
      <c r="AP8" s="3069"/>
      <c r="AQ8" s="3069"/>
      <c r="AR8" s="3069"/>
      <c r="AS8" s="3069"/>
      <c r="AT8" s="3069"/>
      <c r="AU8" s="3069"/>
      <c r="AV8" s="3069"/>
      <c r="AW8" s="3069"/>
      <c r="AX8" s="3069"/>
      <c r="AY8" s="3069"/>
      <c r="AZ8" s="3069"/>
      <c r="BA8" s="3069"/>
      <c r="BB8" s="3069"/>
      <c r="BC8" s="3069"/>
      <c r="BD8" s="3069"/>
      <c r="BE8" s="3069"/>
      <c r="BF8" s="3069"/>
      <c r="BG8" s="3069"/>
      <c r="BH8" s="3069"/>
      <c r="BI8" s="3069"/>
      <c r="BJ8" s="3069"/>
      <c r="BK8" s="3069"/>
      <c r="BL8" s="3069"/>
      <c r="BM8" s="3069"/>
      <c r="BN8" s="3069"/>
      <c r="BO8" s="3069"/>
      <c r="BP8" s="3069"/>
      <c r="BQ8" s="3069"/>
      <c r="BR8" s="3069"/>
      <c r="BS8" s="3069"/>
      <c r="BT8" s="3069"/>
      <c r="BU8" s="3069"/>
      <c r="BV8" s="3069"/>
      <c r="BW8" s="3069"/>
      <c r="BX8" s="3069"/>
      <c r="BY8" s="3069"/>
      <c r="BZ8" s="3069"/>
      <c r="CA8" s="3069"/>
      <c r="CB8" s="3069"/>
      <c r="CC8" s="3069"/>
      <c r="CD8" s="3069"/>
      <c r="CE8" s="3069"/>
      <c r="CF8" s="3069"/>
      <c r="CG8" s="3069"/>
      <c r="CH8" s="3069"/>
      <c r="CI8" s="3069"/>
      <c r="CJ8" s="3069"/>
      <c r="CK8" s="3069"/>
      <c r="CL8" s="3069"/>
      <c r="CM8" s="3069"/>
      <c r="CN8" s="3069"/>
      <c r="CO8" s="3069"/>
      <c r="CP8" s="3069"/>
      <c r="CQ8" s="3069"/>
      <c r="CR8" s="3069"/>
      <c r="CS8" s="3069"/>
      <c r="CT8" s="3069"/>
      <c r="CU8" s="3069"/>
      <c r="CV8" s="3069"/>
      <c r="CW8" s="3069"/>
      <c r="CX8" s="3069"/>
      <c r="CY8" s="3160"/>
      <c r="CZ8" s="3160"/>
      <c r="DA8" s="3160"/>
      <c r="DB8" s="3160"/>
    </row>
    <row r="9" spans="1:106" s="3005" customFormat="1" ht="20.399999999999999" customHeight="1">
      <c r="A9" s="3022" t="s">
        <v>217</v>
      </c>
      <c r="B9" s="3022" t="s">
        <v>61</v>
      </c>
      <c r="C9" s="3022" t="s">
        <v>217</v>
      </c>
      <c r="D9" s="3022" t="s">
        <v>61</v>
      </c>
      <c r="E9" s="3022" t="s">
        <v>217</v>
      </c>
      <c r="F9" s="3022" t="s">
        <v>61</v>
      </c>
      <c r="G9" s="3022" t="s">
        <v>217</v>
      </c>
      <c r="H9" s="3022" t="s">
        <v>61</v>
      </c>
      <c r="I9" s="3022" t="s">
        <v>217</v>
      </c>
      <c r="J9" s="3022" t="s">
        <v>61</v>
      </c>
      <c r="K9" s="3022" t="s">
        <v>217</v>
      </c>
      <c r="L9" s="3022" t="s">
        <v>61</v>
      </c>
      <c r="M9" s="3242"/>
      <c r="N9" s="4379"/>
      <c r="O9" s="4379"/>
      <c r="P9" s="4379"/>
      <c r="Q9" s="3069"/>
      <c r="R9" s="3069"/>
      <c r="S9" s="3069"/>
      <c r="T9" s="3069"/>
      <c r="U9" s="3069"/>
      <c r="V9" s="3069"/>
      <c r="W9" s="3069"/>
      <c r="X9" s="3069"/>
      <c r="Y9" s="3069"/>
      <c r="Z9" s="3069"/>
      <c r="AA9" s="3069"/>
      <c r="AB9" s="3069"/>
      <c r="AC9" s="3069"/>
      <c r="AD9" s="3069"/>
      <c r="AE9" s="3069"/>
      <c r="AF9" s="3069"/>
      <c r="AG9" s="3069"/>
      <c r="AH9" s="3069"/>
      <c r="AI9" s="3069"/>
      <c r="AJ9" s="3069"/>
      <c r="AK9" s="3069"/>
      <c r="AL9" s="3069"/>
      <c r="AM9" s="3069"/>
      <c r="AN9" s="3069"/>
      <c r="AO9" s="3069"/>
      <c r="AP9" s="3069"/>
      <c r="AQ9" s="3069"/>
      <c r="AR9" s="3069"/>
      <c r="AS9" s="3069"/>
      <c r="AT9" s="3069"/>
      <c r="AU9" s="3069"/>
      <c r="AV9" s="3069"/>
      <c r="AW9" s="3069"/>
      <c r="AX9" s="3069"/>
      <c r="AY9" s="3069"/>
      <c r="AZ9" s="3069"/>
      <c r="BA9" s="3069"/>
      <c r="BB9" s="3069"/>
      <c r="BC9" s="3069"/>
      <c r="BD9" s="3069"/>
      <c r="BE9" s="3069"/>
      <c r="BF9" s="3069"/>
      <c r="BG9" s="3069"/>
      <c r="BH9" s="3069"/>
      <c r="BI9" s="3069"/>
      <c r="BJ9" s="3069"/>
      <c r="BK9" s="3069"/>
      <c r="BL9" s="3069"/>
      <c r="BM9" s="3069"/>
      <c r="BN9" s="3069"/>
      <c r="BO9" s="3069"/>
      <c r="BP9" s="3069"/>
      <c r="BQ9" s="3069"/>
      <c r="BR9" s="3069"/>
      <c r="BS9" s="3069"/>
      <c r="BT9" s="3069"/>
      <c r="BU9" s="3069"/>
      <c r="BV9" s="3069"/>
      <c r="BW9" s="3069"/>
      <c r="BX9" s="3069"/>
      <c r="BY9" s="3069"/>
      <c r="BZ9" s="3069"/>
      <c r="CA9" s="3069"/>
      <c r="CB9" s="3069"/>
      <c r="CC9" s="3069"/>
      <c r="CD9" s="3069"/>
      <c r="CE9" s="3069"/>
      <c r="CF9" s="3069"/>
      <c r="CG9" s="3069"/>
      <c r="CH9" s="3069"/>
      <c r="CI9" s="3069"/>
      <c r="CJ9" s="3069"/>
      <c r="CK9" s="3069"/>
      <c r="CL9" s="3069"/>
      <c r="CM9" s="3069"/>
      <c r="CN9" s="3069"/>
      <c r="CO9" s="3069"/>
      <c r="CP9" s="3069"/>
      <c r="CQ9" s="3069"/>
      <c r="CR9" s="3069"/>
      <c r="CS9" s="3069"/>
      <c r="CT9" s="3069"/>
      <c r="CU9" s="3069"/>
      <c r="CV9" s="3069"/>
      <c r="CW9" s="3069"/>
      <c r="CX9" s="3069"/>
      <c r="CY9" s="3160"/>
      <c r="CZ9" s="3160"/>
      <c r="DA9" s="3160"/>
      <c r="DB9" s="3160"/>
    </row>
    <row r="10" spans="1:106" s="3050" customFormat="1" ht="20.399999999999999" customHeight="1" thickBot="1">
      <c r="A10" s="3023">
        <f t="shared" ref="A10:L10" si="1">BA3</f>
        <v>8</v>
      </c>
      <c r="B10" s="3024">
        <f t="shared" si="1"/>
        <v>544.77738474581224</v>
      </c>
      <c r="C10" s="3023">
        <f t="shared" si="1"/>
        <v>8</v>
      </c>
      <c r="D10" s="3024">
        <f t="shared" si="1"/>
        <v>544.77738474581224</v>
      </c>
      <c r="E10" s="3023" t="str">
        <f t="shared" si="1"/>
        <v/>
      </c>
      <c r="F10" s="3024" t="str">
        <f t="shared" si="1"/>
        <v/>
      </c>
      <c r="G10" s="3023">
        <f t="shared" si="1"/>
        <v>8</v>
      </c>
      <c r="H10" s="3024">
        <f t="shared" si="1"/>
        <v>544.77738474581224</v>
      </c>
      <c r="I10" s="3023">
        <f t="shared" si="1"/>
        <v>8</v>
      </c>
      <c r="J10" s="3024">
        <f t="shared" si="1"/>
        <v>544.77738474581224</v>
      </c>
      <c r="K10" s="3023">
        <f t="shared" si="1"/>
        <v>7.5</v>
      </c>
      <c r="L10" s="3024">
        <f t="shared" si="1"/>
        <v>510.72879819919899</v>
      </c>
      <c r="M10" s="3246"/>
      <c r="N10" s="3050" t="s">
        <v>1399</v>
      </c>
      <c r="P10" s="3071"/>
      <c r="Q10" s="3071"/>
      <c r="R10" s="3071"/>
      <c r="S10" s="3071"/>
      <c r="T10" s="3071"/>
      <c r="U10" s="3071"/>
      <c r="V10" s="3071"/>
      <c r="W10" s="3071"/>
      <c r="X10" s="3071"/>
      <c r="Y10" s="3071"/>
      <c r="Z10" s="3071"/>
      <c r="AA10" s="3071"/>
      <c r="AB10" s="3071"/>
      <c r="AC10" s="3071"/>
      <c r="AD10" s="3071"/>
      <c r="AE10" s="3071"/>
      <c r="AF10" s="3071"/>
      <c r="AG10" s="3071"/>
      <c r="AH10" s="3071"/>
      <c r="AI10" s="3071"/>
      <c r="AJ10" s="3071"/>
      <c r="AK10" s="3071"/>
      <c r="AL10" s="3071"/>
      <c r="AM10" s="3071"/>
      <c r="AN10" s="3071"/>
      <c r="AO10" s="3071"/>
      <c r="AP10" s="3071"/>
      <c r="AQ10" s="3071"/>
      <c r="AR10" s="3071"/>
      <c r="AS10" s="3071"/>
      <c r="AT10" s="3071"/>
      <c r="AU10" s="3071"/>
      <c r="AV10" s="3071"/>
      <c r="AW10" s="3071"/>
      <c r="AX10" s="3071"/>
      <c r="AY10" s="3071"/>
      <c r="AZ10" s="3071"/>
      <c r="BA10" s="3071"/>
      <c r="BB10" s="3071"/>
      <c r="BC10" s="3071"/>
      <c r="BD10" s="3071"/>
      <c r="BE10" s="3071"/>
      <c r="BF10" s="3071"/>
      <c r="BG10" s="3071"/>
      <c r="BH10" s="3071"/>
      <c r="BI10" s="3071"/>
      <c r="BJ10" s="3071"/>
      <c r="BK10" s="3071"/>
      <c r="BL10" s="3071"/>
      <c r="BM10" s="3071"/>
      <c r="BN10" s="3071"/>
      <c r="BO10" s="3071"/>
      <c r="BP10" s="3071"/>
      <c r="BQ10" s="3071"/>
      <c r="BR10" s="3071"/>
      <c r="BS10" s="3071"/>
      <c r="BT10" s="3071"/>
      <c r="BU10" s="3071"/>
      <c r="BV10" s="3071"/>
      <c r="BW10" s="3071"/>
      <c r="BX10" s="3071"/>
      <c r="BY10" s="3071"/>
      <c r="BZ10" s="3071"/>
      <c r="CA10" s="3071"/>
      <c r="CB10" s="3071"/>
      <c r="CC10" s="3071"/>
      <c r="CD10" s="3071"/>
      <c r="CE10" s="3071"/>
      <c r="CF10" s="3071"/>
      <c r="CG10" s="3071"/>
      <c r="CH10" s="3071"/>
      <c r="CI10" s="3071"/>
      <c r="CJ10" s="3071"/>
      <c r="CK10" s="3071"/>
      <c r="CL10" s="3071"/>
      <c r="CM10" s="3071"/>
      <c r="CN10" s="3071"/>
      <c r="CO10" s="3071"/>
      <c r="CP10" s="3071"/>
      <c r="CQ10" s="3071"/>
      <c r="CR10" s="3071"/>
      <c r="CS10" s="3071"/>
      <c r="CT10" s="3071"/>
      <c r="CU10" s="3071"/>
      <c r="CV10" s="3071"/>
      <c r="CW10" s="3071"/>
      <c r="CX10" s="3071"/>
      <c r="CY10" s="830"/>
      <c r="CZ10" s="830"/>
      <c r="DA10" s="830"/>
      <c r="DB10" s="830"/>
    </row>
    <row r="11" spans="1:106" ht="14.4" customHeight="1" thickBot="1">
      <c r="A11" s="3009"/>
      <c r="B11" s="3010"/>
      <c r="C11" s="3011"/>
      <c r="D11" s="3012"/>
      <c r="E11" s="3011"/>
      <c r="F11" s="3012"/>
      <c r="G11" s="3011"/>
      <c r="H11" s="3012"/>
      <c r="I11" s="3054"/>
      <c r="J11" s="3054"/>
      <c r="K11" s="3055"/>
      <c r="L11" s="3054"/>
      <c r="M11" s="3241"/>
      <c r="N11" s="494" t="s">
        <v>1400</v>
      </c>
      <c r="P11" s="565"/>
    </row>
    <row r="12" spans="1:106" s="3031" customFormat="1" ht="19.8" customHeight="1">
      <c r="A12" s="3025" t="s">
        <v>1396</v>
      </c>
      <c r="B12" s="3029"/>
      <c r="C12" s="3029"/>
      <c r="D12" s="3029"/>
      <c r="E12" s="3029"/>
      <c r="F12" s="3029"/>
      <c r="G12" s="3029"/>
      <c r="H12" s="3029"/>
      <c r="I12" s="3029"/>
      <c r="J12" s="3029"/>
      <c r="K12" s="3029"/>
      <c r="L12" s="3029"/>
      <c r="M12" s="3247"/>
      <c r="N12" s="3031" t="s">
        <v>1401</v>
      </c>
      <c r="Q12" s="3069"/>
      <c r="R12" s="3069"/>
      <c r="S12" s="3069"/>
      <c r="T12" s="3069"/>
      <c r="U12" s="3069"/>
      <c r="V12" s="3069"/>
      <c r="W12" s="3069"/>
      <c r="X12" s="3069"/>
      <c r="Y12" s="3069"/>
      <c r="Z12" s="3069"/>
      <c r="AA12" s="3069"/>
      <c r="AB12" s="3069"/>
      <c r="AC12" s="3069"/>
      <c r="AD12" s="3069"/>
      <c r="AE12" s="3069"/>
      <c r="AF12" s="3069"/>
      <c r="AG12" s="3069"/>
      <c r="AH12" s="3069"/>
      <c r="AI12" s="3069"/>
      <c r="AJ12" s="3069"/>
      <c r="AK12" s="3069"/>
      <c r="AL12" s="3069"/>
      <c r="AM12" s="3069"/>
      <c r="AN12" s="3069"/>
      <c r="AO12" s="3069"/>
      <c r="AP12" s="3069"/>
      <c r="AQ12" s="3069"/>
      <c r="AR12" s="3069"/>
      <c r="AS12" s="3069"/>
      <c r="AT12" s="3069"/>
      <c r="AU12" s="3069"/>
      <c r="AV12" s="3069"/>
      <c r="AW12" s="3069"/>
      <c r="AX12" s="3069"/>
      <c r="AY12" s="3069"/>
      <c r="AZ12" s="3069"/>
      <c r="BA12" s="3069"/>
      <c r="BB12" s="3069"/>
      <c r="BC12" s="3069"/>
      <c r="BD12" s="3069"/>
      <c r="BE12" s="3069"/>
      <c r="BF12" s="3069"/>
      <c r="BG12" s="3069"/>
      <c r="BH12" s="3069"/>
      <c r="BI12" s="3069"/>
      <c r="BJ12" s="3069"/>
      <c r="BK12" s="3069"/>
      <c r="BL12" s="3069"/>
      <c r="BM12" s="3069"/>
      <c r="BN12" s="3069"/>
      <c r="BO12" s="3069"/>
      <c r="BP12" s="3069"/>
      <c r="BQ12" s="3069"/>
      <c r="BR12" s="3069"/>
      <c r="BS12" s="3069"/>
      <c r="BT12" s="3069"/>
      <c r="BU12" s="3069"/>
      <c r="BV12" s="3069"/>
      <c r="BW12" s="3069"/>
      <c r="BX12" s="3069"/>
      <c r="BY12" s="3069"/>
      <c r="BZ12" s="3069"/>
      <c r="CA12" s="3069"/>
      <c r="CB12" s="3069"/>
      <c r="CC12" s="3069"/>
      <c r="CD12" s="3069"/>
      <c r="CE12" s="3069"/>
      <c r="CF12" s="3069"/>
      <c r="CG12" s="3069"/>
      <c r="CH12" s="3069"/>
      <c r="CI12" s="3069"/>
      <c r="CJ12" s="3069"/>
      <c r="CK12" s="3069"/>
      <c r="CL12" s="3069"/>
      <c r="CM12" s="3069"/>
      <c r="CN12" s="3069"/>
      <c r="CO12" s="3069"/>
      <c r="CP12" s="3069"/>
      <c r="CQ12" s="3069"/>
      <c r="CR12" s="3069"/>
      <c r="CS12" s="3069"/>
      <c r="CT12" s="3069"/>
      <c r="CU12" s="3069"/>
      <c r="CV12" s="3069"/>
      <c r="CW12" s="3069"/>
      <c r="CX12" s="3069"/>
      <c r="CY12" s="3160"/>
      <c r="CZ12" s="3160"/>
      <c r="DA12" s="3160"/>
      <c r="DB12" s="3160"/>
    </row>
    <row r="13" spans="1:106" s="3031" customFormat="1" ht="19.8" customHeight="1">
      <c r="A13" s="3163"/>
      <c r="B13" s="3164" t="s">
        <v>1102</v>
      </c>
      <c r="C13" s="3164" t="s">
        <v>1120</v>
      </c>
      <c r="D13" s="3164" t="s">
        <v>1121</v>
      </c>
      <c r="E13" s="3164" t="s">
        <v>1113</v>
      </c>
      <c r="F13" s="3164" t="s">
        <v>1115</v>
      </c>
      <c r="G13" s="3164" t="s">
        <v>1368</v>
      </c>
      <c r="H13" s="3164" t="s">
        <v>907</v>
      </c>
      <c r="I13" s="3164" t="s">
        <v>1114</v>
      </c>
      <c r="J13" s="3164" t="s">
        <v>1116</v>
      </c>
      <c r="K13" s="3164" t="s">
        <v>1368</v>
      </c>
      <c r="L13" s="3164" t="s">
        <v>907</v>
      </c>
      <c r="M13" s="3247"/>
      <c r="N13" s="494" t="s">
        <v>1397</v>
      </c>
      <c r="Q13" s="3069"/>
      <c r="R13" s="3069"/>
      <c r="S13" s="3069"/>
      <c r="T13" s="3069"/>
      <c r="U13" s="3069"/>
      <c r="V13" s="3069"/>
      <c r="W13" s="3069"/>
      <c r="X13" s="3069"/>
      <c r="Y13" s="3069"/>
      <c r="Z13" s="3069"/>
      <c r="AA13" s="3069"/>
      <c r="AB13" s="3069"/>
      <c r="AC13" s="3069"/>
      <c r="AD13" s="3069"/>
      <c r="AE13" s="3069"/>
      <c r="AF13" s="3069"/>
      <c r="AG13" s="3069"/>
      <c r="AH13" s="3069"/>
      <c r="AI13" s="3069"/>
      <c r="AJ13" s="3069"/>
      <c r="AK13" s="3069"/>
      <c r="AL13" s="3069"/>
      <c r="AM13" s="3069"/>
      <c r="AN13" s="3069"/>
      <c r="AO13" s="3069"/>
      <c r="AP13" s="3069"/>
      <c r="AQ13" s="3069"/>
      <c r="AR13" s="3069"/>
      <c r="AS13" s="3069"/>
      <c r="AT13" s="3069"/>
      <c r="AU13" s="3069"/>
      <c r="AV13" s="3069"/>
      <c r="AW13" s="3069"/>
      <c r="AX13" s="3069"/>
      <c r="AY13" s="3069"/>
      <c r="AZ13" s="3069"/>
      <c r="BA13" s="3069"/>
      <c r="BB13" s="3069"/>
      <c r="BC13" s="3069"/>
      <c r="BD13" s="3069"/>
      <c r="BE13" s="3069"/>
      <c r="BF13" s="3069"/>
      <c r="BG13" s="3069"/>
      <c r="BH13" s="3069"/>
      <c r="BI13" s="3069"/>
      <c r="BJ13" s="3069"/>
      <c r="BK13" s="3069"/>
      <c r="BL13" s="3069"/>
      <c r="BM13" s="3069"/>
      <c r="BN13" s="3069"/>
      <c r="BO13" s="3069"/>
      <c r="BP13" s="3069"/>
      <c r="BQ13" s="3069"/>
      <c r="BR13" s="3069"/>
      <c r="BS13" s="3069"/>
      <c r="BT13" s="3069"/>
      <c r="BU13" s="3069"/>
      <c r="BV13" s="3069"/>
      <c r="BW13" s="3069"/>
      <c r="BX13" s="3069"/>
      <c r="BY13" s="3069"/>
      <c r="BZ13" s="3069"/>
      <c r="CA13" s="3069"/>
      <c r="CB13" s="3069"/>
      <c r="CC13" s="3069"/>
      <c r="CD13" s="3069"/>
      <c r="CE13" s="3069"/>
      <c r="CF13" s="3069"/>
      <c r="CG13" s="3069"/>
      <c r="CH13" s="3069"/>
      <c r="CI13" s="3069"/>
      <c r="CJ13" s="3069"/>
      <c r="CK13" s="3069"/>
      <c r="CL13" s="3069"/>
      <c r="CM13" s="3069"/>
      <c r="CN13" s="3069"/>
      <c r="CO13" s="3069"/>
      <c r="CP13" s="3069"/>
      <c r="CQ13" s="3069"/>
      <c r="CR13" s="3069"/>
      <c r="CS13" s="3069"/>
      <c r="CT13" s="3069"/>
      <c r="CU13" s="3069"/>
      <c r="CV13" s="3069"/>
      <c r="CW13" s="3069"/>
      <c r="CX13" s="3069"/>
      <c r="CY13" s="3160"/>
      <c r="CZ13" s="3160"/>
      <c r="DA13" s="3160"/>
      <c r="DB13" s="3160"/>
    </row>
    <row r="14" spans="1:106" s="3038" customFormat="1" ht="17.399999999999999" customHeight="1" thickBot="1">
      <c r="A14" s="3165" t="str">
        <f t="shared" ref="A14:L14" si="2">CI3</f>
        <v>Januar</v>
      </c>
      <c r="B14" s="3166">
        <f t="shared" si="2"/>
        <v>18</v>
      </c>
      <c r="C14" s="3166">
        <f t="shared" si="2"/>
        <v>2</v>
      </c>
      <c r="D14" s="3166">
        <f t="shared" si="2"/>
        <v>0</v>
      </c>
      <c r="E14" s="3167">
        <f t="shared" si="2"/>
        <v>0</v>
      </c>
      <c r="F14" s="3167">
        <f t="shared" si="2"/>
        <v>9433.8548123348482</v>
      </c>
      <c r="G14" s="3167" t="str">
        <f t="shared" si="2"/>
        <v/>
      </c>
      <c r="H14" s="3167" t="str">
        <f t="shared" si="2"/>
        <v/>
      </c>
      <c r="I14" s="3167">
        <f t="shared" si="2"/>
        <v>0</v>
      </c>
      <c r="J14" s="3167">
        <f t="shared" si="2"/>
        <v>549.28804480800852</v>
      </c>
      <c r="K14" s="3167" t="str">
        <f t="shared" si="2"/>
        <v/>
      </c>
      <c r="L14" s="3167" t="str">
        <f t="shared" si="2"/>
        <v/>
      </c>
      <c r="M14" s="3248"/>
      <c r="N14" s="3031" t="s">
        <v>1402</v>
      </c>
      <c r="O14" s="3000" t="s">
        <v>1403</v>
      </c>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c r="AR14" s="3070"/>
      <c r="AS14" s="3070"/>
      <c r="AT14" s="3070"/>
      <c r="AU14" s="3070"/>
      <c r="AV14" s="3070"/>
      <c r="AW14" s="3070"/>
      <c r="AX14" s="3070"/>
      <c r="AY14" s="3070"/>
      <c r="AZ14" s="3070"/>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c r="CF14" s="3070"/>
      <c r="CG14" s="3070"/>
      <c r="CH14" s="3070"/>
      <c r="CI14" s="3070"/>
      <c r="CJ14" s="3070"/>
      <c r="CK14" s="3070"/>
      <c r="CL14" s="3070"/>
      <c r="CM14" s="3070"/>
      <c r="CN14" s="3070"/>
      <c r="CO14" s="3070"/>
      <c r="CP14" s="3070"/>
      <c r="CQ14" s="3070"/>
      <c r="CR14" s="3070"/>
      <c r="CS14" s="3070"/>
      <c r="CT14" s="3070"/>
      <c r="CU14" s="3070"/>
      <c r="CV14" s="3070"/>
      <c r="CW14" s="3070"/>
      <c r="CX14" s="3070"/>
      <c r="CY14" s="3158"/>
      <c r="CZ14" s="3158"/>
      <c r="DA14" s="3158"/>
      <c r="DB14" s="3158"/>
    </row>
    <row r="15" spans="1:106" s="3042" customFormat="1" ht="19.8" customHeight="1" thickBot="1">
      <c r="A15" s="3072"/>
      <c r="B15" s="3072"/>
      <c r="C15" s="3072"/>
      <c r="D15" s="3161"/>
      <c r="E15" s="3161"/>
      <c r="F15" s="3161"/>
      <c r="G15" s="3161"/>
      <c r="H15" s="3161"/>
      <c r="I15" s="3161"/>
      <c r="J15" s="3161"/>
      <c r="K15" s="3161"/>
      <c r="L15" s="3161"/>
      <c r="Q15" s="3072"/>
      <c r="R15" s="3072"/>
      <c r="S15" s="3072"/>
      <c r="T15" s="3072"/>
      <c r="U15" s="3072"/>
      <c r="V15" s="3072"/>
      <c r="W15" s="3072"/>
      <c r="X15" s="3072"/>
      <c r="Y15" s="3072"/>
      <c r="Z15" s="3072"/>
      <c r="AA15" s="3072"/>
      <c r="AB15" s="3072"/>
      <c r="AC15" s="3072"/>
      <c r="AD15" s="3072"/>
      <c r="AE15" s="3072"/>
      <c r="AF15" s="3072"/>
      <c r="AG15" s="3072"/>
      <c r="AH15" s="3072"/>
      <c r="AI15" s="3072"/>
      <c r="AJ15" s="3072"/>
      <c r="AK15" s="3072"/>
      <c r="AL15" s="3072"/>
      <c r="AM15" s="3072"/>
      <c r="AN15" s="3072"/>
      <c r="AO15" s="3072"/>
      <c r="AP15" s="3072"/>
      <c r="AQ15" s="3072"/>
      <c r="AR15" s="3072"/>
      <c r="AS15" s="3072"/>
      <c r="AT15" s="3072"/>
      <c r="AU15" s="3072"/>
      <c r="AV15" s="3072"/>
      <c r="AW15" s="3072"/>
      <c r="AX15" s="3072"/>
      <c r="AY15" s="3072"/>
      <c r="AZ15" s="3072"/>
      <c r="BA15" s="3072"/>
      <c r="BB15" s="3072"/>
      <c r="BC15" s="3072"/>
      <c r="BD15" s="3072"/>
      <c r="BE15" s="3072"/>
      <c r="BF15" s="3072"/>
      <c r="BG15" s="3072"/>
      <c r="BH15" s="3072"/>
      <c r="BI15" s="3072"/>
      <c r="BJ15" s="3072"/>
      <c r="BK15" s="3072"/>
      <c r="BL15" s="3072"/>
      <c r="BM15" s="3072"/>
      <c r="BN15" s="3072"/>
      <c r="BO15" s="3072"/>
      <c r="BP15" s="3072"/>
      <c r="BQ15" s="3072"/>
      <c r="BR15" s="3072"/>
      <c r="BS15" s="3072"/>
      <c r="BT15" s="3072"/>
      <c r="BU15" s="3072"/>
      <c r="BV15" s="3072"/>
      <c r="BW15" s="3072"/>
      <c r="BX15" s="3072"/>
      <c r="BY15" s="3072"/>
      <c r="BZ15" s="3072"/>
      <c r="CA15" s="3072"/>
      <c r="CB15" s="3072"/>
      <c r="CC15" s="3072"/>
      <c r="CD15" s="3072"/>
      <c r="CE15" s="3072"/>
      <c r="CF15" s="3072"/>
      <c r="CG15" s="3072"/>
      <c r="CH15" s="3072"/>
      <c r="CI15" s="3072"/>
      <c r="CJ15" s="3072"/>
      <c r="CK15" s="3072"/>
      <c r="CL15" s="3072"/>
      <c r="CM15" s="3072"/>
      <c r="CN15" s="3072"/>
      <c r="CO15" s="3072"/>
      <c r="CP15" s="3072"/>
      <c r="CQ15" s="3072"/>
      <c r="CR15" s="3072"/>
      <c r="CS15" s="3072"/>
      <c r="CT15" s="3072"/>
      <c r="CU15" s="3072"/>
      <c r="CV15" s="3072"/>
      <c r="CW15" s="3072"/>
      <c r="CX15" s="3072"/>
      <c r="CY15" s="3161"/>
      <c r="CZ15" s="3161"/>
      <c r="DA15" s="3161"/>
      <c r="DB15" s="3161"/>
    </row>
    <row r="16" spans="1:106" s="3048" customFormat="1" ht="17.399999999999999" customHeight="1">
      <c r="A16" s="3025" t="s">
        <v>1363</v>
      </c>
      <c r="B16" s="3026"/>
      <c r="C16" s="3027" t="s">
        <v>1394</v>
      </c>
      <c r="D16" s="3027"/>
      <c r="E16" s="4371" t="s">
        <v>1364</v>
      </c>
      <c r="F16" s="4371"/>
      <c r="G16" s="3028"/>
      <c r="H16" s="3029"/>
      <c r="I16" s="4372" t="s">
        <v>1365</v>
      </c>
      <c r="J16" s="4372"/>
      <c r="K16" s="3030"/>
      <c r="L16" s="3162"/>
      <c r="Q16" s="3073"/>
      <c r="R16" s="3073"/>
      <c r="S16" s="3073"/>
      <c r="T16" s="3073"/>
      <c r="U16" s="3073"/>
      <c r="V16" s="3073"/>
      <c r="W16" s="3073"/>
      <c r="X16" s="3073"/>
      <c r="Y16" s="3073"/>
      <c r="Z16" s="3073"/>
      <c r="AA16" s="3073"/>
      <c r="AB16" s="3073"/>
      <c r="AC16" s="3073"/>
      <c r="AD16" s="3073"/>
      <c r="AE16" s="3073"/>
      <c r="AF16" s="3073"/>
      <c r="AG16" s="3073"/>
      <c r="AH16" s="3073"/>
      <c r="AI16" s="3073"/>
      <c r="AJ16" s="3073"/>
      <c r="AK16" s="3073"/>
      <c r="AL16" s="3073"/>
      <c r="AM16" s="3073"/>
      <c r="AN16" s="3073"/>
      <c r="AO16" s="3073"/>
      <c r="AP16" s="3073"/>
      <c r="AQ16" s="3073"/>
      <c r="AR16" s="3073"/>
      <c r="AS16" s="3073"/>
      <c r="AT16" s="3073"/>
      <c r="AU16" s="3073"/>
      <c r="AV16" s="3073"/>
      <c r="AW16" s="3073"/>
      <c r="AX16" s="3073"/>
      <c r="AY16" s="3073"/>
      <c r="AZ16" s="3073"/>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c r="CF16" s="3073"/>
      <c r="CG16" s="3073"/>
      <c r="CH16" s="3073"/>
      <c r="CI16" s="3073"/>
      <c r="CJ16" s="3073"/>
      <c r="CK16" s="3073"/>
      <c r="CL16" s="3073"/>
      <c r="CM16" s="3073"/>
      <c r="CN16" s="3073"/>
      <c r="CO16" s="3073"/>
      <c r="CP16" s="3073"/>
      <c r="CQ16" s="3073"/>
      <c r="CR16" s="3073"/>
      <c r="CS16" s="3073"/>
      <c r="CT16" s="3073"/>
      <c r="CU16" s="3073"/>
      <c r="CV16" s="3073"/>
      <c r="CW16" s="3073"/>
      <c r="CX16" s="3073"/>
      <c r="CY16" s="3162"/>
      <c r="CZ16" s="3162"/>
      <c r="DA16" s="3162"/>
      <c r="DB16" s="3162"/>
    </row>
    <row r="17" spans="1:106" ht="15.6" customHeight="1">
      <c r="A17" s="3032" t="s">
        <v>1366</v>
      </c>
      <c r="B17" s="3032" t="s">
        <v>1367</v>
      </c>
      <c r="C17" s="3033" t="s">
        <v>1368</v>
      </c>
      <c r="E17" s="3034" t="s">
        <v>1113</v>
      </c>
      <c r="F17" s="3034" t="s">
        <v>1115</v>
      </c>
      <c r="G17" s="3035" t="s">
        <v>1368</v>
      </c>
      <c r="I17" s="3036" t="s">
        <v>1114</v>
      </c>
      <c r="J17" s="3036" t="s">
        <v>1116</v>
      </c>
      <c r="K17" s="3033" t="s">
        <v>1368</v>
      </c>
      <c r="L17" s="1869"/>
    </row>
    <row r="18" spans="1:106" ht="15.6" customHeight="1">
      <c r="A18" s="3037">
        <f>E18+I18</f>
        <v>0</v>
      </c>
      <c r="B18" s="3037">
        <f>BP3</f>
        <v>119797.92</v>
      </c>
      <c r="C18" s="3052">
        <f>A18-B18</f>
        <v>-119797.92</v>
      </c>
      <c r="D18" s="3038"/>
      <c r="E18" s="3039">
        <f>BS3</f>
        <v>0</v>
      </c>
      <c r="F18" s="3039">
        <f>BT3</f>
        <v>113206.25774801819</v>
      </c>
      <c r="G18" s="3053">
        <f>BU3</f>
        <v>-113206.25774801819</v>
      </c>
      <c r="H18" s="3038"/>
      <c r="I18" s="3037">
        <f>BW3</f>
        <v>0</v>
      </c>
      <c r="J18" s="3037">
        <f>BX3</f>
        <v>6591.4565376961036</v>
      </c>
      <c r="K18" s="3052">
        <f>BY3</f>
        <v>-6591.4565376961036</v>
      </c>
      <c r="L18" s="1869"/>
    </row>
    <row r="19" spans="1:106" ht="15.6" customHeight="1">
      <c r="A19" s="3040" t="s">
        <v>1150</v>
      </c>
      <c r="B19" s="3032" t="s">
        <v>1369</v>
      </c>
      <c r="C19" s="3036" t="s">
        <v>907</v>
      </c>
      <c r="E19" s="3041" t="s">
        <v>1370</v>
      </c>
      <c r="F19" s="3041" t="s">
        <v>1148</v>
      </c>
      <c r="G19" s="3034" t="s">
        <v>907</v>
      </c>
      <c r="I19" s="3040" t="s">
        <v>1371</v>
      </c>
      <c r="J19" s="3040" t="s">
        <v>1149</v>
      </c>
      <c r="K19" s="3036" t="s">
        <v>907</v>
      </c>
      <c r="L19" s="1869"/>
    </row>
    <row r="20" spans="1:106" ht="15.6" customHeight="1" thickBot="1">
      <c r="A20" s="3043">
        <f>CE3</f>
        <v>0</v>
      </c>
      <c r="B20" s="3044" t="str">
        <f>CA3</f>
        <v/>
      </c>
      <c r="C20" s="3043">
        <f>SUM(G20,K20)</f>
        <v>0</v>
      </c>
      <c r="D20" s="3045"/>
      <c r="E20" s="3046" t="str">
        <f>CB3</f>
        <v/>
      </c>
      <c r="F20" s="3047">
        <f>CF3</f>
        <v>0</v>
      </c>
      <c r="G20" s="3047" t="str">
        <f>BV3</f>
        <v/>
      </c>
      <c r="H20" s="3045"/>
      <c r="I20" s="3044" t="str">
        <f>CC3</f>
        <v/>
      </c>
      <c r="J20" s="3043">
        <f>CG3</f>
        <v>0</v>
      </c>
      <c r="K20" s="3043" t="str">
        <f>BZ3</f>
        <v/>
      </c>
      <c r="L20" s="1869"/>
      <c r="M20" s="565"/>
    </row>
    <row r="21" spans="1:106">
      <c r="A21" s="565"/>
      <c r="B21" s="565"/>
      <c r="C21" s="565"/>
      <c r="D21" s="565"/>
      <c r="E21" s="565"/>
      <c r="F21" s="565"/>
      <c r="G21" s="565"/>
      <c r="H21" s="565"/>
      <c r="I21" s="565"/>
      <c r="J21" s="565"/>
      <c r="K21" s="565"/>
      <c r="L21" s="565"/>
      <c r="M21" s="565"/>
      <c r="N21" s="565"/>
      <c r="O21" s="565"/>
      <c r="P21" s="565"/>
    </row>
    <row r="22" spans="1:106" ht="76.8" customHeight="1">
      <c r="A22" s="4360" t="str">
        <f>N24</f>
        <v>Jutta</v>
      </c>
      <c r="B22" s="4361"/>
      <c r="C22" s="3168" t="s">
        <v>1348</v>
      </c>
      <c r="D22" s="3168" t="s">
        <v>1349</v>
      </c>
      <c r="E22" s="3168" t="s">
        <v>1350</v>
      </c>
      <c r="F22" s="3168" t="s">
        <v>1351</v>
      </c>
      <c r="G22" s="3168" t="s">
        <v>663</v>
      </c>
      <c r="H22" s="3168" t="s">
        <v>490</v>
      </c>
      <c r="I22" s="3168" t="s">
        <v>1352</v>
      </c>
      <c r="J22" s="3168" t="s">
        <v>1353</v>
      </c>
      <c r="K22" s="3168" t="s">
        <v>1354</v>
      </c>
      <c r="L22" s="3169"/>
      <c r="N22" s="565"/>
      <c r="O22" s="3074">
        <f t="shared" ref="O22:AT22" si="3">O1</f>
        <v>0</v>
      </c>
      <c r="P22" s="3074">
        <f t="shared" si="3"/>
        <v>0</v>
      </c>
      <c r="Q22" s="3074" t="str">
        <f t="shared" si="3"/>
        <v>Bruttolohn pro Monat 
ohne Provision</v>
      </c>
      <c r="R22" s="3074" t="str">
        <f t="shared" si="3"/>
        <v>einmalige Sonderzahlung z.B.Weihnachts-geld</v>
      </c>
      <c r="S22" s="3074" t="str">
        <f t="shared" si="3"/>
        <v xml:space="preserve">einmalige Sonderzahlung z.B. Urlaubsgeld </v>
      </c>
      <c r="T22" s="3074" t="str">
        <f t="shared" si="3"/>
        <v>regelmäßige monatl. Sonder-zahlung (z.B.Werkzeuggeld, VWL usw.)</v>
      </c>
      <c r="U22" s="3074" t="str">
        <f t="shared" si="3"/>
        <v>einmalige steuerfreie Sonder-zahlung</v>
      </c>
      <c r="V22" s="3074" t="str">
        <f t="shared" si="3"/>
        <v>regelmäßige monatl. Sonder-zahlung steuerfrei</v>
      </c>
      <c r="W22" s="3074" t="str">
        <f t="shared" si="3"/>
        <v>Bruttolohn pro Stunde</v>
      </c>
      <c r="X22" s="3074" t="str">
        <f t="shared" si="3"/>
        <v>Gesamtlohn. Alle Sonderzahl-ungen sind auf 1 Monat gerechnet</v>
      </c>
      <c r="Y22" s="3074" t="str">
        <f t="shared" si="3"/>
        <v xml:space="preserve">Wochenstd.   x  4,33  =  
Arb. -Std. pro Monat </v>
      </c>
      <c r="Z22" s="3074" t="str">
        <f t="shared" si="3"/>
        <v>Stunden - Lohn 
Bruttolohn incl. aller Zusatz-zahlungen</v>
      </c>
      <c r="AA22" s="3074" t="str">
        <f t="shared" si="3"/>
        <v>Wieviele bezahlte Anwesend-heitsmonate in diesem Planungsjahr</v>
      </c>
      <c r="AB22" s="3074" t="str">
        <f t="shared" si="3"/>
        <v>Daraus resultierende wahrschein-liche Arbeitstage im Jahr</v>
      </c>
      <c r="AC22" s="3074" t="str">
        <f t="shared" si="3"/>
        <v>Personal-faktor / VBE</v>
      </c>
      <c r="AD22" s="3074" t="str">
        <f t="shared" si="3"/>
        <v>Brutto Jahreslohn-summe</v>
      </c>
      <c r="AE22" s="3074" t="str">
        <f t="shared" si="3"/>
        <v>Summe Url.-+Weihn.-Geld usw. monatlich</v>
      </c>
      <c r="AF22" s="3074" t="str">
        <f t="shared" si="3"/>
        <v>x Lohn-faktor</v>
      </c>
      <c r="AG22" s="3074" t="str">
        <f t="shared" si="3"/>
        <v>Sollumsatz pro Arbeits-monat €</v>
      </c>
      <c r="AH22" s="3074" t="str">
        <f t="shared" si="3"/>
        <v>Sollumsatz DL pro Anwesen-heitstag €</v>
      </c>
      <c r="AI22" s="3074" t="str">
        <f t="shared" si="3"/>
        <v>Verkaufs-anteil %</v>
      </c>
      <c r="AJ22" s="3074" t="str">
        <f t="shared" si="3"/>
        <v>Verkaufs-anteil € pro Tag</v>
      </c>
      <c r="AK22" s="3074">
        <f t="shared" si="3"/>
        <v>0</v>
      </c>
      <c r="AL22" s="3074" t="str">
        <f t="shared" si="3"/>
        <v>Gesamt-sollumsatz pro Tag €</v>
      </c>
      <c r="AM22" s="3074">
        <f t="shared" si="3"/>
        <v>0</v>
      </c>
      <c r="AN22" s="3074">
        <f t="shared" si="3"/>
        <v>0</v>
      </c>
      <c r="AO22" s="3074" t="str">
        <f t="shared" si="3"/>
        <v>Std</v>
      </c>
      <c r="AP22" s="3074" t="str">
        <f t="shared" si="3"/>
        <v>Tage pro Woche</v>
      </c>
      <c r="AQ22" s="3074" t="str">
        <f t="shared" si="3"/>
        <v>Tage pro Monat</v>
      </c>
      <c r="AR22" s="3074" t="str">
        <f t="shared" si="3"/>
        <v>Gesamtumsatz pro M.</v>
      </c>
      <c r="AS22" s="3074" t="str">
        <f t="shared" si="3"/>
        <v>DL-Umsatz pro M.</v>
      </c>
      <c r="AT22" s="3074" t="str">
        <f t="shared" si="3"/>
        <v>VK-Umsatz pro M.</v>
      </c>
      <c r="AU22" s="3074" t="str">
        <f t="shared" ref="AU22:BZ22" si="4">AU1</f>
        <v>Umsatz p. Woche</v>
      </c>
      <c r="AV22" s="3074" t="str">
        <f t="shared" si="4"/>
        <v>Umsatz p. Std</v>
      </c>
      <c r="AW22" s="3074">
        <f t="shared" si="4"/>
        <v>0</v>
      </c>
      <c r="AX22" s="3074" t="str">
        <f t="shared" si="4"/>
        <v>Umsatz p. Std mit Leerlauf</v>
      </c>
      <c r="AY22" s="3074" t="str">
        <f t="shared" si="4"/>
        <v>&lt;-- andern auf Seite 22</v>
      </c>
      <c r="AZ22" s="3074">
        <f t="shared" si="4"/>
        <v>0</v>
      </c>
      <c r="BA22" s="3074" t="str">
        <f t="shared" si="4"/>
        <v>Montag</v>
      </c>
      <c r="BB22" s="3074">
        <f t="shared" si="4"/>
        <v>0</v>
      </c>
      <c r="BC22" s="3074" t="str">
        <f t="shared" si="4"/>
        <v>Dienstag</v>
      </c>
      <c r="BD22" s="3074">
        <f t="shared" si="4"/>
        <v>0</v>
      </c>
      <c r="BE22" s="3074" t="str">
        <f t="shared" si="4"/>
        <v>Mittwoch</v>
      </c>
      <c r="BF22" s="3074">
        <f t="shared" si="4"/>
        <v>0</v>
      </c>
      <c r="BG22" s="3074" t="str">
        <f t="shared" si="4"/>
        <v>Donnerstag</v>
      </c>
      <c r="BH22" s="3074">
        <f t="shared" si="4"/>
        <v>0</v>
      </c>
      <c r="BI22" s="3074" t="str">
        <f t="shared" si="4"/>
        <v>Freitag</v>
      </c>
      <c r="BJ22" s="3074">
        <f t="shared" si="4"/>
        <v>0</v>
      </c>
      <c r="BK22" s="3074" t="str">
        <f t="shared" si="4"/>
        <v>Samstag</v>
      </c>
      <c r="BL22" s="3074">
        <f t="shared" si="4"/>
        <v>0</v>
      </c>
      <c r="BM22" s="3074" t="str">
        <f t="shared" si="4"/>
        <v>Arbeitstage</v>
      </c>
      <c r="BN22" s="3074" t="str">
        <f t="shared" si="4"/>
        <v>Urlaubstage</v>
      </c>
      <c r="BO22" s="3074" t="str">
        <f t="shared" si="4"/>
        <v>Krankentage</v>
      </c>
      <c r="BP22" s="3074" t="str">
        <f t="shared" si="4"/>
        <v>Ums/Ges</v>
      </c>
      <c r="BQ22" s="3074" t="str">
        <f t="shared" si="4"/>
        <v>Ums/DL</v>
      </c>
      <c r="BR22" s="3074" t="str">
        <f t="shared" si="4"/>
        <v>Ums/VK</v>
      </c>
      <c r="BS22" s="3074" t="str">
        <f t="shared" si="4"/>
        <v>DL Differenz Soll/Ist</v>
      </c>
      <c r="BT22" s="3074">
        <f t="shared" si="4"/>
        <v>0</v>
      </c>
      <c r="BU22" s="3074">
        <f t="shared" si="4"/>
        <v>0</v>
      </c>
      <c r="BV22" s="3074">
        <f t="shared" si="4"/>
        <v>0</v>
      </c>
      <c r="BW22" s="3074" t="str">
        <f t="shared" si="4"/>
        <v>Verkauf Differenz Soll/Ist</v>
      </c>
      <c r="BX22" s="3074">
        <f t="shared" si="4"/>
        <v>0</v>
      </c>
      <c r="BY22" s="3074">
        <f t="shared" si="4"/>
        <v>0</v>
      </c>
      <c r="BZ22" s="3074">
        <f t="shared" si="4"/>
        <v>0</v>
      </c>
      <c r="CA22" s="3074">
        <f t="shared" ref="CA22:CG22" si="5">CA1</f>
        <v>0</v>
      </c>
      <c r="CB22" s="3074" t="str">
        <f t="shared" si="5"/>
        <v>Monate im +</v>
      </c>
      <c r="CC22" s="3074" t="str">
        <f t="shared" si="5"/>
        <v>Monate im +</v>
      </c>
      <c r="CD22" s="3074">
        <f t="shared" si="5"/>
        <v>0</v>
      </c>
      <c r="CE22" s="3074">
        <f t="shared" si="5"/>
        <v>0</v>
      </c>
      <c r="CF22" s="3074">
        <f t="shared" si="5"/>
        <v>0</v>
      </c>
      <c r="CG22" s="3074">
        <f t="shared" si="5"/>
        <v>0</v>
      </c>
    </row>
    <row r="23" spans="1:106" s="3000" customFormat="1" ht="20.399999999999999" customHeight="1" thickBot="1">
      <c r="A23" s="3051">
        <f>CH24</f>
        <v>2</v>
      </c>
      <c r="B23" s="3001"/>
      <c r="C23" s="3002">
        <f t="shared" ref="C23" si="6">Q24</f>
        <v>1782.53</v>
      </c>
      <c r="D23" s="3002">
        <f t="shared" ref="D23" si="7">R24</f>
        <v>0</v>
      </c>
      <c r="E23" s="3002">
        <f t="shared" ref="E23" si="8">S24</f>
        <v>0</v>
      </c>
      <c r="F23" s="3002">
        <f t="shared" ref="F23" si="9">T24</f>
        <v>0</v>
      </c>
      <c r="G23" s="3002">
        <f t="shared" ref="G23" si="10">U24</f>
        <v>0</v>
      </c>
      <c r="H23" s="3002">
        <f t="shared" ref="H23" si="11">V24</f>
        <v>0</v>
      </c>
      <c r="I23" s="3002">
        <f>X24</f>
        <v>1782.53</v>
      </c>
      <c r="J23" s="3003">
        <f>AA24</f>
        <v>12</v>
      </c>
      <c r="K23" s="3004">
        <f>AD24</f>
        <v>21390.36</v>
      </c>
      <c r="N23" s="565" t="s">
        <v>1345</v>
      </c>
      <c r="O23" s="565"/>
      <c r="P23" s="3074">
        <f t="shared" ref="P23:AU23" si="12">P2</f>
        <v>0</v>
      </c>
      <c r="Q23" s="3074">
        <f t="shared" si="12"/>
        <v>0</v>
      </c>
      <c r="R23" s="3074">
        <f t="shared" si="12"/>
        <v>0</v>
      </c>
      <c r="S23" s="3074">
        <f t="shared" si="12"/>
        <v>0</v>
      </c>
      <c r="T23" s="3074">
        <f t="shared" si="12"/>
        <v>0</v>
      </c>
      <c r="U23" s="3074">
        <f t="shared" si="12"/>
        <v>0</v>
      </c>
      <c r="V23" s="3074">
        <f t="shared" si="12"/>
        <v>0</v>
      </c>
      <c r="W23" s="3074">
        <f t="shared" si="12"/>
        <v>0</v>
      </c>
      <c r="X23" s="3074">
        <f t="shared" si="12"/>
        <v>0</v>
      </c>
      <c r="Y23" s="3074">
        <f t="shared" si="12"/>
        <v>0</v>
      </c>
      <c r="Z23" s="3074">
        <f t="shared" si="12"/>
        <v>0</v>
      </c>
      <c r="AA23" s="3074">
        <f t="shared" si="12"/>
        <v>0</v>
      </c>
      <c r="AB23" s="3074">
        <f t="shared" si="12"/>
        <v>0</v>
      </c>
      <c r="AC23" s="3074">
        <f t="shared" si="12"/>
        <v>0</v>
      </c>
      <c r="AD23" s="3074">
        <f t="shared" si="12"/>
        <v>0</v>
      </c>
      <c r="AE23" s="3074">
        <f t="shared" si="12"/>
        <v>0</v>
      </c>
      <c r="AF23" s="3074">
        <f t="shared" si="12"/>
        <v>0</v>
      </c>
      <c r="AG23" s="3074">
        <f t="shared" si="12"/>
        <v>0</v>
      </c>
      <c r="AH23" s="3074">
        <f t="shared" si="12"/>
        <v>0</v>
      </c>
      <c r="AI23" s="3074">
        <f t="shared" si="12"/>
        <v>0</v>
      </c>
      <c r="AJ23" s="3074">
        <f t="shared" si="12"/>
        <v>0</v>
      </c>
      <c r="AK23" s="3074">
        <f t="shared" si="12"/>
        <v>0</v>
      </c>
      <c r="AL23" s="3074">
        <f t="shared" si="12"/>
        <v>0</v>
      </c>
      <c r="AM23" s="3074">
        <f t="shared" si="12"/>
        <v>0</v>
      </c>
      <c r="AN23" s="3074">
        <f t="shared" si="12"/>
        <v>0</v>
      </c>
      <c r="AO23" s="3074" t="e">
        <f t="shared" si="12"/>
        <v>#REF!</v>
      </c>
      <c r="AP23" s="3074">
        <f t="shared" si="12"/>
        <v>0</v>
      </c>
      <c r="AQ23" s="3074">
        <f t="shared" si="12"/>
        <v>0</v>
      </c>
      <c r="AR23" s="3074">
        <f t="shared" si="12"/>
        <v>0</v>
      </c>
      <c r="AS23" s="3074">
        <f t="shared" si="12"/>
        <v>0</v>
      </c>
      <c r="AT23" s="3074">
        <f t="shared" si="12"/>
        <v>0</v>
      </c>
      <c r="AU23" s="3074">
        <f t="shared" si="12"/>
        <v>0</v>
      </c>
      <c r="AV23" s="3074">
        <f t="shared" ref="AV23:CA23" si="13">AV2</f>
        <v>0</v>
      </c>
      <c r="AW23" s="3074">
        <f t="shared" si="13"/>
        <v>0</v>
      </c>
      <c r="AX23" s="3074">
        <f t="shared" si="13"/>
        <v>0</v>
      </c>
      <c r="AY23" s="3074" t="str">
        <f t="shared" si="13"/>
        <v>Jahresumsatz</v>
      </c>
      <c r="AZ23" s="3074">
        <f t="shared" si="13"/>
        <v>0</v>
      </c>
      <c r="BA23" s="3074" t="str">
        <f t="shared" si="13"/>
        <v>St. p. Tag</v>
      </c>
      <c r="BB23" s="3074" t="str">
        <f t="shared" si="13"/>
        <v>Umsatz</v>
      </c>
      <c r="BC23" s="3074" t="str">
        <f t="shared" si="13"/>
        <v>St. p. Tag</v>
      </c>
      <c r="BD23" s="3074" t="str">
        <f t="shared" si="13"/>
        <v>Umsatz</v>
      </c>
      <c r="BE23" s="3074" t="str">
        <f t="shared" si="13"/>
        <v>St. p. Tag</v>
      </c>
      <c r="BF23" s="3074" t="str">
        <f t="shared" si="13"/>
        <v>Umsatz</v>
      </c>
      <c r="BG23" s="3074" t="str">
        <f t="shared" si="13"/>
        <v>St. p. Tag</v>
      </c>
      <c r="BH23" s="3074" t="str">
        <f t="shared" si="13"/>
        <v>Umsatz</v>
      </c>
      <c r="BI23" s="3074" t="str">
        <f t="shared" si="13"/>
        <v>St. p. Tag</v>
      </c>
      <c r="BJ23" s="3074" t="str">
        <f t="shared" si="13"/>
        <v>Umsatz</v>
      </c>
      <c r="BK23" s="3074" t="str">
        <f t="shared" si="13"/>
        <v>St. p. Tag</v>
      </c>
      <c r="BL23" s="3074" t="str">
        <f t="shared" si="13"/>
        <v>Umsatz</v>
      </c>
      <c r="BM23" s="3074">
        <f t="shared" si="13"/>
        <v>0</v>
      </c>
      <c r="BN23" s="3074">
        <f t="shared" si="13"/>
        <v>0</v>
      </c>
      <c r="BO23" s="3074">
        <f t="shared" si="13"/>
        <v>0</v>
      </c>
      <c r="BP23" s="3074">
        <f t="shared" si="13"/>
        <v>0</v>
      </c>
      <c r="BQ23" s="3074">
        <f t="shared" si="13"/>
        <v>0</v>
      </c>
      <c r="BR23" s="3074">
        <f t="shared" si="13"/>
        <v>0</v>
      </c>
      <c r="BS23" s="3074" t="str">
        <f t="shared" si="13"/>
        <v>Ist Ums DL</v>
      </c>
      <c r="BT23" s="3074" t="str">
        <f t="shared" si="13"/>
        <v>Soll DL</v>
      </c>
      <c r="BU23" s="3074" t="str">
        <f t="shared" si="13"/>
        <v>Grün+  Rot-</v>
      </c>
      <c r="BV23" s="3074" t="str">
        <f t="shared" si="13"/>
        <v>Provision</v>
      </c>
      <c r="BW23" s="3074" t="str">
        <f t="shared" si="13"/>
        <v>Ist Ums VK</v>
      </c>
      <c r="BX23" s="3074" t="str">
        <f t="shared" si="13"/>
        <v>Soll VK</v>
      </c>
      <c r="BY23" s="3074" t="str">
        <f t="shared" si="13"/>
        <v>Grün+  Rot-</v>
      </c>
      <c r="BZ23" s="3074" t="str">
        <f t="shared" si="13"/>
        <v>Provision</v>
      </c>
      <c r="CA23" s="3074" t="str">
        <f t="shared" si="13"/>
        <v>Arbeits-monate</v>
      </c>
      <c r="CB23" s="3074" t="str">
        <f t="shared" ref="CB23:CG23" si="14">CB2</f>
        <v>DL</v>
      </c>
      <c r="CC23" s="3074" t="str">
        <f t="shared" si="14"/>
        <v>VK</v>
      </c>
      <c r="CD23" s="3074">
        <f t="shared" si="14"/>
        <v>0</v>
      </c>
      <c r="CE23" s="3074" t="str">
        <f t="shared" si="14"/>
        <v>Ges Pro Tag</v>
      </c>
      <c r="CF23" s="3074" t="str">
        <f t="shared" si="14"/>
        <v>DL pro Tag</v>
      </c>
      <c r="CG23" s="3074" t="str">
        <f t="shared" si="14"/>
        <v>VK pro Tag</v>
      </c>
      <c r="CH23" s="3062"/>
      <c r="CI23" s="3062"/>
      <c r="CJ23" s="3062"/>
      <c r="CK23" s="3062"/>
      <c r="CL23" s="3062"/>
      <c r="CM23" s="3062"/>
      <c r="CN23" s="3062"/>
      <c r="CO23" s="3062"/>
      <c r="CP23" s="3062"/>
      <c r="CQ23" s="3062"/>
      <c r="CR23" s="3062"/>
      <c r="CS23" s="3062"/>
      <c r="CT23" s="3062"/>
      <c r="CU23" s="3062"/>
      <c r="CV23" s="3062"/>
      <c r="CW23" s="3062"/>
      <c r="CX23" s="3062"/>
      <c r="CY23" s="3159"/>
      <c r="CZ23" s="3159"/>
      <c r="DA23" s="3159"/>
      <c r="DB23" s="3159"/>
    </row>
    <row r="24" spans="1:106" s="3005" customFormat="1" ht="41.4" customHeight="1">
      <c r="B24" s="3006"/>
      <c r="C24" s="3007" t="s">
        <v>1296</v>
      </c>
      <c r="D24" s="3007" t="s">
        <v>1355</v>
      </c>
      <c r="E24" s="3007" t="s">
        <v>1356</v>
      </c>
      <c r="F24" s="3007" t="s">
        <v>1357</v>
      </c>
      <c r="G24" s="3007" t="s">
        <v>1358</v>
      </c>
      <c r="H24" s="3007" t="s">
        <v>1359</v>
      </c>
      <c r="I24" s="3007" t="s">
        <v>1360</v>
      </c>
      <c r="J24" s="3007" t="s">
        <v>1361</v>
      </c>
      <c r="N24" s="565" t="str">
        <f>MAdaten!A5</f>
        <v>Jutta</v>
      </c>
      <c r="O24" s="3068">
        <f>MAdaten!BU5</f>
        <v>2</v>
      </c>
      <c r="P24" s="565">
        <f>MAdaten!C5</f>
        <v>0</v>
      </c>
      <c r="Q24" s="565">
        <f>MAdaten!D5</f>
        <v>1782.53</v>
      </c>
      <c r="R24" s="565">
        <f>MAdaten!E5</f>
        <v>0</v>
      </c>
      <c r="S24" s="565">
        <f>MAdaten!F5</f>
        <v>0</v>
      </c>
      <c r="T24" s="565">
        <f>MAdaten!G5</f>
        <v>0</v>
      </c>
      <c r="U24" s="565">
        <f>MAdaten!H5</f>
        <v>0</v>
      </c>
      <c r="V24" s="565">
        <f>MAdaten!I5</f>
        <v>0</v>
      </c>
      <c r="W24" s="565">
        <f>MAdaten!J5</f>
        <v>13.722324865280985</v>
      </c>
      <c r="X24" s="565">
        <f>MAdaten!K5</f>
        <v>1782.53</v>
      </c>
      <c r="Y24" s="565">
        <f>MAdaten!L5</f>
        <v>129.9</v>
      </c>
      <c r="Z24" s="565">
        <f>MAdaten!M5</f>
        <v>13.722324865280985</v>
      </c>
      <c r="AA24" s="565">
        <f>MAdaten!N5</f>
        <v>12</v>
      </c>
      <c r="AB24" s="565">
        <f>MAdaten!O5</f>
        <v>173.193072</v>
      </c>
      <c r="AC24" s="565">
        <f>MAdaten!P5</f>
        <v>0.75</v>
      </c>
      <c r="AD24" s="565">
        <f>MAdaten!Q5</f>
        <v>21390.36</v>
      </c>
      <c r="AE24" s="565">
        <f>MAdaten!R5</f>
        <v>0</v>
      </c>
      <c r="AF24" s="565">
        <f>MAdaten!S5</f>
        <v>4.63</v>
      </c>
      <c r="AG24" s="565">
        <f>MAdaten!T5</f>
        <v>8253</v>
      </c>
      <c r="AH24" s="565">
        <f>MAdaten!U5</f>
        <v>450.7547182162225</v>
      </c>
      <c r="AI24" s="565">
        <f>MAdaten!V5</f>
        <v>5.5021555102258944E-2</v>
      </c>
      <c r="AJ24" s="565">
        <f>MAdaten!W5</f>
        <v>26.245281783777518</v>
      </c>
      <c r="AK24" s="565">
        <f>MAdaten!X5</f>
        <v>0</v>
      </c>
      <c r="AL24" s="565">
        <f>MAdaten!Y5</f>
        <v>476.5</v>
      </c>
      <c r="AM24" s="565">
        <f>MAdaten!Z5</f>
        <v>0</v>
      </c>
      <c r="AN24" s="565">
        <f>MAdaten!AA5</f>
        <v>0</v>
      </c>
      <c r="AO24" s="565">
        <f>MAdaten!AB5</f>
        <v>30</v>
      </c>
      <c r="AP24" s="565">
        <f>MAdaten!AC5</f>
        <v>4</v>
      </c>
      <c r="AQ24" s="565">
        <f>MAdaten!AD5</f>
        <v>17.32</v>
      </c>
      <c r="AR24" s="565">
        <f>MAdaten!AE5</f>
        <v>8253</v>
      </c>
      <c r="AS24" s="565">
        <f>MAdaten!AF5</f>
        <v>7798.9071057410565</v>
      </c>
      <c r="AT24" s="565">
        <f>MAdaten!AG5</f>
        <v>454.09289425894309</v>
      </c>
      <c r="AU24" s="565">
        <f>MAdaten!AH5</f>
        <v>1908</v>
      </c>
      <c r="AV24" s="565">
        <f>MAdaten!AI5</f>
        <v>63.533487297921482</v>
      </c>
      <c r="AW24" s="565">
        <f>MAdaten!AJ5</f>
        <v>0</v>
      </c>
      <c r="AX24" s="565">
        <f>MAdaten!AK5</f>
        <v>79.41685912240186</v>
      </c>
      <c r="AY24" s="565" t="str">
        <f>MAdaten!AL5</f>
        <v>Jutta</v>
      </c>
      <c r="AZ24" s="565">
        <f>MAdaten!AM5</f>
        <v>82616.399999999994</v>
      </c>
      <c r="BA24" s="565">
        <f>MAdaten!AN5</f>
        <v>8</v>
      </c>
      <c r="BB24" s="565">
        <f>MAdaten!AO5</f>
        <v>508.26789838337186</v>
      </c>
      <c r="BC24" s="565">
        <f>MAdaten!AP5</f>
        <v>8</v>
      </c>
      <c r="BD24" s="565">
        <f>MAdaten!AQ5</f>
        <v>508.26789838337186</v>
      </c>
      <c r="BE24" s="565">
        <f>MAdaten!AR5</f>
        <v>8</v>
      </c>
      <c r="BF24" s="565">
        <f>MAdaten!AS5</f>
        <v>508.26789838337186</v>
      </c>
      <c r="BG24" s="565">
        <f>MAdaten!AT5</f>
        <v>8</v>
      </c>
      <c r="BH24" s="565">
        <f>MAdaten!AU5</f>
        <v>508.26789838337186</v>
      </c>
      <c r="BI24" s="565" t="str">
        <f>MAdaten!AV5</f>
        <v/>
      </c>
      <c r="BJ24" s="565" t="str">
        <f>MAdaten!AW5</f>
        <v/>
      </c>
      <c r="BK24" s="565">
        <f>MAdaten!AX5</f>
        <v>6</v>
      </c>
      <c r="BL24" s="565">
        <f>MAdaten!AY5</f>
        <v>381.20092378752889</v>
      </c>
      <c r="BM24" s="565">
        <f>MAdaten!AZ5</f>
        <v>170</v>
      </c>
      <c r="BN24" s="565">
        <f>MAdaten!BA5</f>
        <v>19</v>
      </c>
      <c r="BO24" s="565">
        <f>MAdaten!BB5</f>
        <v>10</v>
      </c>
      <c r="BP24" s="565">
        <f>MAdaten!BC5</f>
        <v>81005</v>
      </c>
      <c r="BQ24" s="565">
        <f>MAdaten!BD5</f>
        <v>76628.30209675782</v>
      </c>
      <c r="BR24" s="565">
        <f>MAdaten!BE5</f>
        <v>4457.0318720566002</v>
      </c>
      <c r="BS24" s="565">
        <f>MAdaten!BF5</f>
        <v>0</v>
      </c>
      <c r="BT24" s="565">
        <f>MAdaten!BG5</f>
        <v>76628.30209675782</v>
      </c>
      <c r="BU24" s="565">
        <f>MAdaten!BH5</f>
        <v>-76628.30209675782</v>
      </c>
      <c r="BV24" s="565" t="str">
        <f>MAdaten!BI5</f>
        <v/>
      </c>
      <c r="BW24" s="565">
        <f>MAdaten!BJ5</f>
        <v>0</v>
      </c>
      <c r="BX24" s="565">
        <f>MAdaten!BK5</f>
        <v>4457.0318720566002</v>
      </c>
      <c r="BY24" s="565">
        <f>MAdaten!BL5</f>
        <v>-4457.0318720566002</v>
      </c>
      <c r="BZ24" s="565" t="str">
        <f>MAdaten!BM5</f>
        <v/>
      </c>
      <c r="CA24" s="565" t="str">
        <f>MAdaten!BN5</f>
        <v/>
      </c>
      <c r="CB24" s="565" t="str">
        <f>MAdaten!BO5</f>
        <v/>
      </c>
      <c r="CC24" s="565" t="str">
        <f>MAdaten!BP5</f>
        <v/>
      </c>
      <c r="CD24" s="565" t="str">
        <f>MAdaten!BQ5</f>
        <v>Jutta</v>
      </c>
      <c r="CE24" s="565">
        <f>MAdaten!BR5</f>
        <v>0</v>
      </c>
      <c r="CF24" s="565">
        <f>MAdaten!BS5</f>
        <v>0</v>
      </c>
      <c r="CG24" s="565">
        <f>MAdaten!BT5</f>
        <v>0</v>
      </c>
      <c r="CH24" s="565">
        <f>MAdaten!BU5</f>
        <v>2</v>
      </c>
      <c r="CI24" s="565" t="str">
        <f>MAdaten!BV5</f>
        <v>Januar</v>
      </c>
      <c r="CJ24" s="565">
        <f>MAdaten!BW5</f>
        <v>13</v>
      </c>
      <c r="CK24" s="565">
        <f>MAdaten!BX5</f>
        <v>4</v>
      </c>
      <c r="CL24" s="565">
        <f>MAdaten!BY5</f>
        <v>0</v>
      </c>
      <c r="CM24" s="565">
        <f>MAdaten!BZ5</f>
        <v>0</v>
      </c>
      <c r="CN24" s="565">
        <f>MAdaten!CA5</f>
        <v>5859.8113368108925</v>
      </c>
      <c r="CO24" s="565" t="str">
        <f>MAdaten!CB5</f>
        <v/>
      </c>
      <c r="CP24" s="565" t="str">
        <f>MAdaten!CC5</f>
        <v/>
      </c>
      <c r="CQ24" s="565">
        <f>MAdaten!CD5</f>
        <v>0</v>
      </c>
      <c r="CR24" s="565">
        <f>MAdaten!CE5</f>
        <v>340.8318490396224</v>
      </c>
      <c r="CS24" s="565" t="str">
        <f>MAdaten!CF5</f>
        <v/>
      </c>
      <c r="CT24" s="565" t="str">
        <f>MAdaten!CG5</f>
        <v/>
      </c>
      <c r="CU24" s="3069"/>
      <c r="CV24" s="3069"/>
      <c r="CW24" s="3069"/>
      <c r="CX24" s="3069"/>
      <c r="CY24" s="3160"/>
      <c r="CZ24" s="3160"/>
      <c r="DA24" s="3160"/>
      <c r="DB24" s="3160"/>
    </row>
    <row r="25" spans="1:106" s="3000" customFormat="1" ht="20.399999999999999" customHeight="1" thickBot="1">
      <c r="B25" s="3001"/>
      <c r="C25" s="3008">
        <f>W24</f>
        <v>13.722324865280985</v>
      </c>
      <c r="D25" s="3008">
        <f>Z24</f>
        <v>13.722324865280985</v>
      </c>
      <c r="E25" s="3008">
        <f>AO24</f>
        <v>30</v>
      </c>
      <c r="F25" s="3008">
        <f>Y24</f>
        <v>129.9</v>
      </c>
      <c r="G25" s="3008">
        <f>AP24</f>
        <v>4</v>
      </c>
      <c r="H25" s="3008">
        <f>AQ24</f>
        <v>17.32</v>
      </c>
      <c r="I25" s="3004">
        <f>AB24</f>
        <v>173.193072</v>
      </c>
      <c r="J25" s="3003">
        <f>AC24</f>
        <v>0.75</v>
      </c>
      <c r="N25" s="3062"/>
      <c r="O25" s="3062"/>
      <c r="P25" s="3062"/>
      <c r="Q25" s="3062"/>
      <c r="R25" s="3062"/>
      <c r="S25" s="3062"/>
      <c r="T25" s="3062"/>
      <c r="U25" s="3062"/>
      <c r="V25" s="3062"/>
      <c r="W25" s="3062"/>
      <c r="X25" s="3062"/>
      <c r="Y25" s="3062"/>
      <c r="Z25" s="3062"/>
      <c r="AA25" s="3062"/>
      <c r="AB25" s="3062"/>
      <c r="AC25" s="3062"/>
      <c r="AD25" s="3062"/>
      <c r="AE25" s="3062"/>
      <c r="AF25" s="3062"/>
      <c r="AG25" s="3062"/>
      <c r="AH25" s="3062"/>
      <c r="AI25" s="3062"/>
      <c r="AJ25" s="3062"/>
      <c r="AK25" s="3062"/>
      <c r="AL25" s="3062"/>
      <c r="AM25" s="3062"/>
      <c r="AN25" s="3062"/>
      <c r="AO25" s="3062"/>
      <c r="AP25" s="3062"/>
      <c r="AQ25" s="3062"/>
      <c r="AR25" s="3062"/>
      <c r="AS25" s="3062"/>
      <c r="AT25" s="3062"/>
      <c r="AU25" s="3062"/>
      <c r="AV25" s="3062"/>
      <c r="AW25" s="3062"/>
      <c r="AX25" s="3062"/>
      <c r="AY25" s="3062"/>
      <c r="AZ25" s="3062"/>
      <c r="BA25" s="3062"/>
      <c r="BB25" s="3062"/>
      <c r="BC25" s="3062"/>
      <c r="BD25" s="3062"/>
      <c r="BE25" s="3062"/>
      <c r="BF25" s="3062"/>
      <c r="BG25" s="3062"/>
      <c r="BH25" s="3062"/>
      <c r="BI25" s="3062"/>
      <c r="BJ25" s="3062"/>
      <c r="BK25" s="3062"/>
      <c r="BL25" s="3062"/>
      <c r="BM25" s="3062"/>
      <c r="BN25" s="3062"/>
      <c r="BO25" s="3062"/>
      <c r="BP25" s="3062"/>
      <c r="BQ25" s="3062"/>
      <c r="BR25" s="3062"/>
      <c r="BS25" s="3062"/>
      <c r="BT25" s="3062"/>
      <c r="BU25" s="3062"/>
      <c r="BV25" s="3062"/>
      <c r="BW25" s="3062"/>
      <c r="BX25" s="3062"/>
      <c r="BY25" s="3062"/>
      <c r="BZ25" s="3062"/>
      <c r="CA25" s="3062"/>
      <c r="CB25" s="3062"/>
      <c r="CC25" s="3062"/>
      <c r="CD25" s="3062"/>
      <c r="CE25" s="3062"/>
      <c r="CF25" s="3062"/>
      <c r="CG25" s="3062"/>
      <c r="CH25" s="3062"/>
      <c r="CI25" s="3062"/>
      <c r="CJ25" s="3062"/>
      <c r="CK25" s="3062"/>
      <c r="CL25" s="3062"/>
      <c r="CM25" s="3062"/>
      <c r="CN25" s="3062"/>
      <c r="CO25" s="3062"/>
      <c r="CP25" s="3062"/>
      <c r="CQ25" s="3062"/>
      <c r="CR25" s="3062"/>
      <c r="CS25" s="3062"/>
      <c r="CT25" s="3062"/>
      <c r="CU25" s="3062"/>
      <c r="CV25" s="3062"/>
      <c r="CW25" s="3062"/>
      <c r="CX25" s="3062"/>
      <c r="CY25" s="3159"/>
      <c r="CZ25" s="3159"/>
      <c r="DA25" s="3159"/>
      <c r="DB25" s="3159"/>
    </row>
    <row r="26" spans="1:106" ht="21.6" customHeight="1" thickBot="1">
      <c r="A26" s="3009"/>
      <c r="B26" s="3010"/>
      <c r="C26" s="3011"/>
      <c r="D26" s="3012"/>
      <c r="E26" s="3011"/>
      <c r="F26" s="3012"/>
      <c r="G26" s="3011"/>
      <c r="H26" s="3012"/>
      <c r="I26" s="3054"/>
      <c r="J26" s="3054"/>
      <c r="K26" s="3055"/>
      <c r="L26" s="3054"/>
      <c r="N26" s="565"/>
      <c r="O26" s="565"/>
      <c r="P26" s="565"/>
    </row>
    <row r="27" spans="1:106" s="3005" customFormat="1" ht="66" customHeight="1">
      <c r="A27" s="4362" t="s">
        <v>1362</v>
      </c>
      <c r="B27" s="4363"/>
      <c r="C27" s="3013" t="str">
        <f>AG22</f>
        <v>Sollumsatz pro Arbeits-monat €</v>
      </c>
      <c r="D27" s="3013" t="str">
        <f>AL22</f>
        <v>Gesamt-sollumsatz pro Tag €</v>
      </c>
      <c r="E27" s="3013" t="str">
        <f>AU22</f>
        <v>Umsatz p. Woche</v>
      </c>
      <c r="F27" s="3013" t="str">
        <f>AV22</f>
        <v>Umsatz p. Std</v>
      </c>
      <c r="G27" s="3013" t="str">
        <f>AX22</f>
        <v>Umsatz p. Std mit Leerlauf</v>
      </c>
      <c r="H27" s="3014" t="str">
        <f>AS22</f>
        <v>DL-Umsatz pro M.</v>
      </c>
      <c r="I27" s="3014" t="str">
        <f>AH22</f>
        <v>Sollumsatz DL pro Anwesen-heitstag €</v>
      </c>
      <c r="J27" s="3014" t="str">
        <f>AT22</f>
        <v>VK-Umsatz pro M.</v>
      </c>
      <c r="K27" s="3014" t="str">
        <f>AI22</f>
        <v>Verkaufs-anteil %</v>
      </c>
      <c r="L27" s="3014" t="str">
        <f>AJ22</f>
        <v>Verkaufs-anteil € pro Tag</v>
      </c>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c r="AL27" s="3069"/>
      <c r="AM27" s="3069"/>
      <c r="AN27" s="3069"/>
      <c r="AO27" s="3069"/>
      <c r="AP27" s="3069"/>
      <c r="AQ27" s="3069"/>
      <c r="AR27" s="3069"/>
      <c r="AS27" s="3069"/>
      <c r="AT27" s="3069"/>
      <c r="AU27" s="3069"/>
      <c r="AV27" s="3069"/>
      <c r="AW27" s="3069"/>
      <c r="AX27" s="3069"/>
      <c r="AY27" s="3069"/>
      <c r="AZ27" s="3069"/>
      <c r="BA27" s="3069"/>
      <c r="BB27" s="3069"/>
      <c r="BC27" s="3069"/>
      <c r="BD27" s="3069"/>
      <c r="BE27" s="3069"/>
      <c r="BF27" s="3069"/>
      <c r="BG27" s="3069"/>
      <c r="BH27" s="3069"/>
      <c r="BI27" s="3069"/>
      <c r="BJ27" s="3069"/>
      <c r="BK27" s="3069"/>
      <c r="BL27" s="3069"/>
      <c r="BM27" s="3069"/>
      <c r="BN27" s="3069"/>
      <c r="BO27" s="3069"/>
      <c r="BP27" s="3069"/>
      <c r="BQ27" s="3069"/>
      <c r="BR27" s="3069"/>
      <c r="BS27" s="3069"/>
      <c r="BT27" s="3069"/>
      <c r="BU27" s="3069"/>
      <c r="BV27" s="3069"/>
      <c r="BW27" s="3069"/>
      <c r="BX27" s="3069"/>
      <c r="BY27" s="3069"/>
      <c r="BZ27" s="3069"/>
      <c r="CA27" s="3069"/>
      <c r="CB27" s="3069"/>
      <c r="CC27" s="3069"/>
      <c r="CD27" s="3069"/>
      <c r="CE27" s="3069"/>
      <c r="CF27" s="3069"/>
      <c r="CG27" s="3069"/>
      <c r="CH27" s="3069"/>
      <c r="CI27" s="3069"/>
      <c r="CJ27" s="3069"/>
      <c r="CK27" s="3069"/>
      <c r="CL27" s="3069"/>
      <c r="CM27" s="3069"/>
      <c r="CN27" s="3069"/>
      <c r="CO27" s="3069"/>
      <c r="CP27" s="3069"/>
      <c r="CQ27" s="3069"/>
      <c r="CR27" s="3069"/>
      <c r="CS27" s="3069"/>
      <c r="CT27" s="3069"/>
      <c r="CU27" s="3069"/>
      <c r="CV27" s="3069"/>
      <c r="CW27" s="3069"/>
      <c r="CX27" s="3069"/>
      <c r="CY27" s="3160"/>
      <c r="CZ27" s="3160"/>
      <c r="DA27" s="3160"/>
      <c r="DB27" s="3160"/>
    </row>
    <row r="28" spans="1:106" s="3049" customFormat="1">
      <c r="A28" s="3015"/>
      <c r="B28" s="3016"/>
      <c r="C28" s="3017">
        <f>AR24</f>
        <v>8253</v>
      </c>
      <c r="D28" s="3017">
        <f>AL24</f>
        <v>476.5</v>
      </c>
      <c r="E28" s="3017">
        <f>AU24</f>
        <v>1908</v>
      </c>
      <c r="F28" s="3018">
        <f>AV24</f>
        <v>63.533487297921482</v>
      </c>
      <c r="G28" s="3018">
        <f>AX24</f>
        <v>79.41685912240186</v>
      </c>
      <c r="H28" s="3019">
        <f>AS24</f>
        <v>7798.9071057410565</v>
      </c>
      <c r="I28" s="3020">
        <f>AH24</f>
        <v>450.7547182162225</v>
      </c>
      <c r="J28" s="3020">
        <f>AT24</f>
        <v>454.09289425894309</v>
      </c>
      <c r="K28" s="3021">
        <f>AI24</f>
        <v>5.5021555102258944E-2</v>
      </c>
      <c r="L28" s="3020">
        <f>AJ24</f>
        <v>26.245281783777518</v>
      </c>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c r="AL28" s="3070"/>
      <c r="AM28" s="3070"/>
      <c r="AN28" s="3070"/>
      <c r="AO28" s="3070"/>
      <c r="AP28" s="3070"/>
      <c r="AQ28" s="3070"/>
      <c r="AR28" s="3070"/>
      <c r="AS28" s="3070"/>
      <c r="AT28" s="3070"/>
      <c r="AU28" s="3070"/>
      <c r="AV28" s="3070"/>
      <c r="AW28" s="3070"/>
      <c r="AX28" s="3070"/>
      <c r="AY28" s="3070"/>
      <c r="AZ28" s="307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c r="CF28" s="3070"/>
      <c r="CG28" s="3070"/>
      <c r="CH28" s="3070"/>
      <c r="CI28" s="3070"/>
      <c r="CJ28" s="3070"/>
      <c r="CK28" s="3070"/>
      <c r="CL28" s="3070"/>
      <c r="CM28" s="3070"/>
      <c r="CN28" s="3070"/>
      <c r="CO28" s="3070"/>
      <c r="CP28" s="3070"/>
      <c r="CQ28" s="3070"/>
      <c r="CR28" s="3070"/>
      <c r="CS28" s="3070"/>
      <c r="CT28" s="3070"/>
      <c r="CU28" s="3070"/>
      <c r="CV28" s="3070"/>
      <c r="CW28" s="3070"/>
      <c r="CX28" s="3070"/>
      <c r="CY28" s="3158"/>
      <c r="CZ28" s="3158"/>
      <c r="DA28" s="3158"/>
      <c r="DB28" s="3158"/>
    </row>
    <row r="29" spans="1:106" s="3005" customFormat="1" ht="20.399999999999999" customHeight="1">
      <c r="A29" s="4370" t="s">
        <v>168</v>
      </c>
      <c r="B29" s="4370"/>
      <c r="C29" s="4370" t="s">
        <v>169</v>
      </c>
      <c r="D29" s="4370"/>
      <c r="E29" s="4370" t="s">
        <v>170</v>
      </c>
      <c r="F29" s="4370"/>
      <c r="G29" s="4370" t="s">
        <v>171</v>
      </c>
      <c r="H29" s="4370"/>
      <c r="I29" s="4370" t="s">
        <v>172</v>
      </c>
      <c r="J29" s="4370"/>
      <c r="K29" s="4370" t="s">
        <v>173</v>
      </c>
      <c r="L29" s="4370"/>
      <c r="N29" s="3069"/>
      <c r="O29" s="3069"/>
      <c r="P29" s="3069"/>
      <c r="Q29" s="3069"/>
      <c r="R29" s="3069"/>
      <c r="S29" s="3069"/>
      <c r="T29" s="3069"/>
      <c r="U29" s="3069"/>
      <c r="V29" s="3069"/>
      <c r="W29" s="3069"/>
      <c r="X29" s="3069"/>
      <c r="Y29" s="3069"/>
      <c r="Z29" s="3069"/>
      <c r="AA29" s="3069"/>
      <c r="AB29" s="3069"/>
      <c r="AC29" s="3069"/>
      <c r="AD29" s="3069"/>
      <c r="AE29" s="3069"/>
      <c r="AF29" s="3069"/>
      <c r="AG29" s="3069"/>
      <c r="AH29" s="3069"/>
      <c r="AI29" s="3069"/>
      <c r="AJ29" s="3069"/>
      <c r="AK29" s="3069"/>
      <c r="AL29" s="3069"/>
      <c r="AM29" s="3069"/>
      <c r="AN29" s="3069"/>
      <c r="AO29" s="3069"/>
      <c r="AP29" s="3069"/>
      <c r="AQ29" s="3069"/>
      <c r="AR29" s="3069"/>
      <c r="AS29" s="3069"/>
      <c r="AT29" s="3069"/>
      <c r="AU29" s="3069"/>
      <c r="AV29" s="3069"/>
      <c r="AW29" s="3069"/>
      <c r="AX29" s="3069"/>
      <c r="AY29" s="3069"/>
      <c r="AZ29" s="3069"/>
      <c r="BA29" s="3069"/>
      <c r="BB29" s="3069"/>
      <c r="BC29" s="3069"/>
      <c r="BD29" s="3069"/>
      <c r="BE29" s="3069"/>
      <c r="BF29" s="3069"/>
      <c r="BG29" s="3069"/>
      <c r="BH29" s="3069"/>
      <c r="BI29" s="3069"/>
      <c r="BJ29" s="3069"/>
      <c r="BK29" s="3069"/>
      <c r="BL29" s="3069"/>
      <c r="BM29" s="3069"/>
      <c r="BN29" s="3069"/>
      <c r="BO29" s="3069"/>
      <c r="BP29" s="3069"/>
      <c r="BQ29" s="3069"/>
      <c r="BR29" s="3069"/>
      <c r="BS29" s="3069"/>
      <c r="BT29" s="3069"/>
      <c r="BU29" s="3069"/>
      <c r="BV29" s="3069"/>
      <c r="BW29" s="3069"/>
      <c r="BX29" s="3069"/>
      <c r="BY29" s="3069"/>
      <c r="BZ29" s="3069"/>
      <c r="CA29" s="3069"/>
      <c r="CB29" s="3069"/>
      <c r="CC29" s="3069"/>
      <c r="CD29" s="3069"/>
      <c r="CE29" s="3069"/>
      <c r="CF29" s="3069"/>
      <c r="CG29" s="3069"/>
      <c r="CH29" s="3069"/>
      <c r="CI29" s="3069"/>
      <c r="CJ29" s="3069"/>
      <c r="CK29" s="3069"/>
      <c r="CL29" s="3069"/>
      <c r="CM29" s="3069"/>
      <c r="CN29" s="3069"/>
      <c r="CO29" s="3069"/>
      <c r="CP29" s="3069"/>
      <c r="CQ29" s="3069"/>
      <c r="CR29" s="3069"/>
      <c r="CS29" s="3069"/>
      <c r="CT29" s="3069"/>
      <c r="CU29" s="3069"/>
      <c r="CV29" s="3069"/>
      <c r="CW29" s="3069"/>
      <c r="CX29" s="3069"/>
      <c r="CY29" s="3160"/>
      <c r="CZ29" s="3160"/>
      <c r="DA29" s="3160"/>
      <c r="DB29" s="3160"/>
    </row>
    <row r="30" spans="1:106" s="3005" customFormat="1" ht="20.399999999999999" customHeight="1">
      <c r="A30" s="3022" t="s">
        <v>217</v>
      </c>
      <c r="B30" s="3022" t="s">
        <v>61</v>
      </c>
      <c r="C30" s="3022" t="s">
        <v>217</v>
      </c>
      <c r="D30" s="3022" t="s">
        <v>61</v>
      </c>
      <c r="E30" s="3022" t="s">
        <v>217</v>
      </c>
      <c r="F30" s="3022" t="s">
        <v>61</v>
      </c>
      <c r="G30" s="3022" t="s">
        <v>217</v>
      </c>
      <c r="H30" s="3022" t="s">
        <v>61</v>
      </c>
      <c r="I30" s="3022" t="s">
        <v>217</v>
      </c>
      <c r="J30" s="3022" t="s">
        <v>61</v>
      </c>
      <c r="K30" s="3022" t="s">
        <v>217</v>
      </c>
      <c r="L30" s="3022" t="s">
        <v>61</v>
      </c>
      <c r="N30" s="3069"/>
      <c r="O30" s="3069"/>
      <c r="P30" s="3069"/>
      <c r="Q30" s="3069"/>
      <c r="R30" s="3069"/>
      <c r="S30" s="3069"/>
      <c r="T30" s="3069"/>
      <c r="U30" s="3069"/>
      <c r="V30" s="3069"/>
      <c r="W30" s="3069"/>
      <c r="X30" s="3069"/>
      <c r="Y30" s="3069"/>
      <c r="Z30" s="3069"/>
      <c r="AA30" s="3069"/>
      <c r="AB30" s="3069"/>
      <c r="AC30" s="3069"/>
      <c r="AD30" s="3069"/>
      <c r="AE30" s="3069"/>
      <c r="AF30" s="3069"/>
      <c r="AG30" s="3069"/>
      <c r="AH30" s="3069"/>
      <c r="AI30" s="3069"/>
      <c r="AJ30" s="3069"/>
      <c r="AK30" s="3069"/>
      <c r="AL30" s="3069"/>
      <c r="AM30" s="3069"/>
      <c r="AN30" s="3069"/>
      <c r="AO30" s="3069"/>
      <c r="AP30" s="3069"/>
      <c r="AQ30" s="3069"/>
      <c r="AR30" s="3069"/>
      <c r="AS30" s="3069"/>
      <c r="AT30" s="3069"/>
      <c r="AU30" s="3069"/>
      <c r="AV30" s="3069"/>
      <c r="AW30" s="3069"/>
      <c r="AX30" s="3069"/>
      <c r="AY30" s="3069"/>
      <c r="AZ30" s="3069"/>
      <c r="BA30" s="3069"/>
      <c r="BB30" s="3069"/>
      <c r="BC30" s="3069"/>
      <c r="BD30" s="3069"/>
      <c r="BE30" s="3069"/>
      <c r="BF30" s="3069"/>
      <c r="BG30" s="3069"/>
      <c r="BH30" s="3069"/>
      <c r="BI30" s="3069"/>
      <c r="BJ30" s="3069"/>
      <c r="BK30" s="3069"/>
      <c r="BL30" s="3069"/>
      <c r="BM30" s="3069"/>
      <c r="BN30" s="3069"/>
      <c r="BO30" s="3069"/>
      <c r="BP30" s="3069"/>
      <c r="BQ30" s="3069"/>
      <c r="BR30" s="3069"/>
      <c r="BS30" s="3069"/>
      <c r="BT30" s="3069"/>
      <c r="BU30" s="3069"/>
      <c r="BV30" s="3069"/>
      <c r="BW30" s="3069"/>
      <c r="BX30" s="3069"/>
      <c r="BY30" s="3069"/>
      <c r="BZ30" s="3069"/>
      <c r="CA30" s="3069"/>
      <c r="CB30" s="3069"/>
      <c r="CC30" s="3069"/>
      <c r="CD30" s="3069"/>
      <c r="CE30" s="3069"/>
      <c r="CF30" s="3069"/>
      <c r="CG30" s="3069"/>
      <c r="CH30" s="3069"/>
      <c r="CI30" s="3069"/>
      <c r="CJ30" s="3069"/>
      <c r="CK30" s="3069"/>
      <c r="CL30" s="3069"/>
      <c r="CM30" s="3069"/>
      <c r="CN30" s="3069"/>
      <c r="CO30" s="3069"/>
      <c r="CP30" s="3069"/>
      <c r="CQ30" s="3069"/>
      <c r="CR30" s="3069"/>
      <c r="CS30" s="3069"/>
      <c r="CT30" s="3069"/>
      <c r="CU30" s="3069"/>
      <c r="CV30" s="3069"/>
      <c r="CW30" s="3069"/>
      <c r="CX30" s="3069"/>
      <c r="CY30" s="3160"/>
      <c r="CZ30" s="3160"/>
      <c r="DA30" s="3160"/>
      <c r="DB30" s="3160"/>
    </row>
    <row r="31" spans="1:106" s="3050" customFormat="1" ht="20.399999999999999" customHeight="1" thickBot="1">
      <c r="A31" s="3023">
        <f t="shared" ref="A31" si="15">BA24</f>
        <v>8</v>
      </c>
      <c r="B31" s="3024">
        <f t="shared" ref="B31" si="16">BB24</f>
        <v>508.26789838337186</v>
      </c>
      <c r="C31" s="3023">
        <f t="shared" ref="C31" si="17">BC24</f>
        <v>8</v>
      </c>
      <c r="D31" s="3024">
        <f t="shared" ref="D31" si="18">BD24</f>
        <v>508.26789838337186</v>
      </c>
      <c r="E31" s="3023">
        <f t="shared" ref="E31" si="19">BE24</f>
        <v>8</v>
      </c>
      <c r="F31" s="3024">
        <f t="shared" ref="F31" si="20">BF24</f>
        <v>508.26789838337186</v>
      </c>
      <c r="G31" s="3023">
        <f t="shared" ref="G31" si="21">BG24</f>
        <v>8</v>
      </c>
      <c r="H31" s="3024">
        <f t="shared" ref="H31" si="22">BH24</f>
        <v>508.26789838337186</v>
      </c>
      <c r="I31" s="3023" t="str">
        <f t="shared" ref="I31" si="23">BI24</f>
        <v/>
      </c>
      <c r="J31" s="3024" t="str">
        <f t="shared" ref="J31" si="24">BJ24</f>
        <v/>
      </c>
      <c r="K31" s="3023">
        <f t="shared" ref="K31" si="25">BK24</f>
        <v>6</v>
      </c>
      <c r="L31" s="3024">
        <f t="shared" ref="L31" si="26">BL24</f>
        <v>381.20092378752889</v>
      </c>
      <c r="N31" s="3071"/>
      <c r="O31" s="3071"/>
      <c r="P31" s="3071"/>
      <c r="Q31" s="3071"/>
      <c r="R31" s="3071"/>
      <c r="S31" s="3071"/>
      <c r="T31" s="3071"/>
      <c r="U31" s="3071"/>
      <c r="V31" s="3071"/>
      <c r="W31" s="3071"/>
      <c r="X31" s="3071"/>
      <c r="Y31" s="3071"/>
      <c r="Z31" s="3071"/>
      <c r="AA31" s="3071"/>
      <c r="AB31" s="3071"/>
      <c r="AC31" s="3071"/>
      <c r="AD31" s="3071"/>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3071"/>
      <c r="BB31" s="3071"/>
      <c r="BC31" s="3071"/>
      <c r="BD31" s="3071"/>
      <c r="BE31" s="3071"/>
      <c r="BF31" s="3071"/>
      <c r="BG31" s="3071"/>
      <c r="BH31" s="3071"/>
      <c r="BI31" s="3071"/>
      <c r="BJ31" s="3071"/>
      <c r="BK31" s="3071"/>
      <c r="BL31" s="3071"/>
      <c r="BM31" s="3071"/>
      <c r="BN31" s="3071"/>
      <c r="BO31" s="3071"/>
      <c r="BP31" s="3071"/>
      <c r="BQ31" s="3071"/>
      <c r="BR31" s="3071"/>
      <c r="BS31" s="3071"/>
      <c r="BT31" s="3071"/>
      <c r="BU31" s="3071"/>
      <c r="BV31" s="3071"/>
      <c r="BW31" s="3071"/>
      <c r="BX31" s="3071"/>
      <c r="BY31" s="3071"/>
      <c r="BZ31" s="3071"/>
      <c r="CA31" s="3071"/>
      <c r="CB31" s="3071"/>
      <c r="CC31" s="3071"/>
      <c r="CD31" s="3071"/>
      <c r="CE31" s="3071"/>
      <c r="CF31" s="3071"/>
      <c r="CG31" s="3071"/>
      <c r="CH31" s="3071"/>
      <c r="CI31" s="3071"/>
      <c r="CJ31" s="3071"/>
      <c r="CK31" s="3071"/>
      <c r="CL31" s="3071"/>
      <c r="CM31" s="3071"/>
      <c r="CN31" s="3071"/>
      <c r="CO31" s="3071"/>
      <c r="CP31" s="3071"/>
      <c r="CQ31" s="3071"/>
      <c r="CR31" s="3071"/>
      <c r="CS31" s="3071"/>
      <c r="CT31" s="3071"/>
      <c r="CU31" s="3071"/>
      <c r="CV31" s="3071"/>
      <c r="CW31" s="3071"/>
      <c r="CX31" s="3071"/>
      <c r="CY31" s="830"/>
      <c r="CZ31" s="830"/>
      <c r="DA31" s="830"/>
      <c r="DB31" s="830"/>
    </row>
    <row r="32" spans="1:106" ht="18" customHeight="1" thickBot="1">
      <c r="A32" s="3009"/>
      <c r="B32" s="3010"/>
      <c r="C32" s="3011"/>
      <c r="D32" s="3012"/>
      <c r="E32" s="3011"/>
      <c r="F32" s="3012"/>
      <c r="G32" s="3011"/>
      <c r="H32" s="3012"/>
      <c r="I32" s="3054"/>
      <c r="J32" s="3054"/>
      <c r="K32" s="3055"/>
      <c r="L32" s="3054"/>
      <c r="N32" s="565"/>
      <c r="O32" s="565"/>
      <c r="P32" s="565"/>
    </row>
    <row r="33" spans="1:106" s="3031" customFormat="1" ht="19.8" customHeight="1">
      <c r="A33" s="3025" t="s">
        <v>1396</v>
      </c>
      <c r="B33" s="3029"/>
      <c r="C33" s="3029"/>
      <c r="D33" s="3029"/>
      <c r="E33" s="3029"/>
      <c r="F33" s="3029"/>
      <c r="G33" s="3029"/>
      <c r="H33" s="3029"/>
      <c r="I33" s="3029"/>
      <c r="J33" s="3029"/>
      <c r="K33" s="3029"/>
      <c r="L33" s="3029"/>
      <c r="N33" s="3069"/>
      <c r="O33" s="3069"/>
      <c r="P33" s="3069"/>
      <c r="Q33" s="3069"/>
      <c r="R33" s="3069"/>
      <c r="S33" s="3069"/>
      <c r="T33" s="3069"/>
      <c r="U33" s="3069"/>
      <c r="V33" s="3069"/>
      <c r="W33" s="3069"/>
      <c r="X33" s="3069"/>
      <c r="Y33" s="3069"/>
      <c r="Z33" s="3069"/>
      <c r="AA33" s="3069"/>
      <c r="AB33" s="3069"/>
      <c r="AC33" s="3069"/>
      <c r="AD33" s="3069"/>
      <c r="AE33" s="3069"/>
      <c r="AF33" s="3069"/>
      <c r="AG33" s="3069"/>
      <c r="AH33" s="3069"/>
      <c r="AI33" s="3069"/>
      <c r="AJ33" s="3069"/>
      <c r="AK33" s="3069"/>
      <c r="AL33" s="3069"/>
      <c r="AM33" s="3069"/>
      <c r="AN33" s="3069"/>
      <c r="AO33" s="3069"/>
      <c r="AP33" s="3069"/>
      <c r="AQ33" s="3069"/>
      <c r="AR33" s="3069"/>
      <c r="AS33" s="3069"/>
      <c r="AT33" s="3069"/>
      <c r="AU33" s="3069"/>
      <c r="AV33" s="3069"/>
      <c r="AW33" s="3069"/>
      <c r="AX33" s="3069"/>
      <c r="AY33" s="3069"/>
      <c r="AZ33" s="3069"/>
      <c r="BA33" s="3069"/>
      <c r="BB33" s="3069"/>
      <c r="BC33" s="3069"/>
      <c r="BD33" s="3069"/>
      <c r="BE33" s="3069"/>
      <c r="BF33" s="3069"/>
      <c r="BG33" s="3069"/>
      <c r="BH33" s="3069"/>
      <c r="BI33" s="3069"/>
      <c r="BJ33" s="3069"/>
      <c r="BK33" s="3069"/>
      <c r="BL33" s="3069"/>
      <c r="BM33" s="3069"/>
      <c r="BN33" s="3069"/>
      <c r="BO33" s="3069"/>
      <c r="BP33" s="3069"/>
      <c r="BQ33" s="3069"/>
      <c r="BR33" s="3069"/>
      <c r="BS33" s="3069"/>
      <c r="BT33" s="3069"/>
      <c r="BU33" s="3069"/>
      <c r="BV33" s="3069"/>
      <c r="BW33" s="3069"/>
      <c r="BX33" s="3069"/>
      <c r="BY33" s="3069"/>
      <c r="BZ33" s="3069"/>
      <c r="CA33" s="3069"/>
      <c r="CB33" s="3069"/>
      <c r="CC33" s="3069"/>
      <c r="CD33" s="3069"/>
      <c r="CE33" s="3069"/>
      <c r="CF33" s="3069"/>
      <c r="CG33" s="3069"/>
      <c r="CH33" s="3069"/>
      <c r="CI33" s="3069"/>
      <c r="CJ33" s="3069"/>
      <c r="CK33" s="3069"/>
      <c r="CL33" s="3069"/>
      <c r="CM33" s="3069"/>
      <c r="CN33" s="3069"/>
      <c r="CO33" s="3069"/>
      <c r="CP33" s="3069"/>
      <c r="CQ33" s="3069"/>
      <c r="CR33" s="3069"/>
      <c r="CS33" s="3069"/>
      <c r="CT33" s="3069"/>
      <c r="CU33" s="3069"/>
      <c r="CV33" s="3069"/>
      <c r="CW33" s="3069"/>
      <c r="CX33" s="3069"/>
      <c r="CY33" s="3160"/>
      <c r="CZ33" s="3160"/>
      <c r="DA33" s="3160"/>
      <c r="DB33" s="3160"/>
    </row>
    <row r="34" spans="1:106" s="3031" customFormat="1" ht="19.8" customHeight="1">
      <c r="A34" s="3163"/>
      <c r="B34" s="3164" t="s">
        <v>1102</v>
      </c>
      <c r="C34" s="3164" t="s">
        <v>1120</v>
      </c>
      <c r="D34" s="3164" t="s">
        <v>1121</v>
      </c>
      <c r="E34" s="3164" t="s">
        <v>1113</v>
      </c>
      <c r="F34" s="3164" t="s">
        <v>1115</v>
      </c>
      <c r="G34" s="3164" t="s">
        <v>1368</v>
      </c>
      <c r="H34" s="3164" t="s">
        <v>907</v>
      </c>
      <c r="I34" s="3164" t="s">
        <v>1114</v>
      </c>
      <c r="J34" s="3164" t="s">
        <v>1116</v>
      </c>
      <c r="K34" s="3164" t="s">
        <v>1368</v>
      </c>
      <c r="L34" s="3164" t="s">
        <v>907</v>
      </c>
      <c r="N34" s="3069"/>
      <c r="O34" s="3069"/>
      <c r="P34" s="3069"/>
      <c r="Q34" s="3069"/>
      <c r="R34" s="3069"/>
      <c r="S34" s="3069"/>
      <c r="T34" s="3069"/>
      <c r="U34" s="3069"/>
      <c r="V34" s="3069"/>
      <c r="W34" s="3069"/>
      <c r="X34" s="3069"/>
      <c r="Y34" s="3069"/>
      <c r="Z34" s="3069"/>
      <c r="AA34" s="3069"/>
      <c r="AB34" s="3069"/>
      <c r="AC34" s="3069"/>
      <c r="AD34" s="3069"/>
      <c r="AE34" s="3069"/>
      <c r="AF34" s="3069"/>
      <c r="AG34" s="3069"/>
      <c r="AH34" s="3069"/>
      <c r="AI34" s="3069"/>
      <c r="AJ34" s="3069"/>
      <c r="AK34" s="3069"/>
      <c r="AL34" s="3069"/>
      <c r="AM34" s="3069"/>
      <c r="AN34" s="3069"/>
      <c r="AO34" s="3069"/>
      <c r="AP34" s="3069"/>
      <c r="AQ34" s="3069"/>
      <c r="AR34" s="3069"/>
      <c r="AS34" s="3069"/>
      <c r="AT34" s="3069"/>
      <c r="AU34" s="3069"/>
      <c r="AV34" s="3069"/>
      <c r="AW34" s="3069"/>
      <c r="AX34" s="3069"/>
      <c r="AY34" s="3069"/>
      <c r="AZ34" s="3069"/>
      <c r="BA34" s="3069"/>
      <c r="BB34" s="3069"/>
      <c r="BC34" s="3069"/>
      <c r="BD34" s="3069"/>
      <c r="BE34" s="3069"/>
      <c r="BF34" s="3069"/>
      <c r="BG34" s="3069"/>
      <c r="BH34" s="3069"/>
      <c r="BI34" s="3069"/>
      <c r="BJ34" s="3069"/>
      <c r="BK34" s="3069"/>
      <c r="BL34" s="3069"/>
      <c r="BM34" s="3069"/>
      <c r="BN34" s="3069"/>
      <c r="BO34" s="3069"/>
      <c r="BP34" s="3069"/>
      <c r="BQ34" s="3069"/>
      <c r="BR34" s="3069"/>
      <c r="BS34" s="3069"/>
      <c r="BT34" s="3069"/>
      <c r="BU34" s="3069"/>
      <c r="BV34" s="3069"/>
      <c r="BW34" s="3069"/>
      <c r="BX34" s="3069"/>
      <c r="BY34" s="3069"/>
      <c r="BZ34" s="3069"/>
      <c r="CA34" s="3069"/>
      <c r="CB34" s="3069"/>
      <c r="CC34" s="3069"/>
      <c r="CD34" s="3069"/>
      <c r="CE34" s="3069"/>
      <c r="CF34" s="3069"/>
      <c r="CG34" s="3069"/>
      <c r="CH34" s="3069"/>
      <c r="CI34" s="3069"/>
      <c r="CJ34" s="3069"/>
      <c r="CK34" s="3069"/>
      <c r="CL34" s="3069"/>
      <c r="CM34" s="3069"/>
      <c r="CN34" s="3069"/>
      <c r="CO34" s="3069"/>
      <c r="CP34" s="3069"/>
      <c r="CQ34" s="3069"/>
      <c r="CR34" s="3069"/>
      <c r="CS34" s="3069"/>
      <c r="CT34" s="3069"/>
      <c r="CU34" s="3069"/>
      <c r="CV34" s="3069"/>
      <c r="CW34" s="3069"/>
      <c r="CX34" s="3069"/>
      <c r="CY34" s="3160"/>
      <c r="CZ34" s="3160"/>
      <c r="DA34" s="3160"/>
      <c r="DB34" s="3160"/>
    </row>
    <row r="35" spans="1:106" s="3038" customFormat="1" ht="17.399999999999999" customHeight="1" thickBot="1">
      <c r="A35" s="3165" t="str">
        <f t="shared" ref="A35:L35" si="27">CI24</f>
        <v>Januar</v>
      </c>
      <c r="B35" s="3166">
        <f t="shared" si="27"/>
        <v>13</v>
      </c>
      <c r="C35" s="3166">
        <f t="shared" si="27"/>
        <v>4</v>
      </c>
      <c r="D35" s="3166">
        <f t="shared" si="27"/>
        <v>0</v>
      </c>
      <c r="E35" s="3167">
        <f t="shared" si="27"/>
        <v>0</v>
      </c>
      <c r="F35" s="3167">
        <f t="shared" si="27"/>
        <v>5859.8113368108925</v>
      </c>
      <c r="G35" s="3167" t="str">
        <f t="shared" si="27"/>
        <v/>
      </c>
      <c r="H35" s="3167" t="str">
        <f t="shared" si="27"/>
        <v/>
      </c>
      <c r="I35" s="3167">
        <f t="shared" si="27"/>
        <v>0</v>
      </c>
      <c r="J35" s="3167">
        <f t="shared" si="27"/>
        <v>340.8318490396224</v>
      </c>
      <c r="K35" s="3167" t="str">
        <f t="shared" si="27"/>
        <v/>
      </c>
      <c r="L35" s="3167" t="str">
        <f t="shared" si="27"/>
        <v/>
      </c>
      <c r="N35" s="3070"/>
      <c r="O35" s="3070"/>
      <c r="P35" s="3070"/>
      <c r="Q35" s="3070"/>
      <c r="R35" s="3070"/>
      <c r="S35" s="3070"/>
      <c r="T35" s="3070"/>
      <c r="U35" s="3070"/>
      <c r="V35" s="3070"/>
      <c r="W35" s="3070"/>
      <c r="X35" s="3070"/>
      <c r="Y35" s="3070"/>
      <c r="Z35" s="3070"/>
      <c r="AA35" s="3070"/>
      <c r="AB35" s="3070"/>
      <c r="AC35" s="3070"/>
      <c r="AD35" s="3070"/>
      <c r="AE35" s="3070"/>
      <c r="AF35" s="3070"/>
      <c r="AG35" s="3070"/>
      <c r="AH35" s="3070"/>
      <c r="AI35" s="3070"/>
      <c r="AJ35" s="3070"/>
      <c r="AK35" s="3070"/>
      <c r="AL35" s="3070"/>
      <c r="AM35" s="3070"/>
      <c r="AN35" s="3070"/>
      <c r="AO35" s="3070"/>
      <c r="AP35" s="3070"/>
      <c r="AQ35" s="3070"/>
      <c r="AR35" s="3070"/>
      <c r="AS35" s="3070"/>
      <c r="AT35" s="3070"/>
      <c r="AU35" s="3070"/>
      <c r="AV35" s="3070"/>
      <c r="AW35" s="3070"/>
      <c r="AX35" s="3070"/>
      <c r="AY35" s="3070"/>
      <c r="AZ35" s="3070"/>
      <c r="BA35" s="3070"/>
      <c r="BB35" s="3070"/>
      <c r="BC35" s="3070"/>
      <c r="BD35" s="3070"/>
      <c r="BE35" s="3070"/>
      <c r="BF35" s="3070"/>
      <c r="BG35" s="3070"/>
      <c r="BH35" s="3070"/>
      <c r="BI35" s="3070"/>
      <c r="BJ35" s="3070"/>
      <c r="BK35" s="3070"/>
      <c r="BL35" s="3070"/>
      <c r="BM35" s="3070"/>
      <c r="BN35" s="3070"/>
      <c r="BO35" s="3070"/>
      <c r="BP35" s="3070"/>
      <c r="BQ35" s="3070"/>
      <c r="BR35" s="3070"/>
      <c r="BS35" s="3070"/>
      <c r="BT35" s="3070"/>
      <c r="BU35" s="3070"/>
      <c r="BV35" s="3070"/>
      <c r="BW35" s="3070"/>
      <c r="BX35" s="3070"/>
      <c r="BY35" s="3070"/>
      <c r="BZ35" s="3070"/>
      <c r="CA35" s="3070"/>
      <c r="CB35" s="3070"/>
      <c r="CC35" s="3070"/>
      <c r="CD35" s="3070"/>
      <c r="CE35" s="3070"/>
      <c r="CF35" s="3070"/>
      <c r="CG35" s="3070"/>
      <c r="CH35" s="3070"/>
      <c r="CI35" s="3070"/>
      <c r="CJ35" s="3070"/>
      <c r="CK35" s="3070"/>
      <c r="CL35" s="3070"/>
      <c r="CM35" s="3070"/>
      <c r="CN35" s="3070"/>
      <c r="CO35" s="3070"/>
      <c r="CP35" s="3070"/>
      <c r="CQ35" s="3070"/>
      <c r="CR35" s="3070"/>
      <c r="CS35" s="3070"/>
      <c r="CT35" s="3070"/>
      <c r="CU35" s="3070"/>
      <c r="CV35" s="3070"/>
      <c r="CW35" s="3070"/>
      <c r="CX35" s="3070"/>
      <c r="CY35" s="3158"/>
      <c r="CZ35" s="3158"/>
      <c r="DA35" s="3158"/>
      <c r="DB35" s="3158"/>
    </row>
    <row r="36" spans="1:106" s="3042" customFormat="1" ht="19.8" customHeight="1" thickBot="1">
      <c r="A36" s="3072"/>
      <c r="B36" s="3072"/>
      <c r="C36" s="3072"/>
      <c r="D36" s="3161"/>
      <c r="E36" s="3161"/>
      <c r="F36" s="3161"/>
      <c r="G36" s="3161"/>
      <c r="H36" s="3161"/>
      <c r="I36" s="3161"/>
      <c r="J36" s="3161"/>
      <c r="K36" s="3161"/>
      <c r="L36" s="3161"/>
      <c r="N36" s="3072"/>
      <c r="O36" s="3072"/>
      <c r="P36" s="3072"/>
      <c r="Q36" s="3072"/>
      <c r="R36" s="3072"/>
      <c r="S36" s="3072"/>
      <c r="T36" s="3072"/>
      <c r="U36" s="3072"/>
      <c r="V36" s="3072"/>
      <c r="W36" s="3072"/>
      <c r="X36" s="3072"/>
      <c r="Y36" s="3072"/>
      <c r="Z36" s="3072"/>
      <c r="AA36" s="3072"/>
      <c r="AB36" s="3072"/>
      <c r="AC36" s="3072"/>
      <c r="AD36" s="3072"/>
      <c r="AE36" s="3072"/>
      <c r="AF36" s="3072"/>
      <c r="AG36" s="3072"/>
      <c r="AH36" s="3072"/>
      <c r="AI36" s="3072"/>
      <c r="AJ36" s="3072"/>
      <c r="AK36" s="3072"/>
      <c r="AL36" s="3072"/>
      <c r="AM36" s="3072"/>
      <c r="AN36" s="3072"/>
      <c r="AO36" s="3072"/>
      <c r="AP36" s="3072"/>
      <c r="AQ36" s="3072"/>
      <c r="AR36" s="3072"/>
      <c r="AS36" s="3072"/>
      <c r="AT36" s="3072"/>
      <c r="AU36" s="3072"/>
      <c r="AV36" s="3072"/>
      <c r="AW36" s="3072"/>
      <c r="AX36" s="3072"/>
      <c r="AY36" s="3072"/>
      <c r="AZ36" s="3072"/>
      <c r="BA36" s="3072"/>
      <c r="BB36" s="3072"/>
      <c r="BC36" s="3072"/>
      <c r="BD36" s="3072"/>
      <c r="BE36" s="3072"/>
      <c r="BF36" s="3072"/>
      <c r="BG36" s="3072"/>
      <c r="BH36" s="3072"/>
      <c r="BI36" s="3072"/>
      <c r="BJ36" s="3072"/>
      <c r="BK36" s="3072"/>
      <c r="BL36" s="3072"/>
      <c r="BM36" s="3072"/>
      <c r="BN36" s="3072"/>
      <c r="BO36" s="3072"/>
      <c r="BP36" s="3072"/>
      <c r="BQ36" s="3072"/>
      <c r="BR36" s="3072"/>
      <c r="BS36" s="3072"/>
      <c r="BT36" s="3072"/>
      <c r="BU36" s="3072"/>
      <c r="BV36" s="3072"/>
      <c r="BW36" s="3072"/>
      <c r="BX36" s="3072"/>
      <c r="BY36" s="3072"/>
      <c r="BZ36" s="3072"/>
      <c r="CA36" s="3072"/>
      <c r="CB36" s="3072"/>
      <c r="CC36" s="3072"/>
      <c r="CD36" s="3072"/>
      <c r="CE36" s="3072"/>
      <c r="CF36" s="3072"/>
      <c r="CG36" s="3072"/>
      <c r="CH36" s="3072"/>
      <c r="CI36" s="3072"/>
      <c r="CJ36" s="3072"/>
      <c r="CK36" s="3072"/>
      <c r="CL36" s="3072"/>
      <c r="CM36" s="3072"/>
      <c r="CN36" s="3072"/>
      <c r="CO36" s="3072"/>
      <c r="CP36" s="3072"/>
      <c r="CQ36" s="3072"/>
      <c r="CR36" s="3072"/>
      <c r="CS36" s="3072"/>
      <c r="CT36" s="3072"/>
      <c r="CU36" s="3072"/>
      <c r="CV36" s="3072"/>
      <c r="CW36" s="3072"/>
      <c r="CX36" s="3072"/>
      <c r="CY36" s="3161"/>
      <c r="CZ36" s="3161"/>
      <c r="DA36" s="3161"/>
      <c r="DB36" s="3161"/>
    </row>
    <row r="37" spans="1:106" s="3048" customFormat="1" ht="17.399999999999999" customHeight="1">
      <c r="A37" s="3025" t="s">
        <v>1363</v>
      </c>
      <c r="B37" s="3026"/>
      <c r="C37" s="3027" t="s">
        <v>1394</v>
      </c>
      <c r="D37" s="3027"/>
      <c r="E37" s="4371" t="s">
        <v>1364</v>
      </c>
      <c r="F37" s="4371"/>
      <c r="G37" s="3028"/>
      <c r="H37" s="3029"/>
      <c r="I37" s="4372" t="s">
        <v>1365</v>
      </c>
      <c r="J37" s="4372"/>
      <c r="K37" s="3030"/>
      <c r="L37" s="3162"/>
      <c r="N37" s="3073"/>
      <c r="O37" s="3073"/>
      <c r="P37" s="3073"/>
      <c r="Q37" s="3073"/>
      <c r="R37" s="3073"/>
      <c r="S37" s="3073"/>
      <c r="T37" s="3073"/>
      <c r="U37" s="3073"/>
      <c r="V37" s="3073"/>
      <c r="W37" s="3073"/>
      <c r="X37" s="3073"/>
      <c r="Y37" s="3073"/>
      <c r="Z37" s="3073"/>
      <c r="AA37" s="3073"/>
      <c r="AB37" s="3073"/>
      <c r="AC37" s="3073"/>
      <c r="AD37" s="3073"/>
      <c r="AE37" s="3073"/>
      <c r="AF37" s="3073"/>
      <c r="AG37" s="3073"/>
      <c r="AH37" s="3073"/>
      <c r="AI37" s="3073"/>
      <c r="AJ37" s="3073"/>
      <c r="AK37" s="3073"/>
      <c r="AL37" s="3073"/>
      <c r="AM37" s="3073"/>
      <c r="AN37" s="3073"/>
      <c r="AO37" s="3073"/>
      <c r="AP37" s="3073"/>
      <c r="AQ37" s="3073"/>
      <c r="AR37" s="3073"/>
      <c r="AS37" s="3073"/>
      <c r="AT37" s="3073"/>
      <c r="AU37" s="3073"/>
      <c r="AV37" s="3073"/>
      <c r="AW37" s="3073"/>
      <c r="AX37" s="3073"/>
      <c r="AY37" s="3073"/>
      <c r="AZ37" s="3073"/>
      <c r="BA37" s="3073"/>
      <c r="BB37" s="3073"/>
      <c r="BC37" s="3073"/>
      <c r="BD37" s="3073"/>
      <c r="BE37" s="3073"/>
      <c r="BF37" s="3073"/>
      <c r="BG37" s="3073"/>
      <c r="BH37" s="3073"/>
      <c r="BI37" s="3073"/>
      <c r="BJ37" s="3073"/>
      <c r="BK37" s="3073"/>
      <c r="BL37" s="3073"/>
      <c r="BM37" s="3073"/>
      <c r="BN37" s="3073"/>
      <c r="BO37" s="3073"/>
      <c r="BP37" s="3073"/>
      <c r="BQ37" s="3073"/>
      <c r="BR37" s="3073"/>
      <c r="BS37" s="3073"/>
      <c r="BT37" s="3073"/>
      <c r="BU37" s="3073"/>
      <c r="BV37" s="3073"/>
      <c r="BW37" s="3073"/>
      <c r="BX37" s="3073"/>
      <c r="BY37" s="3073"/>
      <c r="BZ37" s="3073"/>
      <c r="CA37" s="3073"/>
      <c r="CB37" s="3073"/>
      <c r="CC37" s="3073"/>
      <c r="CD37" s="3073"/>
      <c r="CE37" s="3073"/>
      <c r="CF37" s="3073"/>
      <c r="CG37" s="3073"/>
      <c r="CH37" s="3073"/>
      <c r="CI37" s="3073"/>
      <c r="CJ37" s="3073"/>
      <c r="CK37" s="3073"/>
      <c r="CL37" s="3073"/>
      <c r="CM37" s="3073"/>
      <c r="CN37" s="3073"/>
      <c r="CO37" s="3073"/>
      <c r="CP37" s="3073"/>
      <c r="CQ37" s="3073"/>
      <c r="CR37" s="3073"/>
      <c r="CS37" s="3073"/>
      <c r="CT37" s="3073"/>
      <c r="CU37" s="3073"/>
      <c r="CV37" s="3073"/>
      <c r="CW37" s="3073"/>
      <c r="CX37" s="3073"/>
      <c r="CY37" s="3162"/>
      <c r="CZ37" s="3162"/>
      <c r="DA37" s="3162"/>
      <c r="DB37" s="3162"/>
    </row>
    <row r="38" spans="1:106" ht="16.8" customHeight="1">
      <c r="A38" s="3032" t="s">
        <v>1366</v>
      </c>
      <c r="B38" s="3032" t="s">
        <v>1367</v>
      </c>
      <c r="C38" s="3033" t="s">
        <v>1368</v>
      </c>
      <c r="E38" s="3034" t="s">
        <v>1113</v>
      </c>
      <c r="F38" s="3034" t="s">
        <v>1115</v>
      </c>
      <c r="G38" s="3035" t="s">
        <v>1368</v>
      </c>
      <c r="I38" s="3036" t="s">
        <v>1114</v>
      </c>
      <c r="J38" s="3036" t="s">
        <v>1116</v>
      </c>
      <c r="K38" s="3033" t="s">
        <v>1368</v>
      </c>
      <c r="L38" s="1869"/>
      <c r="N38" s="565"/>
      <c r="O38" s="565"/>
      <c r="P38" s="565"/>
    </row>
    <row r="39" spans="1:106" ht="16.8" customHeight="1">
      <c r="A39" s="3037">
        <f>E39+I39</f>
        <v>0</v>
      </c>
      <c r="B39" s="3037">
        <f>BP24</f>
        <v>81005</v>
      </c>
      <c r="C39" s="3052">
        <f>A39-B39</f>
        <v>-81005</v>
      </c>
      <c r="D39" s="3038"/>
      <c r="E39" s="3039">
        <f>BS24</f>
        <v>0</v>
      </c>
      <c r="F39" s="3039">
        <f>BT24</f>
        <v>76628.30209675782</v>
      </c>
      <c r="G39" s="3053">
        <f>BU24</f>
        <v>-76628.30209675782</v>
      </c>
      <c r="H39" s="3038"/>
      <c r="I39" s="3037">
        <f>BW24</f>
        <v>0</v>
      </c>
      <c r="J39" s="3037">
        <f>BX24</f>
        <v>4457.0318720566002</v>
      </c>
      <c r="K39" s="3052">
        <f>BY24</f>
        <v>-4457.0318720566002</v>
      </c>
      <c r="L39" s="1869"/>
      <c r="N39" s="565"/>
      <c r="O39" s="565"/>
      <c r="P39" s="565"/>
    </row>
    <row r="40" spans="1:106" ht="16.8" customHeight="1">
      <c r="A40" s="3040" t="s">
        <v>1150</v>
      </c>
      <c r="B40" s="3032" t="s">
        <v>1369</v>
      </c>
      <c r="C40" s="3036" t="s">
        <v>907</v>
      </c>
      <c r="E40" s="3041" t="s">
        <v>1370</v>
      </c>
      <c r="F40" s="3041" t="s">
        <v>1148</v>
      </c>
      <c r="G40" s="3034" t="s">
        <v>907</v>
      </c>
      <c r="I40" s="3040" t="s">
        <v>1371</v>
      </c>
      <c r="J40" s="3040" t="s">
        <v>1149</v>
      </c>
      <c r="K40" s="3036" t="s">
        <v>907</v>
      </c>
      <c r="L40" s="1869"/>
      <c r="N40" s="565"/>
      <c r="O40" s="565"/>
      <c r="P40" s="565"/>
    </row>
    <row r="41" spans="1:106" ht="16.8" customHeight="1" thickBot="1">
      <c r="A41" s="3043">
        <f>CE24</f>
        <v>0</v>
      </c>
      <c r="B41" s="3044" t="str">
        <f>CA24</f>
        <v/>
      </c>
      <c r="C41" s="3043">
        <f>SUM(G41,K41)</f>
        <v>0</v>
      </c>
      <c r="D41" s="3045"/>
      <c r="E41" s="3046" t="str">
        <f>CB24</f>
        <v/>
      </c>
      <c r="F41" s="3047">
        <f>CF24</f>
        <v>0</v>
      </c>
      <c r="G41" s="3047" t="str">
        <f>BV24</f>
        <v/>
      </c>
      <c r="H41" s="3045"/>
      <c r="I41" s="3044" t="str">
        <f>CC24</f>
        <v/>
      </c>
      <c r="J41" s="3043">
        <f>CG24</f>
        <v>0</v>
      </c>
      <c r="K41" s="3043" t="str">
        <f>BZ24</f>
        <v/>
      </c>
      <c r="L41" s="1869"/>
      <c r="M41" s="565"/>
      <c r="N41" s="565"/>
      <c r="O41" s="565"/>
      <c r="P41" s="565"/>
    </row>
    <row r="42" spans="1:106">
      <c r="N42" s="565"/>
      <c r="O42" s="565"/>
      <c r="P42" s="565"/>
    </row>
    <row r="43" spans="1:106" ht="76.8" customHeight="1">
      <c r="A43" s="4360" t="str">
        <f>N45</f>
        <v>Karina</v>
      </c>
      <c r="B43" s="4361"/>
      <c r="C43" s="3168" t="s">
        <v>1348</v>
      </c>
      <c r="D43" s="3168" t="s">
        <v>1349</v>
      </c>
      <c r="E43" s="3168" t="s">
        <v>1350</v>
      </c>
      <c r="F43" s="3168" t="s">
        <v>1351</v>
      </c>
      <c r="G43" s="3168" t="s">
        <v>663</v>
      </c>
      <c r="H43" s="3168" t="s">
        <v>490</v>
      </c>
      <c r="I43" s="3168" t="s">
        <v>1352</v>
      </c>
      <c r="J43" s="3168" t="s">
        <v>1353</v>
      </c>
      <c r="K43" s="3168" t="s">
        <v>1354</v>
      </c>
      <c r="L43" s="3169"/>
      <c r="N43" s="565"/>
      <c r="O43" s="3074">
        <f>O$1</f>
        <v>0</v>
      </c>
      <c r="P43" s="3074">
        <f t="shared" ref="P43:CA43" si="28">P$1</f>
        <v>0</v>
      </c>
      <c r="Q43" s="3074" t="str">
        <f t="shared" si="28"/>
        <v>Bruttolohn pro Monat 
ohne Provision</v>
      </c>
      <c r="R43" s="3074" t="str">
        <f t="shared" si="28"/>
        <v>einmalige Sonderzahlung z.B.Weihnachts-geld</v>
      </c>
      <c r="S43" s="3074" t="str">
        <f t="shared" si="28"/>
        <v xml:space="preserve">einmalige Sonderzahlung z.B. Urlaubsgeld </v>
      </c>
      <c r="T43" s="3074" t="str">
        <f t="shared" si="28"/>
        <v>regelmäßige monatl. Sonder-zahlung (z.B.Werkzeuggeld, VWL usw.)</v>
      </c>
      <c r="U43" s="3074" t="str">
        <f t="shared" si="28"/>
        <v>einmalige steuerfreie Sonder-zahlung</v>
      </c>
      <c r="V43" s="3074" t="str">
        <f t="shared" si="28"/>
        <v>regelmäßige monatl. Sonder-zahlung steuerfrei</v>
      </c>
      <c r="W43" s="3074" t="str">
        <f t="shared" si="28"/>
        <v>Bruttolohn pro Stunde</v>
      </c>
      <c r="X43" s="3074" t="str">
        <f t="shared" si="28"/>
        <v>Gesamtlohn. Alle Sonderzahl-ungen sind auf 1 Monat gerechnet</v>
      </c>
      <c r="Y43" s="3074" t="str">
        <f t="shared" si="28"/>
        <v xml:space="preserve">Wochenstd.   x  4,33  =  
Arb. -Std. pro Monat </v>
      </c>
      <c r="Z43" s="3074" t="str">
        <f t="shared" si="28"/>
        <v>Stunden - Lohn 
Bruttolohn incl. aller Zusatz-zahlungen</v>
      </c>
      <c r="AA43" s="3074" t="str">
        <f t="shared" si="28"/>
        <v>Wieviele bezahlte Anwesend-heitsmonate in diesem Planungsjahr</v>
      </c>
      <c r="AB43" s="3074" t="str">
        <f t="shared" si="28"/>
        <v>Daraus resultierende wahrschein-liche Arbeitstage im Jahr</v>
      </c>
      <c r="AC43" s="3074" t="str">
        <f t="shared" si="28"/>
        <v>Personal-faktor / VBE</v>
      </c>
      <c r="AD43" s="3074" t="str">
        <f t="shared" si="28"/>
        <v>Brutto Jahreslohn-summe</v>
      </c>
      <c r="AE43" s="3074" t="str">
        <f t="shared" si="28"/>
        <v>Summe Url.-+Weihn.-Geld usw. monatlich</v>
      </c>
      <c r="AF43" s="3074" t="str">
        <f t="shared" si="28"/>
        <v>x Lohn-faktor</v>
      </c>
      <c r="AG43" s="3074" t="str">
        <f t="shared" si="28"/>
        <v>Sollumsatz pro Arbeits-monat €</v>
      </c>
      <c r="AH43" s="3074" t="str">
        <f t="shared" si="28"/>
        <v>Sollumsatz DL pro Anwesen-heitstag €</v>
      </c>
      <c r="AI43" s="3074" t="str">
        <f t="shared" si="28"/>
        <v>Verkaufs-anteil %</v>
      </c>
      <c r="AJ43" s="3074" t="str">
        <f t="shared" si="28"/>
        <v>Verkaufs-anteil € pro Tag</v>
      </c>
      <c r="AK43" s="3074">
        <f t="shared" si="28"/>
        <v>0</v>
      </c>
      <c r="AL43" s="3074" t="str">
        <f t="shared" si="28"/>
        <v>Gesamt-sollumsatz pro Tag €</v>
      </c>
      <c r="AM43" s="3074">
        <f t="shared" si="28"/>
        <v>0</v>
      </c>
      <c r="AN43" s="3074">
        <f t="shared" si="28"/>
        <v>0</v>
      </c>
      <c r="AO43" s="3074" t="str">
        <f t="shared" si="28"/>
        <v>Std</v>
      </c>
      <c r="AP43" s="3074" t="str">
        <f t="shared" si="28"/>
        <v>Tage pro Woche</v>
      </c>
      <c r="AQ43" s="3074" t="str">
        <f t="shared" si="28"/>
        <v>Tage pro Monat</v>
      </c>
      <c r="AR43" s="3074" t="str">
        <f t="shared" si="28"/>
        <v>Gesamtumsatz pro M.</v>
      </c>
      <c r="AS43" s="3074" t="str">
        <f t="shared" si="28"/>
        <v>DL-Umsatz pro M.</v>
      </c>
      <c r="AT43" s="3074" t="str">
        <f t="shared" si="28"/>
        <v>VK-Umsatz pro M.</v>
      </c>
      <c r="AU43" s="3074" t="str">
        <f t="shared" si="28"/>
        <v>Umsatz p. Woche</v>
      </c>
      <c r="AV43" s="3074" t="str">
        <f t="shared" si="28"/>
        <v>Umsatz p. Std</v>
      </c>
      <c r="AW43" s="3074">
        <f t="shared" si="28"/>
        <v>0</v>
      </c>
      <c r="AX43" s="3074" t="str">
        <f t="shared" si="28"/>
        <v>Umsatz p. Std mit Leerlauf</v>
      </c>
      <c r="AY43" s="3074" t="str">
        <f t="shared" si="28"/>
        <v>&lt;-- andern auf Seite 22</v>
      </c>
      <c r="AZ43" s="3074">
        <f t="shared" si="28"/>
        <v>0</v>
      </c>
      <c r="BA43" s="3074" t="str">
        <f t="shared" si="28"/>
        <v>Montag</v>
      </c>
      <c r="BB43" s="3074">
        <f t="shared" si="28"/>
        <v>0</v>
      </c>
      <c r="BC43" s="3074" t="str">
        <f t="shared" si="28"/>
        <v>Dienstag</v>
      </c>
      <c r="BD43" s="3074">
        <f t="shared" si="28"/>
        <v>0</v>
      </c>
      <c r="BE43" s="3074" t="str">
        <f t="shared" si="28"/>
        <v>Mittwoch</v>
      </c>
      <c r="BF43" s="3074">
        <f t="shared" si="28"/>
        <v>0</v>
      </c>
      <c r="BG43" s="3074" t="str">
        <f t="shared" si="28"/>
        <v>Donnerstag</v>
      </c>
      <c r="BH43" s="3074">
        <f t="shared" si="28"/>
        <v>0</v>
      </c>
      <c r="BI43" s="3074" t="str">
        <f t="shared" si="28"/>
        <v>Freitag</v>
      </c>
      <c r="BJ43" s="3074">
        <f t="shared" si="28"/>
        <v>0</v>
      </c>
      <c r="BK43" s="3074" t="str">
        <f t="shared" si="28"/>
        <v>Samstag</v>
      </c>
      <c r="BL43" s="3074">
        <f t="shared" si="28"/>
        <v>0</v>
      </c>
      <c r="BM43" s="3074" t="str">
        <f t="shared" si="28"/>
        <v>Arbeitstage</v>
      </c>
      <c r="BN43" s="3074" t="str">
        <f t="shared" si="28"/>
        <v>Urlaubstage</v>
      </c>
      <c r="BO43" s="3074" t="str">
        <f t="shared" si="28"/>
        <v>Krankentage</v>
      </c>
      <c r="BP43" s="3074" t="str">
        <f t="shared" si="28"/>
        <v>Ums/Ges</v>
      </c>
      <c r="BQ43" s="3074" t="str">
        <f t="shared" si="28"/>
        <v>Ums/DL</v>
      </c>
      <c r="BR43" s="3074" t="str">
        <f t="shared" si="28"/>
        <v>Ums/VK</v>
      </c>
      <c r="BS43" s="3074" t="str">
        <f t="shared" si="28"/>
        <v>DL Differenz Soll/Ist</v>
      </c>
      <c r="BT43" s="3074">
        <f t="shared" si="28"/>
        <v>0</v>
      </c>
      <c r="BU43" s="3074">
        <f t="shared" si="28"/>
        <v>0</v>
      </c>
      <c r="BV43" s="3074">
        <f t="shared" si="28"/>
        <v>0</v>
      </c>
      <c r="BW43" s="3074" t="str">
        <f t="shared" si="28"/>
        <v>Verkauf Differenz Soll/Ist</v>
      </c>
      <c r="BX43" s="3074">
        <f t="shared" si="28"/>
        <v>0</v>
      </c>
      <c r="BY43" s="3074">
        <f t="shared" si="28"/>
        <v>0</v>
      </c>
      <c r="BZ43" s="3074">
        <f t="shared" si="28"/>
        <v>0</v>
      </c>
      <c r="CA43" s="3074">
        <f t="shared" si="28"/>
        <v>0</v>
      </c>
      <c r="CB43" s="3074" t="str">
        <f t="shared" ref="CB43:CG43" si="29">CB$1</f>
        <v>Monate im +</v>
      </c>
      <c r="CC43" s="3074" t="str">
        <f t="shared" si="29"/>
        <v>Monate im +</v>
      </c>
      <c r="CD43" s="3074">
        <f t="shared" si="29"/>
        <v>0</v>
      </c>
      <c r="CE43" s="3074">
        <f t="shared" si="29"/>
        <v>0</v>
      </c>
      <c r="CF43" s="3074">
        <f t="shared" si="29"/>
        <v>0</v>
      </c>
      <c r="CG43" s="3074">
        <f t="shared" si="29"/>
        <v>0</v>
      </c>
    </row>
    <row r="44" spans="1:106" s="3000" customFormat="1" ht="20.399999999999999" customHeight="1" thickBot="1">
      <c r="A44" s="3051">
        <f>CH45</f>
        <v>3</v>
      </c>
      <c r="B44" s="3001"/>
      <c r="C44" s="3002">
        <f t="shared" ref="C44" si="30">Q45</f>
        <v>1490.5592000000001</v>
      </c>
      <c r="D44" s="3002">
        <f t="shared" ref="D44" si="31">R45</f>
        <v>0</v>
      </c>
      <c r="E44" s="3002">
        <f t="shared" ref="E44" si="32">S45</f>
        <v>0</v>
      </c>
      <c r="F44" s="3002">
        <f t="shared" ref="F44" si="33">T45</f>
        <v>0</v>
      </c>
      <c r="G44" s="3002">
        <f t="shared" ref="G44" si="34">U45</f>
        <v>0</v>
      </c>
      <c r="H44" s="3002">
        <f t="shared" ref="H44" si="35">V45</f>
        <v>0</v>
      </c>
      <c r="I44" s="3002">
        <f>X45</f>
        <v>1490.5592000000001</v>
      </c>
      <c r="J44" s="3003">
        <f>AA45</f>
        <v>12</v>
      </c>
      <c r="K44" s="3004">
        <f>AD45</f>
        <v>17886.710400000004</v>
      </c>
      <c r="N44" s="565" t="s">
        <v>1345</v>
      </c>
      <c r="O44" s="3074">
        <f t="shared" ref="O44:AT44" si="36">O2</f>
        <v>0</v>
      </c>
      <c r="P44" s="3074">
        <f t="shared" si="36"/>
        <v>0</v>
      </c>
      <c r="Q44" s="3074">
        <f t="shared" si="36"/>
        <v>0</v>
      </c>
      <c r="R44" s="3074">
        <f t="shared" si="36"/>
        <v>0</v>
      </c>
      <c r="S44" s="3074">
        <f t="shared" si="36"/>
        <v>0</v>
      </c>
      <c r="T44" s="3074">
        <f t="shared" si="36"/>
        <v>0</v>
      </c>
      <c r="U44" s="3074">
        <f t="shared" si="36"/>
        <v>0</v>
      </c>
      <c r="V44" s="3074">
        <f t="shared" si="36"/>
        <v>0</v>
      </c>
      <c r="W44" s="3074">
        <f t="shared" si="36"/>
        <v>0</v>
      </c>
      <c r="X44" s="3074">
        <f t="shared" si="36"/>
        <v>0</v>
      </c>
      <c r="Y44" s="3074">
        <f t="shared" si="36"/>
        <v>0</v>
      </c>
      <c r="Z44" s="3074">
        <f t="shared" si="36"/>
        <v>0</v>
      </c>
      <c r="AA44" s="3074">
        <f t="shared" si="36"/>
        <v>0</v>
      </c>
      <c r="AB44" s="3074">
        <f t="shared" si="36"/>
        <v>0</v>
      </c>
      <c r="AC44" s="3074">
        <f t="shared" si="36"/>
        <v>0</v>
      </c>
      <c r="AD44" s="3074">
        <f t="shared" si="36"/>
        <v>0</v>
      </c>
      <c r="AE44" s="3074">
        <f t="shared" si="36"/>
        <v>0</v>
      </c>
      <c r="AF44" s="3074">
        <f t="shared" si="36"/>
        <v>0</v>
      </c>
      <c r="AG44" s="3074">
        <f t="shared" si="36"/>
        <v>0</v>
      </c>
      <c r="AH44" s="3074">
        <f t="shared" si="36"/>
        <v>0</v>
      </c>
      <c r="AI44" s="3074">
        <f t="shared" si="36"/>
        <v>0</v>
      </c>
      <c r="AJ44" s="3074">
        <f t="shared" si="36"/>
        <v>0</v>
      </c>
      <c r="AK44" s="3074">
        <f t="shared" si="36"/>
        <v>0</v>
      </c>
      <c r="AL44" s="3074">
        <f t="shared" si="36"/>
        <v>0</v>
      </c>
      <c r="AM44" s="3074">
        <f t="shared" si="36"/>
        <v>0</v>
      </c>
      <c r="AN44" s="3074">
        <f t="shared" si="36"/>
        <v>0</v>
      </c>
      <c r="AO44" s="3074" t="e">
        <f t="shared" si="36"/>
        <v>#REF!</v>
      </c>
      <c r="AP44" s="3074">
        <f t="shared" si="36"/>
        <v>0</v>
      </c>
      <c r="AQ44" s="3074">
        <f t="shared" si="36"/>
        <v>0</v>
      </c>
      <c r="AR44" s="3074">
        <f t="shared" si="36"/>
        <v>0</v>
      </c>
      <c r="AS44" s="3074">
        <f t="shared" si="36"/>
        <v>0</v>
      </c>
      <c r="AT44" s="3074">
        <f t="shared" si="36"/>
        <v>0</v>
      </c>
      <c r="AU44" s="3074">
        <f t="shared" ref="AU44:BZ44" si="37">AU2</f>
        <v>0</v>
      </c>
      <c r="AV44" s="3074">
        <f t="shared" si="37"/>
        <v>0</v>
      </c>
      <c r="AW44" s="3074">
        <f t="shared" si="37"/>
        <v>0</v>
      </c>
      <c r="AX44" s="3074">
        <f t="shared" si="37"/>
        <v>0</v>
      </c>
      <c r="AY44" s="3074" t="str">
        <f t="shared" si="37"/>
        <v>Jahresumsatz</v>
      </c>
      <c r="AZ44" s="3074">
        <f t="shared" si="37"/>
        <v>0</v>
      </c>
      <c r="BA44" s="3074" t="str">
        <f t="shared" si="37"/>
        <v>St. p. Tag</v>
      </c>
      <c r="BB44" s="3074" t="str">
        <f t="shared" si="37"/>
        <v>Umsatz</v>
      </c>
      <c r="BC44" s="3074" t="str">
        <f t="shared" si="37"/>
        <v>St. p. Tag</v>
      </c>
      <c r="BD44" s="3074" t="str">
        <f t="shared" si="37"/>
        <v>Umsatz</v>
      </c>
      <c r="BE44" s="3074" t="str">
        <f t="shared" si="37"/>
        <v>St. p. Tag</v>
      </c>
      <c r="BF44" s="3074" t="str">
        <f t="shared" si="37"/>
        <v>Umsatz</v>
      </c>
      <c r="BG44" s="3074" t="str">
        <f t="shared" si="37"/>
        <v>St. p. Tag</v>
      </c>
      <c r="BH44" s="3074" t="str">
        <f t="shared" si="37"/>
        <v>Umsatz</v>
      </c>
      <c r="BI44" s="3074" t="str">
        <f t="shared" si="37"/>
        <v>St. p. Tag</v>
      </c>
      <c r="BJ44" s="3074" t="str">
        <f t="shared" si="37"/>
        <v>Umsatz</v>
      </c>
      <c r="BK44" s="3074" t="str">
        <f t="shared" si="37"/>
        <v>St. p. Tag</v>
      </c>
      <c r="BL44" s="3074" t="str">
        <f t="shared" si="37"/>
        <v>Umsatz</v>
      </c>
      <c r="BM44" s="3074">
        <f t="shared" si="37"/>
        <v>0</v>
      </c>
      <c r="BN44" s="3074">
        <f t="shared" si="37"/>
        <v>0</v>
      </c>
      <c r="BO44" s="3074">
        <f t="shared" si="37"/>
        <v>0</v>
      </c>
      <c r="BP44" s="3074">
        <f t="shared" si="37"/>
        <v>0</v>
      </c>
      <c r="BQ44" s="3074">
        <f t="shared" si="37"/>
        <v>0</v>
      </c>
      <c r="BR44" s="3074">
        <f t="shared" si="37"/>
        <v>0</v>
      </c>
      <c r="BS44" s="3074" t="str">
        <f t="shared" si="37"/>
        <v>Ist Ums DL</v>
      </c>
      <c r="BT44" s="3074" t="str">
        <f t="shared" si="37"/>
        <v>Soll DL</v>
      </c>
      <c r="BU44" s="3074" t="str">
        <f t="shared" si="37"/>
        <v>Grün+  Rot-</v>
      </c>
      <c r="BV44" s="3074" t="str">
        <f t="shared" si="37"/>
        <v>Provision</v>
      </c>
      <c r="BW44" s="3074" t="str">
        <f t="shared" si="37"/>
        <v>Ist Ums VK</v>
      </c>
      <c r="BX44" s="3074" t="str">
        <f t="shared" si="37"/>
        <v>Soll VK</v>
      </c>
      <c r="BY44" s="3074" t="str">
        <f t="shared" si="37"/>
        <v>Grün+  Rot-</v>
      </c>
      <c r="BZ44" s="3074" t="str">
        <f t="shared" si="37"/>
        <v>Provision</v>
      </c>
      <c r="CA44" s="3074" t="str">
        <f t="shared" ref="CA44:CG44" si="38">CA2</f>
        <v>Arbeits-monate</v>
      </c>
      <c r="CB44" s="3074" t="str">
        <f t="shared" si="38"/>
        <v>DL</v>
      </c>
      <c r="CC44" s="3074" t="str">
        <f t="shared" si="38"/>
        <v>VK</v>
      </c>
      <c r="CD44" s="3074">
        <f t="shared" si="38"/>
        <v>0</v>
      </c>
      <c r="CE44" s="3074" t="str">
        <f t="shared" si="38"/>
        <v>Ges Pro Tag</v>
      </c>
      <c r="CF44" s="3074" t="str">
        <f t="shared" si="38"/>
        <v>DL pro Tag</v>
      </c>
      <c r="CG44" s="3074" t="str">
        <f t="shared" si="38"/>
        <v>VK pro Tag</v>
      </c>
      <c r="CH44" s="3062"/>
      <c r="CI44" s="3062"/>
      <c r="CJ44" s="3062"/>
      <c r="CK44" s="3062"/>
      <c r="CL44" s="3062"/>
      <c r="CM44" s="3062"/>
      <c r="CN44" s="3062"/>
      <c r="CO44" s="3062"/>
      <c r="CP44" s="3062"/>
      <c r="CQ44" s="3062"/>
      <c r="CR44" s="3062"/>
      <c r="CS44" s="3062"/>
      <c r="CT44" s="3062"/>
      <c r="CU44" s="3062"/>
      <c r="CV44" s="3062"/>
      <c r="CW44" s="3062"/>
      <c r="CX44" s="3062"/>
      <c r="CY44" s="3159"/>
      <c r="CZ44" s="3159"/>
      <c r="DA44" s="3159"/>
      <c r="DB44" s="3159"/>
    </row>
    <row r="45" spans="1:106" s="3005" customFormat="1" ht="41.4" customHeight="1">
      <c r="B45" s="3006"/>
      <c r="C45" s="3007" t="s">
        <v>1296</v>
      </c>
      <c r="D45" s="3007" t="s">
        <v>1355</v>
      </c>
      <c r="E45" s="3007" t="s">
        <v>1356</v>
      </c>
      <c r="F45" s="3007" t="s">
        <v>1357</v>
      </c>
      <c r="G45" s="3007" t="s">
        <v>1358</v>
      </c>
      <c r="H45" s="3007" t="s">
        <v>1359</v>
      </c>
      <c r="I45" s="3007" t="s">
        <v>1360</v>
      </c>
      <c r="J45" s="3007" t="s">
        <v>1361</v>
      </c>
      <c r="N45" s="565" t="str">
        <f>MAdaten!A6</f>
        <v>Karina</v>
      </c>
      <c r="O45" s="3068">
        <f>MAdaten!BU6</f>
        <v>3</v>
      </c>
      <c r="P45" s="565">
        <f>MAdaten!C6</f>
        <v>13.24</v>
      </c>
      <c r="Q45" s="565">
        <f>MAdaten!D6</f>
        <v>1490.5592000000001</v>
      </c>
      <c r="R45" s="565">
        <f>MAdaten!E6</f>
        <v>0</v>
      </c>
      <c r="S45" s="565">
        <f>MAdaten!F6</f>
        <v>0</v>
      </c>
      <c r="T45" s="565">
        <f>MAdaten!G6</f>
        <v>0</v>
      </c>
      <c r="U45" s="565">
        <f>MAdaten!H6</f>
        <v>0</v>
      </c>
      <c r="V45" s="565">
        <f>MAdaten!I6</f>
        <v>0</v>
      </c>
      <c r="W45" s="565">
        <f>MAdaten!J6</f>
        <v>13.240000000000002</v>
      </c>
      <c r="X45" s="565">
        <f>MAdaten!K6</f>
        <v>1490.5592000000001</v>
      </c>
      <c r="Y45" s="565">
        <f>MAdaten!L6</f>
        <v>112.58</v>
      </c>
      <c r="Z45" s="565">
        <f>MAdaten!M6</f>
        <v>13.240000000000002</v>
      </c>
      <c r="AA45" s="565">
        <f>MAdaten!N6</f>
        <v>12</v>
      </c>
      <c r="AB45" s="565">
        <f>MAdaten!O6</f>
        <v>151.543938</v>
      </c>
      <c r="AC45" s="565">
        <f>MAdaten!P6</f>
        <v>0.65</v>
      </c>
      <c r="AD45" s="565">
        <f>MAdaten!Q6</f>
        <v>17886.710400000004</v>
      </c>
      <c r="AE45" s="565">
        <f>MAdaten!R6</f>
        <v>0</v>
      </c>
      <c r="AF45" s="565">
        <f>MAdaten!S6</f>
        <v>4.63</v>
      </c>
      <c r="AG45" s="565">
        <f>MAdaten!T6</f>
        <v>6901</v>
      </c>
      <c r="AH45" s="565">
        <f>MAdaten!U6</f>
        <v>429.96519242847216</v>
      </c>
      <c r="AI45" s="565">
        <f>MAdaten!V6</f>
        <v>5.5021555102258944E-2</v>
      </c>
      <c r="AJ45" s="565">
        <f>MAdaten!W6</f>
        <v>25.034807571527821</v>
      </c>
      <c r="AK45" s="565">
        <f>MAdaten!X6</f>
        <v>0</v>
      </c>
      <c r="AL45" s="565">
        <f>MAdaten!Y6</f>
        <v>455.36</v>
      </c>
      <c r="AM45" s="565">
        <f>MAdaten!Z6</f>
        <v>0</v>
      </c>
      <c r="AN45" s="565">
        <f>MAdaten!AA6</f>
        <v>0</v>
      </c>
      <c r="AO45" s="565">
        <f>MAdaten!AB6</f>
        <v>26</v>
      </c>
      <c r="AP45" s="565">
        <f>MAdaten!AC6</f>
        <v>3.5</v>
      </c>
      <c r="AQ45" s="565">
        <f>MAdaten!AD6</f>
        <v>15.155000000000001</v>
      </c>
      <c r="AR45" s="565">
        <f>MAdaten!AE6</f>
        <v>6901</v>
      </c>
      <c r="AS45" s="565">
        <f>MAdaten!AF6</f>
        <v>6521.2962482393114</v>
      </c>
      <c r="AT45" s="565">
        <f>MAdaten!AG6</f>
        <v>379.70375176068899</v>
      </c>
      <c r="AU45" s="565">
        <f>MAdaten!AH6</f>
        <v>1592.5</v>
      </c>
      <c r="AV45" s="565">
        <f>MAdaten!AI6</f>
        <v>61.29863208385148</v>
      </c>
      <c r="AW45" s="565">
        <f>MAdaten!AJ6</f>
        <v>0</v>
      </c>
      <c r="AX45" s="565">
        <f>MAdaten!AK6</f>
        <v>76.623290104814345</v>
      </c>
      <c r="AY45" s="565" t="str">
        <f>MAdaten!AL6</f>
        <v>Karina</v>
      </c>
      <c r="AZ45" s="565">
        <f>MAdaten!AM6</f>
        <v>68955.25</v>
      </c>
      <c r="BA45" s="565">
        <f>MAdaten!AN6</f>
        <v>4</v>
      </c>
      <c r="BB45" s="565">
        <f>MAdaten!AO6</f>
        <v>245.19452833540592</v>
      </c>
      <c r="BC45" s="565" t="str">
        <f>MAdaten!AP6</f>
        <v/>
      </c>
      <c r="BD45" s="565" t="str">
        <f>MAdaten!AQ6</f>
        <v/>
      </c>
      <c r="BE45" s="565">
        <f>MAdaten!AR6</f>
        <v>8</v>
      </c>
      <c r="BF45" s="565">
        <f>MAdaten!AS6</f>
        <v>490.38905667081184</v>
      </c>
      <c r="BG45" s="565" t="str">
        <f>MAdaten!AT6</f>
        <v/>
      </c>
      <c r="BH45" s="565" t="str">
        <f>MAdaten!AU6</f>
        <v/>
      </c>
      <c r="BI45" s="565">
        <f>MAdaten!AV6</f>
        <v>8</v>
      </c>
      <c r="BJ45" s="565">
        <f>MAdaten!AW6</f>
        <v>490.38905667081184</v>
      </c>
      <c r="BK45" s="565">
        <f>MAdaten!AX6</f>
        <v>8</v>
      </c>
      <c r="BL45" s="565">
        <f>MAdaten!AY6</f>
        <v>490.38905667081184</v>
      </c>
      <c r="BM45" s="565">
        <f>MAdaten!AZ6</f>
        <v>149</v>
      </c>
      <c r="BN45" s="565">
        <f>MAdaten!BA6</f>
        <v>17</v>
      </c>
      <c r="BO45" s="565">
        <f>MAdaten!BB6</f>
        <v>12</v>
      </c>
      <c r="BP45" s="565">
        <f>MAdaten!BC6</f>
        <v>67848.639999999999</v>
      </c>
      <c r="BQ45" s="565">
        <f>MAdaten!BD6</f>
        <v>64064.813671842356</v>
      </c>
      <c r="BR45" s="565">
        <f>MAdaten!BE6</f>
        <v>3733.1480707583405</v>
      </c>
      <c r="BS45" s="565">
        <f>MAdaten!BF6</f>
        <v>0</v>
      </c>
      <c r="BT45" s="565">
        <f>MAdaten!BG6</f>
        <v>64064.813671842356</v>
      </c>
      <c r="BU45" s="565">
        <f>MAdaten!BH6</f>
        <v>-64064.813671842356</v>
      </c>
      <c r="BV45" s="565" t="str">
        <f>MAdaten!BI6</f>
        <v/>
      </c>
      <c r="BW45" s="565">
        <f>MAdaten!BJ6</f>
        <v>0</v>
      </c>
      <c r="BX45" s="565">
        <f>MAdaten!BK6</f>
        <v>3733.148070758341</v>
      </c>
      <c r="BY45" s="565">
        <f>MAdaten!BL6</f>
        <v>-3733.148070758341</v>
      </c>
      <c r="BZ45" s="565" t="str">
        <f>MAdaten!BM6</f>
        <v/>
      </c>
      <c r="CA45" s="565" t="str">
        <f>MAdaten!BN6</f>
        <v/>
      </c>
      <c r="CB45" s="565" t="str">
        <f>MAdaten!BO6</f>
        <v/>
      </c>
      <c r="CC45" s="565" t="str">
        <f>MAdaten!BP6</f>
        <v/>
      </c>
      <c r="CD45" s="565" t="str">
        <f>MAdaten!BQ6</f>
        <v>Karina</v>
      </c>
      <c r="CE45" s="565">
        <f>MAdaten!BR6</f>
        <v>0</v>
      </c>
      <c r="CF45" s="565">
        <f>MAdaten!BS6</f>
        <v>0</v>
      </c>
      <c r="CG45" s="565">
        <f>MAdaten!BT6</f>
        <v>0</v>
      </c>
      <c r="CH45" s="565">
        <f>MAdaten!BU6</f>
        <v>3</v>
      </c>
      <c r="CI45" s="565" t="str">
        <f>MAdaten!BV6</f>
        <v>Januar</v>
      </c>
      <c r="CJ45" s="565">
        <f>MAdaten!BW6</f>
        <v>15</v>
      </c>
      <c r="CK45" s="565">
        <f>MAdaten!BX6</f>
        <v>0</v>
      </c>
      <c r="CL45" s="565">
        <f>MAdaten!BY6</f>
        <v>0</v>
      </c>
      <c r="CM45" s="565">
        <f>MAdaten!BZ6</f>
        <v>0</v>
      </c>
      <c r="CN45" s="565">
        <f>MAdaten!CA6</f>
        <v>6449.4778864270829</v>
      </c>
      <c r="CO45" s="565" t="str">
        <f>MAdaten!CB6</f>
        <v/>
      </c>
      <c r="CP45" s="565" t="str">
        <f>MAdaten!CC6</f>
        <v/>
      </c>
      <c r="CQ45" s="565">
        <f>MAdaten!CD6</f>
        <v>0</v>
      </c>
      <c r="CR45" s="565">
        <f>MAdaten!CE6</f>
        <v>375.82027557969872</v>
      </c>
      <c r="CS45" s="565" t="str">
        <f>MAdaten!CF6</f>
        <v/>
      </c>
      <c r="CT45" s="565" t="str">
        <f>MAdaten!CG6</f>
        <v/>
      </c>
      <c r="CU45" s="3069"/>
      <c r="CV45" s="3069"/>
      <c r="CW45" s="3069"/>
      <c r="CX45" s="3069"/>
      <c r="CY45" s="3160"/>
      <c r="CZ45" s="3160"/>
      <c r="DA45" s="3160"/>
      <c r="DB45" s="3160"/>
    </row>
    <row r="46" spans="1:106" s="3000" customFormat="1" ht="20.399999999999999" customHeight="1" thickBot="1">
      <c r="B46" s="3001"/>
      <c r="C46" s="3008">
        <f>W45</f>
        <v>13.240000000000002</v>
      </c>
      <c r="D46" s="3008">
        <f>Z45</f>
        <v>13.240000000000002</v>
      </c>
      <c r="E46" s="3008">
        <f>AO45</f>
        <v>26</v>
      </c>
      <c r="F46" s="3008">
        <f>Y45</f>
        <v>112.58</v>
      </c>
      <c r="G46" s="3008">
        <f>AP45</f>
        <v>3.5</v>
      </c>
      <c r="H46" s="3008">
        <f>AQ45</f>
        <v>15.155000000000001</v>
      </c>
      <c r="I46" s="3004">
        <f>AB45</f>
        <v>151.543938</v>
      </c>
      <c r="J46" s="3003">
        <f>AC45</f>
        <v>0.65</v>
      </c>
      <c r="N46" s="3062"/>
      <c r="O46" s="3062"/>
      <c r="P46" s="3062"/>
      <c r="Q46" s="3062"/>
      <c r="R46" s="3062"/>
      <c r="S46" s="3062"/>
      <c r="T46" s="3062"/>
      <c r="U46" s="3062"/>
      <c r="V46" s="3062"/>
      <c r="W46" s="3062"/>
      <c r="X46" s="3062"/>
      <c r="Y46" s="3062"/>
      <c r="Z46" s="3062"/>
      <c r="AA46" s="3062"/>
      <c r="AB46" s="3062"/>
      <c r="AC46" s="3062"/>
      <c r="AD46" s="3062"/>
      <c r="AE46" s="3062"/>
      <c r="AF46" s="3062"/>
      <c r="AG46" s="3062"/>
      <c r="AH46" s="3062"/>
      <c r="AI46" s="3062"/>
      <c r="AJ46" s="3062"/>
      <c r="AK46" s="3062"/>
      <c r="AL46" s="3062"/>
      <c r="AM46" s="3062"/>
      <c r="AN46" s="3062"/>
      <c r="AO46" s="3062"/>
      <c r="AP46" s="3062"/>
      <c r="AQ46" s="3062"/>
      <c r="AR46" s="3062"/>
      <c r="AS46" s="3062"/>
      <c r="AT46" s="3062"/>
      <c r="AU46" s="3062"/>
      <c r="AV46" s="3062"/>
      <c r="AW46" s="3062"/>
      <c r="AX46" s="3062"/>
      <c r="AY46" s="3062"/>
      <c r="AZ46" s="3062"/>
      <c r="BA46" s="3062"/>
      <c r="BB46" s="3062"/>
      <c r="BC46" s="3062"/>
      <c r="BD46" s="3062"/>
      <c r="BE46" s="3062"/>
      <c r="BF46" s="3062"/>
      <c r="BG46" s="3062"/>
      <c r="BH46" s="3062"/>
      <c r="BI46" s="3062"/>
      <c r="BJ46" s="3062"/>
      <c r="BK46" s="3062"/>
      <c r="BL46" s="3062"/>
      <c r="BM46" s="3062"/>
      <c r="BN46" s="3062"/>
      <c r="BO46" s="3062"/>
      <c r="BP46" s="3062"/>
      <c r="BQ46" s="3062"/>
      <c r="BR46" s="3062"/>
      <c r="BS46" s="3062"/>
      <c r="BT46" s="3062"/>
      <c r="BU46" s="3062"/>
      <c r="BV46" s="3062"/>
      <c r="BW46" s="3062"/>
      <c r="BX46" s="3062"/>
      <c r="BY46" s="3062"/>
      <c r="BZ46" s="3062"/>
      <c r="CA46" s="3062"/>
      <c r="CB46" s="3062"/>
      <c r="CC46" s="3062"/>
      <c r="CD46" s="3062"/>
      <c r="CE46" s="3062"/>
      <c r="CF46" s="3062"/>
      <c r="CG46" s="3062"/>
      <c r="CH46" s="3062"/>
      <c r="CI46" s="3062"/>
      <c r="CJ46" s="3062"/>
      <c r="CK46" s="3062"/>
      <c r="CL46" s="3062"/>
      <c r="CM46" s="3062"/>
      <c r="CN46" s="3062"/>
      <c r="CO46" s="3062"/>
      <c r="CP46" s="3062"/>
      <c r="CQ46" s="3062"/>
      <c r="CR46" s="3062"/>
      <c r="CS46" s="3062"/>
      <c r="CT46" s="3062"/>
      <c r="CU46" s="3062"/>
      <c r="CV46" s="3062"/>
      <c r="CW46" s="3062"/>
      <c r="CX46" s="3062"/>
      <c r="CY46" s="3159"/>
      <c r="CZ46" s="3159"/>
      <c r="DA46" s="3159"/>
      <c r="DB46" s="3159"/>
    </row>
    <row r="47" spans="1:106" ht="21.6" customHeight="1" thickBot="1">
      <c r="A47" s="3009"/>
      <c r="B47" s="3010"/>
      <c r="C47" s="3011"/>
      <c r="D47" s="3012"/>
      <c r="E47" s="3011"/>
      <c r="F47" s="3012"/>
      <c r="G47" s="3011"/>
      <c r="H47" s="3012"/>
      <c r="I47" s="3054"/>
      <c r="J47" s="3054"/>
      <c r="K47" s="3055"/>
      <c r="L47" s="3054"/>
      <c r="N47" s="565"/>
      <c r="O47" s="565"/>
      <c r="P47" s="565"/>
    </row>
    <row r="48" spans="1:106" s="3005" customFormat="1" ht="66" customHeight="1">
      <c r="A48" s="4362" t="s">
        <v>1362</v>
      </c>
      <c r="B48" s="4363"/>
      <c r="C48" s="3013" t="str">
        <f>AG43</f>
        <v>Sollumsatz pro Arbeits-monat €</v>
      </c>
      <c r="D48" s="3013" t="str">
        <f>AL43</f>
        <v>Gesamt-sollumsatz pro Tag €</v>
      </c>
      <c r="E48" s="3013" t="str">
        <f>AU43</f>
        <v>Umsatz p. Woche</v>
      </c>
      <c r="F48" s="3013" t="str">
        <f>AV43</f>
        <v>Umsatz p. Std</v>
      </c>
      <c r="G48" s="3013" t="str">
        <f>AX43</f>
        <v>Umsatz p. Std mit Leerlauf</v>
      </c>
      <c r="H48" s="3014" t="str">
        <f>AS43</f>
        <v>DL-Umsatz pro M.</v>
      </c>
      <c r="I48" s="3014" t="str">
        <f>AH43</f>
        <v>Sollumsatz DL pro Anwesen-heitstag €</v>
      </c>
      <c r="J48" s="3014" t="str">
        <f>AT43</f>
        <v>VK-Umsatz pro M.</v>
      </c>
      <c r="K48" s="3014" t="str">
        <f>AI43</f>
        <v>Verkaufs-anteil %</v>
      </c>
      <c r="L48" s="3014" t="str">
        <f>AJ43</f>
        <v>Verkaufs-anteil € pro Tag</v>
      </c>
      <c r="N48" s="3069"/>
      <c r="O48" s="3069"/>
      <c r="P48" s="3069"/>
      <c r="Q48" s="3069"/>
      <c r="R48" s="3069"/>
      <c r="S48" s="3069"/>
      <c r="T48" s="3069"/>
      <c r="U48" s="3069"/>
      <c r="V48" s="3069"/>
      <c r="W48" s="3069"/>
      <c r="X48" s="3069"/>
      <c r="Y48" s="3069"/>
      <c r="Z48" s="3069"/>
      <c r="AA48" s="3069"/>
      <c r="AB48" s="3069"/>
      <c r="AC48" s="3069"/>
      <c r="AD48" s="3069"/>
      <c r="AE48" s="3069"/>
      <c r="AF48" s="3069"/>
      <c r="AG48" s="3069"/>
      <c r="AH48" s="3069"/>
      <c r="AI48" s="3069"/>
      <c r="AJ48" s="3069"/>
      <c r="AK48" s="3069"/>
      <c r="AL48" s="3069"/>
      <c r="AM48" s="3069"/>
      <c r="AN48" s="3069"/>
      <c r="AO48" s="3069"/>
      <c r="AP48" s="3069"/>
      <c r="AQ48" s="3069"/>
      <c r="AR48" s="3069"/>
      <c r="AS48" s="3069"/>
      <c r="AT48" s="3069"/>
      <c r="AU48" s="3069"/>
      <c r="AV48" s="3069"/>
      <c r="AW48" s="3069"/>
      <c r="AX48" s="3069"/>
      <c r="AY48" s="3069"/>
      <c r="AZ48" s="3069"/>
      <c r="BA48" s="3069"/>
      <c r="BB48" s="3069"/>
      <c r="BC48" s="3069"/>
      <c r="BD48" s="3069"/>
      <c r="BE48" s="3069"/>
      <c r="BF48" s="3069"/>
      <c r="BG48" s="3069"/>
      <c r="BH48" s="3069"/>
      <c r="BI48" s="3069"/>
      <c r="BJ48" s="3069"/>
      <c r="BK48" s="3069"/>
      <c r="BL48" s="3069"/>
      <c r="BM48" s="3069"/>
      <c r="BN48" s="3069"/>
      <c r="BO48" s="3069"/>
      <c r="BP48" s="3069"/>
      <c r="BQ48" s="3069"/>
      <c r="BR48" s="3069"/>
      <c r="BS48" s="3069"/>
      <c r="BT48" s="3069"/>
      <c r="BU48" s="3069"/>
      <c r="BV48" s="3069"/>
      <c r="BW48" s="3069"/>
      <c r="BX48" s="3069"/>
      <c r="BY48" s="3069"/>
      <c r="BZ48" s="3069"/>
      <c r="CA48" s="3069"/>
      <c r="CB48" s="3069"/>
      <c r="CC48" s="3069"/>
      <c r="CD48" s="3069"/>
      <c r="CE48" s="3069"/>
      <c r="CF48" s="3069"/>
      <c r="CG48" s="3069"/>
      <c r="CH48" s="3069"/>
      <c r="CI48" s="3069"/>
      <c r="CJ48" s="3069"/>
      <c r="CK48" s="3069"/>
      <c r="CL48" s="3069"/>
      <c r="CM48" s="3069"/>
      <c r="CN48" s="3069"/>
      <c r="CO48" s="3069"/>
      <c r="CP48" s="3069"/>
      <c r="CQ48" s="3069"/>
      <c r="CR48" s="3069"/>
      <c r="CS48" s="3069"/>
      <c r="CT48" s="3069"/>
      <c r="CU48" s="3069"/>
      <c r="CV48" s="3069"/>
      <c r="CW48" s="3069"/>
      <c r="CX48" s="3069"/>
      <c r="CY48" s="3160"/>
      <c r="CZ48" s="3160"/>
      <c r="DA48" s="3160"/>
      <c r="DB48" s="3160"/>
    </row>
    <row r="49" spans="1:106" s="3049" customFormat="1">
      <c r="A49" s="3015"/>
      <c r="B49" s="3016"/>
      <c r="C49" s="3017">
        <f>AR45</f>
        <v>6901</v>
      </c>
      <c r="D49" s="3017">
        <f>AL45</f>
        <v>455.36</v>
      </c>
      <c r="E49" s="3017">
        <f>AU45</f>
        <v>1592.5</v>
      </c>
      <c r="F49" s="3018">
        <f>AV45</f>
        <v>61.29863208385148</v>
      </c>
      <c r="G49" s="3018">
        <f>AX45</f>
        <v>76.623290104814345</v>
      </c>
      <c r="H49" s="3019">
        <f>AS45</f>
        <v>6521.2962482393114</v>
      </c>
      <c r="I49" s="3020">
        <f>AH45</f>
        <v>429.96519242847216</v>
      </c>
      <c r="J49" s="3020">
        <f>AT45</f>
        <v>379.70375176068899</v>
      </c>
      <c r="K49" s="3021">
        <f>AI45</f>
        <v>5.5021555102258944E-2</v>
      </c>
      <c r="L49" s="3020">
        <f>AJ45</f>
        <v>25.034807571527821</v>
      </c>
      <c r="N49" s="3070"/>
      <c r="O49" s="3070"/>
      <c r="P49" s="3070"/>
      <c r="Q49" s="3070"/>
      <c r="R49" s="3070"/>
      <c r="S49" s="3070"/>
      <c r="T49" s="3070"/>
      <c r="U49" s="3070"/>
      <c r="V49" s="3070"/>
      <c r="W49" s="3070"/>
      <c r="X49" s="3070"/>
      <c r="Y49" s="3070"/>
      <c r="Z49" s="3070"/>
      <c r="AA49" s="3070"/>
      <c r="AB49" s="3070"/>
      <c r="AC49" s="3070"/>
      <c r="AD49" s="3070"/>
      <c r="AE49" s="3070"/>
      <c r="AF49" s="3070"/>
      <c r="AG49" s="3070"/>
      <c r="AH49" s="3070"/>
      <c r="AI49" s="3070"/>
      <c r="AJ49" s="3070"/>
      <c r="AK49" s="3070"/>
      <c r="AL49" s="3070"/>
      <c r="AM49" s="3070"/>
      <c r="AN49" s="3070"/>
      <c r="AO49" s="3070"/>
      <c r="AP49" s="3070"/>
      <c r="AQ49" s="3070"/>
      <c r="AR49" s="3070"/>
      <c r="AS49" s="3070"/>
      <c r="AT49" s="3070"/>
      <c r="AU49" s="3070"/>
      <c r="AV49" s="3070"/>
      <c r="AW49" s="3070"/>
      <c r="AX49" s="3070"/>
      <c r="AY49" s="3070"/>
      <c r="AZ49" s="3070"/>
      <c r="BA49" s="3070"/>
      <c r="BB49" s="3070"/>
      <c r="BC49" s="3070"/>
      <c r="BD49" s="3070"/>
      <c r="BE49" s="3070"/>
      <c r="BF49" s="3070"/>
      <c r="BG49" s="3070"/>
      <c r="BH49" s="3070"/>
      <c r="BI49" s="3070"/>
      <c r="BJ49" s="3070"/>
      <c r="BK49" s="3070"/>
      <c r="BL49" s="3070"/>
      <c r="BM49" s="3070"/>
      <c r="BN49" s="3070"/>
      <c r="BO49" s="3070"/>
      <c r="BP49" s="3070"/>
      <c r="BQ49" s="3070"/>
      <c r="BR49" s="3070"/>
      <c r="BS49" s="3070"/>
      <c r="BT49" s="3070"/>
      <c r="BU49" s="3070"/>
      <c r="BV49" s="3070"/>
      <c r="BW49" s="3070"/>
      <c r="BX49" s="3070"/>
      <c r="BY49" s="3070"/>
      <c r="BZ49" s="3070"/>
      <c r="CA49" s="3070"/>
      <c r="CB49" s="3070"/>
      <c r="CC49" s="3070"/>
      <c r="CD49" s="3070"/>
      <c r="CE49" s="3070"/>
      <c r="CF49" s="3070"/>
      <c r="CG49" s="3070"/>
      <c r="CH49" s="3070"/>
      <c r="CI49" s="3070"/>
      <c r="CJ49" s="3070"/>
      <c r="CK49" s="3070"/>
      <c r="CL49" s="3070"/>
      <c r="CM49" s="3070"/>
      <c r="CN49" s="3070"/>
      <c r="CO49" s="3070"/>
      <c r="CP49" s="3070"/>
      <c r="CQ49" s="3070"/>
      <c r="CR49" s="3070"/>
      <c r="CS49" s="3070"/>
      <c r="CT49" s="3070"/>
      <c r="CU49" s="3070"/>
      <c r="CV49" s="3070"/>
      <c r="CW49" s="3070"/>
      <c r="CX49" s="3070"/>
      <c r="CY49" s="3158"/>
      <c r="CZ49" s="3158"/>
      <c r="DA49" s="3158"/>
      <c r="DB49" s="3158"/>
    </row>
    <row r="50" spans="1:106" s="3005" customFormat="1" ht="20.399999999999999" customHeight="1">
      <c r="A50" s="4370" t="s">
        <v>168</v>
      </c>
      <c r="B50" s="4370"/>
      <c r="C50" s="4370" t="s">
        <v>169</v>
      </c>
      <c r="D50" s="4370"/>
      <c r="E50" s="4370" t="s">
        <v>170</v>
      </c>
      <c r="F50" s="4370"/>
      <c r="G50" s="4370" t="s">
        <v>171</v>
      </c>
      <c r="H50" s="4370"/>
      <c r="I50" s="4370" t="s">
        <v>172</v>
      </c>
      <c r="J50" s="4370"/>
      <c r="K50" s="4370" t="s">
        <v>173</v>
      </c>
      <c r="L50" s="4370"/>
      <c r="N50" s="3069"/>
      <c r="O50" s="3069"/>
      <c r="P50" s="3069"/>
      <c r="Q50" s="3069"/>
      <c r="R50" s="3069"/>
      <c r="S50" s="3069"/>
      <c r="T50" s="3069"/>
      <c r="U50" s="3069"/>
      <c r="V50" s="3069"/>
      <c r="W50" s="3069"/>
      <c r="X50" s="3069"/>
      <c r="Y50" s="3069"/>
      <c r="Z50" s="3069"/>
      <c r="AA50" s="3069"/>
      <c r="AB50" s="3069"/>
      <c r="AC50" s="3069"/>
      <c r="AD50" s="3069"/>
      <c r="AE50" s="3069"/>
      <c r="AF50" s="3069"/>
      <c r="AG50" s="3069"/>
      <c r="AH50" s="3069"/>
      <c r="AI50" s="3069"/>
      <c r="AJ50" s="3069"/>
      <c r="AK50" s="3069"/>
      <c r="AL50" s="3069"/>
      <c r="AM50" s="3069"/>
      <c r="AN50" s="3069"/>
      <c r="AO50" s="3069"/>
      <c r="AP50" s="3069"/>
      <c r="AQ50" s="3069"/>
      <c r="AR50" s="3069"/>
      <c r="AS50" s="3069"/>
      <c r="AT50" s="3069"/>
      <c r="AU50" s="3069"/>
      <c r="AV50" s="3069"/>
      <c r="AW50" s="3069"/>
      <c r="AX50" s="3069"/>
      <c r="AY50" s="3069"/>
      <c r="AZ50" s="3069"/>
      <c r="BA50" s="3069"/>
      <c r="BB50" s="3069"/>
      <c r="BC50" s="3069"/>
      <c r="BD50" s="3069"/>
      <c r="BE50" s="3069"/>
      <c r="BF50" s="3069"/>
      <c r="BG50" s="3069"/>
      <c r="BH50" s="3069"/>
      <c r="BI50" s="3069"/>
      <c r="BJ50" s="3069"/>
      <c r="BK50" s="3069"/>
      <c r="BL50" s="3069"/>
      <c r="BM50" s="3069"/>
      <c r="BN50" s="3069"/>
      <c r="BO50" s="3069"/>
      <c r="BP50" s="3069"/>
      <c r="BQ50" s="3069"/>
      <c r="BR50" s="3069"/>
      <c r="BS50" s="3069"/>
      <c r="BT50" s="3069"/>
      <c r="BU50" s="3069"/>
      <c r="BV50" s="3069"/>
      <c r="BW50" s="3069"/>
      <c r="BX50" s="3069"/>
      <c r="BY50" s="3069"/>
      <c r="BZ50" s="3069"/>
      <c r="CA50" s="3069"/>
      <c r="CB50" s="3069"/>
      <c r="CC50" s="3069"/>
      <c r="CD50" s="3069"/>
      <c r="CE50" s="3069"/>
      <c r="CF50" s="3069"/>
      <c r="CG50" s="3069"/>
      <c r="CH50" s="3069"/>
      <c r="CI50" s="3069"/>
      <c r="CJ50" s="3069"/>
      <c r="CK50" s="3069"/>
      <c r="CL50" s="3069"/>
      <c r="CM50" s="3069"/>
      <c r="CN50" s="3069"/>
      <c r="CO50" s="3069"/>
      <c r="CP50" s="3069"/>
      <c r="CQ50" s="3069"/>
      <c r="CR50" s="3069"/>
      <c r="CS50" s="3069"/>
      <c r="CT50" s="3069"/>
      <c r="CU50" s="3069"/>
      <c r="CV50" s="3069"/>
      <c r="CW50" s="3069"/>
      <c r="CX50" s="3069"/>
      <c r="CY50" s="3160"/>
      <c r="CZ50" s="3160"/>
      <c r="DA50" s="3160"/>
      <c r="DB50" s="3160"/>
    </row>
    <row r="51" spans="1:106" s="3005" customFormat="1" ht="20.399999999999999" customHeight="1">
      <c r="A51" s="3022" t="s">
        <v>217</v>
      </c>
      <c r="B51" s="3022" t="s">
        <v>61</v>
      </c>
      <c r="C51" s="3022" t="s">
        <v>217</v>
      </c>
      <c r="D51" s="3022" t="s">
        <v>61</v>
      </c>
      <c r="E51" s="3022" t="s">
        <v>217</v>
      </c>
      <c r="F51" s="3022" t="s">
        <v>61</v>
      </c>
      <c r="G51" s="3022" t="s">
        <v>217</v>
      </c>
      <c r="H51" s="3022" t="s">
        <v>61</v>
      </c>
      <c r="I51" s="3022" t="s">
        <v>217</v>
      </c>
      <c r="J51" s="3022" t="s">
        <v>61</v>
      </c>
      <c r="K51" s="3022" t="s">
        <v>217</v>
      </c>
      <c r="L51" s="3022" t="s">
        <v>61</v>
      </c>
      <c r="N51" s="3069"/>
      <c r="O51" s="3069"/>
      <c r="P51" s="3069"/>
      <c r="Q51" s="3069"/>
      <c r="R51" s="3069"/>
      <c r="S51" s="3069"/>
      <c r="T51" s="3069"/>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c r="AP51" s="3069"/>
      <c r="AQ51" s="3069"/>
      <c r="AR51" s="3069"/>
      <c r="AS51" s="3069"/>
      <c r="AT51" s="3069"/>
      <c r="AU51" s="3069"/>
      <c r="AV51" s="3069"/>
      <c r="AW51" s="3069"/>
      <c r="AX51" s="3069"/>
      <c r="AY51" s="3069"/>
      <c r="AZ51" s="3069"/>
      <c r="BA51" s="3069"/>
      <c r="BB51" s="3069"/>
      <c r="BC51" s="3069"/>
      <c r="BD51" s="3069"/>
      <c r="BE51" s="3069"/>
      <c r="BF51" s="3069"/>
      <c r="BG51" s="3069"/>
      <c r="BH51" s="3069"/>
      <c r="BI51" s="3069"/>
      <c r="BJ51" s="3069"/>
      <c r="BK51" s="3069"/>
      <c r="BL51" s="3069"/>
      <c r="BM51" s="3069"/>
      <c r="BN51" s="3069"/>
      <c r="BO51" s="3069"/>
      <c r="BP51" s="3069"/>
      <c r="BQ51" s="3069"/>
      <c r="BR51" s="3069"/>
      <c r="BS51" s="3069"/>
      <c r="BT51" s="3069"/>
      <c r="BU51" s="3069"/>
      <c r="BV51" s="3069"/>
      <c r="BW51" s="3069"/>
      <c r="BX51" s="3069"/>
      <c r="BY51" s="3069"/>
      <c r="BZ51" s="3069"/>
      <c r="CA51" s="3069"/>
      <c r="CB51" s="3069"/>
      <c r="CC51" s="3069"/>
      <c r="CD51" s="3069"/>
      <c r="CE51" s="3069"/>
      <c r="CF51" s="3069"/>
      <c r="CG51" s="3069"/>
      <c r="CH51" s="3069"/>
      <c r="CI51" s="3069"/>
      <c r="CJ51" s="3069"/>
      <c r="CK51" s="3069"/>
      <c r="CL51" s="3069"/>
      <c r="CM51" s="3069"/>
      <c r="CN51" s="3069"/>
      <c r="CO51" s="3069"/>
      <c r="CP51" s="3069"/>
      <c r="CQ51" s="3069"/>
      <c r="CR51" s="3069"/>
      <c r="CS51" s="3069"/>
      <c r="CT51" s="3069"/>
      <c r="CU51" s="3069"/>
      <c r="CV51" s="3069"/>
      <c r="CW51" s="3069"/>
      <c r="CX51" s="3069"/>
      <c r="CY51" s="3160"/>
      <c r="CZ51" s="3160"/>
      <c r="DA51" s="3160"/>
      <c r="DB51" s="3160"/>
    </row>
    <row r="52" spans="1:106" s="3050" customFormat="1" ht="20.399999999999999" customHeight="1" thickBot="1">
      <c r="A52" s="3023">
        <f t="shared" ref="A52" si="39">BA45</f>
        <v>4</v>
      </c>
      <c r="B52" s="3024">
        <f t="shared" ref="B52" si="40">BB45</f>
        <v>245.19452833540592</v>
      </c>
      <c r="C52" s="3023" t="str">
        <f t="shared" ref="C52" si="41">BC45</f>
        <v/>
      </c>
      <c r="D52" s="3024" t="str">
        <f t="shared" ref="D52" si="42">BD45</f>
        <v/>
      </c>
      <c r="E52" s="3023">
        <f t="shared" ref="E52" si="43">BE45</f>
        <v>8</v>
      </c>
      <c r="F52" s="3024">
        <f t="shared" ref="F52" si="44">BF45</f>
        <v>490.38905667081184</v>
      </c>
      <c r="G52" s="3023" t="str">
        <f t="shared" ref="G52" si="45">BG45</f>
        <v/>
      </c>
      <c r="H52" s="3024" t="str">
        <f t="shared" ref="H52" si="46">BH45</f>
        <v/>
      </c>
      <c r="I52" s="3023">
        <f t="shared" ref="I52" si="47">BI45</f>
        <v>8</v>
      </c>
      <c r="J52" s="3024">
        <f t="shared" ref="J52" si="48">BJ45</f>
        <v>490.38905667081184</v>
      </c>
      <c r="K52" s="3023">
        <f t="shared" ref="K52" si="49">BK45</f>
        <v>8</v>
      </c>
      <c r="L52" s="3024">
        <f t="shared" ref="L52" si="50">BL45</f>
        <v>490.38905667081184</v>
      </c>
      <c r="N52" s="3071"/>
      <c r="O52" s="3071"/>
      <c r="P52" s="3071"/>
      <c r="Q52" s="3071"/>
      <c r="R52" s="3071"/>
      <c r="S52" s="3071"/>
      <c r="T52" s="3071"/>
      <c r="U52" s="3071"/>
      <c r="V52" s="3071"/>
      <c r="W52" s="3071"/>
      <c r="X52" s="3071"/>
      <c r="Y52" s="3071"/>
      <c r="Z52" s="3071"/>
      <c r="AA52" s="3071"/>
      <c r="AB52" s="3071"/>
      <c r="AC52" s="3071"/>
      <c r="AD52" s="3071"/>
      <c r="AE52" s="3071"/>
      <c r="AF52" s="3071"/>
      <c r="AG52" s="3071"/>
      <c r="AH52" s="3071"/>
      <c r="AI52" s="3071"/>
      <c r="AJ52" s="3071"/>
      <c r="AK52" s="3071"/>
      <c r="AL52" s="3071"/>
      <c r="AM52" s="3071"/>
      <c r="AN52" s="3071"/>
      <c r="AO52" s="3071"/>
      <c r="AP52" s="3071"/>
      <c r="AQ52" s="3071"/>
      <c r="AR52" s="3071"/>
      <c r="AS52" s="3071"/>
      <c r="AT52" s="3071"/>
      <c r="AU52" s="3071"/>
      <c r="AV52" s="3071"/>
      <c r="AW52" s="3071"/>
      <c r="AX52" s="3071"/>
      <c r="AY52" s="3071"/>
      <c r="AZ52" s="3071"/>
      <c r="BA52" s="3071"/>
      <c r="BB52" s="3071"/>
      <c r="BC52" s="3071"/>
      <c r="BD52" s="3071"/>
      <c r="BE52" s="3071"/>
      <c r="BF52" s="3071"/>
      <c r="BG52" s="3071"/>
      <c r="BH52" s="3071"/>
      <c r="BI52" s="3071"/>
      <c r="BJ52" s="3071"/>
      <c r="BK52" s="3071"/>
      <c r="BL52" s="3071"/>
      <c r="BM52" s="3071"/>
      <c r="BN52" s="3071"/>
      <c r="BO52" s="3071"/>
      <c r="BP52" s="3071"/>
      <c r="BQ52" s="3071"/>
      <c r="BR52" s="3071"/>
      <c r="BS52" s="3071"/>
      <c r="BT52" s="3071"/>
      <c r="BU52" s="3071"/>
      <c r="BV52" s="3071"/>
      <c r="BW52" s="3071"/>
      <c r="BX52" s="3071"/>
      <c r="BY52" s="3071"/>
      <c r="BZ52" s="3071"/>
      <c r="CA52" s="3071"/>
      <c r="CB52" s="3071"/>
      <c r="CC52" s="3071"/>
      <c r="CD52" s="3071"/>
      <c r="CE52" s="3071"/>
      <c r="CF52" s="3071"/>
      <c r="CG52" s="3071"/>
      <c r="CH52" s="3071"/>
      <c r="CI52" s="3071"/>
      <c r="CJ52" s="3071"/>
      <c r="CK52" s="3071"/>
      <c r="CL52" s="3071"/>
      <c r="CM52" s="3071"/>
      <c r="CN52" s="3071"/>
      <c r="CO52" s="3071"/>
      <c r="CP52" s="3071"/>
      <c r="CQ52" s="3071"/>
      <c r="CR52" s="3071"/>
      <c r="CS52" s="3071"/>
      <c r="CT52" s="3071"/>
      <c r="CU52" s="3071"/>
      <c r="CV52" s="3071"/>
      <c r="CW52" s="3071"/>
      <c r="CX52" s="3071"/>
      <c r="CY52" s="830"/>
      <c r="CZ52" s="830"/>
      <c r="DA52" s="830"/>
      <c r="DB52" s="830"/>
    </row>
    <row r="53" spans="1:106" ht="17.399999999999999" customHeight="1" thickBot="1">
      <c r="A53" s="3009"/>
      <c r="B53" s="3010"/>
      <c r="C53" s="3011"/>
      <c r="D53" s="3012"/>
      <c r="E53" s="3011"/>
      <c r="F53" s="3012"/>
      <c r="G53" s="3011"/>
      <c r="H53" s="3012"/>
      <c r="I53" s="3054"/>
      <c r="J53" s="3054"/>
      <c r="K53" s="3055"/>
      <c r="L53" s="3054"/>
      <c r="N53" s="565"/>
      <c r="O53" s="565"/>
      <c r="P53" s="565"/>
    </row>
    <row r="54" spans="1:106" s="3031" customFormat="1" ht="19.8" customHeight="1">
      <c r="A54" s="3025" t="s">
        <v>1396</v>
      </c>
      <c r="B54" s="3029"/>
      <c r="C54" s="3029"/>
      <c r="D54" s="3029"/>
      <c r="E54" s="3029"/>
      <c r="F54" s="3029"/>
      <c r="G54" s="3029"/>
      <c r="H54" s="3029"/>
      <c r="I54" s="3029"/>
      <c r="J54" s="3029"/>
      <c r="K54" s="3029"/>
      <c r="L54" s="3029"/>
      <c r="N54" s="3069"/>
      <c r="O54" s="3069"/>
      <c r="P54" s="3069"/>
      <c r="Q54" s="3069"/>
      <c r="R54" s="3069"/>
      <c r="S54" s="3069"/>
      <c r="T54" s="3069"/>
      <c r="U54" s="3069"/>
      <c r="V54" s="3069"/>
      <c r="W54" s="3069"/>
      <c r="X54" s="3069"/>
      <c r="Y54" s="3069"/>
      <c r="Z54" s="3069"/>
      <c r="AA54" s="3069"/>
      <c r="AB54" s="3069"/>
      <c r="AC54" s="3069"/>
      <c r="AD54" s="3069"/>
      <c r="AE54" s="3069"/>
      <c r="AF54" s="3069"/>
      <c r="AG54" s="3069"/>
      <c r="AH54" s="3069"/>
      <c r="AI54" s="3069"/>
      <c r="AJ54" s="3069"/>
      <c r="AK54" s="3069"/>
      <c r="AL54" s="3069"/>
      <c r="AM54" s="3069"/>
      <c r="AN54" s="3069"/>
      <c r="AO54" s="3069"/>
      <c r="AP54" s="3069"/>
      <c r="AQ54" s="3069"/>
      <c r="AR54" s="3069"/>
      <c r="AS54" s="3069"/>
      <c r="AT54" s="3069"/>
      <c r="AU54" s="3069"/>
      <c r="AV54" s="3069"/>
      <c r="AW54" s="3069"/>
      <c r="AX54" s="3069"/>
      <c r="AY54" s="3069"/>
      <c r="AZ54" s="3069"/>
      <c r="BA54" s="3069"/>
      <c r="BB54" s="3069"/>
      <c r="BC54" s="3069"/>
      <c r="BD54" s="3069"/>
      <c r="BE54" s="3069"/>
      <c r="BF54" s="3069"/>
      <c r="BG54" s="3069"/>
      <c r="BH54" s="3069"/>
      <c r="BI54" s="3069"/>
      <c r="BJ54" s="3069"/>
      <c r="BK54" s="3069"/>
      <c r="BL54" s="3069"/>
      <c r="BM54" s="3069"/>
      <c r="BN54" s="3069"/>
      <c r="BO54" s="3069"/>
      <c r="BP54" s="3069"/>
      <c r="BQ54" s="3069"/>
      <c r="BR54" s="3069"/>
      <c r="BS54" s="3069"/>
      <c r="BT54" s="3069"/>
      <c r="BU54" s="3069"/>
      <c r="BV54" s="3069"/>
      <c r="BW54" s="3069"/>
      <c r="BX54" s="3069"/>
      <c r="BY54" s="3069"/>
      <c r="BZ54" s="3069"/>
      <c r="CA54" s="3069"/>
      <c r="CB54" s="3069"/>
      <c r="CC54" s="3069"/>
      <c r="CD54" s="3069"/>
      <c r="CE54" s="3069"/>
      <c r="CF54" s="3069"/>
      <c r="CG54" s="3069"/>
      <c r="CH54" s="3069"/>
      <c r="CI54" s="3069"/>
      <c r="CJ54" s="3069"/>
      <c r="CK54" s="3069"/>
      <c r="CL54" s="3069"/>
      <c r="CM54" s="3069"/>
      <c r="CN54" s="3069"/>
      <c r="CO54" s="3069"/>
      <c r="CP54" s="3069"/>
      <c r="CQ54" s="3069"/>
      <c r="CR54" s="3069"/>
      <c r="CS54" s="3069"/>
      <c r="CT54" s="3069"/>
      <c r="CU54" s="3069"/>
      <c r="CV54" s="3069"/>
      <c r="CW54" s="3069"/>
      <c r="CX54" s="3069"/>
      <c r="CY54" s="3160"/>
      <c r="CZ54" s="3160"/>
      <c r="DA54" s="3160"/>
      <c r="DB54" s="3160"/>
    </row>
    <row r="55" spans="1:106" s="3031" customFormat="1" ht="19.8" customHeight="1">
      <c r="A55" s="3163"/>
      <c r="B55" s="3164" t="s">
        <v>1102</v>
      </c>
      <c r="C55" s="3164" t="s">
        <v>1120</v>
      </c>
      <c r="D55" s="3164" t="s">
        <v>1121</v>
      </c>
      <c r="E55" s="3164" t="s">
        <v>1113</v>
      </c>
      <c r="F55" s="3164" t="s">
        <v>1115</v>
      </c>
      <c r="G55" s="3164" t="s">
        <v>1368</v>
      </c>
      <c r="H55" s="3164" t="s">
        <v>907</v>
      </c>
      <c r="I55" s="3164" t="s">
        <v>1114</v>
      </c>
      <c r="J55" s="3164" t="s">
        <v>1116</v>
      </c>
      <c r="K55" s="3164" t="s">
        <v>1368</v>
      </c>
      <c r="L55" s="3164" t="s">
        <v>907</v>
      </c>
      <c r="N55" s="3069"/>
      <c r="O55" s="3069"/>
      <c r="P55" s="3069"/>
      <c r="Q55" s="3069"/>
      <c r="R55" s="3069"/>
      <c r="S55" s="3069"/>
      <c r="T55" s="3069"/>
      <c r="U55" s="3069"/>
      <c r="V55" s="3069"/>
      <c r="W55" s="3069"/>
      <c r="X55" s="3069"/>
      <c r="Y55" s="3069"/>
      <c r="Z55" s="3069"/>
      <c r="AA55" s="3069"/>
      <c r="AB55" s="3069"/>
      <c r="AC55" s="3069"/>
      <c r="AD55" s="3069"/>
      <c r="AE55" s="3069"/>
      <c r="AF55" s="3069"/>
      <c r="AG55" s="3069"/>
      <c r="AH55" s="3069"/>
      <c r="AI55" s="3069"/>
      <c r="AJ55" s="3069"/>
      <c r="AK55" s="3069"/>
      <c r="AL55" s="3069"/>
      <c r="AM55" s="3069"/>
      <c r="AN55" s="3069"/>
      <c r="AO55" s="3069"/>
      <c r="AP55" s="3069"/>
      <c r="AQ55" s="3069"/>
      <c r="AR55" s="3069"/>
      <c r="AS55" s="3069"/>
      <c r="AT55" s="3069"/>
      <c r="AU55" s="3069"/>
      <c r="AV55" s="3069"/>
      <c r="AW55" s="3069"/>
      <c r="AX55" s="3069"/>
      <c r="AY55" s="3069"/>
      <c r="AZ55" s="3069"/>
      <c r="BA55" s="3069"/>
      <c r="BB55" s="3069"/>
      <c r="BC55" s="3069"/>
      <c r="BD55" s="3069"/>
      <c r="BE55" s="3069"/>
      <c r="BF55" s="3069"/>
      <c r="BG55" s="3069"/>
      <c r="BH55" s="3069"/>
      <c r="BI55" s="3069"/>
      <c r="BJ55" s="3069"/>
      <c r="BK55" s="3069"/>
      <c r="BL55" s="3069"/>
      <c r="BM55" s="3069"/>
      <c r="BN55" s="3069"/>
      <c r="BO55" s="3069"/>
      <c r="BP55" s="3069"/>
      <c r="BQ55" s="3069"/>
      <c r="BR55" s="3069"/>
      <c r="BS55" s="3069"/>
      <c r="BT55" s="3069"/>
      <c r="BU55" s="3069"/>
      <c r="BV55" s="3069"/>
      <c r="BW55" s="3069"/>
      <c r="BX55" s="3069"/>
      <c r="BY55" s="3069"/>
      <c r="BZ55" s="3069"/>
      <c r="CA55" s="3069"/>
      <c r="CB55" s="3069"/>
      <c r="CC55" s="3069"/>
      <c r="CD55" s="3069"/>
      <c r="CE55" s="3069"/>
      <c r="CF55" s="3069"/>
      <c r="CG55" s="3069"/>
      <c r="CH55" s="3069"/>
      <c r="CI55" s="3069"/>
      <c r="CJ55" s="3069"/>
      <c r="CK55" s="3069"/>
      <c r="CL55" s="3069"/>
      <c r="CM55" s="3069"/>
      <c r="CN55" s="3069"/>
      <c r="CO55" s="3069"/>
      <c r="CP55" s="3069"/>
      <c r="CQ55" s="3069"/>
      <c r="CR55" s="3069"/>
      <c r="CS55" s="3069"/>
      <c r="CT55" s="3069"/>
      <c r="CU55" s="3069"/>
      <c r="CV55" s="3069"/>
      <c r="CW55" s="3069"/>
      <c r="CX55" s="3069"/>
      <c r="CY55" s="3160"/>
      <c r="CZ55" s="3160"/>
      <c r="DA55" s="3160"/>
      <c r="DB55" s="3160"/>
    </row>
    <row r="56" spans="1:106" s="3038" customFormat="1" ht="17.399999999999999" customHeight="1" thickBot="1">
      <c r="A56" s="3165" t="str">
        <f t="shared" ref="A56:L56" si="51">CI45</f>
        <v>Januar</v>
      </c>
      <c r="B56" s="3166">
        <f t="shared" si="51"/>
        <v>15</v>
      </c>
      <c r="C56" s="3166">
        <f t="shared" si="51"/>
        <v>0</v>
      </c>
      <c r="D56" s="3166">
        <f t="shared" si="51"/>
        <v>0</v>
      </c>
      <c r="E56" s="3167">
        <f t="shared" si="51"/>
        <v>0</v>
      </c>
      <c r="F56" s="3167">
        <f t="shared" si="51"/>
        <v>6449.4778864270829</v>
      </c>
      <c r="G56" s="3167" t="str">
        <f t="shared" si="51"/>
        <v/>
      </c>
      <c r="H56" s="3167" t="str">
        <f t="shared" si="51"/>
        <v/>
      </c>
      <c r="I56" s="3167">
        <f t="shared" si="51"/>
        <v>0</v>
      </c>
      <c r="J56" s="3167">
        <f t="shared" si="51"/>
        <v>375.82027557969872</v>
      </c>
      <c r="K56" s="3167" t="str">
        <f t="shared" si="51"/>
        <v/>
      </c>
      <c r="L56" s="3167" t="str">
        <f t="shared" si="51"/>
        <v/>
      </c>
      <c r="N56" s="3070"/>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c r="BA56" s="3070"/>
      <c r="BB56" s="3070"/>
      <c r="BC56" s="3070"/>
      <c r="BD56" s="3070"/>
      <c r="BE56" s="3070"/>
      <c r="BF56" s="3070"/>
      <c r="BG56" s="3070"/>
      <c r="BH56" s="3070"/>
      <c r="BI56" s="3070"/>
      <c r="BJ56" s="3070"/>
      <c r="BK56" s="3070"/>
      <c r="BL56" s="3070"/>
      <c r="BM56" s="3070"/>
      <c r="BN56" s="3070"/>
      <c r="BO56" s="3070"/>
      <c r="BP56" s="3070"/>
      <c r="BQ56" s="3070"/>
      <c r="BR56" s="3070"/>
      <c r="BS56" s="3070"/>
      <c r="BT56" s="3070"/>
      <c r="BU56" s="3070"/>
      <c r="BV56" s="3070"/>
      <c r="BW56" s="3070"/>
      <c r="BX56" s="3070"/>
      <c r="BY56" s="3070"/>
      <c r="BZ56" s="3070"/>
      <c r="CA56" s="3070"/>
      <c r="CB56" s="3070"/>
      <c r="CC56" s="3070"/>
      <c r="CD56" s="3070"/>
      <c r="CE56" s="3070"/>
      <c r="CF56" s="3070"/>
      <c r="CG56" s="3070"/>
      <c r="CH56" s="3070"/>
      <c r="CI56" s="3070"/>
      <c r="CJ56" s="3070"/>
      <c r="CK56" s="3070"/>
      <c r="CL56" s="3070"/>
      <c r="CM56" s="3070"/>
      <c r="CN56" s="3070"/>
      <c r="CO56" s="3070"/>
      <c r="CP56" s="3070"/>
      <c r="CQ56" s="3070"/>
      <c r="CR56" s="3070"/>
      <c r="CS56" s="3070"/>
      <c r="CT56" s="3070"/>
      <c r="CU56" s="3070"/>
      <c r="CV56" s="3070"/>
      <c r="CW56" s="3070"/>
      <c r="CX56" s="3070"/>
      <c r="CY56" s="3158"/>
      <c r="CZ56" s="3158"/>
      <c r="DA56" s="3158"/>
      <c r="DB56" s="3158"/>
    </row>
    <row r="57" spans="1:106" s="3042" customFormat="1" ht="16.2" customHeight="1" thickBot="1">
      <c r="A57" s="3072"/>
      <c r="B57" s="3072"/>
      <c r="C57" s="3072"/>
      <c r="D57" s="3161"/>
      <c r="E57" s="3161"/>
      <c r="F57" s="3161"/>
      <c r="G57" s="3161"/>
      <c r="H57" s="3161"/>
      <c r="I57" s="3161"/>
      <c r="J57" s="3161"/>
      <c r="K57" s="3161"/>
      <c r="L57" s="3161"/>
      <c r="N57" s="3072"/>
      <c r="O57" s="3072"/>
      <c r="P57" s="3072"/>
      <c r="Q57" s="3072"/>
      <c r="R57" s="3072"/>
      <c r="S57" s="3072"/>
      <c r="T57" s="3072"/>
      <c r="U57" s="3072"/>
      <c r="V57" s="3072"/>
      <c r="W57" s="3072"/>
      <c r="X57" s="3072"/>
      <c r="Y57" s="3072"/>
      <c r="Z57" s="3072"/>
      <c r="AA57" s="3072"/>
      <c r="AB57" s="3072"/>
      <c r="AC57" s="3072"/>
      <c r="AD57" s="3072"/>
      <c r="AE57" s="3072"/>
      <c r="AF57" s="3072"/>
      <c r="AG57" s="3072"/>
      <c r="AH57" s="3072"/>
      <c r="AI57" s="3072"/>
      <c r="AJ57" s="3072"/>
      <c r="AK57" s="3072"/>
      <c r="AL57" s="3072"/>
      <c r="AM57" s="3072"/>
      <c r="AN57" s="3072"/>
      <c r="AO57" s="3072"/>
      <c r="AP57" s="3072"/>
      <c r="AQ57" s="3072"/>
      <c r="AR57" s="3072"/>
      <c r="AS57" s="3072"/>
      <c r="AT57" s="3072"/>
      <c r="AU57" s="3072"/>
      <c r="AV57" s="3072"/>
      <c r="AW57" s="3072"/>
      <c r="AX57" s="3072"/>
      <c r="AY57" s="3072"/>
      <c r="AZ57" s="3072"/>
      <c r="BA57" s="3072"/>
      <c r="BB57" s="3072"/>
      <c r="BC57" s="3072"/>
      <c r="BD57" s="3072"/>
      <c r="BE57" s="3072"/>
      <c r="BF57" s="3072"/>
      <c r="BG57" s="3072"/>
      <c r="BH57" s="3072"/>
      <c r="BI57" s="3072"/>
      <c r="BJ57" s="3072"/>
      <c r="BK57" s="3072"/>
      <c r="BL57" s="3072"/>
      <c r="BM57" s="3072"/>
      <c r="BN57" s="3072"/>
      <c r="BO57" s="3072"/>
      <c r="BP57" s="3072"/>
      <c r="BQ57" s="3072"/>
      <c r="BR57" s="3072"/>
      <c r="BS57" s="3072"/>
      <c r="BT57" s="3072"/>
      <c r="BU57" s="3072"/>
      <c r="BV57" s="3072"/>
      <c r="BW57" s="3072"/>
      <c r="BX57" s="3072"/>
      <c r="BY57" s="3072"/>
      <c r="BZ57" s="3072"/>
      <c r="CA57" s="3072"/>
      <c r="CB57" s="3072"/>
      <c r="CC57" s="3072"/>
      <c r="CD57" s="3072"/>
      <c r="CE57" s="3072"/>
      <c r="CF57" s="3072"/>
      <c r="CG57" s="3072"/>
      <c r="CH57" s="3072"/>
      <c r="CI57" s="3072"/>
      <c r="CJ57" s="3072"/>
      <c r="CK57" s="3072"/>
      <c r="CL57" s="3072"/>
      <c r="CM57" s="3072"/>
      <c r="CN57" s="3072"/>
      <c r="CO57" s="3072"/>
      <c r="CP57" s="3072"/>
      <c r="CQ57" s="3072"/>
      <c r="CR57" s="3072"/>
      <c r="CS57" s="3072"/>
      <c r="CT57" s="3072"/>
      <c r="CU57" s="3072"/>
      <c r="CV57" s="3072"/>
      <c r="CW57" s="3072"/>
      <c r="CX57" s="3072"/>
      <c r="CY57" s="3161"/>
      <c r="CZ57" s="3161"/>
      <c r="DA57" s="3161"/>
      <c r="DB57" s="3161"/>
    </row>
    <row r="58" spans="1:106" s="3048" customFormat="1" ht="17.399999999999999" customHeight="1">
      <c r="A58" s="3025" t="s">
        <v>1363</v>
      </c>
      <c r="B58" s="3026"/>
      <c r="C58" s="3027" t="s">
        <v>1394</v>
      </c>
      <c r="D58" s="3027"/>
      <c r="E58" s="4371" t="s">
        <v>1364</v>
      </c>
      <c r="F58" s="4371"/>
      <c r="G58" s="3028"/>
      <c r="H58" s="3029"/>
      <c r="I58" s="4372" t="s">
        <v>1365</v>
      </c>
      <c r="J58" s="4372"/>
      <c r="K58" s="3030"/>
      <c r="L58" s="3162"/>
      <c r="N58" s="3073"/>
      <c r="O58" s="3073"/>
      <c r="P58" s="3073"/>
      <c r="Q58" s="3073"/>
      <c r="R58" s="3073"/>
      <c r="S58" s="3073"/>
      <c r="T58" s="3073"/>
      <c r="U58" s="3073"/>
      <c r="V58" s="3073"/>
      <c r="W58" s="3073"/>
      <c r="X58" s="3073"/>
      <c r="Y58" s="3073"/>
      <c r="Z58" s="3073"/>
      <c r="AA58" s="3073"/>
      <c r="AB58" s="3073"/>
      <c r="AC58" s="3073"/>
      <c r="AD58" s="3073"/>
      <c r="AE58" s="3073"/>
      <c r="AF58" s="3073"/>
      <c r="AG58" s="3073"/>
      <c r="AH58" s="3073"/>
      <c r="AI58" s="3073"/>
      <c r="AJ58" s="3073"/>
      <c r="AK58" s="3073"/>
      <c r="AL58" s="3073"/>
      <c r="AM58" s="3073"/>
      <c r="AN58" s="3073"/>
      <c r="AO58" s="3073"/>
      <c r="AP58" s="3073"/>
      <c r="AQ58" s="3073"/>
      <c r="AR58" s="3073"/>
      <c r="AS58" s="3073"/>
      <c r="AT58" s="3073"/>
      <c r="AU58" s="3073"/>
      <c r="AV58" s="3073"/>
      <c r="AW58" s="3073"/>
      <c r="AX58" s="3073"/>
      <c r="AY58" s="3073"/>
      <c r="AZ58" s="3073"/>
      <c r="BA58" s="3073"/>
      <c r="BB58" s="3073"/>
      <c r="BC58" s="3073"/>
      <c r="BD58" s="3073"/>
      <c r="BE58" s="3073"/>
      <c r="BF58" s="3073"/>
      <c r="BG58" s="3073"/>
      <c r="BH58" s="3073"/>
      <c r="BI58" s="3073"/>
      <c r="BJ58" s="3073"/>
      <c r="BK58" s="3073"/>
      <c r="BL58" s="3073"/>
      <c r="BM58" s="3073"/>
      <c r="BN58" s="3073"/>
      <c r="BO58" s="3073"/>
      <c r="BP58" s="3073"/>
      <c r="BQ58" s="3073"/>
      <c r="BR58" s="3073"/>
      <c r="BS58" s="3073"/>
      <c r="BT58" s="3073"/>
      <c r="BU58" s="3073"/>
      <c r="BV58" s="3073"/>
      <c r="BW58" s="3073"/>
      <c r="BX58" s="3073"/>
      <c r="BY58" s="3073"/>
      <c r="BZ58" s="3073"/>
      <c r="CA58" s="3073"/>
      <c r="CB58" s="3073"/>
      <c r="CC58" s="3073"/>
      <c r="CD58" s="3073"/>
      <c r="CE58" s="3073"/>
      <c r="CF58" s="3073"/>
      <c r="CG58" s="3073"/>
      <c r="CH58" s="3073"/>
      <c r="CI58" s="3073"/>
      <c r="CJ58" s="3073"/>
      <c r="CK58" s="3073"/>
      <c r="CL58" s="3073"/>
      <c r="CM58" s="3073"/>
      <c r="CN58" s="3073"/>
      <c r="CO58" s="3073"/>
      <c r="CP58" s="3073"/>
      <c r="CQ58" s="3073"/>
      <c r="CR58" s="3073"/>
      <c r="CS58" s="3073"/>
      <c r="CT58" s="3073"/>
      <c r="CU58" s="3073"/>
      <c r="CV58" s="3073"/>
      <c r="CW58" s="3073"/>
      <c r="CX58" s="3073"/>
      <c r="CY58" s="3162"/>
      <c r="CZ58" s="3162"/>
      <c r="DA58" s="3162"/>
      <c r="DB58" s="3162"/>
    </row>
    <row r="59" spans="1:106" ht="16.2" customHeight="1">
      <c r="A59" s="3032" t="s">
        <v>1366</v>
      </c>
      <c r="B59" s="3032" t="s">
        <v>1367</v>
      </c>
      <c r="C59" s="3033" t="s">
        <v>1368</v>
      </c>
      <c r="E59" s="3034" t="s">
        <v>1113</v>
      </c>
      <c r="F59" s="3034" t="s">
        <v>1115</v>
      </c>
      <c r="G59" s="3035" t="s">
        <v>1368</v>
      </c>
      <c r="I59" s="3036" t="s">
        <v>1114</v>
      </c>
      <c r="J59" s="3036" t="s">
        <v>1116</v>
      </c>
      <c r="K59" s="3033" t="s">
        <v>1368</v>
      </c>
      <c r="L59" s="1869"/>
      <c r="N59" s="565"/>
      <c r="O59" s="565"/>
      <c r="P59" s="565"/>
    </row>
    <row r="60" spans="1:106" ht="16.2" customHeight="1">
      <c r="A60" s="3037">
        <f>E60+I60</f>
        <v>0</v>
      </c>
      <c r="B60" s="3037">
        <f>BP45</f>
        <v>67848.639999999999</v>
      </c>
      <c r="C60" s="3052">
        <f>A60-B60</f>
        <v>-67848.639999999999</v>
      </c>
      <c r="D60" s="3038"/>
      <c r="E60" s="3039">
        <f>BS45</f>
        <v>0</v>
      </c>
      <c r="F60" s="3039">
        <f>BT45</f>
        <v>64064.813671842356</v>
      </c>
      <c r="G60" s="3053">
        <f>BU45</f>
        <v>-64064.813671842356</v>
      </c>
      <c r="H60" s="3038"/>
      <c r="I60" s="3037">
        <f>BW45</f>
        <v>0</v>
      </c>
      <c r="J60" s="3037">
        <f>BX45</f>
        <v>3733.148070758341</v>
      </c>
      <c r="K60" s="3052">
        <f>BY45</f>
        <v>-3733.148070758341</v>
      </c>
      <c r="L60" s="1869"/>
      <c r="N60" s="565"/>
      <c r="O60" s="565"/>
      <c r="P60" s="565"/>
    </row>
    <row r="61" spans="1:106" ht="16.2" customHeight="1">
      <c r="A61" s="3040" t="s">
        <v>1150</v>
      </c>
      <c r="B61" s="3032" t="s">
        <v>1369</v>
      </c>
      <c r="C61" s="3036" t="s">
        <v>907</v>
      </c>
      <c r="E61" s="3041" t="s">
        <v>1370</v>
      </c>
      <c r="F61" s="3041" t="s">
        <v>1148</v>
      </c>
      <c r="G61" s="3034" t="s">
        <v>907</v>
      </c>
      <c r="I61" s="3040" t="s">
        <v>1371</v>
      </c>
      <c r="J61" s="3040" t="s">
        <v>1149</v>
      </c>
      <c r="K61" s="3036" t="s">
        <v>907</v>
      </c>
      <c r="L61" s="1869"/>
      <c r="N61" s="565"/>
      <c r="O61" s="565"/>
      <c r="P61" s="565"/>
    </row>
    <row r="62" spans="1:106" ht="16.2" customHeight="1" thickBot="1">
      <c r="A62" s="3043">
        <f>CE45</f>
        <v>0</v>
      </c>
      <c r="B62" s="3044" t="str">
        <f>CA45</f>
        <v/>
      </c>
      <c r="C62" s="3043">
        <f>SUM(G62,K62)</f>
        <v>0</v>
      </c>
      <c r="D62" s="3045"/>
      <c r="E62" s="3046" t="str">
        <f>CB45</f>
        <v/>
      </c>
      <c r="F62" s="3047">
        <f>CF45</f>
        <v>0</v>
      </c>
      <c r="G62" s="3047" t="str">
        <f>BV45</f>
        <v/>
      </c>
      <c r="H62" s="3045"/>
      <c r="I62" s="3044" t="str">
        <f>CC45</f>
        <v/>
      </c>
      <c r="J62" s="3043">
        <f>CG45</f>
        <v>0</v>
      </c>
      <c r="K62" s="3043" t="str">
        <f>BZ45</f>
        <v/>
      </c>
      <c r="L62" s="1869"/>
      <c r="M62" s="565"/>
      <c r="N62" s="565"/>
      <c r="O62" s="565"/>
      <c r="P62" s="565"/>
    </row>
    <row r="63" spans="1:106" ht="23.4" customHeight="1">
      <c r="N63" s="565"/>
      <c r="O63" s="565"/>
      <c r="P63" s="565"/>
    </row>
    <row r="64" spans="1:106" ht="76.8" customHeight="1">
      <c r="A64" s="4360" t="str">
        <f>N66</f>
        <v>Cordula</v>
      </c>
      <c r="B64" s="4361"/>
      <c r="C64" s="3168" t="s">
        <v>1348</v>
      </c>
      <c r="D64" s="3168" t="s">
        <v>1349</v>
      </c>
      <c r="E64" s="3168" t="s">
        <v>1350</v>
      </c>
      <c r="F64" s="3168" t="s">
        <v>1351</v>
      </c>
      <c r="G64" s="3168" t="s">
        <v>663</v>
      </c>
      <c r="H64" s="3168" t="s">
        <v>490</v>
      </c>
      <c r="I64" s="3168" t="s">
        <v>1352</v>
      </c>
      <c r="J64" s="3168" t="s">
        <v>1353</v>
      </c>
      <c r="K64" s="3168" t="s">
        <v>1354</v>
      </c>
      <c r="L64" s="3169"/>
      <c r="N64" s="565"/>
      <c r="O64" s="3074">
        <f>O$1</f>
        <v>0</v>
      </c>
      <c r="P64" s="3074">
        <f t="shared" ref="P64:CA64" si="52">P$1</f>
        <v>0</v>
      </c>
      <c r="Q64" s="3074" t="str">
        <f t="shared" si="52"/>
        <v>Bruttolohn pro Monat 
ohne Provision</v>
      </c>
      <c r="R64" s="3074" t="str">
        <f t="shared" si="52"/>
        <v>einmalige Sonderzahlung z.B.Weihnachts-geld</v>
      </c>
      <c r="S64" s="3074" t="str">
        <f t="shared" si="52"/>
        <v xml:space="preserve">einmalige Sonderzahlung z.B. Urlaubsgeld </v>
      </c>
      <c r="T64" s="3074" t="str">
        <f t="shared" si="52"/>
        <v>regelmäßige monatl. Sonder-zahlung (z.B.Werkzeuggeld, VWL usw.)</v>
      </c>
      <c r="U64" s="3074" t="str">
        <f t="shared" si="52"/>
        <v>einmalige steuerfreie Sonder-zahlung</v>
      </c>
      <c r="V64" s="3074" t="str">
        <f t="shared" si="52"/>
        <v>regelmäßige monatl. Sonder-zahlung steuerfrei</v>
      </c>
      <c r="W64" s="3074" t="str">
        <f t="shared" si="52"/>
        <v>Bruttolohn pro Stunde</v>
      </c>
      <c r="X64" s="3074" t="str">
        <f t="shared" si="52"/>
        <v>Gesamtlohn. Alle Sonderzahl-ungen sind auf 1 Monat gerechnet</v>
      </c>
      <c r="Y64" s="3074" t="str">
        <f t="shared" si="52"/>
        <v xml:space="preserve">Wochenstd.   x  4,33  =  
Arb. -Std. pro Monat </v>
      </c>
      <c r="Z64" s="3074" t="str">
        <f t="shared" si="52"/>
        <v>Stunden - Lohn 
Bruttolohn incl. aller Zusatz-zahlungen</v>
      </c>
      <c r="AA64" s="3074" t="str">
        <f t="shared" si="52"/>
        <v>Wieviele bezahlte Anwesend-heitsmonate in diesem Planungsjahr</v>
      </c>
      <c r="AB64" s="3074" t="str">
        <f t="shared" si="52"/>
        <v>Daraus resultierende wahrschein-liche Arbeitstage im Jahr</v>
      </c>
      <c r="AC64" s="3074" t="str">
        <f t="shared" si="52"/>
        <v>Personal-faktor / VBE</v>
      </c>
      <c r="AD64" s="3074" t="str">
        <f t="shared" si="52"/>
        <v>Brutto Jahreslohn-summe</v>
      </c>
      <c r="AE64" s="3074" t="str">
        <f t="shared" si="52"/>
        <v>Summe Url.-+Weihn.-Geld usw. monatlich</v>
      </c>
      <c r="AF64" s="3074" t="str">
        <f t="shared" si="52"/>
        <v>x Lohn-faktor</v>
      </c>
      <c r="AG64" s="3074" t="str">
        <f t="shared" si="52"/>
        <v>Sollumsatz pro Arbeits-monat €</v>
      </c>
      <c r="AH64" s="3074" t="str">
        <f t="shared" si="52"/>
        <v>Sollumsatz DL pro Anwesen-heitstag €</v>
      </c>
      <c r="AI64" s="3074" t="str">
        <f t="shared" si="52"/>
        <v>Verkaufs-anteil %</v>
      </c>
      <c r="AJ64" s="3074" t="str">
        <f t="shared" si="52"/>
        <v>Verkaufs-anteil € pro Tag</v>
      </c>
      <c r="AK64" s="3074">
        <f t="shared" si="52"/>
        <v>0</v>
      </c>
      <c r="AL64" s="3074" t="str">
        <f t="shared" si="52"/>
        <v>Gesamt-sollumsatz pro Tag €</v>
      </c>
      <c r="AM64" s="3074">
        <f t="shared" si="52"/>
        <v>0</v>
      </c>
      <c r="AN64" s="3074">
        <f t="shared" si="52"/>
        <v>0</v>
      </c>
      <c r="AO64" s="3074" t="str">
        <f t="shared" si="52"/>
        <v>Std</v>
      </c>
      <c r="AP64" s="3074" t="str">
        <f t="shared" si="52"/>
        <v>Tage pro Woche</v>
      </c>
      <c r="AQ64" s="3074" t="str">
        <f t="shared" si="52"/>
        <v>Tage pro Monat</v>
      </c>
      <c r="AR64" s="3074" t="str">
        <f t="shared" si="52"/>
        <v>Gesamtumsatz pro M.</v>
      </c>
      <c r="AS64" s="3074" t="str">
        <f t="shared" si="52"/>
        <v>DL-Umsatz pro M.</v>
      </c>
      <c r="AT64" s="3074" t="str">
        <f t="shared" si="52"/>
        <v>VK-Umsatz pro M.</v>
      </c>
      <c r="AU64" s="3074" t="str">
        <f t="shared" si="52"/>
        <v>Umsatz p. Woche</v>
      </c>
      <c r="AV64" s="3074" t="str">
        <f t="shared" si="52"/>
        <v>Umsatz p. Std</v>
      </c>
      <c r="AW64" s="3074">
        <f t="shared" si="52"/>
        <v>0</v>
      </c>
      <c r="AX64" s="3074" t="str">
        <f t="shared" si="52"/>
        <v>Umsatz p. Std mit Leerlauf</v>
      </c>
      <c r="AY64" s="3074" t="str">
        <f t="shared" si="52"/>
        <v>&lt;-- andern auf Seite 22</v>
      </c>
      <c r="AZ64" s="3074">
        <f t="shared" si="52"/>
        <v>0</v>
      </c>
      <c r="BA64" s="3074" t="str">
        <f t="shared" si="52"/>
        <v>Montag</v>
      </c>
      <c r="BB64" s="3074">
        <f t="shared" si="52"/>
        <v>0</v>
      </c>
      <c r="BC64" s="3074" t="str">
        <f t="shared" si="52"/>
        <v>Dienstag</v>
      </c>
      <c r="BD64" s="3074">
        <f t="shared" si="52"/>
        <v>0</v>
      </c>
      <c r="BE64" s="3074" t="str">
        <f t="shared" si="52"/>
        <v>Mittwoch</v>
      </c>
      <c r="BF64" s="3074">
        <f t="shared" si="52"/>
        <v>0</v>
      </c>
      <c r="BG64" s="3074" t="str">
        <f t="shared" si="52"/>
        <v>Donnerstag</v>
      </c>
      <c r="BH64" s="3074">
        <f t="shared" si="52"/>
        <v>0</v>
      </c>
      <c r="BI64" s="3074" t="str">
        <f t="shared" si="52"/>
        <v>Freitag</v>
      </c>
      <c r="BJ64" s="3074">
        <f t="shared" si="52"/>
        <v>0</v>
      </c>
      <c r="BK64" s="3074" t="str">
        <f t="shared" si="52"/>
        <v>Samstag</v>
      </c>
      <c r="BL64" s="3074">
        <f t="shared" si="52"/>
        <v>0</v>
      </c>
      <c r="BM64" s="3074" t="str">
        <f t="shared" si="52"/>
        <v>Arbeitstage</v>
      </c>
      <c r="BN64" s="3074" t="str">
        <f t="shared" si="52"/>
        <v>Urlaubstage</v>
      </c>
      <c r="BO64" s="3074" t="str">
        <f t="shared" si="52"/>
        <v>Krankentage</v>
      </c>
      <c r="BP64" s="3074" t="str">
        <f t="shared" si="52"/>
        <v>Ums/Ges</v>
      </c>
      <c r="BQ64" s="3074" t="str">
        <f t="shared" si="52"/>
        <v>Ums/DL</v>
      </c>
      <c r="BR64" s="3074" t="str">
        <f t="shared" si="52"/>
        <v>Ums/VK</v>
      </c>
      <c r="BS64" s="3074" t="str">
        <f t="shared" si="52"/>
        <v>DL Differenz Soll/Ist</v>
      </c>
      <c r="BT64" s="3074">
        <f t="shared" si="52"/>
        <v>0</v>
      </c>
      <c r="BU64" s="3074">
        <f t="shared" si="52"/>
        <v>0</v>
      </c>
      <c r="BV64" s="3074">
        <f t="shared" si="52"/>
        <v>0</v>
      </c>
      <c r="BW64" s="3074" t="str">
        <f t="shared" si="52"/>
        <v>Verkauf Differenz Soll/Ist</v>
      </c>
      <c r="BX64" s="3074">
        <f t="shared" si="52"/>
        <v>0</v>
      </c>
      <c r="BY64" s="3074">
        <f t="shared" si="52"/>
        <v>0</v>
      </c>
      <c r="BZ64" s="3074">
        <f t="shared" si="52"/>
        <v>0</v>
      </c>
      <c r="CA64" s="3074">
        <f t="shared" si="52"/>
        <v>0</v>
      </c>
      <c r="CB64" s="3074" t="str">
        <f t="shared" ref="CB64:CG64" si="53">CB$1</f>
        <v>Monate im +</v>
      </c>
      <c r="CC64" s="3074" t="str">
        <f t="shared" si="53"/>
        <v>Monate im +</v>
      </c>
      <c r="CD64" s="3074">
        <f t="shared" si="53"/>
        <v>0</v>
      </c>
      <c r="CE64" s="3074">
        <f t="shared" si="53"/>
        <v>0</v>
      </c>
      <c r="CF64" s="3074">
        <f t="shared" si="53"/>
        <v>0</v>
      </c>
      <c r="CG64" s="3074">
        <f t="shared" si="53"/>
        <v>0</v>
      </c>
    </row>
    <row r="65" spans="1:106" s="3000" customFormat="1" ht="20.399999999999999" customHeight="1" thickBot="1">
      <c r="A65" s="3051">
        <f>CH66</f>
        <v>4</v>
      </c>
      <c r="B65" s="3001"/>
      <c r="C65" s="3002">
        <f t="shared" ref="C65" si="54">Q66</f>
        <v>1310</v>
      </c>
      <c r="D65" s="3002">
        <f t="shared" ref="D65" si="55">R66</f>
        <v>0</v>
      </c>
      <c r="E65" s="3002">
        <f t="shared" ref="E65" si="56">S66</f>
        <v>0</v>
      </c>
      <c r="F65" s="3002">
        <f t="shared" ref="F65" si="57">T66</f>
        <v>0</v>
      </c>
      <c r="G65" s="3002">
        <f t="shared" ref="G65" si="58">U66</f>
        <v>125</v>
      </c>
      <c r="H65" s="3002">
        <f t="shared" ref="H65" si="59">V66</f>
        <v>0</v>
      </c>
      <c r="I65" s="3002">
        <f>X66</f>
        <v>1320.4166666666667</v>
      </c>
      <c r="J65" s="3003">
        <f>AA66</f>
        <v>12</v>
      </c>
      <c r="K65" s="3004">
        <f>AD66</f>
        <v>15845</v>
      </c>
      <c r="N65" s="565" t="s">
        <v>1345</v>
      </c>
      <c r="O65" s="3074">
        <f t="shared" ref="O65:AT65" si="60">O24</f>
        <v>2</v>
      </c>
      <c r="P65" s="3074">
        <f t="shared" si="60"/>
        <v>0</v>
      </c>
      <c r="Q65" s="3074">
        <f t="shared" si="60"/>
        <v>1782.53</v>
      </c>
      <c r="R65" s="3074">
        <f t="shared" si="60"/>
        <v>0</v>
      </c>
      <c r="S65" s="3074">
        <f t="shared" si="60"/>
        <v>0</v>
      </c>
      <c r="T65" s="3074">
        <f t="shared" si="60"/>
        <v>0</v>
      </c>
      <c r="U65" s="3074">
        <f t="shared" si="60"/>
        <v>0</v>
      </c>
      <c r="V65" s="3074">
        <f t="shared" si="60"/>
        <v>0</v>
      </c>
      <c r="W65" s="3074">
        <f t="shared" si="60"/>
        <v>13.722324865280985</v>
      </c>
      <c r="X65" s="3074">
        <f t="shared" si="60"/>
        <v>1782.53</v>
      </c>
      <c r="Y65" s="3074">
        <f t="shared" si="60"/>
        <v>129.9</v>
      </c>
      <c r="Z65" s="3074">
        <f t="shared" si="60"/>
        <v>13.722324865280985</v>
      </c>
      <c r="AA65" s="3074">
        <f t="shared" si="60"/>
        <v>12</v>
      </c>
      <c r="AB65" s="3074">
        <f t="shared" si="60"/>
        <v>173.193072</v>
      </c>
      <c r="AC65" s="3074">
        <f t="shared" si="60"/>
        <v>0.75</v>
      </c>
      <c r="AD65" s="3074">
        <f t="shared" si="60"/>
        <v>21390.36</v>
      </c>
      <c r="AE65" s="3074">
        <f t="shared" si="60"/>
        <v>0</v>
      </c>
      <c r="AF65" s="3074">
        <f t="shared" si="60"/>
        <v>4.63</v>
      </c>
      <c r="AG65" s="3074">
        <f t="shared" si="60"/>
        <v>8253</v>
      </c>
      <c r="AH65" s="3074">
        <f t="shared" si="60"/>
        <v>450.7547182162225</v>
      </c>
      <c r="AI65" s="3074">
        <f t="shared" si="60"/>
        <v>5.5021555102258944E-2</v>
      </c>
      <c r="AJ65" s="3074">
        <f t="shared" si="60"/>
        <v>26.245281783777518</v>
      </c>
      <c r="AK65" s="3074">
        <f t="shared" si="60"/>
        <v>0</v>
      </c>
      <c r="AL65" s="3074">
        <f t="shared" si="60"/>
        <v>476.5</v>
      </c>
      <c r="AM65" s="3074">
        <f t="shared" si="60"/>
        <v>0</v>
      </c>
      <c r="AN65" s="3074">
        <f t="shared" si="60"/>
        <v>0</v>
      </c>
      <c r="AO65" s="3074">
        <f t="shared" si="60"/>
        <v>30</v>
      </c>
      <c r="AP65" s="3074">
        <f t="shared" si="60"/>
        <v>4</v>
      </c>
      <c r="AQ65" s="3074">
        <f t="shared" si="60"/>
        <v>17.32</v>
      </c>
      <c r="AR65" s="3074">
        <f t="shared" si="60"/>
        <v>8253</v>
      </c>
      <c r="AS65" s="3074">
        <f t="shared" si="60"/>
        <v>7798.9071057410565</v>
      </c>
      <c r="AT65" s="3074">
        <f t="shared" si="60"/>
        <v>454.09289425894309</v>
      </c>
      <c r="AU65" s="3074">
        <f t="shared" ref="AU65:BZ65" si="61">AU24</f>
        <v>1908</v>
      </c>
      <c r="AV65" s="3074">
        <f t="shared" si="61"/>
        <v>63.533487297921482</v>
      </c>
      <c r="AW65" s="3074">
        <f t="shared" si="61"/>
        <v>0</v>
      </c>
      <c r="AX65" s="3074">
        <f t="shared" si="61"/>
        <v>79.41685912240186</v>
      </c>
      <c r="AY65" s="3074" t="str">
        <f t="shared" si="61"/>
        <v>Jutta</v>
      </c>
      <c r="AZ65" s="3074">
        <f t="shared" si="61"/>
        <v>82616.399999999994</v>
      </c>
      <c r="BA65" s="3074">
        <f t="shared" si="61"/>
        <v>8</v>
      </c>
      <c r="BB65" s="3074">
        <f t="shared" si="61"/>
        <v>508.26789838337186</v>
      </c>
      <c r="BC65" s="3074">
        <f t="shared" si="61"/>
        <v>8</v>
      </c>
      <c r="BD65" s="3074">
        <f t="shared" si="61"/>
        <v>508.26789838337186</v>
      </c>
      <c r="BE65" s="3074">
        <f t="shared" si="61"/>
        <v>8</v>
      </c>
      <c r="BF65" s="3074">
        <f t="shared" si="61"/>
        <v>508.26789838337186</v>
      </c>
      <c r="BG65" s="3074">
        <f t="shared" si="61"/>
        <v>8</v>
      </c>
      <c r="BH65" s="3074">
        <f t="shared" si="61"/>
        <v>508.26789838337186</v>
      </c>
      <c r="BI65" s="3074" t="str">
        <f t="shared" si="61"/>
        <v/>
      </c>
      <c r="BJ65" s="3074" t="str">
        <f t="shared" si="61"/>
        <v/>
      </c>
      <c r="BK65" s="3074">
        <f t="shared" si="61"/>
        <v>6</v>
      </c>
      <c r="BL65" s="3074">
        <f t="shared" si="61"/>
        <v>381.20092378752889</v>
      </c>
      <c r="BM65" s="3074">
        <f t="shared" si="61"/>
        <v>170</v>
      </c>
      <c r="BN65" s="3074">
        <f t="shared" si="61"/>
        <v>19</v>
      </c>
      <c r="BO65" s="3074">
        <f t="shared" si="61"/>
        <v>10</v>
      </c>
      <c r="BP65" s="3074">
        <f t="shared" si="61"/>
        <v>81005</v>
      </c>
      <c r="BQ65" s="3074">
        <f t="shared" si="61"/>
        <v>76628.30209675782</v>
      </c>
      <c r="BR65" s="3074">
        <f t="shared" si="61"/>
        <v>4457.0318720566002</v>
      </c>
      <c r="BS65" s="3074">
        <f t="shared" si="61"/>
        <v>0</v>
      </c>
      <c r="BT65" s="3074">
        <f t="shared" si="61"/>
        <v>76628.30209675782</v>
      </c>
      <c r="BU65" s="3074">
        <f t="shared" si="61"/>
        <v>-76628.30209675782</v>
      </c>
      <c r="BV65" s="3074" t="str">
        <f t="shared" si="61"/>
        <v/>
      </c>
      <c r="BW65" s="3074">
        <f t="shared" si="61"/>
        <v>0</v>
      </c>
      <c r="BX65" s="3074">
        <f t="shared" si="61"/>
        <v>4457.0318720566002</v>
      </c>
      <c r="BY65" s="3074">
        <f t="shared" si="61"/>
        <v>-4457.0318720566002</v>
      </c>
      <c r="BZ65" s="3074" t="str">
        <f t="shared" si="61"/>
        <v/>
      </c>
      <c r="CA65" s="3074" t="str">
        <f t="shared" ref="CA65:CG65" si="62">CA24</f>
        <v/>
      </c>
      <c r="CB65" s="3074" t="str">
        <f t="shared" si="62"/>
        <v/>
      </c>
      <c r="CC65" s="3074" t="str">
        <f t="shared" si="62"/>
        <v/>
      </c>
      <c r="CD65" s="3074" t="str">
        <f t="shared" si="62"/>
        <v>Jutta</v>
      </c>
      <c r="CE65" s="3074">
        <f t="shared" si="62"/>
        <v>0</v>
      </c>
      <c r="CF65" s="3074">
        <f t="shared" si="62"/>
        <v>0</v>
      </c>
      <c r="CG65" s="3074">
        <f t="shared" si="62"/>
        <v>0</v>
      </c>
      <c r="CH65" s="3062"/>
      <c r="CI65" s="3062"/>
      <c r="CJ65" s="3062"/>
      <c r="CK65" s="3062"/>
      <c r="CL65" s="3062"/>
      <c r="CM65" s="3062"/>
      <c r="CN65" s="3062"/>
      <c r="CO65" s="3062"/>
      <c r="CP65" s="3062"/>
      <c r="CQ65" s="3062"/>
      <c r="CR65" s="3062"/>
      <c r="CS65" s="3062"/>
      <c r="CT65" s="3062"/>
      <c r="CU65" s="3062"/>
      <c r="CV65" s="3062"/>
      <c r="CW65" s="3062"/>
      <c r="CX65" s="3062"/>
      <c r="CY65" s="3159"/>
      <c r="CZ65" s="3159"/>
      <c r="DA65" s="3159"/>
      <c r="DB65" s="3159"/>
    </row>
    <row r="66" spans="1:106" s="3005" customFormat="1" ht="41.4" customHeight="1">
      <c r="B66" s="3006"/>
      <c r="C66" s="3007" t="s">
        <v>1296</v>
      </c>
      <c r="D66" s="3007" t="s">
        <v>1355</v>
      </c>
      <c r="E66" s="3007" t="s">
        <v>1356</v>
      </c>
      <c r="F66" s="3007" t="s">
        <v>1357</v>
      </c>
      <c r="G66" s="3007" t="s">
        <v>1358</v>
      </c>
      <c r="H66" s="3007" t="s">
        <v>1359</v>
      </c>
      <c r="I66" s="3007" t="s">
        <v>1360</v>
      </c>
      <c r="J66" s="3007" t="s">
        <v>1361</v>
      </c>
      <c r="N66" s="565" t="str">
        <f>MAdaten!A7</f>
        <v>Cordula</v>
      </c>
      <c r="O66" s="3068">
        <f>MAdaten!BU7</f>
        <v>4</v>
      </c>
      <c r="P66" s="565">
        <f>MAdaten!C7</f>
        <v>0</v>
      </c>
      <c r="Q66" s="565">
        <f>MAdaten!D7</f>
        <v>1310</v>
      </c>
      <c r="R66" s="565">
        <f>MAdaten!E7</f>
        <v>0</v>
      </c>
      <c r="S66" s="565">
        <f>MAdaten!F7</f>
        <v>0</v>
      </c>
      <c r="T66" s="565">
        <f>MAdaten!G7</f>
        <v>0</v>
      </c>
      <c r="U66" s="565">
        <f>MAdaten!H7</f>
        <v>125</v>
      </c>
      <c r="V66" s="565">
        <f>MAdaten!I7</f>
        <v>0</v>
      </c>
      <c r="W66" s="565">
        <f>MAdaten!J7</f>
        <v>13.75183707747218</v>
      </c>
      <c r="X66" s="565">
        <f>MAdaten!K7</f>
        <v>1320.4166666666667</v>
      </c>
      <c r="Y66" s="565">
        <f>MAdaten!L7</f>
        <v>95.26</v>
      </c>
      <c r="Z66" s="565">
        <f>MAdaten!M7</f>
        <v>13.861186927006788</v>
      </c>
      <c r="AA66" s="565">
        <f>MAdaten!N7</f>
        <v>12</v>
      </c>
      <c r="AB66" s="565">
        <f>MAdaten!O7</f>
        <v>129.89480399999999</v>
      </c>
      <c r="AC66" s="565">
        <f>MAdaten!P7</f>
        <v>0.55000000000000004</v>
      </c>
      <c r="AD66" s="565">
        <f>MAdaten!Q7</f>
        <v>15845</v>
      </c>
      <c r="AE66" s="565">
        <f>MAdaten!R7</f>
        <v>10.416666666666666</v>
      </c>
      <c r="AF66" s="565">
        <f>MAdaten!S7</f>
        <v>4.63</v>
      </c>
      <c r="AG66" s="565">
        <f>MAdaten!T7</f>
        <v>6065</v>
      </c>
      <c r="AH66" s="565">
        <f>MAdaten!U7</f>
        <v>441.30493376724507</v>
      </c>
      <c r="AI66" s="565">
        <f>MAdaten!V7</f>
        <v>5.5021555102258944E-2</v>
      </c>
      <c r="AJ66" s="565">
        <f>MAdaten!W7</f>
        <v>25.695066232754925</v>
      </c>
      <c r="AK66" s="565">
        <f>MAdaten!X7</f>
        <v>0</v>
      </c>
      <c r="AL66" s="565">
        <f>MAdaten!Y7</f>
        <v>466.9</v>
      </c>
      <c r="AM66" s="565">
        <f>MAdaten!Z7</f>
        <v>0</v>
      </c>
      <c r="AN66" s="565">
        <f>MAdaten!AA7</f>
        <v>0</v>
      </c>
      <c r="AO66" s="565">
        <f>MAdaten!AB7</f>
        <v>22</v>
      </c>
      <c r="AP66" s="565">
        <f>MAdaten!AC7</f>
        <v>3</v>
      </c>
      <c r="AQ66" s="565">
        <f>MAdaten!AD7</f>
        <v>12.99</v>
      </c>
      <c r="AR66" s="565">
        <f>MAdaten!AE7</f>
        <v>6065</v>
      </c>
      <c r="AS66" s="565">
        <f>MAdaten!AF7</f>
        <v>5731.2942683047995</v>
      </c>
      <c r="AT66" s="565">
        <f>MAdaten!AG7</f>
        <v>333.70573169520048</v>
      </c>
      <c r="AU66" s="565">
        <f>MAdaten!AH7</f>
        <v>1401</v>
      </c>
      <c r="AV66" s="565">
        <f>MAdaten!AI7</f>
        <v>63.667856393029609</v>
      </c>
      <c r="AW66" s="565">
        <f>MAdaten!AJ7</f>
        <v>0</v>
      </c>
      <c r="AX66" s="565">
        <f>MAdaten!AK7</f>
        <v>79.584820491287005</v>
      </c>
      <c r="AY66" s="565" t="str">
        <f>MAdaten!AL7</f>
        <v>Cordula</v>
      </c>
      <c r="AZ66" s="565">
        <f>MAdaten!AM7</f>
        <v>60663.3</v>
      </c>
      <c r="BA66" s="565">
        <f>MAdaten!AN7</f>
        <v>8</v>
      </c>
      <c r="BB66" s="565">
        <f>MAdaten!AO7</f>
        <v>509.34285114423687</v>
      </c>
      <c r="BC66" s="565">
        <f>MAdaten!AP7</f>
        <v>8</v>
      </c>
      <c r="BD66" s="565">
        <f>MAdaten!AQ7</f>
        <v>509.34285114423687</v>
      </c>
      <c r="BE66" s="565" t="str">
        <f>MAdaten!AR7</f>
        <v/>
      </c>
      <c r="BF66" s="565" t="str">
        <f>MAdaten!AS7</f>
        <v/>
      </c>
      <c r="BG66" s="565">
        <f>MAdaten!AT7</f>
        <v>6</v>
      </c>
      <c r="BH66" s="565">
        <f>MAdaten!AU7</f>
        <v>382.00713835817766</v>
      </c>
      <c r="BI66" s="565">
        <f>MAdaten!AV7</f>
        <v>8</v>
      </c>
      <c r="BJ66" s="565">
        <f>MAdaten!AW7</f>
        <v>509.34285114423687</v>
      </c>
      <c r="BK66" s="565" t="str">
        <f>MAdaten!AX7</f>
        <v/>
      </c>
      <c r="BL66" s="565" t="str">
        <f>MAdaten!AY7</f>
        <v/>
      </c>
      <c r="BM66" s="565">
        <f>MAdaten!AZ7</f>
        <v>128</v>
      </c>
      <c r="BN66" s="565">
        <f>MAdaten!BA7</f>
        <v>14</v>
      </c>
      <c r="BO66" s="565">
        <f>MAdaten!BB7</f>
        <v>12</v>
      </c>
      <c r="BP66" s="565">
        <f>MAdaten!BC7</f>
        <v>59763.199999999997</v>
      </c>
      <c r="BQ66" s="565">
        <f>MAdaten!BD7</f>
        <v>56487.031522207377</v>
      </c>
      <c r="BR66" s="565">
        <f>MAdaten!BE7</f>
        <v>3288.2473946871178</v>
      </c>
      <c r="BS66" s="565">
        <f>MAdaten!BF7</f>
        <v>0</v>
      </c>
      <c r="BT66" s="565">
        <f>MAdaten!BG7</f>
        <v>56487.031522207377</v>
      </c>
      <c r="BU66" s="565">
        <f>MAdaten!BH7</f>
        <v>-56487.031522207377</v>
      </c>
      <c r="BV66" s="565" t="str">
        <f>MAdaten!BI7</f>
        <v/>
      </c>
      <c r="BW66" s="565">
        <f>MAdaten!BJ7</f>
        <v>0</v>
      </c>
      <c r="BX66" s="565">
        <f>MAdaten!BK7</f>
        <v>3288.2473946871178</v>
      </c>
      <c r="BY66" s="565">
        <f>MAdaten!BL7</f>
        <v>-3288.2473946871178</v>
      </c>
      <c r="BZ66" s="565" t="str">
        <f>MAdaten!BM7</f>
        <v/>
      </c>
      <c r="CA66" s="565" t="str">
        <f>MAdaten!BN7</f>
        <v/>
      </c>
      <c r="CB66" s="565" t="str">
        <f>MAdaten!BO7</f>
        <v/>
      </c>
      <c r="CC66" s="565" t="str">
        <f>MAdaten!BP7</f>
        <v/>
      </c>
      <c r="CD66" s="565" t="str">
        <f>MAdaten!BQ7</f>
        <v>Cordula</v>
      </c>
      <c r="CE66" s="565">
        <f>MAdaten!BR7</f>
        <v>0</v>
      </c>
      <c r="CF66" s="565">
        <f>MAdaten!BS7</f>
        <v>0</v>
      </c>
      <c r="CG66" s="565">
        <f>MAdaten!BT7</f>
        <v>0</v>
      </c>
      <c r="CH66" s="565">
        <f>MAdaten!BU7</f>
        <v>4</v>
      </c>
      <c r="CI66" s="565" t="str">
        <f>MAdaten!BV7</f>
        <v>Januar</v>
      </c>
      <c r="CJ66" s="565">
        <f>MAdaten!BW7</f>
        <v>11</v>
      </c>
      <c r="CK66" s="565">
        <f>MAdaten!BX7</f>
        <v>0</v>
      </c>
      <c r="CL66" s="565">
        <f>MAdaten!BY7</f>
        <v>3</v>
      </c>
      <c r="CM66" s="565">
        <f>MAdaten!BZ7</f>
        <v>0</v>
      </c>
      <c r="CN66" s="565">
        <f>MAdaten!CA7</f>
        <v>4854.3542714396954</v>
      </c>
      <c r="CO66" s="565" t="str">
        <f>MAdaten!CB7</f>
        <v/>
      </c>
      <c r="CP66" s="565" t="str">
        <f>MAdaten!CC7</f>
        <v/>
      </c>
      <c r="CQ66" s="565">
        <f>MAdaten!CD7</f>
        <v>0</v>
      </c>
      <c r="CR66" s="565">
        <f>MAdaten!CE7</f>
        <v>282.58376048092418</v>
      </c>
      <c r="CS66" s="565" t="str">
        <f>MAdaten!CF7</f>
        <v/>
      </c>
      <c r="CT66" s="565" t="str">
        <f>MAdaten!CG7</f>
        <v/>
      </c>
      <c r="CU66" s="3069"/>
      <c r="CV66" s="3069"/>
      <c r="CW66" s="3069"/>
      <c r="CX66" s="3069"/>
      <c r="CY66" s="3160"/>
      <c r="CZ66" s="3160"/>
      <c r="DA66" s="3160"/>
      <c r="DB66" s="3160"/>
    </row>
    <row r="67" spans="1:106" s="3000" customFormat="1" ht="20.399999999999999" customHeight="1" thickBot="1">
      <c r="B67" s="3001"/>
      <c r="C67" s="3008">
        <f>W66</f>
        <v>13.75183707747218</v>
      </c>
      <c r="D67" s="3008">
        <f>Z66</f>
        <v>13.861186927006788</v>
      </c>
      <c r="E67" s="3008">
        <f>AO66</f>
        <v>22</v>
      </c>
      <c r="F67" s="3008">
        <f>Y66</f>
        <v>95.26</v>
      </c>
      <c r="G67" s="3008">
        <f>AP66</f>
        <v>3</v>
      </c>
      <c r="H67" s="3008">
        <f>AQ66</f>
        <v>12.99</v>
      </c>
      <c r="I67" s="3004">
        <f>AB66</f>
        <v>129.89480399999999</v>
      </c>
      <c r="J67" s="3003">
        <f>AC66</f>
        <v>0.55000000000000004</v>
      </c>
      <c r="N67" s="3062"/>
      <c r="O67" s="3062"/>
      <c r="P67" s="3062"/>
      <c r="Q67" s="3062"/>
      <c r="R67" s="3062"/>
      <c r="S67" s="3062"/>
      <c r="T67" s="3062"/>
      <c r="U67" s="3062"/>
      <c r="V67" s="3062"/>
      <c r="W67" s="3062"/>
      <c r="X67" s="3062"/>
      <c r="Y67" s="3062"/>
      <c r="Z67" s="3062"/>
      <c r="AA67" s="3062"/>
      <c r="AB67" s="3062"/>
      <c r="AC67" s="3062"/>
      <c r="AD67" s="3062"/>
      <c r="AE67" s="3062"/>
      <c r="AF67" s="3062"/>
      <c r="AG67" s="3062"/>
      <c r="AH67" s="3062"/>
      <c r="AI67" s="3062"/>
      <c r="AJ67" s="3062"/>
      <c r="AK67" s="3062"/>
      <c r="AL67" s="3062"/>
      <c r="AM67" s="3062"/>
      <c r="AN67" s="3062"/>
      <c r="AO67" s="3062"/>
      <c r="AP67" s="3062"/>
      <c r="AQ67" s="3062"/>
      <c r="AR67" s="3062"/>
      <c r="AS67" s="3062"/>
      <c r="AT67" s="3062"/>
      <c r="AU67" s="3062"/>
      <c r="AV67" s="3062"/>
      <c r="AW67" s="3062"/>
      <c r="AX67" s="3062"/>
      <c r="AY67" s="3062"/>
      <c r="AZ67" s="3062"/>
      <c r="BA67" s="3062"/>
      <c r="BB67" s="3062"/>
      <c r="BC67" s="3062"/>
      <c r="BD67" s="3062"/>
      <c r="BE67" s="3062"/>
      <c r="BF67" s="3062"/>
      <c r="BG67" s="3062"/>
      <c r="BH67" s="3062"/>
      <c r="BI67" s="3062"/>
      <c r="BJ67" s="3062"/>
      <c r="BK67" s="3062"/>
      <c r="BL67" s="3062"/>
      <c r="BM67" s="3062"/>
      <c r="BN67" s="3062"/>
      <c r="BO67" s="3062"/>
      <c r="BP67" s="3062"/>
      <c r="BQ67" s="3062"/>
      <c r="BR67" s="3062"/>
      <c r="BS67" s="3062"/>
      <c r="BT67" s="3062"/>
      <c r="BU67" s="3062"/>
      <c r="BV67" s="3062"/>
      <c r="BW67" s="3062"/>
      <c r="BX67" s="3062"/>
      <c r="BY67" s="3062"/>
      <c r="BZ67" s="3062"/>
      <c r="CA67" s="3062"/>
      <c r="CB67" s="3062"/>
      <c r="CC67" s="3062"/>
      <c r="CD67" s="3062"/>
      <c r="CE67" s="3062"/>
      <c r="CF67" s="3062"/>
      <c r="CG67" s="3062"/>
      <c r="CH67" s="3062"/>
      <c r="CI67" s="3062"/>
      <c r="CJ67" s="3062"/>
      <c r="CK67" s="3062"/>
      <c r="CL67" s="3062"/>
      <c r="CM67" s="3062"/>
      <c r="CN67" s="3062"/>
      <c r="CO67" s="3062"/>
      <c r="CP67" s="3062"/>
      <c r="CQ67" s="3062"/>
      <c r="CR67" s="3062"/>
      <c r="CS67" s="3062"/>
      <c r="CT67" s="3062"/>
      <c r="CU67" s="3062"/>
      <c r="CV67" s="3062"/>
      <c r="CW67" s="3062"/>
      <c r="CX67" s="3062"/>
      <c r="CY67" s="3159"/>
      <c r="CZ67" s="3159"/>
      <c r="DA67" s="3159"/>
      <c r="DB67" s="3159"/>
    </row>
    <row r="68" spans="1:106" ht="21.6" customHeight="1" thickBot="1">
      <c r="A68" s="3009"/>
      <c r="B68" s="3010"/>
      <c r="C68" s="3011"/>
      <c r="D68" s="3012"/>
      <c r="E68" s="3011"/>
      <c r="F68" s="3012"/>
      <c r="G68" s="3011"/>
      <c r="H68" s="3012"/>
      <c r="I68" s="3054"/>
      <c r="J68" s="3054"/>
      <c r="K68" s="3055"/>
      <c r="L68" s="3054"/>
      <c r="N68" s="565"/>
      <c r="O68" s="565"/>
      <c r="P68" s="565"/>
    </row>
    <row r="69" spans="1:106" s="3005" customFormat="1" ht="66" customHeight="1">
      <c r="A69" s="4362" t="s">
        <v>1362</v>
      </c>
      <c r="B69" s="4363"/>
      <c r="C69" s="3013" t="str">
        <f>AG64</f>
        <v>Sollumsatz pro Arbeits-monat €</v>
      </c>
      <c r="D69" s="3013" t="str">
        <f>AL64</f>
        <v>Gesamt-sollumsatz pro Tag €</v>
      </c>
      <c r="E69" s="3013" t="str">
        <f>AU64</f>
        <v>Umsatz p. Woche</v>
      </c>
      <c r="F69" s="3013" t="str">
        <f>AV64</f>
        <v>Umsatz p. Std</v>
      </c>
      <c r="G69" s="3013" t="str">
        <f>AX64</f>
        <v>Umsatz p. Std mit Leerlauf</v>
      </c>
      <c r="H69" s="3014" t="str">
        <f>AS64</f>
        <v>DL-Umsatz pro M.</v>
      </c>
      <c r="I69" s="3014" t="str">
        <f>AH64</f>
        <v>Sollumsatz DL pro Anwesen-heitstag €</v>
      </c>
      <c r="J69" s="3014" t="str">
        <f>AT64</f>
        <v>VK-Umsatz pro M.</v>
      </c>
      <c r="K69" s="3014" t="str">
        <f>AI64</f>
        <v>Verkaufs-anteil %</v>
      </c>
      <c r="L69" s="3014" t="str">
        <f>AJ64</f>
        <v>Verkaufs-anteil € pro Tag</v>
      </c>
      <c r="N69" s="3069"/>
      <c r="O69" s="3069"/>
      <c r="P69" s="3069"/>
      <c r="Q69" s="3069"/>
      <c r="R69" s="3069"/>
      <c r="S69" s="3069"/>
      <c r="T69" s="3069"/>
      <c r="U69" s="3069"/>
      <c r="V69" s="3069"/>
      <c r="W69" s="3069"/>
      <c r="X69" s="3069"/>
      <c r="Y69" s="3069"/>
      <c r="Z69" s="3069"/>
      <c r="AA69" s="3069"/>
      <c r="AB69" s="3069"/>
      <c r="AC69" s="3069"/>
      <c r="AD69" s="3069"/>
      <c r="AE69" s="3069"/>
      <c r="AF69" s="3069"/>
      <c r="AG69" s="3069"/>
      <c r="AH69" s="3069"/>
      <c r="AI69" s="3069"/>
      <c r="AJ69" s="3069"/>
      <c r="AK69" s="3069"/>
      <c r="AL69" s="3069"/>
      <c r="AM69" s="3069"/>
      <c r="AN69" s="3069"/>
      <c r="AO69" s="3069"/>
      <c r="AP69" s="3069"/>
      <c r="AQ69" s="3069"/>
      <c r="AR69" s="3069"/>
      <c r="AS69" s="3069"/>
      <c r="AT69" s="3069"/>
      <c r="AU69" s="3069"/>
      <c r="AV69" s="3069"/>
      <c r="AW69" s="3069"/>
      <c r="AX69" s="3069"/>
      <c r="AY69" s="3069"/>
      <c r="AZ69" s="3069"/>
      <c r="BA69" s="3069"/>
      <c r="BB69" s="3069"/>
      <c r="BC69" s="3069"/>
      <c r="BD69" s="3069"/>
      <c r="BE69" s="3069"/>
      <c r="BF69" s="3069"/>
      <c r="BG69" s="3069"/>
      <c r="BH69" s="3069"/>
      <c r="BI69" s="3069"/>
      <c r="BJ69" s="3069"/>
      <c r="BK69" s="3069"/>
      <c r="BL69" s="3069"/>
      <c r="BM69" s="3069"/>
      <c r="BN69" s="3069"/>
      <c r="BO69" s="3069"/>
      <c r="BP69" s="3069"/>
      <c r="BQ69" s="3069"/>
      <c r="BR69" s="3069"/>
      <c r="BS69" s="3069"/>
      <c r="BT69" s="3069"/>
      <c r="BU69" s="3069"/>
      <c r="BV69" s="3069"/>
      <c r="BW69" s="3069"/>
      <c r="BX69" s="3069"/>
      <c r="BY69" s="3069"/>
      <c r="BZ69" s="3069"/>
      <c r="CA69" s="3069"/>
      <c r="CB69" s="3069"/>
      <c r="CC69" s="3069"/>
      <c r="CD69" s="3069"/>
      <c r="CE69" s="3069"/>
      <c r="CF69" s="3069"/>
      <c r="CG69" s="3069"/>
      <c r="CH69" s="3069"/>
      <c r="CI69" s="3069"/>
      <c r="CJ69" s="3069"/>
      <c r="CK69" s="3069"/>
      <c r="CL69" s="3069"/>
      <c r="CM69" s="3069"/>
      <c r="CN69" s="3069"/>
      <c r="CO69" s="3069"/>
      <c r="CP69" s="3069"/>
      <c r="CQ69" s="3069"/>
      <c r="CR69" s="3069"/>
      <c r="CS69" s="3069"/>
      <c r="CT69" s="3069"/>
      <c r="CU69" s="3069"/>
      <c r="CV69" s="3069"/>
      <c r="CW69" s="3069"/>
      <c r="CX69" s="3069"/>
      <c r="CY69" s="3160"/>
      <c r="CZ69" s="3160"/>
      <c r="DA69" s="3160"/>
      <c r="DB69" s="3160"/>
    </row>
    <row r="70" spans="1:106" s="3049" customFormat="1">
      <c r="A70" s="3015"/>
      <c r="B70" s="3016"/>
      <c r="C70" s="3017">
        <f>AR66</f>
        <v>6065</v>
      </c>
      <c r="D70" s="3017">
        <f>AL66</f>
        <v>466.9</v>
      </c>
      <c r="E70" s="3017">
        <f>AU66</f>
        <v>1401</v>
      </c>
      <c r="F70" s="3018">
        <f>AV66</f>
        <v>63.667856393029609</v>
      </c>
      <c r="G70" s="3018">
        <f>AX66</f>
        <v>79.584820491287005</v>
      </c>
      <c r="H70" s="3019">
        <f>AS66</f>
        <v>5731.2942683047995</v>
      </c>
      <c r="I70" s="3020">
        <f>AH66</f>
        <v>441.30493376724507</v>
      </c>
      <c r="J70" s="3020">
        <f>AT66</f>
        <v>333.70573169520048</v>
      </c>
      <c r="K70" s="3021">
        <f>AI66</f>
        <v>5.5021555102258944E-2</v>
      </c>
      <c r="L70" s="3020">
        <f>AJ66</f>
        <v>25.695066232754925</v>
      </c>
      <c r="N70" s="3070"/>
      <c r="O70" s="3070"/>
      <c r="P70" s="3070"/>
      <c r="Q70" s="3070"/>
      <c r="R70" s="3070"/>
      <c r="S70" s="3070"/>
      <c r="T70" s="3070"/>
      <c r="U70" s="3070"/>
      <c r="V70" s="3070"/>
      <c r="W70" s="3070"/>
      <c r="X70" s="3070"/>
      <c r="Y70" s="3070"/>
      <c r="Z70" s="3070"/>
      <c r="AA70" s="3070"/>
      <c r="AB70" s="3070"/>
      <c r="AC70" s="3070"/>
      <c r="AD70" s="3070"/>
      <c r="AE70" s="3070"/>
      <c r="AF70" s="3070"/>
      <c r="AG70" s="3070"/>
      <c r="AH70" s="3070"/>
      <c r="AI70" s="3070"/>
      <c r="AJ70" s="3070"/>
      <c r="AK70" s="3070"/>
      <c r="AL70" s="3070"/>
      <c r="AM70" s="3070"/>
      <c r="AN70" s="3070"/>
      <c r="AO70" s="3070"/>
      <c r="AP70" s="3070"/>
      <c r="AQ70" s="3070"/>
      <c r="AR70" s="3070"/>
      <c r="AS70" s="3070"/>
      <c r="AT70" s="3070"/>
      <c r="AU70" s="3070"/>
      <c r="AV70" s="3070"/>
      <c r="AW70" s="3070"/>
      <c r="AX70" s="3070"/>
      <c r="AY70" s="3070"/>
      <c r="AZ70" s="3070"/>
      <c r="BA70" s="3070"/>
      <c r="BB70" s="3070"/>
      <c r="BC70" s="3070"/>
      <c r="BD70" s="3070"/>
      <c r="BE70" s="3070"/>
      <c r="BF70" s="3070"/>
      <c r="BG70" s="3070"/>
      <c r="BH70" s="3070"/>
      <c r="BI70" s="3070"/>
      <c r="BJ70" s="3070"/>
      <c r="BK70" s="3070"/>
      <c r="BL70" s="3070"/>
      <c r="BM70" s="3070"/>
      <c r="BN70" s="3070"/>
      <c r="BO70" s="3070"/>
      <c r="BP70" s="3070"/>
      <c r="BQ70" s="3070"/>
      <c r="BR70" s="3070"/>
      <c r="BS70" s="3070"/>
      <c r="BT70" s="3070"/>
      <c r="BU70" s="3070"/>
      <c r="BV70" s="3070"/>
      <c r="BW70" s="3070"/>
      <c r="BX70" s="3070"/>
      <c r="BY70" s="3070"/>
      <c r="BZ70" s="3070"/>
      <c r="CA70" s="3070"/>
      <c r="CB70" s="3070"/>
      <c r="CC70" s="3070"/>
      <c r="CD70" s="3070"/>
      <c r="CE70" s="3070"/>
      <c r="CF70" s="3070"/>
      <c r="CG70" s="3070"/>
      <c r="CH70" s="3070"/>
      <c r="CI70" s="3070"/>
      <c r="CJ70" s="3070"/>
      <c r="CK70" s="3070"/>
      <c r="CL70" s="3070"/>
      <c r="CM70" s="3070"/>
      <c r="CN70" s="3070"/>
      <c r="CO70" s="3070"/>
      <c r="CP70" s="3070"/>
      <c r="CQ70" s="3070"/>
      <c r="CR70" s="3070"/>
      <c r="CS70" s="3070"/>
      <c r="CT70" s="3070"/>
      <c r="CU70" s="3070"/>
      <c r="CV70" s="3070"/>
      <c r="CW70" s="3070"/>
      <c r="CX70" s="3070"/>
      <c r="CY70" s="3158"/>
      <c r="CZ70" s="3158"/>
      <c r="DA70" s="3158"/>
      <c r="DB70" s="3158"/>
    </row>
    <row r="71" spans="1:106" s="3005" customFormat="1" ht="20.399999999999999" customHeight="1">
      <c r="A71" s="4364" t="s">
        <v>168</v>
      </c>
      <c r="B71" s="4365"/>
      <c r="C71" s="4364" t="s">
        <v>169</v>
      </c>
      <c r="D71" s="4365"/>
      <c r="E71" s="4364" t="s">
        <v>170</v>
      </c>
      <c r="F71" s="4365"/>
      <c r="G71" s="4364" t="s">
        <v>171</v>
      </c>
      <c r="H71" s="4365"/>
      <c r="I71" s="4364" t="s">
        <v>172</v>
      </c>
      <c r="J71" s="4365"/>
      <c r="K71" s="4364" t="s">
        <v>173</v>
      </c>
      <c r="L71" s="4365"/>
      <c r="N71" s="3069"/>
      <c r="O71" s="3069"/>
      <c r="P71" s="3069"/>
      <c r="Q71" s="3069"/>
      <c r="R71" s="3069"/>
      <c r="S71" s="3069"/>
      <c r="T71" s="3069"/>
      <c r="U71" s="3069"/>
      <c r="V71" s="3069"/>
      <c r="W71" s="3069"/>
      <c r="X71" s="3069"/>
      <c r="Y71" s="3069"/>
      <c r="Z71" s="3069"/>
      <c r="AA71" s="3069"/>
      <c r="AB71" s="3069"/>
      <c r="AC71" s="3069"/>
      <c r="AD71" s="3069"/>
      <c r="AE71" s="3069"/>
      <c r="AF71" s="3069"/>
      <c r="AG71" s="3069"/>
      <c r="AH71" s="3069"/>
      <c r="AI71" s="3069"/>
      <c r="AJ71" s="3069"/>
      <c r="AK71" s="3069"/>
      <c r="AL71" s="3069"/>
      <c r="AM71" s="3069"/>
      <c r="AN71" s="3069"/>
      <c r="AO71" s="3069"/>
      <c r="AP71" s="3069"/>
      <c r="AQ71" s="3069"/>
      <c r="AR71" s="3069"/>
      <c r="AS71" s="3069"/>
      <c r="AT71" s="3069"/>
      <c r="AU71" s="3069"/>
      <c r="AV71" s="3069"/>
      <c r="AW71" s="3069"/>
      <c r="AX71" s="3069"/>
      <c r="AY71" s="3069"/>
      <c r="AZ71" s="3069"/>
      <c r="BA71" s="3069"/>
      <c r="BB71" s="3069"/>
      <c r="BC71" s="3069"/>
      <c r="BD71" s="3069"/>
      <c r="BE71" s="3069"/>
      <c r="BF71" s="3069"/>
      <c r="BG71" s="3069"/>
      <c r="BH71" s="3069"/>
      <c r="BI71" s="3069"/>
      <c r="BJ71" s="3069"/>
      <c r="BK71" s="3069"/>
      <c r="BL71" s="3069"/>
      <c r="BM71" s="3069"/>
      <c r="BN71" s="3069"/>
      <c r="BO71" s="3069"/>
      <c r="BP71" s="3069"/>
      <c r="BQ71" s="3069"/>
      <c r="BR71" s="3069"/>
      <c r="BS71" s="3069"/>
      <c r="BT71" s="3069"/>
      <c r="BU71" s="3069"/>
      <c r="BV71" s="3069"/>
      <c r="BW71" s="3069"/>
      <c r="BX71" s="3069"/>
      <c r="BY71" s="3069"/>
      <c r="BZ71" s="3069"/>
      <c r="CA71" s="3069"/>
      <c r="CB71" s="3069"/>
      <c r="CC71" s="3069"/>
      <c r="CD71" s="3069"/>
      <c r="CE71" s="3069"/>
      <c r="CF71" s="3069"/>
      <c r="CG71" s="3069"/>
      <c r="CH71" s="3069"/>
      <c r="CI71" s="3069"/>
      <c r="CJ71" s="3069"/>
      <c r="CK71" s="3069"/>
      <c r="CL71" s="3069"/>
      <c r="CM71" s="3069"/>
      <c r="CN71" s="3069"/>
      <c r="CO71" s="3069"/>
      <c r="CP71" s="3069"/>
      <c r="CQ71" s="3069"/>
      <c r="CR71" s="3069"/>
      <c r="CS71" s="3069"/>
      <c r="CT71" s="3069"/>
      <c r="CU71" s="3069"/>
      <c r="CV71" s="3069"/>
      <c r="CW71" s="3069"/>
      <c r="CX71" s="3069"/>
      <c r="CY71" s="3160"/>
      <c r="CZ71" s="3160"/>
      <c r="DA71" s="3160"/>
      <c r="DB71" s="3160"/>
    </row>
    <row r="72" spans="1:106" s="3005" customFormat="1" ht="20.399999999999999" customHeight="1">
      <c r="A72" s="3022" t="s">
        <v>217</v>
      </c>
      <c r="B72" s="3022" t="s">
        <v>61</v>
      </c>
      <c r="C72" s="3022" t="s">
        <v>217</v>
      </c>
      <c r="D72" s="3022" t="s">
        <v>61</v>
      </c>
      <c r="E72" s="3022" t="s">
        <v>217</v>
      </c>
      <c r="F72" s="3022" t="s">
        <v>61</v>
      </c>
      <c r="G72" s="3022" t="s">
        <v>217</v>
      </c>
      <c r="H72" s="3022" t="s">
        <v>61</v>
      </c>
      <c r="I72" s="3022" t="s">
        <v>217</v>
      </c>
      <c r="J72" s="3022" t="s">
        <v>61</v>
      </c>
      <c r="K72" s="3022" t="s">
        <v>217</v>
      </c>
      <c r="L72" s="3022" t="s">
        <v>61</v>
      </c>
      <c r="N72" s="3069"/>
      <c r="O72" s="3069"/>
      <c r="P72" s="3069"/>
      <c r="Q72" s="3069"/>
      <c r="R72" s="3069"/>
      <c r="S72" s="3069"/>
      <c r="T72" s="3069"/>
      <c r="U72" s="3069"/>
      <c r="V72" s="3069"/>
      <c r="W72" s="3069"/>
      <c r="X72" s="3069"/>
      <c r="Y72" s="3069"/>
      <c r="Z72" s="3069"/>
      <c r="AA72" s="3069"/>
      <c r="AB72" s="3069"/>
      <c r="AC72" s="3069"/>
      <c r="AD72" s="3069"/>
      <c r="AE72" s="3069"/>
      <c r="AF72" s="3069"/>
      <c r="AG72" s="3069"/>
      <c r="AH72" s="3069"/>
      <c r="AI72" s="3069"/>
      <c r="AJ72" s="3069"/>
      <c r="AK72" s="3069"/>
      <c r="AL72" s="3069"/>
      <c r="AM72" s="3069"/>
      <c r="AN72" s="3069"/>
      <c r="AO72" s="3069"/>
      <c r="AP72" s="3069"/>
      <c r="AQ72" s="3069"/>
      <c r="AR72" s="3069"/>
      <c r="AS72" s="3069"/>
      <c r="AT72" s="3069"/>
      <c r="AU72" s="3069"/>
      <c r="AV72" s="3069"/>
      <c r="AW72" s="3069"/>
      <c r="AX72" s="3069"/>
      <c r="AY72" s="3069"/>
      <c r="AZ72" s="3069"/>
      <c r="BA72" s="3069"/>
      <c r="BB72" s="3069"/>
      <c r="BC72" s="3069"/>
      <c r="BD72" s="3069"/>
      <c r="BE72" s="3069"/>
      <c r="BF72" s="3069"/>
      <c r="BG72" s="3069"/>
      <c r="BH72" s="3069"/>
      <c r="BI72" s="3069"/>
      <c r="BJ72" s="3069"/>
      <c r="BK72" s="3069"/>
      <c r="BL72" s="3069"/>
      <c r="BM72" s="3069"/>
      <c r="BN72" s="3069"/>
      <c r="BO72" s="3069"/>
      <c r="BP72" s="3069"/>
      <c r="BQ72" s="3069"/>
      <c r="BR72" s="3069"/>
      <c r="BS72" s="3069"/>
      <c r="BT72" s="3069"/>
      <c r="BU72" s="3069"/>
      <c r="BV72" s="3069"/>
      <c r="BW72" s="3069"/>
      <c r="BX72" s="3069"/>
      <c r="BY72" s="3069"/>
      <c r="BZ72" s="3069"/>
      <c r="CA72" s="3069"/>
      <c r="CB72" s="3069"/>
      <c r="CC72" s="3069"/>
      <c r="CD72" s="3069"/>
      <c r="CE72" s="3069"/>
      <c r="CF72" s="3069"/>
      <c r="CG72" s="3069"/>
      <c r="CH72" s="3069"/>
      <c r="CI72" s="3069"/>
      <c r="CJ72" s="3069"/>
      <c r="CK72" s="3069"/>
      <c r="CL72" s="3069"/>
      <c r="CM72" s="3069"/>
      <c r="CN72" s="3069"/>
      <c r="CO72" s="3069"/>
      <c r="CP72" s="3069"/>
      <c r="CQ72" s="3069"/>
      <c r="CR72" s="3069"/>
      <c r="CS72" s="3069"/>
      <c r="CT72" s="3069"/>
      <c r="CU72" s="3069"/>
      <c r="CV72" s="3069"/>
      <c r="CW72" s="3069"/>
      <c r="CX72" s="3069"/>
      <c r="CY72" s="3160"/>
      <c r="CZ72" s="3160"/>
      <c r="DA72" s="3160"/>
      <c r="DB72" s="3160"/>
    </row>
    <row r="73" spans="1:106" s="3050" customFormat="1" ht="20.399999999999999" customHeight="1" thickBot="1">
      <c r="A73" s="3023">
        <f t="shared" ref="A73" si="63">BA66</f>
        <v>8</v>
      </c>
      <c r="B73" s="3024">
        <f t="shared" ref="B73" si="64">BB66</f>
        <v>509.34285114423687</v>
      </c>
      <c r="C73" s="3023">
        <f t="shared" ref="C73" si="65">BC66</f>
        <v>8</v>
      </c>
      <c r="D73" s="3024">
        <f t="shared" ref="D73" si="66">BD66</f>
        <v>509.34285114423687</v>
      </c>
      <c r="E73" s="3023" t="str">
        <f t="shared" ref="E73" si="67">BE66</f>
        <v/>
      </c>
      <c r="F73" s="3024" t="str">
        <f t="shared" ref="F73" si="68">BF66</f>
        <v/>
      </c>
      <c r="G73" s="3023">
        <f t="shared" ref="G73" si="69">BG66</f>
        <v>6</v>
      </c>
      <c r="H73" s="3024">
        <f t="shared" ref="H73" si="70">BH66</f>
        <v>382.00713835817766</v>
      </c>
      <c r="I73" s="3023">
        <f t="shared" ref="I73" si="71">BI66</f>
        <v>8</v>
      </c>
      <c r="J73" s="3024">
        <f t="shared" ref="J73" si="72">BJ66</f>
        <v>509.34285114423687</v>
      </c>
      <c r="K73" s="3023" t="str">
        <f t="shared" ref="K73" si="73">BK66</f>
        <v/>
      </c>
      <c r="L73" s="3024" t="str">
        <f t="shared" ref="L73" si="74">BL66</f>
        <v/>
      </c>
      <c r="N73" s="3071"/>
      <c r="O73" s="3071"/>
      <c r="P73" s="3071"/>
      <c r="Q73" s="3071"/>
      <c r="R73" s="3071"/>
      <c r="S73" s="3071"/>
      <c r="T73" s="3071"/>
      <c r="U73" s="3071"/>
      <c r="V73" s="3071"/>
      <c r="W73" s="3071"/>
      <c r="X73" s="3071"/>
      <c r="Y73" s="3071"/>
      <c r="Z73" s="3071"/>
      <c r="AA73" s="3071"/>
      <c r="AB73" s="3071"/>
      <c r="AC73" s="3071"/>
      <c r="AD73" s="3071"/>
      <c r="AE73" s="3071"/>
      <c r="AF73" s="3071"/>
      <c r="AG73" s="3071"/>
      <c r="AH73" s="3071"/>
      <c r="AI73" s="3071"/>
      <c r="AJ73" s="3071"/>
      <c r="AK73" s="3071"/>
      <c r="AL73" s="3071"/>
      <c r="AM73" s="3071"/>
      <c r="AN73" s="3071"/>
      <c r="AO73" s="3071"/>
      <c r="AP73" s="3071"/>
      <c r="AQ73" s="3071"/>
      <c r="AR73" s="3071"/>
      <c r="AS73" s="3071"/>
      <c r="AT73" s="3071"/>
      <c r="AU73" s="3071"/>
      <c r="AV73" s="3071"/>
      <c r="AW73" s="3071"/>
      <c r="AX73" s="3071"/>
      <c r="AY73" s="3071"/>
      <c r="AZ73" s="3071"/>
      <c r="BA73" s="3071"/>
      <c r="BB73" s="3071"/>
      <c r="BC73" s="3071"/>
      <c r="BD73" s="3071"/>
      <c r="BE73" s="3071"/>
      <c r="BF73" s="3071"/>
      <c r="BG73" s="3071"/>
      <c r="BH73" s="3071"/>
      <c r="BI73" s="3071"/>
      <c r="BJ73" s="3071"/>
      <c r="BK73" s="3071"/>
      <c r="BL73" s="3071"/>
      <c r="BM73" s="3071"/>
      <c r="BN73" s="3071"/>
      <c r="BO73" s="3071"/>
      <c r="BP73" s="3071"/>
      <c r="BQ73" s="3071"/>
      <c r="BR73" s="3071"/>
      <c r="BS73" s="3071"/>
      <c r="BT73" s="3071"/>
      <c r="BU73" s="3071"/>
      <c r="BV73" s="3071"/>
      <c r="BW73" s="3071"/>
      <c r="BX73" s="3071"/>
      <c r="BY73" s="3071"/>
      <c r="BZ73" s="3071"/>
      <c r="CA73" s="3071"/>
      <c r="CB73" s="3071"/>
      <c r="CC73" s="3071"/>
      <c r="CD73" s="3071"/>
      <c r="CE73" s="3071"/>
      <c r="CF73" s="3071"/>
      <c r="CG73" s="3071"/>
      <c r="CH73" s="3071"/>
      <c r="CI73" s="3071"/>
      <c r="CJ73" s="3071"/>
      <c r="CK73" s="3071"/>
      <c r="CL73" s="3071"/>
      <c r="CM73" s="3071"/>
      <c r="CN73" s="3071"/>
      <c r="CO73" s="3071"/>
      <c r="CP73" s="3071"/>
      <c r="CQ73" s="3071"/>
      <c r="CR73" s="3071"/>
      <c r="CS73" s="3071"/>
      <c r="CT73" s="3071"/>
      <c r="CU73" s="3071"/>
      <c r="CV73" s="3071"/>
      <c r="CW73" s="3071"/>
      <c r="CX73" s="3071"/>
      <c r="CY73" s="830"/>
      <c r="CZ73" s="830"/>
      <c r="DA73" s="830"/>
      <c r="DB73" s="830"/>
    </row>
    <row r="74" spans="1:106" ht="17.399999999999999" customHeight="1" thickBot="1">
      <c r="A74" s="3009"/>
      <c r="B74" s="3010"/>
      <c r="C74" s="3011"/>
      <c r="D74" s="3012"/>
      <c r="E74" s="3011"/>
      <c r="F74" s="3012"/>
      <c r="G74" s="3011"/>
      <c r="H74" s="3012"/>
      <c r="I74" s="3054"/>
      <c r="J74" s="3054"/>
      <c r="K74" s="3055"/>
      <c r="L74" s="3054"/>
      <c r="N74" s="565"/>
      <c r="O74" s="565"/>
      <c r="P74" s="565"/>
    </row>
    <row r="75" spans="1:106" s="3031" customFormat="1" ht="19.8" customHeight="1">
      <c r="A75" s="3025" t="s">
        <v>1396</v>
      </c>
      <c r="B75" s="3029"/>
      <c r="C75" s="3029"/>
      <c r="D75" s="3029"/>
      <c r="E75" s="3029"/>
      <c r="F75" s="3029"/>
      <c r="G75" s="3029"/>
      <c r="H75" s="3029"/>
      <c r="I75" s="3029"/>
      <c r="J75" s="3029"/>
      <c r="K75" s="3029"/>
      <c r="L75" s="3029"/>
      <c r="N75" s="3069"/>
      <c r="O75" s="3069"/>
      <c r="P75" s="3069"/>
      <c r="Q75" s="3069"/>
      <c r="R75" s="3069"/>
      <c r="S75" s="3069"/>
      <c r="T75" s="3069"/>
      <c r="U75" s="3069"/>
      <c r="V75" s="3069"/>
      <c r="W75" s="3069"/>
      <c r="X75" s="3069"/>
      <c r="Y75" s="3069"/>
      <c r="Z75" s="3069"/>
      <c r="AA75" s="3069"/>
      <c r="AB75" s="3069"/>
      <c r="AC75" s="3069"/>
      <c r="AD75" s="3069"/>
      <c r="AE75" s="3069"/>
      <c r="AF75" s="3069"/>
      <c r="AG75" s="3069"/>
      <c r="AH75" s="3069"/>
      <c r="AI75" s="3069"/>
      <c r="AJ75" s="3069"/>
      <c r="AK75" s="3069"/>
      <c r="AL75" s="3069"/>
      <c r="AM75" s="3069"/>
      <c r="AN75" s="3069"/>
      <c r="AO75" s="3069"/>
      <c r="AP75" s="3069"/>
      <c r="AQ75" s="3069"/>
      <c r="AR75" s="3069"/>
      <c r="AS75" s="3069"/>
      <c r="AT75" s="3069"/>
      <c r="AU75" s="3069"/>
      <c r="AV75" s="3069"/>
      <c r="AW75" s="3069"/>
      <c r="AX75" s="3069"/>
      <c r="AY75" s="3069"/>
      <c r="AZ75" s="3069"/>
      <c r="BA75" s="3069"/>
      <c r="BB75" s="3069"/>
      <c r="BC75" s="3069"/>
      <c r="BD75" s="3069"/>
      <c r="BE75" s="3069"/>
      <c r="BF75" s="3069"/>
      <c r="BG75" s="3069"/>
      <c r="BH75" s="3069"/>
      <c r="BI75" s="3069"/>
      <c r="BJ75" s="3069"/>
      <c r="BK75" s="3069"/>
      <c r="BL75" s="3069"/>
      <c r="BM75" s="3069"/>
      <c r="BN75" s="3069"/>
      <c r="BO75" s="3069"/>
      <c r="BP75" s="3069"/>
      <c r="BQ75" s="3069"/>
      <c r="BR75" s="3069"/>
      <c r="BS75" s="3069"/>
      <c r="BT75" s="3069"/>
      <c r="BU75" s="3069"/>
      <c r="BV75" s="3069"/>
      <c r="BW75" s="3069"/>
      <c r="BX75" s="3069"/>
      <c r="BY75" s="3069"/>
      <c r="BZ75" s="3069"/>
      <c r="CA75" s="3069"/>
      <c r="CB75" s="3069"/>
      <c r="CC75" s="3069"/>
      <c r="CD75" s="3069"/>
      <c r="CE75" s="3069"/>
      <c r="CF75" s="3069"/>
      <c r="CG75" s="3069"/>
      <c r="CH75" s="3069"/>
      <c r="CI75" s="3069"/>
      <c r="CJ75" s="3069"/>
      <c r="CK75" s="3069"/>
      <c r="CL75" s="3069"/>
      <c r="CM75" s="3069"/>
      <c r="CN75" s="3069"/>
      <c r="CO75" s="3069"/>
      <c r="CP75" s="3069"/>
      <c r="CQ75" s="3069"/>
      <c r="CR75" s="3069"/>
      <c r="CS75" s="3069"/>
      <c r="CT75" s="3069"/>
      <c r="CU75" s="3069"/>
      <c r="CV75" s="3069"/>
      <c r="CW75" s="3069"/>
      <c r="CX75" s="3069"/>
      <c r="CY75" s="3160"/>
      <c r="CZ75" s="3160"/>
      <c r="DA75" s="3160"/>
      <c r="DB75" s="3160"/>
    </row>
    <row r="76" spans="1:106" s="3031" customFormat="1" ht="19.8" customHeight="1">
      <c r="A76" s="3163"/>
      <c r="B76" s="3164" t="s">
        <v>1102</v>
      </c>
      <c r="C76" s="3164" t="s">
        <v>1120</v>
      </c>
      <c r="D76" s="3164" t="s">
        <v>1121</v>
      </c>
      <c r="E76" s="3164" t="s">
        <v>1113</v>
      </c>
      <c r="F76" s="3164" t="s">
        <v>1115</v>
      </c>
      <c r="G76" s="3164" t="s">
        <v>1368</v>
      </c>
      <c r="H76" s="3164" t="s">
        <v>907</v>
      </c>
      <c r="I76" s="3164" t="s">
        <v>1114</v>
      </c>
      <c r="J76" s="3164" t="s">
        <v>1116</v>
      </c>
      <c r="K76" s="3164" t="s">
        <v>1368</v>
      </c>
      <c r="L76" s="3164" t="s">
        <v>907</v>
      </c>
      <c r="N76" s="3069"/>
      <c r="O76" s="3069"/>
      <c r="P76" s="3069"/>
      <c r="Q76" s="3069"/>
      <c r="R76" s="3069"/>
      <c r="S76" s="3069"/>
      <c r="T76" s="3069"/>
      <c r="U76" s="3069"/>
      <c r="V76" s="3069"/>
      <c r="W76" s="3069"/>
      <c r="X76" s="3069"/>
      <c r="Y76" s="3069"/>
      <c r="Z76" s="3069"/>
      <c r="AA76" s="3069"/>
      <c r="AB76" s="3069"/>
      <c r="AC76" s="3069"/>
      <c r="AD76" s="3069"/>
      <c r="AE76" s="3069"/>
      <c r="AF76" s="3069"/>
      <c r="AG76" s="3069"/>
      <c r="AH76" s="3069"/>
      <c r="AI76" s="3069"/>
      <c r="AJ76" s="3069"/>
      <c r="AK76" s="3069"/>
      <c r="AL76" s="3069"/>
      <c r="AM76" s="3069"/>
      <c r="AN76" s="3069"/>
      <c r="AO76" s="3069"/>
      <c r="AP76" s="3069"/>
      <c r="AQ76" s="3069"/>
      <c r="AR76" s="3069"/>
      <c r="AS76" s="3069"/>
      <c r="AT76" s="3069"/>
      <c r="AU76" s="3069"/>
      <c r="AV76" s="3069"/>
      <c r="AW76" s="3069"/>
      <c r="AX76" s="3069"/>
      <c r="AY76" s="3069"/>
      <c r="AZ76" s="3069"/>
      <c r="BA76" s="3069"/>
      <c r="BB76" s="3069"/>
      <c r="BC76" s="3069"/>
      <c r="BD76" s="3069"/>
      <c r="BE76" s="3069"/>
      <c r="BF76" s="3069"/>
      <c r="BG76" s="3069"/>
      <c r="BH76" s="3069"/>
      <c r="BI76" s="3069"/>
      <c r="BJ76" s="3069"/>
      <c r="BK76" s="3069"/>
      <c r="BL76" s="3069"/>
      <c r="BM76" s="3069"/>
      <c r="BN76" s="3069"/>
      <c r="BO76" s="3069"/>
      <c r="BP76" s="3069"/>
      <c r="BQ76" s="3069"/>
      <c r="BR76" s="3069"/>
      <c r="BS76" s="3069"/>
      <c r="BT76" s="3069"/>
      <c r="BU76" s="3069"/>
      <c r="BV76" s="3069"/>
      <c r="BW76" s="3069"/>
      <c r="BX76" s="3069"/>
      <c r="BY76" s="3069"/>
      <c r="BZ76" s="3069"/>
      <c r="CA76" s="3069"/>
      <c r="CB76" s="3069"/>
      <c r="CC76" s="3069"/>
      <c r="CD76" s="3069"/>
      <c r="CE76" s="3069"/>
      <c r="CF76" s="3069"/>
      <c r="CG76" s="3069"/>
      <c r="CH76" s="3069"/>
      <c r="CI76" s="3069"/>
      <c r="CJ76" s="3069"/>
      <c r="CK76" s="3069"/>
      <c r="CL76" s="3069"/>
      <c r="CM76" s="3069"/>
      <c r="CN76" s="3069"/>
      <c r="CO76" s="3069"/>
      <c r="CP76" s="3069"/>
      <c r="CQ76" s="3069"/>
      <c r="CR76" s="3069"/>
      <c r="CS76" s="3069"/>
      <c r="CT76" s="3069"/>
      <c r="CU76" s="3069"/>
      <c r="CV76" s="3069"/>
      <c r="CW76" s="3069"/>
      <c r="CX76" s="3069"/>
      <c r="CY76" s="3160"/>
      <c r="CZ76" s="3160"/>
      <c r="DA76" s="3160"/>
      <c r="DB76" s="3160"/>
    </row>
    <row r="77" spans="1:106" s="3038" customFormat="1" ht="17.399999999999999" customHeight="1" thickBot="1">
      <c r="A77" s="3165" t="str">
        <f t="shared" ref="A77:L77" si="75">CI66</f>
        <v>Januar</v>
      </c>
      <c r="B77" s="3166">
        <f t="shared" si="75"/>
        <v>11</v>
      </c>
      <c r="C77" s="3166">
        <f t="shared" si="75"/>
        <v>0</v>
      </c>
      <c r="D77" s="3166">
        <f t="shared" si="75"/>
        <v>3</v>
      </c>
      <c r="E77" s="3167">
        <f t="shared" si="75"/>
        <v>0</v>
      </c>
      <c r="F77" s="3167">
        <f t="shared" si="75"/>
        <v>4854.3542714396954</v>
      </c>
      <c r="G77" s="3167" t="str">
        <f t="shared" si="75"/>
        <v/>
      </c>
      <c r="H77" s="3167" t="str">
        <f t="shared" si="75"/>
        <v/>
      </c>
      <c r="I77" s="3167">
        <f t="shared" si="75"/>
        <v>0</v>
      </c>
      <c r="J77" s="3167">
        <f t="shared" si="75"/>
        <v>282.58376048092418</v>
      </c>
      <c r="K77" s="3167" t="str">
        <f t="shared" si="75"/>
        <v/>
      </c>
      <c r="L77" s="3167" t="str">
        <f t="shared" si="75"/>
        <v/>
      </c>
      <c r="N77" s="3070"/>
      <c r="O77" s="3070"/>
      <c r="P77" s="3070"/>
      <c r="Q77" s="3070"/>
      <c r="R77" s="3070"/>
      <c r="S77" s="3070"/>
      <c r="T77" s="3070"/>
      <c r="U77" s="3070"/>
      <c r="V77" s="3070"/>
      <c r="W77" s="3070"/>
      <c r="X77" s="3070"/>
      <c r="Y77" s="3070"/>
      <c r="Z77" s="3070"/>
      <c r="AA77" s="3070"/>
      <c r="AB77" s="3070"/>
      <c r="AC77" s="3070"/>
      <c r="AD77" s="3070"/>
      <c r="AE77" s="3070"/>
      <c r="AF77" s="3070"/>
      <c r="AG77" s="3070"/>
      <c r="AH77" s="3070"/>
      <c r="AI77" s="3070"/>
      <c r="AJ77" s="3070"/>
      <c r="AK77" s="3070"/>
      <c r="AL77" s="3070"/>
      <c r="AM77" s="3070"/>
      <c r="AN77" s="3070"/>
      <c r="AO77" s="3070"/>
      <c r="AP77" s="3070"/>
      <c r="AQ77" s="3070"/>
      <c r="AR77" s="3070"/>
      <c r="AS77" s="3070"/>
      <c r="AT77" s="3070"/>
      <c r="AU77" s="3070"/>
      <c r="AV77" s="3070"/>
      <c r="AW77" s="3070"/>
      <c r="AX77" s="3070"/>
      <c r="AY77" s="3070"/>
      <c r="AZ77" s="3070"/>
      <c r="BA77" s="3070"/>
      <c r="BB77" s="3070"/>
      <c r="BC77" s="3070"/>
      <c r="BD77" s="3070"/>
      <c r="BE77" s="3070"/>
      <c r="BF77" s="3070"/>
      <c r="BG77" s="3070"/>
      <c r="BH77" s="3070"/>
      <c r="BI77" s="3070"/>
      <c r="BJ77" s="3070"/>
      <c r="BK77" s="3070"/>
      <c r="BL77" s="3070"/>
      <c r="BM77" s="3070"/>
      <c r="BN77" s="3070"/>
      <c r="BO77" s="3070"/>
      <c r="BP77" s="3070"/>
      <c r="BQ77" s="3070"/>
      <c r="BR77" s="3070"/>
      <c r="BS77" s="3070"/>
      <c r="BT77" s="3070"/>
      <c r="BU77" s="3070"/>
      <c r="BV77" s="3070"/>
      <c r="BW77" s="3070"/>
      <c r="BX77" s="3070"/>
      <c r="BY77" s="3070"/>
      <c r="BZ77" s="3070"/>
      <c r="CA77" s="3070"/>
      <c r="CB77" s="3070"/>
      <c r="CC77" s="3070"/>
      <c r="CD77" s="3070"/>
      <c r="CE77" s="3070"/>
      <c r="CF77" s="3070"/>
      <c r="CG77" s="3070"/>
      <c r="CH77" s="3070"/>
      <c r="CI77" s="3070"/>
      <c r="CJ77" s="3070"/>
      <c r="CK77" s="3070"/>
      <c r="CL77" s="3070"/>
      <c r="CM77" s="3070"/>
      <c r="CN77" s="3070"/>
      <c r="CO77" s="3070"/>
      <c r="CP77" s="3070"/>
      <c r="CQ77" s="3070"/>
      <c r="CR77" s="3070"/>
      <c r="CS77" s="3070"/>
      <c r="CT77" s="3070"/>
      <c r="CU77" s="3070"/>
      <c r="CV77" s="3070"/>
      <c r="CW77" s="3070"/>
      <c r="CX77" s="3070"/>
      <c r="CY77" s="3158"/>
      <c r="CZ77" s="3158"/>
      <c r="DA77" s="3158"/>
      <c r="DB77" s="3158"/>
    </row>
    <row r="78" spans="1:106" s="3042" customFormat="1" ht="15" customHeight="1" thickBot="1">
      <c r="A78" s="3072"/>
      <c r="B78" s="3072"/>
      <c r="C78" s="3072"/>
      <c r="D78" s="3161"/>
      <c r="E78" s="3161"/>
      <c r="F78" s="3161"/>
      <c r="G78" s="3161"/>
      <c r="H78" s="3161"/>
      <c r="I78" s="3161"/>
      <c r="J78" s="3161"/>
      <c r="K78" s="3161"/>
      <c r="L78" s="3161"/>
      <c r="N78" s="3072"/>
      <c r="O78" s="3072"/>
      <c r="P78" s="3072"/>
      <c r="Q78" s="3072"/>
      <c r="R78" s="3072"/>
      <c r="S78" s="3072"/>
      <c r="T78" s="3072"/>
      <c r="U78" s="3072"/>
      <c r="V78" s="3072"/>
      <c r="W78" s="3072"/>
      <c r="X78" s="3072"/>
      <c r="Y78" s="3072"/>
      <c r="Z78" s="3072"/>
      <c r="AA78" s="3072"/>
      <c r="AB78" s="3072"/>
      <c r="AC78" s="3072"/>
      <c r="AD78" s="3072"/>
      <c r="AE78" s="3072"/>
      <c r="AF78" s="3072"/>
      <c r="AG78" s="3072"/>
      <c r="AH78" s="3072"/>
      <c r="AI78" s="3072"/>
      <c r="AJ78" s="3072"/>
      <c r="AK78" s="3072"/>
      <c r="AL78" s="3072"/>
      <c r="AM78" s="3072"/>
      <c r="AN78" s="3072"/>
      <c r="AO78" s="3072"/>
      <c r="AP78" s="3072"/>
      <c r="AQ78" s="3072"/>
      <c r="AR78" s="3072"/>
      <c r="AS78" s="3072"/>
      <c r="AT78" s="3072"/>
      <c r="AU78" s="3072"/>
      <c r="AV78" s="3072"/>
      <c r="AW78" s="3072"/>
      <c r="AX78" s="3072"/>
      <c r="AY78" s="3072"/>
      <c r="AZ78" s="3072"/>
      <c r="BA78" s="3072"/>
      <c r="BB78" s="3072"/>
      <c r="BC78" s="3072"/>
      <c r="BD78" s="3072"/>
      <c r="BE78" s="3072"/>
      <c r="BF78" s="3072"/>
      <c r="BG78" s="3072"/>
      <c r="BH78" s="3072"/>
      <c r="BI78" s="3072"/>
      <c r="BJ78" s="3072"/>
      <c r="BK78" s="3072"/>
      <c r="BL78" s="3072"/>
      <c r="BM78" s="3072"/>
      <c r="BN78" s="3072"/>
      <c r="BO78" s="3072"/>
      <c r="BP78" s="3072"/>
      <c r="BQ78" s="3072"/>
      <c r="BR78" s="3072"/>
      <c r="BS78" s="3072"/>
      <c r="BT78" s="3072"/>
      <c r="BU78" s="3072"/>
      <c r="BV78" s="3072"/>
      <c r="BW78" s="3072"/>
      <c r="BX78" s="3072"/>
      <c r="BY78" s="3072"/>
      <c r="BZ78" s="3072"/>
      <c r="CA78" s="3072"/>
      <c r="CB78" s="3072"/>
      <c r="CC78" s="3072"/>
      <c r="CD78" s="3072"/>
      <c r="CE78" s="3072"/>
      <c r="CF78" s="3072"/>
      <c r="CG78" s="3072"/>
      <c r="CH78" s="3072"/>
      <c r="CI78" s="3072"/>
      <c r="CJ78" s="3072"/>
      <c r="CK78" s="3072"/>
      <c r="CL78" s="3072"/>
      <c r="CM78" s="3072"/>
      <c r="CN78" s="3072"/>
      <c r="CO78" s="3072"/>
      <c r="CP78" s="3072"/>
      <c r="CQ78" s="3072"/>
      <c r="CR78" s="3072"/>
      <c r="CS78" s="3072"/>
      <c r="CT78" s="3072"/>
      <c r="CU78" s="3072"/>
      <c r="CV78" s="3072"/>
      <c r="CW78" s="3072"/>
      <c r="CX78" s="3072"/>
      <c r="CY78" s="3161"/>
      <c r="CZ78" s="3161"/>
      <c r="DA78" s="3161"/>
      <c r="DB78" s="3161"/>
    </row>
    <row r="79" spans="1:106" s="3048" customFormat="1" ht="17.399999999999999" customHeight="1">
      <c r="A79" s="3025" t="s">
        <v>1363</v>
      </c>
      <c r="B79" s="3026"/>
      <c r="C79" s="3027" t="s">
        <v>1394</v>
      </c>
      <c r="D79" s="3027"/>
      <c r="E79" s="4366" t="s">
        <v>1364</v>
      </c>
      <c r="F79" s="4367"/>
      <c r="G79" s="3028"/>
      <c r="H79" s="3029"/>
      <c r="I79" s="4368" t="s">
        <v>1365</v>
      </c>
      <c r="J79" s="4369"/>
      <c r="K79" s="3030"/>
      <c r="L79" s="3162"/>
      <c r="N79" s="3073"/>
      <c r="O79" s="3073"/>
      <c r="P79" s="3073"/>
      <c r="Q79" s="3073"/>
      <c r="R79" s="3073"/>
      <c r="S79" s="3073"/>
      <c r="T79" s="3073"/>
      <c r="U79" s="3073"/>
      <c r="V79" s="3073"/>
      <c r="W79" s="3073"/>
      <c r="X79" s="3073"/>
      <c r="Y79" s="3073"/>
      <c r="Z79" s="3073"/>
      <c r="AA79" s="3073"/>
      <c r="AB79" s="3073"/>
      <c r="AC79" s="3073"/>
      <c r="AD79" s="3073"/>
      <c r="AE79" s="3073"/>
      <c r="AF79" s="3073"/>
      <c r="AG79" s="3073"/>
      <c r="AH79" s="3073"/>
      <c r="AI79" s="3073"/>
      <c r="AJ79" s="3073"/>
      <c r="AK79" s="3073"/>
      <c r="AL79" s="3073"/>
      <c r="AM79" s="3073"/>
      <c r="AN79" s="3073"/>
      <c r="AO79" s="3073"/>
      <c r="AP79" s="3073"/>
      <c r="AQ79" s="3073"/>
      <c r="AR79" s="3073"/>
      <c r="AS79" s="3073"/>
      <c r="AT79" s="3073"/>
      <c r="AU79" s="3073"/>
      <c r="AV79" s="3073"/>
      <c r="AW79" s="3073"/>
      <c r="AX79" s="3073"/>
      <c r="AY79" s="3073"/>
      <c r="AZ79" s="3073"/>
      <c r="BA79" s="3073"/>
      <c r="BB79" s="3073"/>
      <c r="BC79" s="3073"/>
      <c r="BD79" s="3073"/>
      <c r="BE79" s="3073"/>
      <c r="BF79" s="3073"/>
      <c r="BG79" s="3073"/>
      <c r="BH79" s="3073"/>
      <c r="BI79" s="3073"/>
      <c r="BJ79" s="3073"/>
      <c r="BK79" s="3073"/>
      <c r="BL79" s="3073"/>
      <c r="BM79" s="3073"/>
      <c r="BN79" s="3073"/>
      <c r="BO79" s="3073"/>
      <c r="BP79" s="3073"/>
      <c r="BQ79" s="3073"/>
      <c r="BR79" s="3073"/>
      <c r="BS79" s="3073"/>
      <c r="BT79" s="3073"/>
      <c r="BU79" s="3073"/>
      <c r="BV79" s="3073"/>
      <c r="BW79" s="3073"/>
      <c r="BX79" s="3073"/>
      <c r="BY79" s="3073"/>
      <c r="BZ79" s="3073"/>
      <c r="CA79" s="3073"/>
      <c r="CB79" s="3073"/>
      <c r="CC79" s="3073"/>
      <c r="CD79" s="3073"/>
      <c r="CE79" s="3073"/>
      <c r="CF79" s="3073"/>
      <c r="CG79" s="3073"/>
      <c r="CH79" s="3073"/>
      <c r="CI79" s="3073"/>
      <c r="CJ79" s="3073"/>
      <c r="CK79" s="3073"/>
      <c r="CL79" s="3073"/>
      <c r="CM79" s="3073"/>
      <c r="CN79" s="3073"/>
      <c r="CO79" s="3073"/>
      <c r="CP79" s="3073"/>
      <c r="CQ79" s="3073"/>
      <c r="CR79" s="3073"/>
      <c r="CS79" s="3073"/>
      <c r="CT79" s="3073"/>
      <c r="CU79" s="3073"/>
      <c r="CV79" s="3073"/>
      <c r="CW79" s="3073"/>
      <c r="CX79" s="3073"/>
      <c r="CY79" s="3162"/>
      <c r="CZ79" s="3162"/>
      <c r="DA79" s="3162"/>
      <c r="DB79" s="3162"/>
    </row>
    <row r="80" spans="1:106" ht="15.6" customHeight="1">
      <c r="A80" s="3032" t="s">
        <v>1366</v>
      </c>
      <c r="B80" s="3032" t="s">
        <v>1367</v>
      </c>
      <c r="C80" s="3033" t="s">
        <v>1368</v>
      </c>
      <c r="E80" s="3034" t="s">
        <v>1113</v>
      </c>
      <c r="F80" s="3034" t="s">
        <v>1115</v>
      </c>
      <c r="G80" s="3035" t="s">
        <v>1368</v>
      </c>
      <c r="I80" s="3036" t="s">
        <v>1114</v>
      </c>
      <c r="J80" s="3036" t="s">
        <v>1116</v>
      </c>
      <c r="K80" s="3033" t="s">
        <v>1368</v>
      </c>
      <c r="L80" s="1869"/>
      <c r="N80" s="565"/>
      <c r="O80" s="565"/>
      <c r="P80" s="565"/>
    </row>
    <row r="81" spans="1:106" ht="15.6" customHeight="1">
      <c r="A81" s="3037">
        <f>E81+I81</f>
        <v>0</v>
      </c>
      <c r="B81" s="3037">
        <f>BP66</f>
        <v>59763.199999999997</v>
      </c>
      <c r="C81" s="3052">
        <f>A81-B81</f>
        <v>-59763.199999999997</v>
      </c>
      <c r="D81" s="3038"/>
      <c r="E81" s="3039">
        <f>BS66</f>
        <v>0</v>
      </c>
      <c r="F81" s="3039">
        <f>BT66</f>
        <v>56487.031522207377</v>
      </c>
      <c r="G81" s="3053">
        <f>BU66</f>
        <v>-56487.031522207377</v>
      </c>
      <c r="H81" s="3038"/>
      <c r="I81" s="3037">
        <f>BW66</f>
        <v>0</v>
      </c>
      <c r="J81" s="3037">
        <f>BX66</f>
        <v>3288.2473946871178</v>
      </c>
      <c r="K81" s="3052">
        <f>BY66</f>
        <v>-3288.2473946871178</v>
      </c>
      <c r="L81" s="1869"/>
      <c r="N81" s="565"/>
      <c r="O81" s="565"/>
      <c r="P81" s="565"/>
    </row>
    <row r="82" spans="1:106" ht="15.6" customHeight="1">
      <c r="A82" s="3040" t="s">
        <v>1150</v>
      </c>
      <c r="B82" s="3032" t="s">
        <v>1369</v>
      </c>
      <c r="C82" s="3036" t="s">
        <v>907</v>
      </c>
      <c r="E82" s="3041" t="s">
        <v>1370</v>
      </c>
      <c r="F82" s="3041" t="s">
        <v>1148</v>
      </c>
      <c r="G82" s="3034" t="s">
        <v>907</v>
      </c>
      <c r="I82" s="3040" t="s">
        <v>1371</v>
      </c>
      <c r="J82" s="3040" t="s">
        <v>1149</v>
      </c>
      <c r="K82" s="3036" t="s">
        <v>907</v>
      </c>
      <c r="L82" s="1869"/>
      <c r="M82" s="565"/>
      <c r="N82" s="565"/>
      <c r="O82" s="565"/>
      <c r="P82" s="565"/>
    </row>
    <row r="83" spans="1:106" ht="15.6" customHeight="1" thickBot="1">
      <c r="A83" s="3043">
        <f>CE66</f>
        <v>0</v>
      </c>
      <c r="B83" s="3044" t="str">
        <f>CA66</f>
        <v/>
      </c>
      <c r="C83" s="3043">
        <f>SUM(G83,K83)</f>
        <v>0</v>
      </c>
      <c r="D83" s="3045"/>
      <c r="E83" s="3046" t="str">
        <f>CB66</f>
        <v/>
      </c>
      <c r="F83" s="3047">
        <f>CF66</f>
        <v>0</v>
      </c>
      <c r="G83" s="3047" t="str">
        <f>BV66</f>
        <v/>
      </c>
      <c r="H83" s="3045"/>
      <c r="I83" s="3044" t="str">
        <f>CC66</f>
        <v/>
      </c>
      <c r="J83" s="3043">
        <f>CG66</f>
        <v>0</v>
      </c>
      <c r="K83" s="3043" t="str">
        <f>BZ66</f>
        <v/>
      </c>
      <c r="L83" s="1869"/>
      <c r="N83" s="565"/>
      <c r="O83" s="565"/>
      <c r="P83" s="565"/>
    </row>
    <row r="84" spans="1:106">
      <c r="N84" s="565"/>
      <c r="O84" s="565"/>
      <c r="P84" s="565"/>
    </row>
    <row r="85" spans="1:106">
      <c r="N85" s="565"/>
      <c r="O85" s="565"/>
      <c r="P85" s="565"/>
    </row>
    <row r="86" spans="1:106" ht="76.8" customHeight="1">
      <c r="A86" s="4360" t="str">
        <f>N88</f>
        <v>Christa</v>
      </c>
      <c r="B86" s="4361"/>
      <c r="C86" s="3168" t="s">
        <v>1348</v>
      </c>
      <c r="D86" s="3168" t="s">
        <v>1349</v>
      </c>
      <c r="E86" s="3168" t="s">
        <v>1350</v>
      </c>
      <c r="F86" s="3168" t="s">
        <v>1351</v>
      </c>
      <c r="G86" s="3168" t="s">
        <v>663</v>
      </c>
      <c r="H86" s="3168" t="s">
        <v>490</v>
      </c>
      <c r="I86" s="3168" t="s">
        <v>1352</v>
      </c>
      <c r="J86" s="3168" t="s">
        <v>1353</v>
      </c>
      <c r="K86" s="3168" t="s">
        <v>1354</v>
      </c>
      <c r="L86" s="3169"/>
      <c r="N86" s="565"/>
      <c r="O86" s="3074">
        <f>O$1</f>
        <v>0</v>
      </c>
      <c r="P86" s="3074">
        <f t="shared" ref="P86:CA86" si="76">P$1</f>
        <v>0</v>
      </c>
      <c r="Q86" s="3074" t="str">
        <f t="shared" si="76"/>
        <v>Bruttolohn pro Monat 
ohne Provision</v>
      </c>
      <c r="R86" s="3074" t="str">
        <f t="shared" si="76"/>
        <v>einmalige Sonderzahlung z.B.Weihnachts-geld</v>
      </c>
      <c r="S86" s="3074" t="str">
        <f t="shared" si="76"/>
        <v xml:space="preserve">einmalige Sonderzahlung z.B. Urlaubsgeld </v>
      </c>
      <c r="T86" s="3074" t="str">
        <f t="shared" si="76"/>
        <v>regelmäßige monatl. Sonder-zahlung (z.B.Werkzeuggeld, VWL usw.)</v>
      </c>
      <c r="U86" s="3074" t="str">
        <f t="shared" si="76"/>
        <v>einmalige steuerfreie Sonder-zahlung</v>
      </c>
      <c r="V86" s="3074" t="str">
        <f t="shared" si="76"/>
        <v>regelmäßige monatl. Sonder-zahlung steuerfrei</v>
      </c>
      <c r="W86" s="3074" t="str">
        <f t="shared" si="76"/>
        <v>Bruttolohn pro Stunde</v>
      </c>
      <c r="X86" s="3074" t="str">
        <f t="shared" si="76"/>
        <v>Gesamtlohn. Alle Sonderzahl-ungen sind auf 1 Monat gerechnet</v>
      </c>
      <c r="Y86" s="3074" t="str">
        <f t="shared" si="76"/>
        <v xml:space="preserve">Wochenstd.   x  4,33  =  
Arb. -Std. pro Monat </v>
      </c>
      <c r="Z86" s="3074" t="str">
        <f t="shared" si="76"/>
        <v>Stunden - Lohn 
Bruttolohn incl. aller Zusatz-zahlungen</v>
      </c>
      <c r="AA86" s="3074" t="str">
        <f t="shared" si="76"/>
        <v>Wieviele bezahlte Anwesend-heitsmonate in diesem Planungsjahr</v>
      </c>
      <c r="AB86" s="3074" t="str">
        <f t="shared" si="76"/>
        <v>Daraus resultierende wahrschein-liche Arbeitstage im Jahr</v>
      </c>
      <c r="AC86" s="3074" t="str">
        <f t="shared" si="76"/>
        <v>Personal-faktor / VBE</v>
      </c>
      <c r="AD86" s="3074" t="str">
        <f t="shared" si="76"/>
        <v>Brutto Jahreslohn-summe</v>
      </c>
      <c r="AE86" s="3074" t="str">
        <f t="shared" si="76"/>
        <v>Summe Url.-+Weihn.-Geld usw. monatlich</v>
      </c>
      <c r="AF86" s="3074" t="str">
        <f t="shared" si="76"/>
        <v>x Lohn-faktor</v>
      </c>
      <c r="AG86" s="3074" t="str">
        <f t="shared" si="76"/>
        <v>Sollumsatz pro Arbeits-monat €</v>
      </c>
      <c r="AH86" s="3074" t="str">
        <f t="shared" si="76"/>
        <v>Sollumsatz DL pro Anwesen-heitstag €</v>
      </c>
      <c r="AI86" s="3074" t="str">
        <f t="shared" si="76"/>
        <v>Verkaufs-anteil %</v>
      </c>
      <c r="AJ86" s="3074" t="str">
        <f t="shared" si="76"/>
        <v>Verkaufs-anteil € pro Tag</v>
      </c>
      <c r="AK86" s="3074">
        <f t="shared" si="76"/>
        <v>0</v>
      </c>
      <c r="AL86" s="3074" t="str">
        <f t="shared" si="76"/>
        <v>Gesamt-sollumsatz pro Tag €</v>
      </c>
      <c r="AM86" s="3074">
        <f t="shared" si="76"/>
        <v>0</v>
      </c>
      <c r="AN86" s="3074">
        <f t="shared" si="76"/>
        <v>0</v>
      </c>
      <c r="AO86" s="3074" t="str">
        <f t="shared" si="76"/>
        <v>Std</v>
      </c>
      <c r="AP86" s="3074" t="str">
        <f t="shared" si="76"/>
        <v>Tage pro Woche</v>
      </c>
      <c r="AQ86" s="3074" t="str">
        <f t="shared" si="76"/>
        <v>Tage pro Monat</v>
      </c>
      <c r="AR86" s="3074" t="str">
        <f t="shared" si="76"/>
        <v>Gesamtumsatz pro M.</v>
      </c>
      <c r="AS86" s="3074" t="str">
        <f t="shared" si="76"/>
        <v>DL-Umsatz pro M.</v>
      </c>
      <c r="AT86" s="3074" t="str">
        <f t="shared" si="76"/>
        <v>VK-Umsatz pro M.</v>
      </c>
      <c r="AU86" s="3074" t="str">
        <f t="shared" si="76"/>
        <v>Umsatz p. Woche</v>
      </c>
      <c r="AV86" s="3074" t="str">
        <f t="shared" si="76"/>
        <v>Umsatz p. Std</v>
      </c>
      <c r="AW86" s="3074">
        <f t="shared" si="76"/>
        <v>0</v>
      </c>
      <c r="AX86" s="3074" t="str">
        <f t="shared" si="76"/>
        <v>Umsatz p. Std mit Leerlauf</v>
      </c>
      <c r="AY86" s="3074" t="str">
        <f t="shared" si="76"/>
        <v>&lt;-- andern auf Seite 22</v>
      </c>
      <c r="AZ86" s="3074">
        <f t="shared" si="76"/>
        <v>0</v>
      </c>
      <c r="BA86" s="3074" t="str">
        <f t="shared" si="76"/>
        <v>Montag</v>
      </c>
      <c r="BB86" s="3074">
        <f t="shared" si="76"/>
        <v>0</v>
      </c>
      <c r="BC86" s="3074" t="str">
        <f t="shared" si="76"/>
        <v>Dienstag</v>
      </c>
      <c r="BD86" s="3074">
        <f t="shared" si="76"/>
        <v>0</v>
      </c>
      <c r="BE86" s="3074" t="str">
        <f t="shared" si="76"/>
        <v>Mittwoch</v>
      </c>
      <c r="BF86" s="3074">
        <f t="shared" si="76"/>
        <v>0</v>
      </c>
      <c r="BG86" s="3074" t="str">
        <f t="shared" si="76"/>
        <v>Donnerstag</v>
      </c>
      <c r="BH86" s="3074">
        <f t="shared" si="76"/>
        <v>0</v>
      </c>
      <c r="BI86" s="3074" t="str">
        <f t="shared" si="76"/>
        <v>Freitag</v>
      </c>
      <c r="BJ86" s="3074">
        <f t="shared" si="76"/>
        <v>0</v>
      </c>
      <c r="BK86" s="3074" t="str">
        <f t="shared" si="76"/>
        <v>Samstag</v>
      </c>
      <c r="BL86" s="3074">
        <f t="shared" si="76"/>
        <v>0</v>
      </c>
      <c r="BM86" s="3074" t="str">
        <f t="shared" si="76"/>
        <v>Arbeitstage</v>
      </c>
      <c r="BN86" s="3074" t="str">
        <f t="shared" si="76"/>
        <v>Urlaubstage</v>
      </c>
      <c r="BO86" s="3074" t="str">
        <f t="shared" si="76"/>
        <v>Krankentage</v>
      </c>
      <c r="BP86" s="3074" t="str">
        <f t="shared" si="76"/>
        <v>Ums/Ges</v>
      </c>
      <c r="BQ86" s="3074" t="str">
        <f t="shared" si="76"/>
        <v>Ums/DL</v>
      </c>
      <c r="BR86" s="3074" t="str">
        <f t="shared" si="76"/>
        <v>Ums/VK</v>
      </c>
      <c r="BS86" s="3074" t="str">
        <f t="shared" si="76"/>
        <v>DL Differenz Soll/Ist</v>
      </c>
      <c r="BT86" s="3074">
        <f t="shared" si="76"/>
        <v>0</v>
      </c>
      <c r="BU86" s="3074">
        <f t="shared" si="76"/>
        <v>0</v>
      </c>
      <c r="BV86" s="3074">
        <f t="shared" si="76"/>
        <v>0</v>
      </c>
      <c r="BW86" s="3074" t="str">
        <f t="shared" si="76"/>
        <v>Verkauf Differenz Soll/Ist</v>
      </c>
      <c r="BX86" s="3074">
        <f t="shared" si="76"/>
        <v>0</v>
      </c>
      <c r="BY86" s="3074">
        <f t="shared" si="76"/>
        <v>0</v>
      </c>
      <c r="BZ86" s="3074">
        <f t="shared" si="76"/>
        <v>0</v>
      </c>
      <c r="CA86" s="3074">
        <f t="shared" si="76"/>
        <v>0</v>
      </c>
      <c r="CB86" s="3074" t="str">
        <f t="shared" ref="CB86:CG86" si="77">CB$1</f>
        <v>Monate im +</v>
      </c>
      <c r="CC86" s="3074" t="str">
        <f t="shared" si="77"/>
        <v>Monate im +</v>
      </c>
      <c r="CD86" s="3074">
        <f t="shared" si="77"/>
        <v>0</v>
      </c>
      <c r="CE86" s="3074">
        <f t="shared" si="77"/>
        <v>0</v>
      </c>
      <c r="CF86" s="3074">
        <f t="shared" si="77"/>
        <v>0</v>
      </c>
      <c r="CG86" s="3074">
        <f t="shared" si="77"/>
        <v>0</v>
      </c>
    </row>
    <row r="87" spans="1:106" s="3000" customFormat="1" ht="20.399999999999999" customHeight="1" thickBot="1">
      <c r="A87" s="3051">
        <f>CH88</f>
        <v>5</v>
      </c>
      <c r="B87" s="3001"/>
      <c r="C87" s="3002">
        <f t="shared" ref="C87" si="78">Q88</f>
        <v>1040</v>
      </c>
      <c r="D87" s="3002">
        <f t="shared" ref="D87" si="79">R88</f>
        <v>0</v>
      </c>
      <c r="E87" s="3002">
        <f t="shared" ref="E87" si="80">S88</f>
        <v>0</v>
      </c>
      <c r="F87" s="3002">
        <f t="shared" ref="F87" si="81">T88</f>
        <v>0</v>
      </c>
      <c r="G87" s="3002">
        <f t="shared" ref="G87" si="82">U88</f>
        <v>0</v>
      </c>
      <c r="H87" s="3002">
        <f t="shared" ref="H87" si="83">V88</f>
        <v>0</v>
      </c>
      <c r="I87" s="3002">
        <f>X88</f>
        <v>1040</v>
      </c>
      <c r="J87" s="3003">
        <f>AA88</f>
        <v>12</v>
      </c>
      <c r="K87" s="3004">
        <f>AD88</f>
        <v>12480</v>
      </c>
      <c r="N87" s="565" t="s">
        <v>1345</v>
      </c>
      <c r="O87" s="3074">
        <f t="shared" ref="O87:AT87" si="84">O45</f>
        <v>3</v>
      </c>
      <c r="P87" s="3074">
        <f t="shared" si="84"/>
        <v>13.24</v>
      </c>
      <c r="Q87" s="3074">
        <f t="shared" si="84"/>
        <v>1490.5592000000001</v>
      </c>
      <c r="R87" s="3074">
        <f t="shared" si="84"/>
        <v>0</v>
      </c>
      <c r="S87" s="3074">
        <f t="shared" si="84"/>
        <v>0</v>
      </c>
      <c r="T87" s="3074">
        <f t="shared" si="84"/>
        <v>0</v>
      </c>
      <c r="U87" s="3074">
        <f t="shared" si="84"/>
        <v>0</v>
      </c>
      <c r="V87" s="3074">
        <f t="shared" si="84"/>
        <v>0</v>
      </c>
      <c r="W87" s="3074">
        <f t="shared" si="84"/>
        <v>13.240000000000002</v>
      </c>
      <c r="X87" s="3074">
        <f t="shared" si="84"/>
        <v>1490.5592000000001</v>
      </c>
      <c r="Y87" s="3074">
        <f t="shared" si="84"/>
        <v>112.58</v>
      </c>
      <c r="Z87" s="3074">
        <f t="shared" si="84"/>
        <v>13.240000000000002</v>
      </c>
      <c r="AA87" s="3074">
        <f t="shared" si="84"/>
        <v>12</v>
      </c>
      <c r="AB87" s="3074">
        <f t="shared" si="84"/>
        <v>151.543938</v>
      </c>
      <c r="AC87" s="3074">
        <f t="shared" si="84"/>
        <v>0.65</v>
      </c>
      <c r="AD87" s="3074">
        <f t="shared" si="84"/>
        <v>17886.710400000004</v>
      </c>
      <c r="AE87" s="3074">
        <f t="shared" si="84"/>
        <v>0</v>
      </c>
      <c r="AF87" s="3074">
        <f t="shared" si="84"/>
        <v>4.63</v>
      </c>
      <c r="AG87" s="3074">
        <f t="shared" si="84"/>
        <v>6901</v>
      </c>
      <c r="AH87" s="3074">
        <f t="shared" si="84"/>
        <v>429.96519242847216</v>
      </c>
      <c r="AI87" s="3074">
        <f t="shared" si="84"/>
        <v>5.5021555102258944E-2</v>
      </c>
      <c r="AJ87" s="3074">
        <f t="shared" si="84"/>
        <v>25.034807571527821</v>
      </c>
      <c r="AK87" s="3074">
        <f t="shared" si="84"/>
        <v>0</v>
      </c>
      <c r="AL87" s="3074">
        <f t="shared" si="84"/>
        <v>455.36</v>
      </c>
      <c r="AM87" s="3074">
        <f t="shared" si="84"/>
        <v>0</v>
      </c>
      <c r="AN87" s="3074">
        <f t="shared" si="84"/>
        <v>0</v>
      </c>
      <c r="AO87" s="3074">
        <f t="shared" si="84"/>
        <v>26</v>
      </c>
      <c r="AP87" s="3074">
        <f t="shared" si="84"/>
        <v>3.5</v>
      </c>
      <c r="AQ87" s="3074">
        <f t="shared" si="84"/>
        <v>15.155000000000001</v>
      </c>
      <c r="AR87" s="3074">
        <f t="shared" si="84"/>
        <v>6901</v>
      </c>
      <c r="AS87" s="3074">
        <f t="shared" si="84"/>
        <v>6521.2962482393114</v>
      </c>
      <c r="AT87" s="3074">
        <f t="shared" si="84"/>
        <v>379.70375176068899</v>
      </c>
      <c r="AU87" s="3074">
        <f t="shared" ref="AU87:BZ87" si="85">AU45</f>
        <v>1592.5</v>
      </c>
      <c r="AV87" s="3074">
        <f t="shared" si="85"/>
        <v>61.29863208385148</v>
      </c>
      <c r="AW87" s="3074">
        <f t="shared" si="85"/>
        <v>0</v>
      </c>
      <c r="AX87" s="3074">
        <f t="shared" si="85"/>
        <v>76.623290104814345</v>
      </c>
      <c r="AY87" s="3074" t="str">
        <f t="shared" si="85"/>
        <v>Karina</v>
      </c>
      <c r="AZ87" s="3074">
        <f t="shared" si="85"/>
        <v>68955.25</v>
      </c>
      <c r="BA87" s="3074">
        <f t="shared" si="85"/>
        <v>4</v>
      </c>
      <c r="BB87" s="3074">
        <f t="shared" si="85"/>
        <v>245.19452833540592</v>
      </c>
      <c r="BC87" s="3074" t="str">
        <f t="shared" si="85"/>
        <v/>
      </c>
      <c r="BD87" s="3074" t="str">
        <f t="shared" si="85"/>
        <v/>
      </c>
      <c r="BE87" s="3074">
        <f t="shared" si="85"/>
        <v>8</v>
      </c>
      <c r="BF87" s="3074">
        <f t="shared" si="85"/>
        <v>490.38905667081184</v>
      </c>
      <c r="BG87" s="3074" t="str">
        <f t="shared" si="85"/>
        <v/>
      </c>
      <c r="BH87" s="3074" t="str">
        <f t="shared" si="85"/>
        <v/>
      </c>
      <c r="BI87" s="3074">
        <f t="shared" si="85"/>
        <v>8</v>
      </c>
      <c r="BJ87" s="3074">
        <f t="shared" si="85"/>
        <v>490.38905667081184</v>
      </c>
      <c r="BK87" s="3074">
        <f t="shared" si="85"/>
        <v>8</v>
      </c>
      <c r="BL87" s="3074">
        <f t="shared" si="85"/>
        <v>490.38905667081184</v>
      </c>
      <c r="BM87" s="3074">
        <f t="shared" si="85"/>
        <v>149</v>
      </c>
      <c r="BN87" s="3074">
        <f t="shared" si="85"/>
        <v>17</v>
      </c>
      <c r="BO87" s="3074">
        <f t="shared" si="85"/>
        <v>12</v>
      </c>
      <c r="BP87" s="3074">
        <f t="shared" si="85"/>
        <v>67848.639999999999</v>
      </c>
      <c r="BQ87" s="3074">
        <f t="shared" si="85"/>
        <v>64064.813671842356</v>
      </c>
      <c r="BR87" s="3074">
        <f t="shared" si="85"/>
        <v>3733.1480707583405</v>
      </c>
      <c r="BS87" s="3074">
        <f t="shared" si="85"/>
        <v>0</v>
      </c>
      <c r="BT87" s="3074">
        <f t="shared" si="85"/>
        <v>64064.813671842356</v>
      </c>
      <c r="BU87" s="3074">
        <f t="shared" si="85"/>
        <v>-64064.813671842356</v>
      </c>
      <c r="BV87" s="3074" t="str">
        <f t="shared" si="85"/>
        <v/>
      </c>
      <c r="BW87" s="3074">
        <f t="shared" si="85"/>
        <v>0</v>
      </c>
      <c r="BX87" s="3074">
        <f t="shared" si="85"/>
        <v>3733.148070758341</v>
      </c>
      <c r="BY87" s="3074">
        <f t="shared" si="85"/>
        <v>-3733.148070758341</v>
      </c>
      <c r="BZ87" s="3074" t="str">
        <f t="shared" si="85"/>
        <v/>
      </c>
      <c r="CA87" s="3074" t="str">
        <f t="shared" ref="CA87:CG87" si="86">CA45</f>
        <v/>
      </c>
      <c r="CB87" s="3074" t="str">
        <f t="shared" si="86"/>
        <v/>
      </c>
      <c r="CC87" s="3074" t="str">
        <f t="shared" si="86"/>
        <v/>
      </c>
      <c r="CD87" s="3074" t="str">
        <f t="shared" si="86"/>
        <v>Karina</v>
      </c>
      <c r="CE87" s="3074">
        <f t="shared" si="86"/>
        <v>0</v>
      </c>
      <c r="CF87" s="3074">
        <f t="shared" si="86"/>
        <v>0</v>
      </c>
      <c r="CG87" s="3074">
        <f t="shared" si="86"/>
        <v>0</v>
      </c>
      <c r="CH87" s="3062"/>
      <c r="CI87" s="3062"/>
      <c r="CJ87" s="3062"/>
      <c r="CK87" s="3062"/>
      <c r="CL87" s="3062"/>
      <c r="CM87" s="3062"/>
      <c r="CN87" s="3062"/>
      <c r="CO87" s="3062"/>
      <c r="CP87" s="3062"/>
      <c r="CQ87" s="3062"/>
      <c r="CR87" s="3062"/>
      <c r="CS87" s="3062"/>
      <c r="CT87" s="3062"/>
      <c r="CU87" s="3062"/>
      <c r="CV87" s="3062"/>
      <c r="CW87" s="3062"/>
      <c r="CX87" s="3062"/>
      <c r="CY87" s="3159"/>
      <c r="CZ87" s="3159"/>
      <c r="DA87" s="3159"/>
      <c r="DB87" s="3159"/>
    </row>
    <row r="88" spans="1:106" s="3005" customFormat="1" ht="41.4" customHeight="1">
      <c r="B88" s="3006"/>
      <c r="C88" s="3007" t="s">
        <v>1296</v>
      </c>
      <c r="D88" s="3007" t="s">
        <v>1355</v>
      </c>
      <c r="E88" s="3007" t="s">
        <v>1356</v>
      </c>
      <c r="F88" s="3007" t="s">
        <v>1357</v>
      </c>
      <c r="G88" s="3007" t="s">
        <v>1358</v>
      </c>
      <c r="H88" s="3007" t="s">
        <v>1359</v>
      </c>
      <c r="I88" s="3007" t="s">
        <v>1360</v>
      </c>
      <c r="J88" s="3007" t="s">
        <v>1361</v>
      </c>
      <c r="N88" s="565" t="str">
        <f>MAdaten!A8</f>
        <v>Christa</v>
      </c>
      <c r="O88" s="565">
        <f>MAdaten!B8</f>
        <v>0</v>
      </c>
      <c r="P88" s="565">
        <f>MAdaten!C8</f>
        <v>0</v>
      </c>
      <c r="Q88" s="565">
        <f>MAdaten!D8</f>
        <v>1040</v>
      </c>
      <c r="R88" s="565">
        <f>MAdaten!E8</f>
        <v>0</v>
      </c>
      <c r="S88" s="565">
        <f>MAdaten!F8</f>
        <v>0</v>
      </c>
      <c r="T88" s="565">
        <f>MAdaten!G8</f>
        <v>0</v>
      </c>
      <c r="U88" s="565">
        <f>MAdaten!H8</f>
        <v>0</v>
      </c>
      <c r="V88" s="565">
        <f>MAdaten!I8</f>
        <v>0</v>
      </c>
      <c r="W88" s="565">
        <f>MAdaten!J8</f>
        <v>15.011547344110854</v>
      </c>
      <c r="X88" s="565">
        <f>MAdaten!K8</f>
        <v>1040</v>
      </c>
      <c r="Y88" s="565">
        <f>MAdaten!L8</f>
        <v>69.28</v>
      </c>
      <c r="Z88" s="565">
        <f>MAdaten!M8</f>
        <v>15.011547344110854</v>
      </c>
      <c r="AA88" s="565">
        <f>MAdaten!N8</f>
        <v>12</v>
      </c>
      <c r="AB88" s="565">
        <f>MAdaten!O8</f>
        <v>86.596536</v>
      </c>
      <c r="AC88" s="565">
        <f>MAdaten!P8</f>
        <v>0.4</v>
      </c>
      <c r="AD88" s="565">
        <f>MAdaten!Q8</f>
        <v>12480</v>
      </c>
      <c r="AE88" s="565">
        <f>MAdaten!R8</f>
        <v>0</v>
      </c>
      <c r="AF88" s="565">
        <f>MAdaten!S8</f>
        <v>4.63</v>
      </c>
      <c r="AG88" s="565">
        <f>MAdaten!T8</f>
        <v>4815</v>
      </c>
      <c r="AH88" s="565">
        <f>MAdaten!U8</f>
        <v>525.40801536314405</v>
      </c>
      <c r="AI88" s="565">
        <f>MAdaten!V8</f>
        <v>5.5021555102258944E-2</v>
      </c>
      <c r="AJ88" s="565">
        <f>MAdaten!W8</f>
        <v>30.591984636855972</v>
      </c>
      <c r="AK88" s="565">
        <f>MAdaten!X8</f>
        <v>0</v>
      </c>
      <c r="AL88" s="565">
        <f>MAdaten!Y8</f>
        <v>556</v>
      </c>
      <c r="AM88" s="565">
        <f>MAdaten!Z8</f>
        <v>0</v>
      </c>
      <c r="AN88" s="565">
        <f>MAdaten!AA8</f>
        <v>0</v>
      </c>
      <c r="AO88" s="565">
        <f>MAdaten!AB8</f>
        <v>16</v>
      </c>
      <c r="AP88" s="565">
        <f>MAdaten!AC8</f>
        <v>2</v>
      </c>
      <c r="AQ88" s="565">
        <f>MAdaten!AD8</f>
        <v>8.66</v>
      </c>
      <c r="AR88" s="565">
        <f>MAdaten!AE8</f>
        <v>4815</v>
      </c>
      <c r="AS88" s="565">
        <f>MAdaten!AF8</f>
        <v>4550.0712121826236</v>
      </c>
      <c r="AT88" s="565">
        <f>MAdaten!AG8</f>
        <v>264.92878781737681</v>
      </c>
      <c r="AU88" s="565">
        <f>MAdaten!AH8</f>
        <v>1112</v>
      </c>
      <c r="AV88" s="565">
        <f>MAdaten!AI8</f>
        <v>69.500577367205537</v>
      </c>
      <c r="AW88" s="565">
        <f>MAdaten!AJ8</f>
        <v>0</v>
      </c>
      <c r="AX88" s="565">
        <f>MAdaten!AK8</f>
        <v>86.87572170900691</v>
      </c>
      <c r="AY88" s="565" t="str">
        <f>MAdaten!AL8</f>
        <v>Christa</v>
      </c>
      <c r="AZ88" s="565">
        <f>MAdaten!AM8</f>
        <v>48149.599999999999</v>
      </c>
      <c r="BA88" s="565" t="str">
        <f>MAdaten!AN8</f>
        <v/>
      </c>
      <c r="BB88" s="565" t="str">
        <f>MAdaten!AO8</f>
        <v/>
      </c>
      <c r="BC88" s="565" t="str">
        <f>MAdaten!AP8</f>
        <v/>
      </c>
      <c r="BD88" s="565" t="str">
        <f>MAdaten!AQ8</f>
        <v/>
      </c>
      <c r="BE88" s="565" t="str">
        <f>MAdaten!AR8</f>
        <v/>
      </c>
      <c r="BF88" s="565" t="str">
        <f>MAdaten!AS8</f>
        <v/>
      </c>
      <c r="BG88" s="565" t="str">
        <f>MAdaten!AT8</f>
        <v/>
      </c>
      <c r="BH88" s="565" t="str">
        <f>MAdaten!AU8</f>
        <v/>
      </c>
      <c r="BI88" s="565">
        <f>MAdaten!AV8</f>
        <v>8</v>
      </c>
      <c r="BJ88" s="565">
        <f>MAdaten!AW8</f>
        <v>556.0046189376443</v>
      </c>
      <c r="BK88" s="565">
        <f>MAdaten!AX8</f>
        <v>8</v>
      </c>
      <c r="BL88" s="565">
        <f>MAdaten!AY8</f>
        <v>556.0046189376443</v>
      </c>
      <c r="BM88" s="565">
        <f>MAdaten!AZ8</f>
        <v>88</v>
      </c>
      <c r="BN88" s="565">
        <f>MAdaten!BA8</f>
        <v>10</v>
      </c>
      <c r="BO88" s="565">
        <f>MAdaten!BB8</f>
        <v>5</v>
      </c>
      <c r="BP88" s="565">
        <f>MAdaten!BC8</f>
        <v>48928</v>
      </c>
      <c r="BQ88" s="565">
        <f>MAdaten!BD8</f>
        <v>46235.905351956673</v>
      </c>
      <c r="BR88" s="565">
        <f>MAdaten!BE8</f>
        <v>2692.1170124629512</v>
      </c>
      <c r="BS88" s="565">
        <f>MAdaten!BF8</f>
        <v>0</v>
      </c>
      <c r="BT88" s="565">
        <f>MAdaten!BG8</f>
        <v>46235.905351956673</v>
      </c>
      <c r="BU88" s="565">
        <f>MAdaten!BH8</f>
        <v>-46235.905351956673</v>
      </c>
      <c r="BV88" s="565" t="str">
        <f>MAdaten!BI8</f>
        <v/>
      </c>
      <c r="BW88" s="565">
        <f>MAdaten!BJ8</f>
        <v>0</v>
      </c>
      <c r="BX88" s="565">
        <f>MAdaten!BK8</f>
        <v>2692.1170124629512</v>
      </c>
      <c r="BY88" s="565">
        <f>MAdaten!BL8</f>
        <v>-2692.1170124629512</v>
      </c>
      <c r="BZ88" s="565" t="str">
        <f>MAdaten!BM8</f>
        <v/>
      </c>
      <c r="CA88" s="565" t="str">
        <f>MAdaten!BN8</f>
        <v/>
      </c>
      <c r="CB88" s="565" t="str">
        <f>MAdaten!BO8</f>
        <v/>
      </c>
      <c r="CC88" s="565" t="str">
        <f>MAdaten!BP8</f>
        <v/>
      </c>
      <c r="CD88" s="565" t="str">
        <f>MAdaten!BQ8</f>
        <v>Christa</v>
      </c>
      <c r="CE88" s="565">
        <f>MAdaten!BR8</f>
        <v>0</v>
      </c>
      <c r="CF88" s="565">
        <f>MAdaten!BS8</f>
        <v>0</v>
      </c>
      <c r="CG88" s="565">
        <f>MAdaten!BT8</f>
        <v>0</v>
      </c>
      <c r="CH88" s="565">
        <f>MAdaten!BU8</f>
        <v>5</v>
      </c>
      <c r="CI88" s="565" t="str">
        <f>MAdaten!BV8</f>
        <v>Januar</v>
      </c>
      <c r="CJ88" s="565">
        <f>MAdaten!BW8</f>
        <v>9</v>
      </c>
      <c r="CK88" s="565">
        <f>MAdaten!BX8</f>
        <v>0</v>
      </c>
      <c r="CL88" s="565">
        <f>MAdaten!BY8</f>
        <v>0</v>
      </c>
      <c r="CM88" s="565">
        <f>MAdaten!BZ8</f>
        <v>0</v>
      </c>
      <c r="CN88" s="565">
        <f>MAdaten!CA8</f>
        <v>4728.6721382682963</v>
      </c>
      <c r="CO88" s="565" t="str">
        <f>MAdaten!CB8</f>
        <v/>
      </c>
      <c r="CP88" s="565" t="str">
        <f>MAdaten!CC8</f>
        <v/>
      </c>
      <c r="CQ88" s="565">
        <f>MAdaten!CD8</f>
        <v>0</v>
      </c>
      <c r="CR88" s="565">
        <f>MAdaten!CE8</f>
        <v>275.33014900189272</v>
      </c>
      <c r="CS88" s="565" t="str">
        <f>MAdaten!CF8</f>
        <v/>
      </c>
      <c r="CT88" s="565" t="str">
        <f>MAdaten!CG8</f>
        <v/>
      </c>
      <c r="CU88" s="3069"/>
      <c r="CV88" s="3069"/>
      <c r="CW88" s="3069"/>
      <c r="CX88" s="3069"/>
      <c r="CY88" s="3160"/>
      <c r="CZ88" s="3160"/>
      <c r="DA88" s="3160"/>
      <c r="DB88" s="3160"/>
    </row>
    <row r="89" spans="1:106" s="3000" customFormat="1" ht="20.399999999999999" customHeight="1" thickBot="1">
      <c r="B89" s="3001"/>
      <c r="C89" s="3008">
        <f>W88</f>
        <v>15.011547344110854</v>
      </c>
      <c r="D89" s="3008">
        <f>Z88</f>
        <v>15.011547344110854</v>
      </c>
      <c r="E89" s="3008">
        <f>AO88</f>
        <v>16</v>
      </c>
      <c r="F89" s="3008">
        <f>Y88</f>
        <v>69.28</v>
      </c>
      <c r="G89" s="3008">
        <f>AP88</f>
        <v>2</v>
      </c>
      <c r="H89" s="3008">
        <f>AQ88</f>
        <v>8.66</v>
      </c>
      <c r="I89" s="3004">
        <f>AB88</f>
        <v>86.596536</v>
      </c>
      <c r="J89" s="3003">
        <f>AC88</f>
        <v>0.4</v>
      </c>
      <c r="N89" s="3062"/>
      <c r="O89" s="3062"/>
      <c r="P89" s="3062"/>
      <c r="Q89" s="3062"/>
      <c r="R89" s="3062"/>
      <c r="S89" s="3062"/>
      <c r="T89" s="3062"/>
      <c r="U89" s="3062"/>
      <c r="V89" s="3062"/>
      <c r="W89" s="3062"/>
      <c r="X89" s="3062"/>
      <c r="Y89" s="3062"/>
      <c r="Z89" s="3062"/>
      <c r="AA89" s="3062"/>
      <c r="AB89" s="3062"/>
      <c r="AC89" s="3062"/>
      <c r="AD89" s="3062"/>
      <c r="AE89" s="3062"/>
      <c r="AF89" s="3062"/>
      <c r="AG89" s="3062"/>
      <c r="AH89" s="3062"/>
      <c r="AI89" s="3062"/>
      <c r="AJ89" s="3062"/>
      <c r="AK89" s="3062"/>
      <c r="AL89" s="3062"/>
      <c r="AM89" s="3062"/>
      <c r="AN89" s="3062"/>
      <c r="AO89" s="3062"/>
      <c r="AP89" s="3062"/>
      <c r="AQ89" s="3062"/>
      <c r="AR89" s="3062"/>
      <c r="AS89" s="3062"/>
      <c r="AT89" s="3062"/>
      <c r="AU89" s="3062"/>
      <c r="AV89" s="3062"/>
      <c r="AW89" s="3062"/>
      <c r="AX89" s="3062"/>
      <c r="AY89" s="3062"/>
      <c r="AZ89" s="3062"/>
      <c r="BA89" s="3062"/>
      <c r="BB89" s="3062"/>
      <c r="BC89" s="3062"/>
      <c r="BD89" s="3062"/>
      <c r="BE89" s="3062"/>
      <c r="BF89" s="3062"/>
      <c r="BG89" s="3062"/>
      <c r="BH89" s="3062"/>
      <c r="BI89" s="3062"/>
      <c r="BJ89" s="3062"/>
      <c r="BK89" s="3062"/>
      <c r="BL89" s="3062"/>
      <c r="BM89" s="3062"/>
      <c r="BN89" s="3062"/>
      <c r="BO89" s="3062"/>
      <c r="BP89" s="3062"/>
      <c r="BQ89" s="3062"/>
      <c r="BR89" s="3062"/>
      <c r="BS89" s="3062"/>
      <c r="BT89" s="3062"/>
      <c r="BU89" s="3062"/>
      <c r="BV89" s="3062"/>
      <c r="BW89" s="3062"/>
      <c r="BX89" s="3062"/>
      <c r="BY89" s="3062"/>
      <c r="BZ89" s="3062"/>
      <c r="CA89" s="3062"/>
      <c r="CB89" s="3062"/>
      <c r="CC89" s="3062"/>
      <c r="CD89" s="3062"/>
      <c r="CE89" s="3062"/>
      <c r="CF89" s="3062"/>
      <c r="CG89" s="3062"/>
      <c r="CH89" s="3062"/>
      <c r="CI89" s="3062"/>
      <c r="CJ89" s="3062"/>
      <c r="CK89" s="3062"/>
      <c r="CL89" s="3062"/>
      <c r="CM89" s="3062"/>
      <c r="CN89" s="3062"/>
      <c r="CO89" s="3062"/>
      <c r="CP89" s="3062"/>
      <c r="CQ89" s="3062"/>
      <c r="CR89" s="3062"/>
      <c r="CS89" s="3062"/>
      <c r="CT89" s="3062"/>
      <c r="CU89" s="3062"/>
      <c r="CV89" s="3062"/>
      <c r="CW89" s="3062"/>
      <c r="CX89" s="3062"/>
      <c r="CY89" s="3159"/>
      <c r="CZ89" s="3159"/>
      <c r="DA89" s="3159"/>
      <c r="DB89" s="3159"/>
    </row>
    <row r="90" spans="1:106" ht="21.6" customHeight="1" thickBot="1">
      <c r="A90" s="3009"/>
      <c r="B90" s="3010"/>
      <c r="C90" s="3011"/>
      <c r="D90" s="3012"/>
      <c r="E90" s="3011"/>
      <c r="F90" s="3012"/>
      <c r="G90" s="3011"/>
      <c r="H90" s="3012"/>
      <c r="I90" s="3054"/>
      <c r="J90" s="3054"/>
      <c r="K90" s="3055"/>
      <c r="L90" s="3054"/>
      <c r="N90" s="565"/>
      <c r="O90" s="565"/>
      <c r="P90" s="565"/>
    </row>
    <row r="91" spans="1:106" s="3005" customFormat="1" ht="66" customHeight="1">
      <c r="A91" s="4362" t="s">
        <v>1362</v>
      </c>
      <c r="B91" s="4363"/>
      <c r="C91" s="3013" t="str">
        <f>AG86</f>
        <v>Sollumsatz pro Arbeits-monat €</v>
      </c>
      <c r="D91" s="3013" t="str">
        <f>AL86</f>
        <v>Gesamt-sollumsatz pro Tag €</v>
      </c>
      <c r="E91" s="3013" t="str">
        <f>AU86</f>
        <v>Umsatz p. Woche</v>
      </c>
      <c r="F91" s="3013" t="str">
        <f>AV86</f>
        <v>Umsatz p. Std</v>
      </c>
      <c r="G91" s="3013" t="str">
        <f>AX86</f>
        <v>Umsatz p. Std mit Leerlauf</v>
      </c>
      <c r="H91" s="3014" t="str">
        <f>AS86</f>
        <v>DL-Umsatz pro M.</v>
      </c>
      <c r="I91" s="3014" t="str">
        <f>AH86</f>
        <v>Sollumsatz DL pro Anwesen-heitstag €</v>
      </c>
      <c r="J91" s="3014" t="str">
        <f>AT86</f>
        <v>VK-Umsatz pro M.</v>
      </c>
      <c r="K91" s="3014" t="str">
        <f>AI86</f>
        <v>Verkaufs-anteil %</v>
      </c>
      <c r="L91" s="3014" t="str">
        <f>AJ86</f>
        <v>Verkaufs-anteil € pro Tag</v>
      </c>
      <c r="N91" s="3069"/>
      <c r="O91" s="3069"/>
      <c r="P91" s="3069"/>
      <c r="Q91" s="3069"/>
      <c r="R91" s="3069"/>
      <c r="S91" s="3069"/>
      <c r="T91" s="3069"/>
      <c r="U91" s="3069"/>
      <c r="V91" s="3069"/>
      <c r="W91" s="3069"/>
      <c r="X91" s="3069"/>
      <c r="Y91" s="3069"/>
      <c r="Z91" s="3069"/>
      <c r="AA91" s="3069"/>
      <c r="AB91" s="3069"/>
      <c r="AC91" s="3069"/>
      <c r="AD91" s="3069"/>
      <c r="AE91" s="3069"/>
      <c r="AF91" s="3069"/>
      <c r="AG91" s="3069"/>
      <c r="AH91" s="3069"/>
      <c r="AI91" s="3069"/>
      <c r="AJ91" s="3069"/>
      <c r="AK91" s="3069"/>
      <c r="AL91" s="3069"/>
      <c r="AM91" s="3069"/>
      <c r="AN91" s="3069"/>
      <c r="AO91" s="3069"/>
      <c r="AP91" s="3069"/>
      <c r="AQ91" s="3069"/>
      <c r="AR91" s="3069"/>
      <c r="AS91" s="3069"/>
      <c r="AT91" s="3069"/>
      <c r="AU91" s="3069"/>
      <c r="AV91" s="3069"/>
      <c r="AW91" s="3069"/>
      <c r="AX91" s="3069"/>
      <c r="AY91" s="3069"/>
      <c r="AZ91" s="3069"/>
      <c r="BA91" s="3069"/>
      <c r="BB91" s="3069"/>
      <c r="BC91" s="3069"/>
      <c r="BD91" s="3069"/>
      <c r="BE91" s="3069"/>
      <c r="BF91" s="3069"/>
      <c r="BG91" s="3069"/>
      <c r="BH91" s="3069"/>
      <c r="BI91" s="3069"/>
      <c r="BJ91" s="3069"/>
      <c r="BK91" s="3069"/>
      <c r="BL91" s="3069"/>
      <c r="BM91" s="3069"/>
      <c r="BN91" s="3069"/>
      <c r="BO91" s="3069"/>
      <c r="BP91" s="3069"/>
      <c r="BQ91" s="3069"/>
      <c r="BR91" s="3069"/>
      <c r="BS91" s="3069"/>
      <c r="BT91" s="3069"/>
      <c r="BU91" s="3069"/>
      <c r="BV91" s="3069"/>
      <c r="BW91" s="3069"/>
      <c r="BX91" s="3069"/>
      <c r="BY91" s="3069"/>
      <c r="BZ91" s="3069"/>
      <c r="CA91" s="3069"/>
      <c r="CB91" s="3069"/>
      <c r="CC91" s="3069"/>
      <c r="CD91" s="3069"/>
      <c r="CE91" s="3069"/>
      <c r="CF91" s="3069"/>
      <c r="CG91" s="3069"/>
      <c r="CH91" s="3069"/>
      <c r="CI91" s="3069"/>
      <c r="CJ91" s="3069"/>
      <c r="CK91" s="3069"/>
      <c r="CL91" s="3069"/>
      <c r="CM91" s="3069"/>
      <c r="CN91" s="3069"/>
      <c r="CO91" s="3069"/>
      <c r="CP91" s="3069"/>
      <c r="CQ91" s="3069"/>
      <c r="CR91" s="3069"/>
      <c r="CS91" s="3069"/>
      <c r="CT91" s="3069"/>
      <c r="CU91" s="3069"/>
      <c r="CV91" s="3069"/>
      <c r="CW91" s="3069"/>
      <c r="CX91" s="3069"/>
      <c r="CY91" s="3160"/>
      <c r="CZ91" s="3160"/>
      <c r="DA91" s="3160"/>
      <c r="DB91" s="3160"/>
    </row>
    <row r="92" spans="1:106" s="3049" customFormat="1">
      <c r="A92" s="3015"/>
      <c r="B92" s="3016"/>
      <c r="C92" s="3017">
        <f>AR88</f>
        <v>4815</v>
      </c>
      <c r="D92" s="3017">
        <f>AL88</f>
        <v>556</v>
      </c>
      <c r="E92" s="3017">
        <f>AU88</f>
        <v>1112</v>
      </c>
      <c r="F92" s="3018">
        <f>AV88</f>
        <v>69.500577367205537</v>
      </c>
      <c r="G92" s="3018">
        <f>AX88</f>
        <v>86.87572170900691</v>
      </c>
      <c r="H92" s="3019">
        <f>AS88</f>
        <v>4550.0712121826236</v>
      </c>
      <c r="I92" s="3020">
        <f>AH88</f>
        <v>525.40801536314405</v>
      </c>
      <c r="J92" s="3020">
        <f>AT88</f>
        <v>264.92878781737681</v>
      </c>
      <c r="K92" s="3021">
        <f>AI88</f>
        <v>5.5021555102258944E-2</v>
      </c>
      <c r="L92" s="3020">
        <f>AJ88</f>
        <v>30.591984636855972</v>
      </c>
      <c r="N92" s="3070"/>
      <c r="O92" s="3070"/>
      <c r="P92" s="3070"/>
      <c r="Q92" s="3070"/>
      <c r="R92" s="3070"/>
      <c r="S92" s="3070"/>
      <c r="T92" s="3070"/>
      <c r="U92" s="3070"/>
      <c r="V92" s="3070"/>
      <c r="W92" s="3070"/>
      <c r="X92" s="3070"/>
      <c r="Y92" s="3070"/>
      <c r="Z92" s="3070"/>
      <c r="AA92" s="3070"/>
      <c r="AB92" s="3070"/>
      <c r="AC92" s="3070"/>
      <c r="AD92" s="3070"/>
      <c r="AE92" s="3070"/>
      <c r="AF92" s="3070"/>
      <c r="AG92" s="3070"/>
      <c r="AH92" s="3070"/>
      <c r="AI92" s="3070"/>
      <c r="AJ92" s="3070"/>
      <c r="AK92" s="3070"/>
      <c r="AL92" s="3070"/>
      <c r="AM92" s="3070"/>
      <c r="AN92" s="3070"/>
      <c r="AO92" s="3070"/>
      <c r="AP92" s="3070"/>
      <c r="AQ92" s="3070"/>
      <c r="AR92" s="3070"/>
      <c r="AS92" s="3070"/>
      <c r="AT92" s="3070"/>
      <c r="AU92" s="3070"/>
      <c r="AV92" s="3070"/>
      <c r="AW92" s="3070"/>
      <c r="AX92" s="3070"/>
      <c r="AY92" s="3070"/>
      <c r="AZ92" s="3070"/>
      <c r="BA92" s="3070"/>
      <c r="BB92" s="3070"/>
      <c r="BC92" s="3070"/>
      <c r="BD92" s="3070"/>
      <c r="BE92" s="3070"/>
      <c r="BF92" s="3070"/>
      <c r="BG92" s="3070"/>
      <c r="BH92" s="3070"/>
      <c r="BI92" s="3070"/>
      <c r="BJ92" s="3070"/>
      <c r="BK92" s="3070"/>
      <c r="BL92" s="3070"/>
      <c r="BM92" s="3070"/>
      <c r="BN92" s="3070"/>
      <c r="BO92" s="3070"/>
      <c r="BP92" s="3070"/>
      <c r="BQ92" s="3070"/>
      <c r="BR92" s="3070"/>
      <c r="BS92" s="3070"/>
      <c r="BT92" s="3070"/>
      <c r="BU92" s="3070"/>
      <c r="BV92" s="3070"/>
      <c r="BW92" s="3070"/>
      <c r="BX92" s="3070"/>
      <c r="BY92" s="3070"/>
      <c r="BZ92" s="3070"/>
      <c r="CA92" s="3070"/>
      <c r="CB92" s="3070"/>
      <c r="CC92" s="3070"/>
      <c r="CD92" s="3070"/>
      <c r="CE92" s="3070"/>
      <c r="CF92" s="3070"/>
      <c r="CG92" s="3070"/>
      <c r="CH92" s="3070"/>
      <c r="CI92" s="3070"/>
      <c r="CJ92" s="3070"/>
      <c r="CK92" s="3070"/>
      <c r="CL92" s="3070"/>
      <c r="CM92" s="3070"/>
      <c r="CN92" s="3070"/>
      <c r="CO92" s="3070"/>
      <c r="CP92" s="3070"/>
      <c r="CQ92" s="3070"/>
      <c r="CR92" s="3070"/>
      <c r="CS92" s="3070"/>
      <c r="CT92" s="3070"/>
      <c r="CU92" s="3070"/>
      <c r="CV92" s="3070"/>
      <c r="CW92" s="3070"/>
      <c r="CX92" s="3070"/>
      <c r="CY92" s="3158"/>
      <c r="CZ92" s="3158"/>
      <c r="DA92" s="3158"/>
      <c r="DB92" s="3158"/>
    </row>
    <row r="93" spans="1:106" s="3005" customFormat="1" ht="20.399999999999999" customHeight="1">
      <c r="A93" s="4364" t="s">
        <v>168</v>
      </c>
      <c r="B93" s="4365"/>
      <c r="C93" s="4364" t="s">
        <v>169</v>
      </c>
      <c r="D93" s="4365"/>
      <c r="E93" s="4364" t="s">
        <v>170</v>
      </c>
      <c r="F93" s="4365"/>
      <c r="G93" s="4364" t="s">
        <v>171</v>
      </c>
      <c r="H93" s="4365"/>
      <c r="I93" s="4364" t="s">
        <v>172</v>
      </c>
      <c r="J93" s="4365"/>
      <c r="K93" s="4364" t="s">
        <v>173</v>
      </c>
      <c r="L93" s="4365"/>
      <c r="N93" s="3069"/>
      <c r="O93" s="3069"/>
      <c r="P93" s="3069"/>
      <c r="Q93" s="3069"/>
      <c r="R93" s="3069"/>
      <c r="S93" s="3069"/>
      <c r="T93" s="3069"/>
      <c r="U93" s="3069"/>
      <c r="V93" s="3069"/>
      <c r="W93" s="3069"/>
      <c r="X93" s="3069"/>
      <c r="Y93" s="3069"/>
      <c r="Z93" s="3069"/>
      <c r="AA93" s="3069"/>
      <c r="AB93" s="3069"/>
      <c r="AC93" s="3069"/>
      <c r="AD93" s="3069"/>
      <c r="AE93" s="3069"/>
      <c r="AF93" s="3069"/>
      <c r="AG93" s="3069"/>
      <c r="AH93" s="3069"/>
      <c r="AI93" s="3069"/>
      <c r="AJ93" s="3069"/>
      <c r="AK93" s="3069"/>
      <c r="AL93" s="3069"/>
      <c r="AM93" s="3069"/>
      <c r="AN93" s="3069"/>
      <c r="AO93" s="3069"/>
      <c r="AP93" s="3069"/>
      <c r="AQ93" s="3069"/>
      <c r="AR93" s="3069"/>
      <c r="AS93" s="3069"/>
      <c r="AT93" s="3069"/>
      <c r="AU93" s="3069"/>
      <c r="AV93" s="3069"/>
      <c r="AW93" s="3069"/>
      <c r="AX93" s="3069"/>
      <c r="AY93" s="3069"/>
      <c r="AZ93" s="3069"/>
      <c r="BA93" s="3069"/>
      <c r="BB93" s="3069"/>
      <c r="BC93" s="3069"/>
      <c r="BD93" s="3069"/>
      <c r="BE93" s="3069"/>
      <c r="BF93" s="3069"/>
      <c r="BG93" s="3069"/>
      <c r="BH93" s="3069"/>
      <c r="BI93" s="3069"/>
      <c r="BJ93" s="3069"/>
      <c r="BK93" s="3069"/>
      <c r="BL93" s="3069"/>
      <c r="BM93" s="3069"/>
      <c r="BN93" s="3069"/>
      <c r="BO93" s="3069"/>
      <c r="BP93" s="3069"/>
      <c r="BQ93" s="3069"/>
      <c r="BR93" s="3069"/>
      <c r="BS93" s="3069"/>
      <c r="BT93" s="3069"/>
      <c r="BU93" s="3069"/>
      <c r="BV93" s="3069"/>
      <c r="BW93" s="3069"/>
      <c r="BX93" s="3069"/>
      <c r="BY93" s="3069"/>
      <c r="BZ93" s="3069"/>
      <c r="CA93" s="3069"/>
      <c r="CB93" s="3069"/>
      <c r="CC93" s="3069"/>
      <c r="CD93" s="3069"/>
      <c r="CE93" s="3069"/>
      <c r="CF93" s="3069"/>
      <c r="CG93" s="3069"/>
      <c r="CH93" s="3069"/>
      <c r="CI93" s="3069"/>
      <c r="CJ93" s="3069"/>
      <c r="CK93" s="3069"/>
      <c r="CL93" s="3069"/>
      <c r="CM93" s="3069"/>
      <c r="CN93" s="3069"/>
      <c r="CO93" s="3069"/>
      <c r="CP93" s="3069"/>
      <c r="CQ93" s="3069"/>
      <c r="CR93" s="3069"/>
      <c r="CS93" s="3069"/>
      <c r="CT93" s="3069"/>
      <c r="CU93" s="3069"/>
      <c r="CV93" s="3069"/>
      <c r="CW93" s="3069"/>
      <c r="CX93" s="3069"/>
      <c r="CY93" s="3160"/>
      <c r="CZ93" s="3160"/>
      <c r="DA93" s="3160"/>
      <c r="DB93" s="3160"/>
    </row>
    <row r="94" spans="1:106" s="3005" customFormat="1" ht="20.399999999999999" customHeight="1">
      <c r="A94" s="3022" t="s">
        <v>217</v>
      </c>
      <c r="B94" s="3022" t="s">
        <v>61</v>
      </c>
      <c r="C94" s="3022" t="s">
        <v>217</v>
      </c>
      <c r="D94" s="3022" t="s">
        <v>61</v>
      </c>
      <c r="E94" s="3022" t="s">
        <v>217</v>
      </c>
      <c r="F94" s="3022" t="s">
        <v>61</v>
      </c>
      <c r="G94" s="3022" t="s">
        <v>217</v>
      </c>
      <c r="H94" s="3022" t="s">
        <v>61</v>
      </c>
      <c r="I94" s="3022" t="s">
        <v>217</v>
      </c>
      <c r="J94" s="3022" t="s">
        <v>61</v>
      </c>
      <c r="K94" s="3022" t="s">
        <v>217</v>
      </c>
      <c r="L94" s="3022" t="s">
        <v>61</v>
      </c>
      <c r="N94" s="3069"/>
      <c r="O94" s="3069"/>
      <c r="P94" s="3069"/>
      <c r="Q94" s="3069"/>
      <c r="R94" s="3069"/>
      <c r="S94" s="3069"/>
      <c r="T94" s="3069"/>
      <c r="U94" s="3069"/>
      <c r="V94" s="3069"/>
      <c r="W94" s="3069"/>
      <c r="X94" s="3069"/>
      <c r="Y94" s="3069"/>
      <c r="Z94" s="3069"/>
      <c r="AA94" s="3069"/>
      <c r="AB94" s="3069"/>
      <c r="AC94" s="3069"/>
      <c r="AD94" s="3069"/>
      <c r="AE94" s="3069"/>
      <c r="AF94" s="3069"/>
      <c r="AG94" s="3069"/>
      <c r="AH94" s="3069"/>
      <c r="AI94" s="3069"/>
      <c r="AJ94" s="3069"/>
      <c r="AK94" s="3069"/>
      <c r="AL94" s="3069"/>
      <c r="AM94" s="3069"/>
      <c r="AN94" s="3069"/>
      <c r="AO94" s="3069"/>
      <c r="AP94" s="3069"/>
      <c r="AQ94" s="3069"/>
      <c r="AR94" s="3069"/>
      <c r="AS94" s="3069"/>
      <c r="AT94" s="3069"/>
      <c r="AU94" s="3069"/>
      <c r="AV94" s="3069"/>
      <c r="AW94" s="3069"/>
      <c r="AX94" s="3069"/>
      <c r="AY94" s="3069"/>
      <c r="AZ94" s="3069"/>
      <c r="BA94" s="3069"/>
      <c r="BB94" s="3069"/>
      <c r="BC94" s="3069"/>
      <c r="BD94" s="3069"/>
      <c r="BE94" s="3069"/>
      <c r="BF94" s="3069"/>
      <c r="BG94" s="3069"/>
      <c r="BH94" s="3069"/>
      <c r="BI94" s="3069"/>
      <c r="BJ94" s="3069"/>
      <c r="BK94" s="3069"/>
      <c r="BL94" s="3069"/>
      <c r="BM94" s="3069"/>
      <c r="BN94" s="3069"/>
      <c r="BO94" s="3069"/>
      <c r="BP94" s="3069"/>
      <c r="BQ94" s="3069"/>
      <c r="BR94" s="3069"/>
      <c r="BS94" s="3069"/>
      <c r="BT94" s="3069"/>
      <c r="BU94" s="3069"/>
      <c r="BV94" s="3069"/>
      <c r="BW94" s="3069"/>
      <c r="BX94" s="3069"/>
      <c r="BY94" s="3069"/>
      <c r="BZ94" s="3069"/>
      <c r="CA94" s="3069"/>
      <c r="CB94" s="3069"/>
      <c r="CC94" s="3069"/>
      <c r="CD94" s="3069"/>
      <c r="CE94" s="3069"/>
      <c r="CF94" s="3069"/>
      <c r="CG94" s="3069"/>
      <c r="CH94" s="3069"/>
      <c r="CI94" s="3069"/>
      <c r="CJ94" s="3069"/>
      <c r="CK94" s="3069"/>
      <c r="CL94" s="3069"/>
      <c r="CM94" s="3069"/>
      <c r="CN94" s="3069"/>
      <c r="CO94" s="3069"/>
      <c r="CP94" s="3069"/>
      <c r="CQ94" s="3069"/>
      <c r="CR94" s="3069"/>
      <c r="CS94" s="3069"/>
      <c r="CT94" s="3069"/>
      <c r="CU94" s="3069"/>
      <c r="CV94" s="3069"/>
      <c r="CW94" s="3069"/>
      <c r="CX94" s="3069"/>
      <c r="CY94" s="3160"/>
      <c r="CZ94" s="3160"/>
      <c r="DA94" s="3160"/>
      <c r="DB94" s="3160"/>
    </row>
    <row r="95" spans="1:106" s="3050" customFormat="1" ht="20.399999999999999" customHeight="1" thickBot="1">
      <c r="A95" s="3023" t="str">
        <f t="shared" ref="A95" si="87">BA88</f>
        <v/>
      </c>
      <c r="B95" s="3024" t="str">
        <f t="shared" ref="B95" si="88">BB88</f>
        <v/>
      </c>
      <c r="C95" s="3023" t="str">
        <f t="shared" ref="C95" si="89">BC88</f>
        <v/>
      </c>
      <c r="D95" s="3024" t="str">
        <f t="shared" ref="D95" si="90">BD88</f>
        <v/>
      </c>
      <c r="E95" s="3023" t="str">
        <f t="shared" ref="E95" si="91">BE88</f>
        <v/>
      </c>
      <c r="F95" s="3024" t="str">
        <f t="shared" ref="F95" si="92">BF88</f>
        <v/>
      </c>
      <c r="G95" s="3023" t="str">
        <f t="shared" ref="G95" si="93">BG88</f>
        <v/>
      </c>
      <c r="H95" s="3024" t="str">
        <f t="shared" ref="H95" si="94">BH88</f>
        <v/>
      </c>
      <c r="I95" s="3023">
        <f t="shared" ref="I95" si="95">BI88</f>
        <v>8</v>
      </c>
      <c r="J95" s="3024">
        <f t="shared" ref="J95" si="96">BJ88</f>
        <v>556.0046189376443</v>
      </c>
      <c r="K95" s="3023">
        <f t="shared" ref="K95" si="97">BK88</f>
        <v>8</v>
      </c>
      <c r="L95" s="3024">
        <f t="shared" ref="L95" si="98">BL88</f>
        <v>556.0046189376443</v>
      </c>
      <c r="N95" s="3071"/>
      <c r="O95" s="3071"/>
      <c r="P95" s="3071"/>
      <c r="Q95" s="3071"/>
      <c r="R95" s="3071"/>
      <c r="S95" s="3071"/>
      <c r="T95" s="3071"/>
      <c r="U95" s="3071"/>
      <c r="V95" s="3071"/>
      <c r="W95" s="3071"/>
      <c r="X95" s="3071"/>
      <c r="Y95" s="3071"/>
      <c r="Z95" s="3071"/>
      <c r="AA95" s="3071"/>
      <c r="AB95" s="3071"/>
      <c r="AC95" s="3071"/>
      <c r="AD95" s="3071"/>
      <c r="AE95" s="3071"/>
      <c r="AF95" s="3071"/>
      <c r="AG95" s="3071"/>
      <c r="AH95" s="3071"/>
      <c r="AI95" s="3071"/>
      <c r="AJ95" s="3071"/>
      <c r="AK95" s="3071"/>
      <c r="AL95" s="3071"/>
      <c r="AM95" s="3071"/>
      <c r="AN95" s="3071"/>
      <c r="AO95" s="3071"/>
      <c r="AP95" s="3071"/>
      <c r="AQ95" s="3071"/>
      <c r="AR95" s="3071"/>
      <c r="AS95" s="3071"/>
      <c r="AT95" s="3071"/>
      <c r="AU95" s="3071"/>
      <c r="AV95" s="3071"/>
      <c r="AW95" s="3071"/>
      <c r="AX95" s="3071"/>
      <c r="AY95" s="3071"/>
      <c r="AZ95" s="3071"/>
      <c r="BA95" s="3071"/>
      <c r="BB95" s="3071"/>
      <c r="BC95" s="3071"/>
      <c r="BD95" s="3071"/>
      <c r="BE95" s="3071"/>
      <c r="BF95" s="3071"/>
      <c r="BG95" s="3071"/>
      <c r="BH95" s="3071"/>
      <c r="BI95" s="3071"/>
      <c r="BJ95" s="3071"/>
      <c r="BK95" s="3071"/>
      <c r="BL95" s="3071"/>
      <c r="BM95" s="3071"/>
      <c r="BN95" s="3071"/>
      <c r="BO95" s="3071"/>
      <c r="BP95" s="3071"/>
      <c r="BQ95" s="3071"/>
      <c r="BR95" s="3071"/>
      <c r="BS95" s="3071"/>
      <c r="BT95" s="3071"/>
      <c r="BU95" s="3071"/>
      <c r="BV95" s="3071"/>
      <c r="BW95" s="3071"/>
      <c r="BX95" s="3071"/>
      <c r="BY95" s="3071"/>
      <c r="BZ95" s="3071"/>
      <c r="CA95" s="3071"/>
      <c r="CB95" s="3071"/>
      <c r="CC95" s="3071"/>
      <c r="CD95" s="3071"/>
      <c r="CE95" s="3071"/>
      <c r="CF95" s="3071"/>
      <c r="CG95" s="3071"/>
      <c r="CH95" s="3071"/>
      <c r="CI95" s="3071"/>
      <c r="CJ95" s="3071"/>
      <c r="CK95" s="3071"/>
      <c r="CL95" s="3071"/>
      <c r="CM95" s="3071"/>
      <c r="CN95" s="3071"/>
      <c r="CO95" s="3071"/>
      <c r="CP95" s="3071"/>
      <c r="CQ95" s="3071"/>
      <c r="CR95" s="3071"/>
      <c r="CS95" s="3071"/>
      <c r="CT95" s="3071"/>
      <c r="CU95" s="3071"/>
      <c r="CV95" s="3071"/>
      <c r="CW95" s="3071"/>
      <c r="CX95" s="3071"/>
      <c r="CY95" s="830"/>
      <c r="CZ95" s="830"/>
      <c r="DA95" s="830"/>
      <c r="DB95" s="830"/>
    </row>
    <row r="96" spans="1:106" ht="16.8" customHeight="1" thickBot="1">
      <c r="A96" s="3009"/>
      <c r="B96" s="3010"/>
      <c r="C96" s="3011"/>
      <c r="D96" s="3012"/>
      <c r="E96" s="3011"/>
      <c r="F96" s="3012"/>
      <c r="G96" s="3011"/>
      <c r="H96" s="3012"/>
      <c r="I96" s="3054"/>
      <c r="J96" s="3054"/>
      <c r="K96" s="3055"/>
      <c r="L96" s="3054"/>
      <c r="N96" s="565"/>
      <c r="O96" s="565"/>
      <c r="P96" s="565"/>
    </row>
    <row r="97" spans="1:106" s="3031" customFormat="1" ht="19.8" customHeight="1">
      <c r="A97" s="3025" t="s">
        <v>1396</v>
      </c>
      <c r="B97" s="3029"/>
      <c r="C97" s="3029"/>
      <c r="D97" s="3029"/>
      <c r="E97" s="3029"/>
      <c r="F97" s="3029"/>
      <c r="G97" s="3029"/>
      <c r="H97" s="3029"/>
      <c r="I97" s="3029"/>
      <c r="J97" s="3029"/>
      <c r="K97" s="3029"/>
      <c r="L97" s="3029"/>
      <c r="N97" s="3069"/>
      <c r="O97" s="3069"/>
      <c r="P97" s="3069"/>
      <c r="Q97" s="3069"/>
      <c r="R97" s="3069"/>
      <c r="S97" s="3069"/>
      <c r="T97" s="3069"/>
      <c r="U97" s="3069"/>
      <c r="V97" s="3069"/>
      <c r="W97" s="3069"/>
      <c r="X97" s="3069"/>
      <c r="Y97" s="3069"/>
      <c r="Z97" s="3069"/>
      <c r="AA97" s="3069"/>
      <c r="AB97" s="3069"/>
      <c r="AC97" s="3069"/>
      <c r="AD97" s="3069"/>
      <c r="AE97" s="3069"/>
      <c r="AF97" s="3069"/>
      <c r="AG97" s="3069"/>
      <c r="AH97" s="3069"/>
      <c r="AI97" s="3069"/>
      <c r="AJ97" s="3069"/>
      <c r="AK97" s="3069"/>
      <c r="AL97" s="3069"/>
      <c r="AM97" s="3069"/>
      <c r="AN97" s="3069"/>
      <c r="AO97" s="3069"/>
      <c r="AP97" s="3069"/>
      <c r="AQ97" s="3069"/>
      <c r="AR97" s="3069"/>
      <c r="AS97" s="3069"/>
      <c r="AT97" s="3069"/>
      <c r="AU97" s="3069"/>
      <c r="AV97" s="3069"/>
      <c r="AW97" s="3069"/>
      <c r="AX97" s="3069"/>
      <c r="AY97" s="3069"/>
      <c r="AZ97" s="3069"/>
      <c r="BA97" s="3069"/>
      <c r="BB97" s="3069"/>
      <c r="BC97" s="3069"/>
      <c r="BD97" s="3069"/>
      <c r="BE97" s="3069"/>
      <c r="BF97" s="3069"/>
      <c r="BG97" s="3069"/>
      <c r="BH97" s="3069"/>
      <c r="BI97" s="3069"/>
      <c r="BJ97" s="3069"/>
      <c r="BK97" s="3069"/>
      <c r="BL97" s="3069"/>
      <c r="BM97" s="3069"/>
      <c r="BN97" s="3069"/>
      <c r="BO97" s="3069"/>
      <c r="BP97" s="3069"/>
      <c r="BQ97" s="3069"/>
      <c r="BR97" s="3069"/>
      <c r="BS97" s="3069"/>
      <c r="BT97" s="3069"/>
      <c r="BU97" s="3069"/>
      <c r="BV97" s="3069"/>
      <c r="BW97" s="3069"/>
      <c r="BX97" s="3069"/>
      <c r="BY97" s="3069"/>
      <c r="BZ97" s="3069"/>
      <c r="CA97" s="3069"/>
      <c r="CB97" s="3069"/>
      <c r="CC97" s="3069"/>
      <c r="CD97" s="3069"/>
      <c r="CE97" s="3069"/>
      <c r="CF97" s="3069"/>
      <c r="CG97" s="3069"/>
      <c r="CH97" s="3069"/>
      <c r="CI97" s="3069"/>
      <c r="CJ97" s="3069"/>
      <c r="CK97" s="3069"/>
      <c r="CL97" s="3069"/>
      <c r="CM97" s="3069"/>
      <c r="CN97" s="3069"/>
      <c r="CO97" s="3069"/>
      <c r="CP97" s="3069"/>
      <c r="CQ97" s="3069"/>
      <c r="CR97" s="3069"/>
      <c r="CS97" s="3069"/>
      <c r="CT97" s="3069"/>
      <c r="CU97" s="3069"/>
      <c r="CV97" s="3069"/>
      <c r="CW97" s="3069"/>
      <c r="CX97" s="3069"/>
      <c r="CY97" s="3160"/>
      <c r="CZ97" s="3160"/>
      <c r="DA97" s="3160"/>
      <c r="DB97" s="3160"/>
    </row>
    <row r="98" spans="1:106" s="3031" customFormat="1" ht="19.8" customHeight="1">
      <c r="A98" s="3163"/>
      <c r="B98" s="3164" t="s">
        <v>1102</v>
      </c>
      <c r="C98" s="3164" t="s">
        <v>1120</v>
      </c>
      <c r="D98" s="3164" t="s">
        <v>1121</v>
      </c>
      <c r="E98" s="3164" t="s">
        <v>1113</v>
      </c>
      <c r="F98" s="3164" t="s">
        <v>1115</v>
      </c>
      <c r="G98" s="3164" t="s">
        <v>1368</v>
      </c>
      <c r="H98" s="3164" t="s">
        <v>907</v>
      </c>
      <c r="I98" s="3164" t="s">
        <v>1114</v>
      </c>
      <c r="J98" s="3164" t="s">
        <v>1116</v>
      </c>
      <c r="K98" s="3164" t="s">
        <v>1368</v>
      </c>
      <c r="L98" s="3164" t="s">
        <v>907</v>
      </c>
      <c r="N98" s="3069"/>
      <c r="O98" s="3069"/>
      <c r="P98" s="3069"/>
      <c r="Q98" s="3069"/>
      <c r="R98" s="3069"/>
      <c r="S98" s="3069"/>
      <c r="T98" s="3069"/>
      <c r="U98" s="3069"/>
      <c r="V98" s="3069"/>
      <c r="W98" s="3069"/>
      <c r="X98" s="3069"/>
      <c r="Y98" s="3069"/>
      <c r="Z98" s="3069"/>
      <c r="AA98" s="3069"/>
      <c r="AB98" s="3069"/>
      <c r="AC98" s="3069"/>
      <c r="AD98" s="3069"/>
      <c r="AE98" s="3069"/>
      <c r="AF98" s="3069"/>
      <c r="AG98" s="3069"/>
      <c r="AH98" s="3069"/>
      <c r="AI98" s="3069"/>
      <c r="AJ98" s="3069"/>
      <c r="AK98" s="3069"/>
      <c r="AL98" s="3069"/>
      <c r="AM98" s="3069"/>
      <c r="AN98" s="3069"/>
      <c r="AO98" s="3069"/>
      <c r="AP98" s="3069"/>
      <c r="AQ98" s="3069"/>
      <c r="AR98" s="3069"/>
      <c r="AS98" s="3069"/>
      <c r="AT98" s="3069"/>
      <c r="AU98" s="3069"/>
      <c r="AV98" s="3069"/>
      <c r="AW98" s="3069"/>
      <c r="AX98" s="3069"/>
      <c r="AY98" s="3069"/>
      <c r="AZ98" s="3069"/>
      <c r="BA98" s="3069"/>
      <c r="BB98" s="3069"/>
      <c r="BC98" s="3069"/>
      <c r="BD98" s="3069"/>
      <c r="BE98" s="3069"/>
      <c r="BF98" s="3069"/>
      <c r="BG98" s="3069"/>
      <c r="BH98" s="3069"/>
      <c r="BI98" s="3069"/>
      <c r="BJ98" s="3069"/>
      <c r="BK98" s="3069"/>
      <c r="BL98" s="3069"/>
      <c r="BM98" s="3069"/>
      <c r="BN98" s="3069"/>
      <c r="BO98" s="3069"/>
      <c r="BP98" s="3069"/>
      <c r="BQ98" s="3069"/>
      <c r="BR98" s="3069"/>
      <c r="BS98" s="3069"/>
      <c r="BT98" s="3069"/>
      <c r="BU98" s="3069"/>
      <c r="BV98" s="3069"/>
      <c r="BW98" s="3069"/>
      <c r="BX98" s="3069"/>
      <c r="BY98" s="3069"/>
      <c r="BZ98" s="3069"/>
      <c r="CA98" s="3069"/>
      <c r="CB98" s="3069"/>
      <c r="CC98" s="3069"/>
      <c r="CD98" s="3069"/>
      <c r="CE98" s="3069"/>
      <c r="CF98" s="3069"/>
      <c r="CG98" s="3069"/>
      <c r="CH98" s="3069"/>
      <c r="CI98" s="3069"/>
      <c r="CJ98" s="3069"/>
      <c r="CK98" s="3069"/>
      <c r="CL98" s="3069"/>
      <c r="CM98" s="3069"/>
      <c r="CN98" s="3069"/>
      <c r="CO98" s="3069"/>
      <c r="CP98" s="3069"/>
      <c r="CQ98" s="3069"/>
      <c r="CR98" s="3069"/>
      <c r="CS98" s="3069"/>
      <c r="CT98" s="3069"/>
      <c r="CU98" s="3069"/>
      <c r="CV98" s="3069"/>
      <c r="CW98" s="3069"/>
      <c r="CX98" s="3069"/>
      <c r="CY98" s="3160"/>
      <c r="CZ98" s="3160"/>
      <c r="DA98" s="3160"/>
      <c r="DB98" s="3160"/>
    </row>
    <row r="99" spans="1:106" s="3038" customFormat="1" ht="17.399999999999999" customHeight="1" thickBot="1">
      <c r="A99" s="3165" t="str">
        <f t="shared" ref="A99:L99" si="99">CI88</f>
        <v>Januar</v>
      </c>
      <c r="B99" s="3166">
        <f t="shared" si="99"/>
        <v>9</v>
      </c>
      <c r="C99" s="3166">
        <f t="shared" si="99"/>
        <v>0</v>
      </c>
      <c r="D99" s="3166">
        <f t="shared" si="99"/>
        <v>0</v>
      </c>
      <c r="E99" s="3167">
        <f t="shared" si="99"/>
        <v>0</v>
      </c>
      <c r="F99" s="3167">
        <f t="shared" si="99"/>
        <v>4728.6721382682963</v>
      </c>
      <c r="G99" s="3167" t="str">
        <f t="shared" si="99"/>
        <v/>
      </c>
      <c r="H99" s="3167" t="str">
        <f t="shared" si="99"/>
        <v/>
      </c>
      <c r="I99" s="3167">
        <f t="shared" si="99"/>
        <v>0</v>
      </c>
      <c r="J99" s="3167">
        <f t="shared" si="99"/>
        <v>275.33014900189272</v>
      </c>
      <c r="K99" s="3167" t="str">
        <f t="shared" si="99"/>
        <v/>
      </c>
      <c r="L99" s="3167" t="str">
        <f t="shared" si="99"/>
        <v/>
      </c>
      <c r="N99" s="3070"/>
      <c r="O99" s="3070"/>
      <c r="P99" s="3070"/>
      <c r="Q99" s="3070"/>
      <c r="R99" s="3070"/>
      <c r="S99" s="3070"/>
      <c r="T99" s="3070"/>
      <c r="U99" s="3070"/>
      <c r="V99" s="3070"/>
      <c r="W99" s="3070"/>
      <c r="X99" s="3070"/>
      <c r="Y99" s="3070"/>
      <c r="Z99" s="3070"/>
      <c r="AA99" s="3070"/>
      <c r="AB99" s="3070"/>
      <c r="AC99" s="3070"/>
      <c r="AD99" s="3070"/>
      <c r="AE99" s="3070"/>
      <c r="AF99" s="3070"/>
      <c r="AG99" s="3070"/>
      <c r="AH99" s="3070"/>
      <c r="AI99" s="3070"/>
      <c r="AJ99" s="3070"/>
      <c r="AK99" s="3070"/>
      <c r="AL99" s="3070"/>
      <c r="AM99" s="3070"/>
      <c r="AN99" s="3070"/>
      <c r="AO99" s="3070"/>
      <c r="AP99" s="3070"/>
      <c r="AQ99" s="3070"/>
      <c r="AR99" s="3070"/>
      <c r="AS99" s="3070"/>
      <c r="AT99" s="3070"/>
      <c r="AU99" s="3070"/>
      <c r="AV99" s="3070"/>
      <c r="AW99" s="3070"/>
      <c r="AX99" s="3070"/>
      <c r="AY99" s="3070"/>
      <c r="AZ99" s="3070"/>
      <c r="BA99" s="3070"/>
      <c r="BB99" s="3070"/>
      <c r="BC99" s="3070"/>
      <c r="BD99" s="3070"/>
      <c r="BE99" s="3070"/>
      <c r="BF99" s="3070"/>
      <c r="BG99" s="3070"/>
      <c r="BH99" s="3070"/>
      <c r="BI99" s="3070"/>
      <c r="BJ99" s="3070"/>
      <c r="BK99" s="3070"/>
      <c r="BL99" s="3070"/>
      <c r="BM99" s="3070"/>
      <c r="BN99" s="3070"/>
      <c r="BO99" s="3070"/>
      <c r="BP99" s="3070"/>
      <c r="BQ99" s="3070"/>
      <c r="BR99" s="3070"/>
      <c r="BS99" s="3070"/>
      <c r="BT99" s="3070"/>
      <c r="BU99" s="3070"/>
      <c r="BV99" s="3070"/>
      <c r="BW99" s="3070"/>
      <c r="BX99" s="3070"/>
      <c r="BY99" s="3070"/>
      <c r="BZ99" s="3070"/>
      <c r="CA99" s="3070"/>
      <c r="CB99" s="3070"/>
      <c r="CC99" s="3070"/>
      <c r="CD99" s="3070"/>
      <c r="CE99" s="3070"/>
      <c r="CF99" s="3070"/>
      <c r="CG99" s="3070"/>
      <c r="CH99" s="3070"/>
      <c r="CI99" s="3070"/>
      <c r="CJ99" s="3070"/>
      <c r="CK99" s="3070"/>
      <c r="CL99" s="3070"/>
      <c r="CM99" s="3070"/>
      <c r="CN99" s="3070"/>
      <c r="CO99" s="3070"/>
      <c r="CP99" s="3070"/>
      <c r="CQ99" s="3070"/>
      <c r="CR99" s="3070"/>
      <c r="CS99" s="3070"/>
      <c r="CT99" s="3070"/>
      <c r="CU99" s="3070"/>
      <c r="CV99" s="3070"/>
      <c r="CW99" s="3070"/>
      <c r="CX99" s="3070"/>
      <c r="CY99" s="3158"/>
      <c r="CZ99" s="3158"/>
      <c r="DA99" s="3158"/>
      <c r="DB99" s="3158"/>
    </row>
    <row r="100" spans="1:106" s="3042" customFormat="1" ht="14.4" customHeight="1" thickBot="1">
      <c r="A100" s="3072"/>
      <c r="B100" s="3072"/>
      <c r="C100" s="3072"/>
      <c r="D100" s="3161"/>
      <c r="E100" s="3161"/>
      <c r="F100" s="3161"/>
      <c r="G100" s="3161"/>
      <c r="H100" s="3161"/>
      <c r="I100" s="3161"/>
      <c r="J100" s="3161"/>
      <c r="K100" s="3161"/>
      <c r="L100" s="3161"/>
      <c r="N100" s="3072"/>
      <c r="O100" s="3072"/>
      <c r="P100" s="3072"/>
      <c r="Q100" s="3072"/>
      <c r="R100" s="3072"/>
      <c r="S100" s="3072"/>
      <c r="T100" s="3072"/>
      <c r="U100" s="3072"/>
      <c r="V100" s="3072"/>
      <c r="W100" s="3072"/>
      <c r="X100" s="3072"/>
      <c r="Y100" s="3072"/>
      <c r="Z100" s="3072"/>
      <c r="AA100" s="3072"/>
      <c r="AB100" s="3072"/>
      <c r="AC100" s="3072"/>
      <c r="AD100" s="3072"/>
      <c r="AE100" s="3072"/>
      <c r="AF100" s="3072"/>
      <c r="AG100" s="3072"/>
      <c r="AH100" s="3072"/>
      <c r="AI100" s="3072"/>
      <c r="AJ100" s="3072"/>
      <c r="AK100" s="3072"/>
      <c r="AL100" s="3072"/>
      <c r="AM100" s="3072"/>
      <c r="AN100" s="3072"/>
      <c r="AO100" s="3072"/>
      <c r="AP100" s="3072"/>
      <c r="AQ100" s="3072"/>
      <c r="AR100" s="3072"/>
      <c r="AS100" s="3072"/>
      <c r="AT100" s="3072"/>
      <c r="AU100" s="3072"/>
      <c r="AV100" s="3072"/>
      <c r="AW100" s="3072"/>
      <c r="AX100" s="3072"/>
      <c r="AY100" s="3072"/>
      <c r="AZ100" s="3072"/>
      <c r="BA100" s="3072"/>
      <c r="BB100" s="3072"/>
      <c r="BC100" s="3072"/>
      <c r="BD100" s="3072"/>
      <c r="BE100" s="3072"/>
      <c r="BF100" s="3072"/>
      <c r="BG100" s="3072"/>
      <c r="BH100" s="3072"/>
      <c r="BI100" s="3072"/>
      <c r="BJ100" s="3072"/>
      <c r="BK100" s="3072"/>
      <c r="BL100" s="3072"/>
      <c r="BM100" s="3072"/>
      <c r="BN100" s="3072"/>
      <c r="BO100" s="3072"/>
      <c r="BP100" s="3072"/>
      <c r="BQ100" s="3072"/>
      <c r="BR100" s="3072"/>
      <c r="BS100" s="3072"/>
      <c r="BT100" s="3072"/>
      <c r="BU100" s="3072"/>
      <c r="BV100" s="3072"/>
      <c r="BW100" s="3072"/>
      <c r="BX100" s="3072"/>
      <c r="BY100" s="3072"/>
      <c r="BZ100" s="3072"/>
      <c r="CA100" s="3072"/>
      <c r="CB100" s="3072"/>
      <c r="CC100" s="3072"/>
      <c r="CD100" s="3072"/>
      <c r="CE100" s="3072"/>
      <c r="CF100" s="3072"/>
      <c r="CG100" s="3072"/>
      <c r="CH100" s="3072"/>
      <c r="CI100" s="3072"/>
      <c r="CJ100" s="3072"/>
      <c r="CK100" s="3072"/>
      <c r="CL100" s="3072"/>
      <c r="CM100" s="3072"/>
      <c r="CN100" s="3072"/>
      <c r="CO100" s="3072"/>
      <c r="CP100" s="3072"/>
      <c r="CQ100" s="3072"/>
      <c r="CR100" s="3072"/>
      <c r="CS100" s="3072"/>
      <c r="CT100" s="3072"/>
      <c r="CU100" s="3072"/>
      <c r="CV100" s="3072"/>
      <c r="CW100" s="3072"/>
      <c r="CX100" s="3072"/>
      <c r="CY100" s="3161"/>
      <c r="CZ100" s="3161"/>
      <c r="DA100" s="3161"/>
      <c r="DB100" s="3161"/>
    </row>
    <row r="101" spans="1:106" s="3048" customFormat="1" ht="17.399999999999999" customHeight="1">
      <c r="A101" s="3025" t="s">
        <v>1363</v>
      </c>
      <c r="B101" s="3026"/>
      <c r="C101" s="3027" t="s">
        <v>1394</v>
      </c>
      <c r="D101" s="3027"/>
      <c r="E101" s="4366" t="s">
        <v>1364</v>
      </c>
      <c r="F101" s="4367"/>
      <c r="G101" s="3028"/>
      <c r="H101" s="3029"/>
      <c r="I101" s="4368" t="s">
        <v>1365</v>
      </c>
      <c r="J101" s="4369"/>
      <c r="K101" s="3030"/>
      <c r="L101" s="3162"/>
      <c r="N101" s="3073"/>
      <c r="O101" s="3073"/>
      <c r="P101" s="3073"/>
      <c r="Q101" s="3073"/>
      <c r="R101" s="3073"/>
      <c r="S101" s="3073"/>
      <c r="T101" s="3073"/>
      <c r="U101" s="3073"/>
      <c r="V101" s="3073"/>
      <c r="W101" s="3073"/>
      <c r="X101" s="3073"/>
      <c r="Y101" s="3073"/>
      <c r="Z101" s="3073"/>
      <c r="AA101" s="3073"/>
      <c r="AB101" s="3073"/>
      <c r="AC101" s="3073"/>
      <c r="AD101" s="3073"/>
      <c r="AE101" s="3073"/>
      <c r="AF101" s="3073"/>
      <c r="AG101" s="3073"/>
      <c r="AH101" s="3073"/>
      <c r="AI101" s="3073"/>
      <c r="AJ101" s="3073"/>
      <c r="AK101" s="3073"/>
      <c r="AL101" s="3073"/>
      <c r="AM101" s="3073"/>
      <c r="AN101" s="3073"/>
      <c r="AO101" s="3073"/>
      <c r="AP101" s="3073"/>
      <c r="AQ101" s="3073"/>
      <c r="AR101" s="3073"/>
      <c r="AS101" s="3073"/>
      <c r="AT101" s="3073"/>
      <c r="AU101" s="3073"/>
      <c r="AV101" s="3073"/>
      <c r="AW101" s="3073"/>
      <c r="AX101" s="3073"/>
      <c r="AY101" s="3073"/>
      <c r="AZ101" s="3073"/>
      <c r="BA101" s="3073"/>
      <c r="BB101" s="3073"/>
      <c r="BC101" s="3073"/>
      <c r="BD101" s="3073"/>
      <c r="BE101" s="3073"/>
      <c r="BF101" s="3073"/>
      <c r="BG101" s="3073"/>
      <c r="BH101" s="3073"/>
      <c r="BI101" s="3073"/>
      <c r="BJ101" s="3073"/>
      <c r="BK101" s="3073"/>
      <c r="BL101" s="3073"/>
      <c r="BM101" s="3073"/>
      <c r="BN101" s="3073"/>
      <c r="BO101" s="3073"/>
      <c r="BP101" s="3073"/>
      <c r="BQ101" s="3073"/>
      <c r="BR101" s="3073"/>
      <c r="BS101" s="3073"/>
      <c r="BT101" s="3073"/>
      <c r="BU101" s="3073"/>
      <c r="BV101" s="3073"/>
      <c r="BW101" s="3073"/>
      <c r="BX101" s="3073"/>
      <c r="BY101" s="3073"/>
      <c r="BZ101" s="3073"/>
      <c r="CA101" s="3073"/>
      <c r="CB101" s="3073"/>
      <c r="CC101" s="3073"/>
      <c r="CD101" s="3073"/>
      <c r="CE101" s="3073"/>
      <c r="CF101" s="3073"/>
      <c r="CG101" s="3073"/>
      <c r="CH101" s="3073"/>
      <c r="CI101" s="3073"/>
      <c r="CJ101" s="3073"/>
      <c r="CK101" s="3073"/>
      <c r="CL101" s="3073"/>
      <c r="CM101" s="3073"/>
      <c r="CN101" s="3073"/>
      <c r="CO101" s="3073"/>
      <c r="CP101" s="3073"/>
      <c r="CQ101" s="3073"/>
      <c r="CR101" s="3073"/>
      <c r="CS101" s="3073"/>
      <c r="CT101" s="3073"/>
      <c r="CU101" s="3073"/>
      <c r="CV101" s="3073"/>
      <c r="CW101" s="3073"/>
      <c r="CX101" s="3073"/>
      <c r="CY101" s="3162"/>
      <c r="CZ101" s="3162"/>
      <c r="DA101" s="3162"/>
      <c r="DB101" s="3162"/>
    </row>
    <row r="102" spans="1:106" ht="15.6" customHeight="1">
      <c r="A102" s="3032" t="s">
        <v>1366</v>
      </c>
      <c r="B102" s="3032" t="s">
        <v>1367</v>
      </c>
      <c r="C102" s="3033" t="s">
        <v>1368</v>
      </c>
      <c r="E102" s="3034" t="s">
        <v>1113</v>
      </c>
      <c r="F102" s="3034" t="s">
        <v>1115</v>
      </c>
      <c r="G102" s="3035" t="s">
        <v>1368</v>
      </c>
      <c r="I102" s="3036" t="s">
        <v>1114</v>
      </c>
      <c r="J102" s="3036" t="s">
        <v>1116</v>
      </c>
      <c r="K102" s="3033" t="s">
        <v>1368</v>
      </c>
      <c r="L102" s="1869"/>
      <c r="N102" s="565"/>
      <c r="O102" s="565"/>
      <c r="P102" s="565"/>
    </row>
    <row r="103" spans="1:106" ht="15.6" customHeight="1">
      <c r="A103" s="3037">
        <f>E103+I103</f>
        <v>0</v>
      </c>
      <c r="B103" s="3037">
        <f>BP88</f>
        <v>48928</v>
      </c>
      <c r="C103" s="3052">
        <f>A103-B103</f>
        <v>-48928</v>
      </c>
      <c r="D103" s="3038"/>
      <c r="E103" s="3039">
        <f>BS88</f>
        <v>0</v>
      </c>
      <c r="F103" s="3039">
        <f>BT88</f>
        <v>46235.905351956673</v>
      </c>
      <c r="G103" s="3053">
        <f>BU88</f>
        <v>-46235.905351956673</v>
      </c>
      <c r="H103" s="3038"/>
      <c r="I103" s="3037">
        <f>BW88</f>
        <v>0</v>
      </c>
      <c r="J103" s="3037">
        <f>BX88</f>
        <v>2692.1170124629512</v>
      </c>
      <c r="K103" s="3052">
        <f>BY88</f>
        <v>-2692.1170124629512</v>
      </c>
      <c r="L103" s="1869"/>
      <c r="N103" s="565"/>
      <c r="O103" s="565"/>
      <c r="P103" s="565"/>
    </row>
    <row r="104" spans="1:106" ht="15.6" customHeight="1">
      <c r="A104" s="3040" t="s">
        <v>1150</v>
      </c>
      <c r="B104" s="3032" t="s">
        <v>1369</v>
      </c>
      <c r="C104" s="3036" t="s">
        <v>907</v>
      </c>
      <c r="E104" s="3041" t="s">
        <v>1370</v>
      </c>
      <c r="F104" s="3041" t="s">
        <v>1148</v>
      </c>
      <c r="G104" s="3034" t="s">
        <v>907</v>
      </c>
      <c r="I104" s="3040" t="s">
        <v>1371</v>
      </c>
      <c r="J104" s="3040" t="s">
        <v>1149</v>
      </c>
      <c r="K104" s="3036" t="s">
        <v>907</v>
      </c>
      <c r="L104" s="1869"/>
      <c r="M104" s="565"/>
      <c r="N104" s="565"/>
      <c r="O104" s="565"/>
      <c r="P104" s="565"/>
    </row>
    <row r="105" spans="1:106" ht="15.6" customHeight="1" thickBot="1">
      <c r="A105" s="3043">
        <f>CE88</f>
        <v>0</v>
      </c>
      <c r="B105" s="3044" t="str">
        <f>CA88</f>
        <v/>
      </c>
      <c r="C105" s="3043">
        <f>SUM(G105,K105)</f>
        <v>0</v>
      </c>
      <c r="D105" s="3045"/>
      <c r="E105" s="3046" t="str">
        <f>CB88</f>
        <v/>
      </c>
      <c r="F105" s="3047">
        <f>CF88</f>
        <v>0</v>
      </c>
      <c r="G105" s="3047" t="str">
        <f>BV88</f>
        <v/>
      </c>
      <c r="H105" s="3045"/>
      <c r="I105" s="3044" t="str">
        <f>CC88</f>
        <v/>
      </c>
      <c r="J105" s="3043">
        <f>CG88</f>
        <v>0</v>
      </c>
      <c r="K105" s="3043" t="str">
        <f>BZ88</f>
        <v/>
      </c>
      <c r="L105" s="1869"/>
      <c r="N105" s="565"/>
      <c r="O105" s="565"/>
      <c r="P105" s="565"/>
    </row>
    <row r="106" spans="1:106">
      <c r="N106" s="565"/>
      <c r="O106" s="565"/>
      <c r="P106" s="565"/>
    </row>
    <row r="107" spans="1:106">
      <c r="N107" s="565"/>
      <c r="O107" s="565"/>
      <c r="P107" s="565"/>
    </row>
    <row r="108" spans="1:106" ht="76.8" customHeight="1">
      <c r="A108" s="4360" t="str">
        <f>N110</f>
        <v>Horst</v>
      </c>
      <c r="B108" s="4361"/>
      <c r="C108" s="3168" t="s">
        <v>1348</v>
      </c>
      <c r="D108" s="3168" t="s">
        <v>1349</v>
      </c>
      <c r="E108" s="3168" t="s">
        <v>1350</v>
      </c>
      <c r="F108" s="3168" t="s">
        <v>1351</v>
      </c>
      <c r="G108" s="3168" t="s">
        <v>663</v>
      </c>
      <c r="H108" s="3168" t="s">
        <v>490</v>
      </c>
      <c r="I108" s="3168" t="s">
        <v>1352</v>
      </c>
      <c r="J108" s="3168" t="s">
        <v>1353</v>
      </c>
      <c r="K108" s="3168" t="s">
        <v>1354</v>
      </c>
      <c r="L108" s="3169"/>
      <c r="N108" s="565"/>
      <c r="O108" s="3074">
        <f>O$1</f>
        <v>0</v>
      </c>
      <c r="P108" s="3074">
        <f t="shared" ref="P108:CA108" si="100">P$1</f>
        <v>0</v>
      </c>
      <c r="Q108" s="3074" t="str">
        <f t="shared" si="100"/>
        <v>Bruttolohn pro Monat 
ohne Provision</v>
      </c>
      <c r="R108" s="3074" t="str">
        <f t="shared" si="100"/>
        <v>einmalige Sonderzahlung z.B.Weihnachts-geld</v>
      </c>
      <c r="S108" s="3074" t="str">
        <f t="shared" si="100"/>
        <v xml:space="preserve">einmalige Sonderzahlung z.B. Urlaubsgeld </v>
      </c>
      <c r="T108" s="3074" t="str">
        <f t="shared" si="100"/>
        <v>regelmäßige monatl. Sonder-zahlung (z.B.Werkzeuggeld, VWL usw.)</v>
      </c>
      <c r="U108" s="3074" t="str">
        <f t="shared" si="100"/>
        <v>einmalige steuerfreie Sonder-zahlung</v>
      </c>
      <c r="V108" s="3074" t="str">
        <f t="shared" si="100"/>
        <v>regelmäßige monatl. Sonder-zahlung steuerfrei</v>
      </c>
      <c r="W108" s="3074" t="str">
        <f t="shared" si="100"/>
        <v>Bruttolohn pro Stunde</v>
      </c>
      <c r="X108" s="3074" t="str">
        <f t="shared" si="100"/>
        <v>Gesamtlohn. Alle Sonderzahl-ungen sind auf 1 Monat gerechnet</v>
      </c>
      <c r="Y108" s="3074" t="str">
        <f t="shared" si="100"/>
        <v xml:space="preserve">Wochenstd.   x  4,33  =  
Arb. -Std. pro Monat </v>
      </c>
      <c r="Z108" s="3074" t="str">
        <f t="shared" si="100"/>
        <v>Stunden - Lohn 
Bruttolohn incl. aller Zusatz-zahlungen</v>
      </c>
      <c r="AA108" s="3074" t="str">
        <f t="shared" si="100"/>
        <v>Wieviele bezahlte Anwesend-heitsmonate in diesem Planungsjahr</v>
      </c>
      <c r="AB108" s="3074" t="str">
        <f t="shared" si="100"/>
        <v>Daraus resultierende wahrschein-liche Arbeitstage im Jahr</v>
      </c>
      <c r="AC108" s="3074" t="str">
        <f t="shared" si="100"/>
        <v>Personal-faktor / VBE</v>
      </c>
      <c r="AD108" s="3074" t="str">
        <f t="shared" si="100"/>
        <v>Brutto Jahreslohn-summe</v>
      </c>
      <c r="AE108" s="3074" t="str">
        <f t="shared" si="100"/>
        <v>Summe Url.-+Weihn.-Geld usw. monatlich</v>
      </c>
      <c r="AF108" s="3074" t="str">
        <f t="shared" si="100"/>
        <v>x Lohn-faktor</v>
      </c>
      <c r="AG108" s="3074" t="str">
        <f t="shared" si="100"/>
        <v>Sollumsatz pro Arbeits-monat €</v>
      </c>
      <c r="AH108" s="3074" t="str">
        <f t="shared" si="100"/>
        <v>Sollumsatz DL pro Anwesen-heitstag €</v>
      </c>
      <c r="AI108" s="3074" t="str">
        <f t="shared" si="100"/>
        <v>Verkaufs-anteil %</v>
      </c>
      <c r="AJ108" s="3074" t="str">
        <f t="shared" si="100"/>
        <v>Verkaufs-anteil € pro Tag</v>
      </c>
      <c r="AK108" s="3074">
        <f t="shared" si="100"/>
        <v>0</v>
      </c>
      <c r="AL108" s="3074" t="str">
        <f t="shared" si="100"/>
        <v>Gesamt-sollumsatz pro Tag €</v>
      </c>
      <c r="AM108" s="3074">
        <f t="shared" si="100"/>
        <v>0</v>
      </c>
      <c r="AN108" s="3074">
        <f t="shared" si="100"/>
        <v>0</v>
      </c>
      <c r="AO108" s="3074" t="str">
        <f t="shared" si="100"/>
        <v>Std</v>
      </c>
      <c r="AP108" s="3074" t="str">
        <f t="shared" si="100"/>
        <v>Tage pro Woche</v>
      </c>
      <c r="AQ108" s="3074" t="str">
        <f t="shared" si="100"/>
        <v>Tage pro Monat</v>
      </c>
      <c r="AR108" s="3074" t="str">
        <f t="shared" si="100"/>
        <v>Gesamtumsatz pro M.</v>
      </c>
      <c r="AS108" s="3074" t="str">
        <f t="shared" si="100"/>
        <v>DL-Umsatz pro M.</v>
      </c>
      <c r="AT108" s="3074" t="str">
        <f t="shared" si="100"/>
        <v>VK-Umsatz pro M.</v>
      </c>
      <c r="AU108" s="3074" t="str">
        <f t="shared" si="100"/>
        <v>Umsatz p. Woche</v>
      </c>
      <c r="AV108" s="3074" t="str">
        <f t="shared" si="100"/>
        <v>Umsatz p. Std</v>
      </c>
      <c r="AW108" s="3074">
        <f t="shared" si="100"/>
        <v>0</v>
      </c>
      <c r="AX108" s="3074" t="str">
        <f t="shared" si="100"/>
        <v>Umsatz p. Std mit Leerlauf</v>
      </c>
      <c r="AY108" s="3074" t="str">
        <f t="shared" si="100"/>
        <v>&lt;-- andern auf Seite 22</v>
      </c>
      <c r="AZ108" s="3074">
        <f t="shared" si="100"/>
        <v>0</v>
      </c>
      <c r="BA108" s="3074" t="str">
        <f t="shared" si="100"/>
        <v>Montag</v>
      </c>
      <c r="BB108" s="3074">
        <f t="shared" si="100"/>
        <v>0</v>
      </c>
      <c r="BC108" s="3074" t="str">
        <f t="shared" si="100"/>
        <v>Dienstag</v>
      </c>
      <c r="BD108" s="3074">
        <f t="shared" si="100"/>
        <v>0</v>
      </c>
      <c r="BE108" s="3074" t="str">
        <f t="shared" si="100"/>
        <v>Mittwoch</v>
      </c>
      <c r="BF108" s="3074">
        <f t="shared" si="100"/>
        <v>0</v>
      </c>
      <c r="BG108" s="3074" t="str">
        <f t="shared" si="100"/>
        <v>Donnerstag</v>
      </c>
      <c r="BH108" s="3074">
        <f t="shared" si="100"/>
        <v>0</v>
      </c>
      <c r="BI108" s="3074" t="str">
        <f t="shared" si="100"/>
        <v>Freitag</v>
      </c>
      <c r="BJ108" s="3074">
        <f t="shared" si="100"/>
        <v>0</v>
      </c>
      <c r="BK108" s="3074" t="str">
        <f t="shared" si="100"/>
        <v>Samstag</v>
      </c>
      <c r="BL108" s="3074">
        <f t="shared" si="100"/>
        <v>0</v>
      </c>
      <c r="BM108" s="3074" t="str">
        <f t="shared" si="100"/>
        <v>Arbeitstage</v>
      </c>
      <c r="BN108" s="3074" t="str">
        <f t="shared" si="100"/>
        <v>Urlaubstage</v>
      </c>
      <c r="BO108" s="3074" t="str">
        <f t="shared" si="100"/>
        <v>Krankentage</v>
      </c>
      <c r="BP108" s="3074" t="str">
        <f t="shared" si="100"/>
        <v>Ums/Ges</v>
      </c>
      <c r="BQ108" s="3074" t="str">
        <f t="shared" si="100"/>
        <v>Ums/DL</v>
      </c>
      <c r="BR108" s="3074" t="str">
        <f t="shared" si="100"/>
        <v>Ums/VK</v>
      </c>
      <c r="BS108" s="3074" t="str">
        <f t="shared" si="100"/>
        <v>DL Differenz Soll/Ist</v>
      </c>
      <c r="BT108" s="3074">
        <f t="shared" si="100"/>
        <v>0</v>
      </c>
      <c r="BU108" s="3074">
        <f t="shared" si="100"/>
        <v>0</v>
      </c>
      <c r="BV108" s="3074">
        <f t="shared" si="100"/>
        <v>0</v>
      </c>
      <c r="BW108" s="3074" t="str">
        <f t="shared" si="100"/>
        <v>Verkauf Differenz Soll/Ist</v>
      </c>
      <c r="BX108" s="3074">
        <f t="shared" si="100"/>
        <v>0</v>
      </c>
      <c r="BY108" s="3074">
        <f t="shared" si="100"/>
        <v>0</v>
      </c>
      <c r="BZ108" s="3074">
        <f t="shared" si="100"/>
        <v>0</v>
      </c>
      <c r="CA108" s="3074">
        <f t="shared" si="100"/>
        <v>0</v>
      </c>
      <c r="CB108" s="3074" t="str">
        <f t="shared" ref="CB108:CG108" si="101">CB$1</f>
        <v>Monate im +</v>
      </c>
      <c r="CC108" s="3074" t="str">
        <f t="shared" si="101"/>
        <v>Monate im +</v>
      </c>
      <c r="CD108" s="3074">
        <f t="shared" si="101"/>
        <v>0</v>
      </c>
      <c r="CE108" s="3074">
        <f t="shared" si="101"/>
        <v>0</v>
      </c>
      <c r="CF108" s="3074">
        <f t="shared" si="101"/>
        <v>0</v>
      </c>
      <c r="CG108" s="3074">
        <f t="shared" si="101"/>
        <v>0</v>
      </c>
    </row>
    <row r="109" spans="1:106" s="3000" customFormat="1" ht="20.399999999999999" customHeight="1" thickBot="1">
      <c r="A109" s="3051">
        <f>CH110</f>
        <v>6</v>
      </c>
      <c r="B109" s="3001"/>
      <c r="C109" s="3002">
        <f t="shared" ref="C109" si="102">Q110</f>
        <v>1350</v>
      </c>
      <c r="D109" s="3002">
        <f t="shared" ref="D109" si="103">R110</f>
        <v>0</v>
      </c>
      <c r="E109" s="3002">
        <f t="shared" ref="E109" si="104">S110</f>
        <v>0</v>
      </c>
      <c r="F109" s="3002">
        <f t="shared" ref="F109" si="105">T110</f>
        <v>0</v>
      </c>
      <c r="G109" s="3002">
        <f t="shared" ref="G109" si="106">U110</f>
        <v>0</v>
      </c>
      <c r="H109" s="3002">
        <f t="shared" ref="H109" si="107">V110</f>
        <v>0</v>
      </c>
      <c r="I109" s="3002">
        <f>X110</f>
        <v>1350</v>
      </c>
      <c r="J109" s="3003">
        <f>AA110</f>
        <v>12</v>
      </c>
      <c r="K109" s="3004">
        <f>AD110</f>
        <v>16200</v>
      </c>
      <c r="N109" s="565" t="s">
        <v>1345</v>
      </c>
      <c r="O109" s="3074">
        <f t="shared" ref="O109:BZ109" si="108">O66</f>
        <v>4</v>
      </c>
      <c r="P109" s="3074">
        <f t="shared" si="108"/>
        <v>0</v>
      </c>
      <c r="Q109" s="3074">
        <f t="shared" si="108"/>
        <v>1310</v>
      </c>
      <c r="R109" s="3074">
        <f t="shared" si="108"/>
        <v>0</v>
      </c>
      <c r="S109" s="3074">
        <f t="shared" si="108"/>
        <v>0</v>
      </c>
      <c r="T109" s="3074">
        <f t="shared" si="108"/>
        <v>0</v>
      </c>
      <c r="U109" s="3074">
        <f t="shared" si="108"/>
        <v>125</v>
      </c>
      <c r="V109" s="3074">
        <f t="shared" si="108"/>
        <v>0</v>
      </c>
      <c r="W109" s="3074">
        <f t="shared" si="108"/>
        <v>13.75183707747218</v>
      </c>
      <c r="X109" s="3074">
        <f t="shared" si="108"/>
        <v>1320.4166666666667</v>
      </c>
      <c r="Y109" s="3074">
        <f t="shared" si="108"/>
        <v>95.26</v>
      </c>
      <c r="Z109" s="3074">
        <f t="shared" si="108"/>
        <v>13.861186927006788</v>
      </c>
      <c r="AA109" s="3074">
        <f t="shared" si="108"/>
        <v>12</v>
      </c>
      <c r="AB109" s="3074">
        <f t="shared" si="108"/>
        <v>129.89480399999999</v>
      </c>
      <c r="AC109" s="3074">
        <f t="shared" si="108"/>
        <v>0.55000000000000004</v>
      </c>
      <c r="AD109" s="3074">
        <f t="shared" si="108"/>
        <v>15845</v>
      </c>
      <c r="AE109" s="3074">
        <f t="shared" si="108"/>
        <v>10.416666666666666</v>
      </c>
      <c r="AF109" s="3074">
        <f t="shared" si="108"/>
        <v>4.63</v>
      </c>
      <c r="AG109" s="3074">
        <f t="shared" si="108"/>
        <v>6065</v>
      </c>
      <c r="AH109" s="3074">
        <f t="shared" si="108"/>
        <v>441.30493376724507</v>
      </c>
      <c r="AI109" s="3074">
        <f t="shared" si="108"/>
        <v>5.5021555102258944E-2</v>
      </c>
      <c r="AJ109" s="3074">
        <f t="shared" si="108"/>
        <v>25.695066232754925</v>
      </c>
      <c r="AK109" s="3074">
        <f t="shared" si="108"/>
        <v>0</v>
      </c>
      <c r="AL109" s="3074">
        <f t="shared" si="108"/>
        <v>466.9</v>
      </c>
      <c r="AM109" s="3074">
        <f t="shared" si="108"/>
        <v>0</v>
      </c>
      <c r="AN109" s="3074">
        <f t="shared" si="108"/>
        <v>0</v>
      </c>
      <c r="AO109" s="3074">
        <f t="shared" si="108"/>
        <v>22</v>
      </c>
      <c r="AP109" s="3074">
        <f t="shared" si="108"/>
        <v>3</v>
      </c>
      <c r="AQ109" s="3074">
        <f t="shared" si="108"/>
        <v>12.99</v>
      </c>
      <c r="AR109" s="3074">
        <f t="shared" si="108"/>
        <v>6065</v>
      </c>
      <c r="AS109" s="3074">
        <f t="shared" si="108"/>
        <v>5731.2942683047995</v>
      </c>
      <c r="AT109" s="3074">
        <f t="shared" si="108"/>
        <v>333.70573169520048</v>
      </c>
      <c r="AU109" s="3074">
        <f t="shared" si="108"/>
        <v>1401</v>
      </c>
      <c r="AV109" s="3074">
        <f t="shared" si="108"/>
        <v>63.667856393029609</v>
      </c>
      <c r="AW109" s="3074">
        <f t="shared" si="108"/>
        <v>0</v>
      </c>
      <c r="AX109" s="3074">
        <f t="shared" si="108"/>
        <v>79.584820491287005</v>
      </c>
      <c r="AY109" s="3074" t="str">
        <f t="shared" si="108"/>
        <v>Cordula</v>
      </c>
      <c r="AZ109" s="3074">
        <f t="shared" si="108"/>
        <v>60663.3</v>
      </c>
      <c r="BA109" s="3074">
        <f t="shared" si="108"/>
        <v>8</v>
      </c>
      <c r="BB109" s="3074">
        <f t="shared" si="108"/>
        <v>509.34285114423687</v>
      </c>
      <c r="BC109" s="3074">
        <f t="shared" si="108"/>
        <v>8</v>
      </c>
      <c r="BD109" s="3074">
        <f t="shared" si="108"/>
        <v>509.34285114423687</v>
      </c>
      <c r="BE109" s="3074" t="str">
        <f t="shared" si="108"/>
        <v/>
      </c>
      <c r="BF109" s="3074" t="str">
        <f t="shared" si="108"/>
        <v/>
      </c>
      <c r="BG109" s="3074">
        <f t="shared" si="108"/>
        <v>6</v>
      </c>
      <c r="BH109" s="3074">
        <f t="shared" si="108"/>
        <v>382.00713835817766</v>
      </c>
      <c r="BI109" s="3074">
        <f t="shared" si="108"/>
        <v>8</v>
      </c>
      <c r="BJ109" s="3074">
        <f t="shared" si="108"/>
        <v>509.34285114423687</v>
      </c>
      <c r="BK109" s="3074" t="str">
        <f t="shared" si="108"/>
        <v/>
      </c>
      <c r="BL109" s="3074" t="str">
        <f t="shared" si="108"/>
        <v/>
      </c>
      <c r="BM109" s="3074">
        <f t="shared" si="108"/>
        <v>128</v>
      </c>
      <c r="BN109" s="3074">
        <f t="shared" si="108"/>
        <v>14</v>
      </c>
      <c r="BO109" s="3074">
        <f t="shared" si="108"/>
        <v>12</v>
      </c>
      <c r="BP109" s="3074">
        <f t="shared" si="108"/>
        <v>59763.199999999997</v>
      </c>
      <c r="BQ109" s="3074">
        <f t="shared" si="108"/>
        <v>56487.031522207377</v>
      </c>
      <c r="BR109" s="3074">
        <f t="shared" si="108"/>
        <v>3288.2473946871178</v>
      </c>
      <c r="BS109" s="3074">
        <f t="shared" si="108"/>
        <v>0</v>
      </c>
      <c r="BT109" s="3074">
        <f t="shared" si="108"/>
        <v>56487.031522207377</v>
      </c>
      <c r="BU109" s="3074">
        <f t="shared" si="108"/>
        <v>-56487.031522207377</v>
      </c>
      <c r="BV109" s="3074" t="str">
        <f t="shared" si="108"/>
        <v/>
      </c>
      <c r="BW109" s="3074">
        <f t="shared" si="108"/>
        <v>0</v>
      </c>
      <c r="BX109" s="3074">
        <f t="shared" si="108"/>
        <v>3288.2473946871178</v>
      </c>
      <c r="BY109" s="3074">
        <f t="shared" si="108"/>
        <v>-3288.2473946871178</v>
      </c>
      <c r="BZ109" s="3074" t="str">
        <f t="shared" si="108"/>
        <v/>
      </c>
      <c r="CA109" s="3074" t="str">
        <f t="shared" ref="CA109:CG109" si="109">CA66</f>
        <v/>
      </c>
      <c r="CB109" s="3074" t="str">
        <f t="shared" si="109"/>
        <v/>
      </c>
      <c r="CC109" s="3074" t="str">
        <f t="shared" si="109"/>
        <v/>
      </c>
      <c r="CD109" s="3074" t="str">
        <f t="shared" si="109"/>
        <v>Cordula</v>
      </c>
      <c r="CE109" s="3074">
        <f t="shared" si="109"/>
        <v>0</v>
      </c>
      <c r="CF109" s="3074">
        <f t="shared" si="109"/>
        <v>0</v>
      </c>
      <c r="CG109" s="3074">
        <f t="shared" si="109"/>
        <v>0</v>
      </c>
      <c r="CH109" s="3062"/>
      <c r="CI109" s="3062"/>
      <c r="CJ109" s="3062"/>
      <c r="CK109" s="3062"/>
      <c r="CL109" s="3062"/>
      <c r="CM109" s="3062"/>
      <c r="CN109" s="3062"/>
      <c r="CO109" s="3062"/>
      <c r="CP109" s="3062"/>
      <c r="CQ109" s="3062"/>
      <c r="CR109" s="3062"/>
      <c r="CS109" s="3062"/>
      <c r="CT109" s="3062"/>
      <c r="CU109" s="3062"/>
      <c r="CV109" s="3062"/>
      <c r="CW109" s="3062"/>
      <c r="CX109" s="3062"/>
      <c r="CY109" s="3159"/>
      <c r="CZ109" s="3159"/>
      <c r="DA109" s="3159"/>
      <c r="DB109" s="3159"/>
    </row>
    <row r="110" spans="1:106" s="3005" customFormat="1" ht="41.4" customHeight="1">
      <c r="B110" s="3006"/>
      <c r="C110" s="3007" t="s">
        <v>1296</v>
      </c>
      <c r="D110" s="3007" t="s">
        <v>1355</v>
      </c>
      <c r="E110" s="3007" t="s">
        <v>1356</v>
      </c>
      <c r="F110" s="3007" t="s">
        <v>1357</v>
      </c>
      <c r="G110" s="3007" t="s">
        <v>1358</v>
      </c>
      <c r="H110" s="3007" t="s">
        <v>1359</v>
      </c>
      <c r="I110" s="3007" t="s">
        <v>1360</v>
      </c>
      <c r="J110" s="3007" t="s">
        <v>1361</v>
      </c>
      <c r="N110" s="565" t="str">
        <f>MAdaten!A9</f>
        <v>Horst</v>
      </c>
      <c r="O110" s="565">
        <f>MAdaten!B9</f>
        <v>0</v>
      </c>
      <c r="P110" s="565">
        <f>MAdaten!C9</f>
        <v>0</v>
      </c>
      <c r="Q110" s="565">
        <f>MAdaten!D9</f>
        <v>1350</v>
      </c>
      <c r="R110" s="565">
        <f>MAdaten!E9</f>
        <v>0</v>
      </c>
      <c r="S110" s="565">
        <f>MAdaten!F9</f>
        <v>0</v>
      </c>
      <c r="T110" s="565">
        <f>MAdaten!G9</f>
        <v>0</v>
      </c>
      <c r="U110" s="565">
        <f>MAdaten!H9</f>
        <v>0</v>
      </c>
      <c r="V110" s="565">
        <f>MAdaten!I9</f>
        <v>0</v>
      </c>
      <c r="W110" s="565">
        <f>MAdaten!J9</f>
        <v>14.846585285384361</v>
      </c>
      <c r="X110" s="565">
        <f>MAdaten!K9</f>
        <v>1350</v>
      </c>
      <c r="Y110" s="565">
        <f>MAdaten!L9</f>
        <v>90.93</v>
      </c>
      <c r="Z110" s="565">
        <f>MAdaten!M9</f>
        <v>14.846585285384361</v>
      </c>
      <c r="AA110" s="565">
        <f>MAdaten!N9</f>
        <v>12</v>
      </c>
      <c r="AB110" s="565">
        <f>MAdaten!O9</f>
        <v>129.89480399999999</v>
      </c>
      <c r="AC110" s="565">
        <f>MAdaten!P9</f>
        <v>0.52500000000000002</v>
      </c>
      <c r="AD110" s="565">
        <f>MAdaten!Q9</f>
        <v>16200</v>
      </c>
      <c r="AE110" s="565">
        <f>MAdaten!R9</f>
        <v>0</v>
      </c>
      <c r="AF110" s="565">
        <f>MAdaten!S9</f>
        <v>4.63</v>
      </c>
      <c r="AG110" s="565">
        <f>MAdaten!T9</f>
        <v>6251</v>
      </c>
      <c r="AH110" s="565">
        <f>MAdaten!U9</f>
        <v>454.53463199581347</v>
      </c>
      <c r="AI110" s="565">
        <f>MAdaten!V9</f>
        <v>5.5021555102258944E-2</v>
      </c>
      <c r="AJ110" s="565">
        <f>MAdaten!W9</f>
        <v>26.465368004186551</v>
      </c>
      <c r="AK110" s="565">
        <f>MAdaten!X9</f>
        <v>0</v>
      </c>
      <c r="AL110" s="565">
        <f>MAdaten!Y9</f>
        <v>481.22</v>
      </c>
      <c r="AM110" s="565">
        <f>MAdaten!Z9</f>
        <v>0</v>
      </c>
      <c r="AN110" s="565">
        <f>MAdaten!AA9</f>
        <v>0</v>
      </c>
      <c r="AO110" s="565">
        <f>MAdaten!AB9</f>
        <v>21</v>
      </c>
      <c r="AP110" s="565">
        <f>MAdaten!AC9</f>
        <v>3</v>
      </c>
      <c r="AQ110" s="565">
        <f>MAdaten!AD9</f>
        <v>12.99</v>
      </c>
      <c r="AR110" s="565">
        <f>MAdaten!AE9</f>
        <v>6251</v>
      </c>
      <c r="AS110" s="565">
        <f>MAdaten!AF9</f>
        <v>5907.0602590557792</v>
      </c>
      <c r="AT110" s="565">
        <f>MAdaten!AG9</f>
        <v>343.93974094422066</v>
      </c>
      <c r="AU110" s="565">
        <f>MAdaten!AH9</f>
        <v>1443</v>
      </c>
      <c r="AV110" s="565">
        <f>MAdaten!AI9</f>
        <v>68.745188606620474</v>
      </c>
      <c r="AW110" s="565">
        <f>MAdaten!AJ9</f>
        <v>0</v>
      </c>
      <c r="AX110" s="565">
        <f>MAdaten!AK9</f>
        <v>85.931485758275585</v>
      </c>
      <c r="AY110" s="565" t="str">
        <f>MAdaten!AL9</f>
        <v>Horst</v>
      </c>
      <c r="AZ110" s="565">
        <f>MAdaten!AM9</f>
        <v>62481.9</v>
      </c>
      <c r="BA110" s="565" t="str">
        <f>MAdaten!AN9</f>
        <v/>
      </c>
      <c r="BB110" s="565" t="str">
        <f>MAdaten!AO9</f>
        <v/>
      </c>
      <c r="BC110" s="565">
        <f>MAdaten!AP9</f>
        <v>7</v>
      </c>
      <c r="BD110" s="565">
        <f>MAdaten!AQ9</f>
        <v>481.21632024634334</v>
      </c>
      <c r="BE110" s="565">
        <f>MAdaten!AR9</f>
        <v>7</v>
      </c>
      <c r="BF110" s="565">
        <f>MAdaten!AS9</f>
        <v>481.21632024634334</v>
      </c>
      <c r="BG110" s="565">
        <f>MAdaten!AT9</f>
        <v>7</v>
      </c>
      <c r="BH110" s="565">
        <f>MAdaten!AU9</f>
        <v>481.21632024634334</v>
      </c>
      <c r="BI110" s="565" t="str">
        <f>MAdaten!AV9</f>
        <v/>
      </c>
      <c r="BJ110" s="565" t="str">
        <f>MAdaten!AW9</f>
        <v/>
      </c>
      <c r="BK110" s="565">
        <f>MAdaten!AX9</f>
        <v>7</v>
      </c>
      <c r="BL110" s="565">
        <f>MAdaten!AY9</f>
        <v>481.21632024634334</v>
      </c>
      <c r="BM110" s="565">
        <f>MAdaten!AZ9</f>
        <v>129</v>
      </c>
      <c r="BN110" s="565">
        <f>MAdaten!BA9</f>
        <v>14</v>
      </c>
      <c r="BO110" s="565">
        <f>MAdaten!BB9</f>
        <v>12</v>
      </c>
      <c r="BP110" s="565">
        <f>MAdaten!BC9</f>
        <v>62077.380000000005</v>
      </c>
      <c r="BQ110" s="565">
        <f>MAdaten!BD9</f>
        <v>58634.967527459936</v>
      </c>
      <c r="BR110" s="565">
        <f>MAdaten!BE9</f>
        <v>3415.56786618972</v>
      </c>
      <c r="BS110" s="565">
        <f>MAdaten!BF9</f>
        <v>0</v>
      </c>
      <c r="BT110" s="565">
        <f>MAdaten!BG9</f>
        <v>58634.967527459929</v>
      </c>
      <c r="BU110" s="565">
        <f>MAdaten!BH9</f>
        <v>-58634.967527459929</v>
      </c>
      <c r="BV110" s="565" t="str">
        <f>MAdaten!BI9</f>
        <v/>
      </c>
      <c r="BW110" s="565">
        <f>MAdaten!BJ9</f>
        <v>0</v>
      </c>
      <c r="BX110" s="565">
        <f>MAdaten!BK9</f>
        <v>3415.5678661897196</v>
      </c>
      <c r="BY110" s="565">
        <f>MAdaten!BL9</f>
        <v>-3415.5678661897196</v>
      </c>
      <c r="BZ110" s="565" t="str">
        <f>MAdaten!BM9</f>
        <v/>
      </c>
      <c r="CA110" s="565" t="str">
        <f>MAdaten!BN9</f>
        <v/>
      </c>
      <c r="CB110" s="565" t="str">
        <f>MAdaten!BO9</f>
        <v/>
      </c>
      <c r="CC110" s="565" t="str">
        <f>MAdaten!BP9</f>
        <v/>
      </c>
      <c r="CD110" s="565" t="str">
        <f>MAdaten!BQ9</f>
        <v>Horst</v>
      </c>
      <c r="CE110" s="565">
        <f>MAdaten!BR9</f>
        <v>0</v>
      </c>
      <c r="CF110" s="565">
        <f>MAdaten!BS9</f>
        <v>0</v>
      </c>
      <c r="CG110" s="565">
        <f>MAdaten!BT9</f>
        <v>0</v>
      </c>
      <c r="CH110" s="565">
        <f>MAdaten!BU9</f>
        <v>6</v>
      </c>
      <c r="CI110" s="565" t="str">
        <f>MAdaten!BV9</f>
        <v>Januar</v>
      </c>
      <c r="CJ110" s="565">
        <f>MAdaten!BW9</f>
        <v>13</v>
      </c>
      <c r="CK110" s="565">
        <f>MAdaten!BX9</f>
        <v>0</v>
      </c>
      <c r="CL110" s="565">
        <f>MAdaten!BY9</f>
        <v>0</v>
      </c>
      <c r="CM110" s="565">
        <f>MAdaten!BZ9</f>
        <v>0</v>
      </c>
      <c r="CN110" s="565">
        <f>MAdaten!CA9</f>
        <v>5908.9502159455751</v>
      </c>
      <c r="CO110" s="565" t="str">
        <f>MAdaten!CB9</f>
        <v/>
      </c>
      <c r="CP110" s="565" t="str">
        <f>MAdaten!CC9</f>
        <v/>
      </c>
      <c r="CQ110" s="565">
        <f>MAdaten!CD9</f>
        <v>0</v>
      </c>
      <c r="CR110" s="565">
        <f>MAdaten!CE9</f>
        <v>344.20451364702603</v>
      </c>
      <c r="CS110" s="565" t="str">
        <f>MAdaten!CF9</f>
        <v/>
      </c>
      <c r="CT110" s="565" t="str">
        <f>MAdaten!CG9</f>
        <v/>
      </c>
      <c r="CU110" s="3069"/>
      <c r="CV110" s="3069"/>
      <c r="CW110" s="3069"/>
      <c r="CX110" s="3069"/>
      <c r="CY110" s="3160"/>
      <c r="CZ110" s="3160"/>
      <c r="DA110" s="3160"/>
      <c r="DB110" s="3160"/>
    </row>
    <row r="111" spans="1:106" s="3000" customFormat="1" ht="20.399999999999999" customHeight="1" thickBot="1">
      <c r="B111" s="3001"/>
      <c r="C111" s="3008">
        <f>W110</f>
        <v>14.846585285384361</v>
      </c>
      <c r="D111" s="3008">
        <f>Z110</f>
        <v>14.846585285384361</v>
      </c>
      <c r="E111" s="3008">
        <f>AO110</f>
        <v>21</v>
      </c>
      <c r="F111" s="3008">
        <f>Y110</f>
        <v>90.93</v>
      </c>
      <c r="G111" s="3008">
        <f>AP110</f>
        <v>3</v>
      </c>
      <c r="H111" s="3008">
        <f>AQ110</f>
        <v>12.99</v>
      </c>
      <c r="I111" s="3004">
        <f>AB110</f>
        <v>129.89480399999999</v>
      </c>
      <c r="J111" s="3003">
        <f>AC110</f>
        <v>0.52500000000000002</v>
      </c>
      <c r="N111" s="3062"/>
      <c r="O111" s="3062"/>
      <c r="P111" s="3062"/>
      <c r="Q111" s="3062"/>
      <c r="R111" s="3062"/>
      <c r="S111" s="3062"/>
      <c r="T111" s="3062"/>
      <c r="U111" s="3062"/>
      <c r="V111" s="3062"/>
      <c r="W111" s="3062"/>
      <c r="X111" s="3062"/>
      <c r="Y111" s="3062"/>
      <c r="Z111" s="3062"/>
      <c r="AA111" s="3062"/>
      <c r="AB111" s="3062"/>
      <c r="AC111" s="3062"/>
      <c r="AD111" s="3062"/>
      <c r="AE111" s="3062"/>
      <c r="AF111" s="3062"/>
      <c r="AG111" s="3062"/>
      <c r="AH111" s="3062"/>
      <c r="AI111" s="3062"/>
      <c r="AJ111" s="3062"/>
      <c r="AK111" s="3062"/>
      <c r="AL111" s="3062"/>
      <c r="AM111" s="3062"/>
      <c r="AN111" s="3062"/>
      <c r="AO111" s="3062"/>
      <c r="AP111" s="3062"/>
      <c r="AQ111" s="3062"/>
      <c r="AR111" s="3062"/>
      <c r="AS111" s="3062"/>
      <c r="AT111" s="3062"/>
      <c r="AU111" s="3062"/>
      <c r="AV111" s="3062"/>
      <c r="AW111" s="3062"/>
      <c r="AX111" s="3062"/>
      <c r="AY111" s="3062"/>
      <c r="AZ111" s="3062"/>
      <c r="BA111" s="3062"/>
      <c r="BB111" s="3062"/>
      <c r="BC111" s="3062"/>
      <c r="BD111" s="3062"/>
      <c r="BE111" s="3062"/>
      <c r="BF111" s="3062"/>
      <c r="BG111" s="3062"/>
      <c r="BH111" s="3062"/>
      <c r="BI111" s="3062"/>
      <c r="BJ111" s="3062"/>
      <c r="BK111" s="3062"/>
      <c r="BL111" s="3062"/>
      <c r="BM111" s="3062"/>
      <c r="BN111" s="3062"/>
      <c r="BO111" s="3062"/>
      <c r="BP111" s="3062"/>
      <c r="BQ111" s="3062"/>
      <c r="BR111" s="3062"/>
      <c r="BS111" s="3062"/>
      <c r="BT111" s="3062"/>
      <c r="BU111" s="3062"/>
      <c r="BV111" s="3062"/>
      <c r="BW111" s="3062"/>
      <c r="BX111" s="3062"/>
      <c r="BY111" s="3062"/>
      <c r="BZ111" s="3062"/>
      <c r="CA111" s="3062"/>
      <c r="CB111" s="3062"/>
      <c r="CC111" s="3062"/>
      <c r="CD111" s="3062"/>
      <c r="CE111" s="3062"/>
      <c r="CF111" s="3062"/>
      <c r="CG111" s="3062"/>
      <c r="CH111" s="3062"/>
      <c r="CI111" s="3062"/>
      <c r="CJ111" s="3062"/>
      <c r="CK111" s="3062"/>
      <c r="CL111" s="3062"/>
      <c r="CM111" s="3062"/>
      <c r="CN111" s="3062"/>
      <c r="CO111" s="3062"/>
      <c r="CP111" s="3062"/>
      <c r="CQ111" s="3062"/>
      <c r="CR111" s="3062"/>
      <c r="CS111" s="3062"/>
      <c r="CT111" s="3062"/>
      <c r="CU111" s="3062"/>
      <c r="CV111" s="3062"/>
      <c r="CW111" s="3062"/>
      <c r="CX111" s="3062"/>
      <c r="CY111" s="3159"/>
      <c r="CZ111" s="3159"/>
      <c r="DA111" s="3159"/>
      <c r="DB111" s="3159"/>
    </row>
    <row r="112" spans="1:106" ht="21.6" customHeight="1" thickBot="1">
      <c r="A112" s="3009"/>
      <c r="B112" s="3010"/>
      <c r="C112" s="3011"/>
      <c r="D112" s="3012"/>
      <c r="E112" s="3011"/>
      <c r="F112" s="3012"/>
      <c r="G112" s="3011"/>
      <c r="H112" s="3012"/>
      <c r="I112" s="3054"/>
      <c r="J112" s="3054"/>
      <c r="K112" s="3055"/>
      <c r="L112" s="3054"/>
      <c r="N112" s="565"/>
      <c r="O112" s="565"/>
      <c r="P112" s="565"/>
    </row>
    <row r="113" spans="1:106" s="3005" customFormat="1" ht="66" customHeight="1">
      <c r="A113" s="4362" t="s">
        <v>1362</v>
      </c>
      <c r="B113" s="4363"/>
      <c r="C113" s="3013" t="str">
        <f>AG108</f>
        <v>Sollumsatz pro Arbeits-monat €</v>
      </c>
      <c r="D113" s="3013" t="str">
        <f>AL108</f>
        <v>Gesamt-sollumsatz pro Tag €</v>
      </c>
      <c r="E113" s="3013" t="str">
        <f>AU108</f>
        <v>Umsatz p. Woche</v>
      </c>
      <c r="F113" s="3013" t="str">
        <f>AV108</f>
        <v>Umsatz p. Std</v>
      </c>
      <c r="G113" s="3013" t="str">
        <f>AX108</f>
        <v>Umsatz p. Std mit Leerlauf</v>
      </c>
      <c r="H113" s="3014" t="str">
        <f>AS108</f>
        <v>DL-Umsatz pro M.</v>
      </c>
      <c r="I113" s="3014" t="str">
        <f>AH108</f>
        <v>Sollumsatz DL pro Anwesen-heitstag €</v>
      </c>
      <c r="J113" s="3014" t="str">
        <f>AT108</f>
        <v>VK-Umsatz pro M.</v>
      </c>
      <c r="K113" s="3014" t="str">
        <f>AI108</f>
        <v>Verkaufs-anteil %</v>
      </c>
      <c r="L113" s="3014" t="str">
        <f>AJ108</f>
        <v>Verkaufs-anteil € pro Tag</v>
      </c>
      <c r="N113" s="3069"/>
      <c r="O113" s="3069"/>
      <c r="P113" s="3069"/>
      <c r="Q113" s="3069"/>
      <c r="R113" s="3069"/>
      <c r="S113" s="3069"/>
      <c r="T113" s="3069"/>
      <c r="U113" s="3069"/>
      <c r="V113" s="3069"/>
      <c r="W113" s="3069"/>
      <c r="X113" s="3069"/>
      <c r="Y113" s="3069"/>
      <c r="Z113" s="3069"/>
      <c r="AA113" s="3069"/>
      <c r="AB113" s="3069"/>
      <c r="AC113" s="3069"/>
      <c r="AD113" s="3069"/>
      <c r="AE113" s="3069"/>
      <c r="AF113" s="3069"/>
      <c r="AG113" s="3069"/>
      <c r="AH113" s="3069"/>
      <c r="AI113" s="3069"/>
      <c r="AJ113" s="3069"/>
      <c r="AK113" s="3069"/>
      <c r="AL113" s="3069"/>
      <c r="AM113" s="3069"/>
      <c r="AN113" s="3069"/>
      <c r="AO113" s="3069"/>
      <c r="AP113" s="3069"/>
      <c r="AQ113" s="3069"/>
      <c r="AR113" s="3069"/>
      <c r="AS113" s="3069"/>
      <c r="AT113" s="3069"/>
      <c r="AU113" s="3069"/>
      <c r="AV113" s="3069"/>
      <c r="AW113" s="3069"/>
      <c r="AX113" s="3069"/>
      <c r="AY113" s="3069"/>
      <c r="AZ113" s="3069"/>
      <c r="BA113" s="3069"/>
      <c r="BB113" s="3069"/>
      <c r="BC113" s="3069"/>
      <c r="BD113" s="3069"/>
      <c r="BE113" s="3069"/>
      <c r="BF113" s="3069"/>
      <c r="BG113" s="3069"/>
      <c r="BH113" s="3069"/>
      <c r="BI113" s="3069"/>
      <c r="BJ113" s="3069"/>
      <c r="BK113" s="3069"/>
      <c r="BL113" s="3069"/>
      <c r="BM113" s="3069"/>
      <c r="BN113" s="3069"/>
      <c r="BO113" s="3069"/>
      <c r="BP113" s="3069"/>
      <c r="BQ113" s="3069"/>
      <c r="BR113" s="3069"/>
      <c r="BS113" s="3069"/>
      <c r="BT113" s="3069"/>
      <c r="BU113" s="3069"/>
      <c r="BV113" s="3069"/>
      <c r="BW113" s="3069"/>
      <c r="BX113" s="3069"/>
      <c r="BY113" s="3069"/>
      <c r="BZ113" s="3069"/>
      <c r="CA113" s="3069"/>
      <c r="CB113" s="3069"/>
      <c r="CC113" s="3069"/>
      <c r="CD113" s="3069"/>
      <c r="CE113" s="3069"/>
      <c r="CF113" s="3069"/>
      <c r="CG113" s="3069"/>
      <c r="CH113" s="3069"/>
      <c r="CI113" s="3069"/>
      <c r="CJ113" s="3069"/>
      <c r="CK113" s="3069"/>
      <c r="CL113" s="3069"/>
      <c r="CM113" s="3069"/>
      <c r="CN113" s="3069"/>
      <c r="CO113" s="3069"/>
      <c r="CP113" s="3069"/>
      <c r="CQ113" s="3069"/>
      <c r="CR113" s="3069"/>
      <c r="CS113" s="3069"/>
      <c r="CT113" s="3069"/>
      <c r="CU113" s="3069"/>
      <c r="CV113" s="3069"/>
      <c r="CW113" s="3069"/>
      <c r="CX113" s="3069"/>
      <c r="CY113" s="3160"/>
      <c r="CZ113" s="3160"/>
      <c r="DA113" s="3160"/>
      <c r="DB113" s="3160"/>
    </row>
    <row r="114" spans="1:106" s="3049" customFormat="1">
      <c r="A114" s="3015"/>
      <c r="B114" s="3016"/>
      <c r="C114" s="3017">
        <f>AR110</f>
        <v>6251</v>
      </c>
      <c r="D114" s="3017">
        <f>AL110</f>
        <v>481.22</v>
      </c>
      <c r="E114" s="3017">
        <f>AU110</f>
        <v>1443</v>
      </c>
      <c r="F114" s="3018">
        <f>AV110</f>
        <v>68.745188606620474</v>
      </c>
      <c r="G114" s="3018">
        <f>AX110</f>
        <v>85.931485758275585</v>
      </c>
      <c r="H114" s="3019">
        <f>AS110</f>
        <v>5907.0602590557792</v>
      </c>
      <c r="I114" s="3020">
        <f>AH110</f>
        <v>454.53463199581347</v>
      </c>
      <c r="J114" s="3020">
        <f>AT110</f>
        <v>343.93974094422066</v>
      </c>
      <c r="K114" s="3021">
        <f>AI110</f>
        <v>5.5021555102258944E-2</v>
      </c>
      <c r="L114" s="3020">
        <f>AJ110</f>
        <v>26.465368004186551</v>
      </c>
      <c r="N114" s="3070"/>
      <c r="O114" s="3070"/>
      <c r="P114" s="3070"/>
      <c r="Q114" s="3070"/>
      <c r="R114" s="3070"/>
      <c r="S114" s="3070"/>
      <c r="T114" s="3070"/>
      <c r="U114" s="3070"/>
      <c r="V114" s="3070"/>
      <c r="W114" s="3070"/>
      <c r="X114" s="3070"/>
      <c r="Y114" s="3070"/>
      <c r="Z114" s="3070"/>
      <c r="AA114" s="3070"/>
      <c r="AB114" s="3070"/>
      <c r="AC114" s="3070"/>
      <c r="AD114" s="3070"/>
      <c r="AE114" s="3070"/>
      <c r="AF114" s="3070"/>
      <c r="AG114" s="3070"/>
      <c r="AH114" s="3070"/>
      <c r="AI114" s="3070"/>
      <c r="AJ114" s="3070"/>
      <c r="AK114" s="3070"/>
      <c r="AL114" s="3070"/>
      <c r="AM114" s="3070"/>
      <c r="AN114" s="3070"/>
      <c r="AO114" s="3070"/>
      <c r="AP114" s="3070"/>
      <c r="AQ114" s="3070"/>
      <c r="AR114" s="3070"/>
      <c r="AS114" s="3070"/>
      <c r="AT114" s="3070"/>
      <c r="AU114" s="3070"/>
      <c r="AV114" s="3070"/>
      <c r="AW114" s="3070"/>
      <c r="AX114" s="3070"/>
      <c r="AY114" s="3070"/>
      <c r="AZ114" s="3070"/>
      <c r="BA114" s="3070"/>
      <c r="BB114" s="3070"/>
      <c r="BC114" s="3070"/>
      <c r="BD114" s="3070"/>
      <c r="BE114" s="3070"/>
      <c r="BF114" s="3070"/>
      <c r="BG114" s="3070"/>
      <c r="BH114" s="3070"/>
      <c r="BI114" s="3070"/>
      <c r="BJ114" s="3070"/>
      <c r="BK114" s="3070"/>
      <c r="BL114" s="3070"/>
      <c r="BM114" s="3070"/>
      <c r="BN114" s="3070"/>
      <c r="BO114" s="3070"/>
      <c r="BP114" s="3070"/>
      <c r="BQ114" s="3070"/>
      <c r="BR114" s="3070"/>
      <c r="BS114" s="3070"/>
      <c r="BT114" s="3070"/>
      <c r="BU114" s="3070"/>
      <c r="BV114" s="3070"/>
      <c r="BW114" s="3070"/>
      <c r="BX114" s="3070"/>
      <c r="BY114" s="3070"/>
      <c r="BZ114" s="3070"/>
      <c r="CA114" s="3070"/>
      <c r="CB114" s="3070"/>
      <c r="CC114" s="3070"/>
      <c r="CD114" s="3070"/>
      <c r="CE114" s="3070"/>
      <c r="CF114" s="3070"/>
      <c r="CG114" s="3070"/>
      <c r="CH114" s="3070"/>
      <c r="CI114" s="3070"/>
      <c r="CJ114" s="3070"/>
      <c r="CK114" s="3070"/>
      <c r="CL114" s="3070"/>
      <c r="CM114" s="3070"/>
      <c r="CN114" s="3070"/>
      <c r="CO114" s="3070"/>
      <c r="CP114" s="3070"/>
      <c r="CQ114" s="3070"/>
      <c r="CR114" s="3070"/>
      <c r="CS114" s="3070"/>
      <c r="CT114" s="3070"/>
      <c r="CU114" s="3070"/>
      <c r="CV114" s="3070"/>
      <c r="CW114" s="3070"/>
      <c r="CX114" s="3070"/>
      <c r="CY114" s="3158"/>
      <c r="CZ114" s="3158"/>
      <c r="DA114" s="3158"/>
      <c r="DB114" s="3158"/>
    </row>
    <row r="115" spans="1:106" s="3005" customFormat="1" ht="20.399999999999999" customHeight="1">
      <c r="A115" s="4364" t="s">
        <v>168</v>
      </c>
      <c r="B115" s="4365"/>
      <c r="C115" s="4364" t="s">
        <v>169</v>
      </c>
      <c r="D115" s="4365"/>
      <c r="E115" s="4364" t="s">
        <v>170</v>
      </c>
      <c r="F115" s="4365"/>
      <c r="G115" s="4364" t="s">
        <v>171</v>
      </c>
      <c r="H115" s="4365"/>
      <c r="I115" s="4364" t="s">
        <v>172</v>
      </c>
      <c r="J115" s="4365"/>
      <c r="K115" s="4364" t="s">
        <v>173</v>
      </c>
      <c r="L115" s="4365"/>
      <c r="N115" s="3069"/>
      <c r="O115" s="3069"/>
      <c r="P115" s="3069"/>
      <c r="Q115" s="3069"/>
      <c r="R115" s="3069"/>
      <c r="S115" s="3069"/>
      <c r="T115" s="3069"/>
      <c r="U115" s="3069"/>
      <c r="V115" s="3069"/>
      <c r="W115" s="3069"/>
      <c r="X115" s="3069"/>
      <c r="Y115" s="3069"/>
      <c r="Z115" s="3069"/>
      <c r="AA115" s="3069"/>
      <c r="AB115" s="3069"/>
      <c r="AC115" s="3069"/>
      <c r="AD115" s="3069"/>
      <c r="AE115" s="3069"/>
      <c r="AF115" s="3069"/>
      <c r="AG115" s="3069"/>
      <c r="AH115" s="3069"/>
      <c r="AI115" s="3069"/>
      <c r="AJ115" s="3069"/>
      <c r="AK115" s="3069"/>
      <c r="AL115" s="3069"/>
      <c r="AM115" s="3069"/>
      <c r="AN115" s="3069"/>
      <c r="AO115" s="3069"/>
      <c r="AP115" s="3069"/>
      <c r="AQ115" s="3069"/>
      <c r="AR115" s="3069"/>
      <c r="AS115" s="3069"/>
      <c r="AT115" s="3069"/>
      <c r="AU115" s="3069"/>
      <c r="AV115" s="3069"/>
      <c r="AW115" s="3069"/>
      <c r="AX115" s="3069"/>
      <c r="AY115" s="3069"/>
      <c r="AZ115" s="3069"/>
      <c r="BA115" s="3069"/>
      <c r="BB115" s="3069"/>
      <c r="BC115" s="3069"/>
      <c r="BD115" s="3069"/>
      <c r="BE115" s="3069"/>
      <c r="BF115" s="3069"/>
      <c r="BG115" s="3069"/>
      <c r="BH115" s="3069"/>
      <c r="BI115" s="3069"/>
      <c r="BJ115" s="3069"/>
      <c r="BK115" s="3069"/>
      <c r="BL115" s="3069"/>
      <c r="BM115" s="3069"/>
      <c r="BN115" s="3069"/>
      <c r="BO115" s="3069"/>
      <c r="BP115" s="3069"/>
      <c r="BQ115" s="3069"/>
      <c r="BR115" s="3069"/>
      <c r="BS115" s="3069"/>
      <c r="BT115" s="3069"/>
      <c r="BU115" s="3069"/>
      <c r="BV115" s="3069"/>
      <c r="BW115" s="3069"/>
      <c r="BX115" s="3069"/>
      <c r="BY115" s="3069"/>
      <c r="BZ115" s="3069"/>
      <c r="CA115" s="3069"/>
      <c r="CB115" s="3069"/>
      <c r="CC115" s="3069"/>
      <c r="CD115" s="3069"/>
      <c r="CE115" s="3069"/>
      <c r="CF115" s="3069"/>
      <c r="CG115" s="3069"/>
      <c r="CH115" s="3069"/>
      <c r="CI115" s="3069"/>
      <c r="CJ115" s="3069"/>
      <c r="CK115" s="3069"/>
      <c r="CL115" s="3069"/>
      <c r="CM115" s="3069"/>
      <c r="CN115" s="3069"/>
      <c r="CO115" s="3069"/>
      <c r="CP115" s="3069"/>
      <c r="CQ115" s="3069"/>
      <c r="CR115" s="3069"/>
      <c r="CS115" s="3069"/>
      <c r="CT115" s="3069"/>
      <c r="CU115" s="3069"/>
      <c r="CV115" s="3069"/>
      <c r="CW115" s="3069"/>
      <c r="CX115" s="3069"/>
      <c r="CY115" s="3160"/>
      <c r="CZ115" s="3160"/>
      <c r="DA115" s="3160"/>
      <c r="DB115" s="3160"/>
    </row>
    <row r="116" spans="1:106" s="3005" customFormat="1" ht="20.399999999999999" customHeight="1">
      <c r="A116" s="3022" t="s">
        <v>217</v>
      </c>
      <c r="B116" s="3022" t="s">
        <v>61</v>
      </c>
      <c r="C116" s="3022" t="s">
        <v>217</v>
      </c>
      <c r="D116" s="3022" t="s">
        <v>61</v>
      </c>
      <c r="E116" s="3022" t="s">
        <v>217</v>
      </c>
      <c r="F116" s="3022" t="s">
        <v>61</v>
      </c>
      <c r="G116" s="3022" t="s">
        <v>217</v>
      </c>
      <c r="H116" s="3022" t="s">
        <v>61</v>
      </c>
      <c r="I116" s="3022" t="s">
        <v>217</v>
      </c>
      <c r="J116" s="3022" t="s">
        <v>61</v>
      </c>
      <c r="K116" s="3022" t="s">
        <v>217</v>
      </c>
      <c r="L116" s="3022" t="s">
        <v>61</v>
      </c>
      <c r="N116" s="3069"/>
      <c r="O116" s="3069"/>
      <c r="P116" s="3069"/>
      <c r="Q116" s="3069"/>
      <c r="R116" s="3069"/>
      <c r="S116" s="3069"/>
      <c r="T116" s="3069"/>
      <c r="U116" s="3069"/>
      <c r="V116" s="3069"/>
      <c r="W116" s="3069"/>
      <c r="X116" s="3069"/>
      <c r="Y116" s="3069"/>
      <c r="Z116" s="3069"/>
      <c r="AA116" s="3069"/>
      <c r="AB116" s="3069"/>
      <c r="AC116" s="3069"/>
      <c r="AD116" s="3069"/>
      <c r="AE116" s="3069"/>
      <c r="AF116" s="3069"/>
      <c r="AG116" s="3069"/>
      <c r="AH116" s="3069"/>
      <c r="AI116" s="3069"/>
      <c r="AJ116" s="3069"/>
      <c r="AK116" s="3069"/>
      <c r="AL116" s="3069"/>
      <c r="AM116" s="3069"/>
      <c r="AN116" s="3069"/>
      <c r="AO116" s="3069"/>
      <c r="AP116" s="3069"/>
      <c r="AQ116" s="3069"/>
      <c r="AR116" s="3069"/>
      <c r="AS116" s="3069"/>
      <c r="AT116" s="3069"/>
      <c r="AU116" s="3069"/>
      <c r="AV116" s="3069"/>
      <c r="AW116" s="3069"/>
      <c r="AX116" s="3069"/>
      <c r="AY116" s="3069"/>
      <c r="AZ116" s="3069"/>
      <c r="BA116" s="3069"/>
      <c r="BB116" s="3069"/>
      <c r="BC116" s="3069"/>
      <c r="BD116" s="3069"/>
      <c r="BE116" s="3069"/>
      <c r="BF116" s="3069"/>
      <c r="BG116" s="3069"/>
      <c r="BH116" s="3069"/>
      <c r="BI116" s="3069"/>
      <c r="BJ116" s="3069"/>
      <c r="BK116" s="3069"/>
      <c r="BL116" s="3069"/>
      <c r="BM116" s="3069"/>
      <c r="BN116" s="3069"/>
      <c r="BO116" s="3069"/>
      <c r="BP116" s="3069"/>
      <c r="BQ116" s="3069"/>
      <c r="BR116" s="3069"/>
      <c r="BS116" s="3069"/>
      <c r="BT116" s="3069"/>
      <c r="BU116" s="3069"/>
      <c r="BV116" s="3069"/>
      <c r="BW116" s="3069"/>
      <c r="BX116" s="3069"/>
      <c r="BY116" s="3069"/>
      <c r="BZ116" s="3069"/>
      <c r="CA116" s="3069"/>
      <c r="CB116" s="3069"/>
      <c r="CC116" s="3069"/>
      <c r="CD116" s="3069"/>
      <c r="CE116" s="3069"/>
      <c r="CF116" s="3069"/>
      <c r="CG116" s="3069"/>
      <c r="CH116" s="3069"/>
      <c r="CI116" s="3069"/>
      <c r="CJ116" s="3069"/>
      <c r="CK116" s="3069"/>
      <c r="CL116" s="3069"/>
      <c r="CM116" s="3069"/>
      <c r="CN116" s="3069"/>
      <c r="CO116" s="3069"/>
      <c r="CP116" s="3069"/>
      <c r="CQ116" s="3069"/>
      <c r="CR116" s="3069"/>
      <c r="CS116" s="3069"/>
      <c r="CT116" s="3069"/>
      <c r="CU116" s="3069"/>
      <c r="CV116" s="3069"/>
      <c r="CW116" s="3069"/>
      <c r="CX116" s="3069"/>
      <c r="CY116" s="3160"/>
      <c r="CZ116" s="3160"/>
      <c r="DA116" s="3160"/>
      <c r="DB116" s="3160"/>
    </row>
    <row r="117" spans="1:106" s="3050" customFormat="1" ht="20.399999999999999" customHeight="1" thickBot="1">
      <c r="A117" s="3023" t="str">
        <f t="shared" ref="A117" si="110">BA110</f>
        <v/>
      </c>
      <c r="B117" s="3024" t="str">
        <f t="shared" ref="B117" si="111">BB110</f>
        <v/>
      </c>
      <c r="C117" s="3023">
        <f t="shared" ref="C117" si="112">BC110</f>
        <v>7</v>
      </c>
      <c r="D117" s="3024">
        <f t="shared" ref="D117" si="113">BD110</f>
        <v>481.21632024634334</v>
      </c>
      <c r="E117" s="3023">
        <f t="shared" ref="E117" si="114">BE110</f>
        <v>7</v>
      </c>
      <c r="F117" s="3024">
        <f t="shared" ref="F117" si="115">BF110</f>
        <v>481.21632024634334</v>
      </c>
      <c r="G117" s="3023">
        <f t="shared" ref="G117" si="116">BG110</f>
        <v>7</v>
      </c>
      <c r="H117" s="3024">
        <f t="shared" ref="H117" si="117">BH110</f>
        <v>481.21632024634334</v>
      </c>
      <c r="I117" s="3023" t="str">
        <f t="shared" ref="I117" si="118">BI110</f>
        <v/>
      </c>
      <c r="J117" s="3024" t="str">
        <f t="shared" ref="J117" si="119">BJ110</f>
        <v/>
      </c>
      <c r="K117" s="3023">
        <f t="shared" ref="K117" si="120">BK110</f>
        <v>7</v>
      </c>
      <c r="L117" s="3024">
        <f t="shared" ref="L117" si="121">BL110</f>
        <v>481.21632024634334</v>
      </c>
      <c r="N117" s="3071"/>
      <c r="O117" s="3071"/>
      <c r="P117" s="3071"/>
      <c r="Q117" s="3071"/>
      <c r="R117" s="3071"/>
      <c r="S117" s="3071"/>
      <c r="T117" s="3071"/>
      <c r="U117" s="3071"/>
      <c r="V117" s="3071"/>
      <c r="W117" s="3071"/>
      <c r="X117" s="3071"/>
      <c r="Y117" s="3071"/>
      <c r="Z117" s="3071"/>
      <c r="AA117" s="3071"/>
      <c r="AB117" s="3071"/>
      <c r="AC117" s="3071"/>
      <c r="AD117" s="3071"/>
      <c r="AE117" s="3071"/>
      <c r="AF117" s="3071"/>
      <c r="AG117" s="3071"/>
      <c r="AH117" s="3071"/>
      <c r="AI117" s="3071"/>
      <c r="AJ117" s="3071"/>
      <c r="AK117" s="3071"/>
      <c r="AL117" s="3071"/>
      <c r="AM117" s="3071"/>
      <c r="AN117" s="3071"/>
      <c r="AO117" s="3071"/>
      <c r="AP117" s="3071"/>
      <c r="AQ117" s="3071"/>
      <c r="AR117" s="3071"/>
      <c r="AS117" s="3071"/>
      <c r="AT117" s="3071"/>
      <c r="AU117" s="3071"/>
      <c r="AV117" s="3071"/>
      <c r="AW117" s="3071"/>
      <c r="AX117" s="3071"/>
      <c r="AY117" s="3071"/>
      <c r="AZ117" s="3071"/>
      <c r="BA117" s="3071"/>
      <c r="BB117" s="3071"/>
      <c r="BC117" s="3071"/>
      <c r="BD117" s="3071"/>
      <c r="BE117" s="3071"/>
      <c r="BF117" s="3071"/>
      <c r="BG117" s="3071"/>
      <c r="BH117" s="3071"/>
      <c r="BI117" s="3071"/>
      <c r="BJ117" s="3071"/>
      <c r="BK117" s="3071"/>
      <c r="BL117" s="3071"/>
      <c r="BM117" s="3071"/>
      <c r="BN117" s="3071"/>
      <c r="BO117" s="3071"/>
      <c r="BP117" s="3071"/>
      <c r="BQ117" s="3071"/>
      <c r="BR117" s="3071"/>
      <c r="BS117" s="3071"/>
      <c r="BT117" s="3071"/>
      <c r="BU117" s="3071"/>
      <c r="BV117" s="3071"/>
      <c r="BW117" s="3071"/>
      <c r="BX117" s="3071"/>
      <c r="BY117" s="3071"/>
      <c r="BZ117" s="3071"/>
      <c r="CA117" s="3071"/>
      <c r="CB117" s="3071"/>
      <c r="CC117" s="3071"/>
      <c r="CD117" s="3071"/>
      <c r="CE117" s="3071"/>
      <c r="CF117" s="3071"/>
      <c r="CG117" s="3071"/>
      <c r="CH117" s="3071"/>
      <c r="CI117" s="3071"/>
      <c r="CJ117" s="3071"/>
      <c r="CK117" s="3071"/>
      <c r="CL117" s="3071"/>
      <c r="CM117" s="3071"/>
      <c r="CN117" s="3071"/>
      <c r="CO117" s="3071"/>
      <c r="CP117" s="3071"/>
      <c r="CQ117" s="3071"/>
      <c r="CR117" s="3071"/>
      <c r="CS117" s="3071"/>
      <c r="CT117" s="3071"/>
      <c r="CU117" s="3071"/>
      <c r="CV117" s="3071"/>
      <c r="CW117" s="3071"/>
      <c r="CX117" s="3071"/>
      <c r="CY117" s="830"/>
      <c r="CZ117" s="830"/>
      <c r="DA117" s="830"/>
      <c r="DB117" s="830"/>
    </row>
    <row r="118" spans="1:106" ht="16.2" customHeight="1" thickBot="1">
      <c r="A118" s="3009"/>
      <c r="B118" s="3010"/>
      <c r="C118" s="3011"/>
      <c r="D118" s="3012"/>
      <c r="E118" s="3011"/>
      <c r="F118" s="3012"/>
      <c r="G118" s="3011"/>
      <c r="H118" s="3012"/>
      <c r="I118" s="3054"/>
      <c r="J118" s="3054"/>
      <c r="K118" s="3055"/>
      <c r="L118" s="3054"/>
      <c r="N118" s="565"/>
      <c r="O118" s="565"/>
      <c r="P118" s="565"/>
    </row>
    <row r="119" spans="1:106" s="3031" customFormat="1" ht="19.8" customHeight="1">
      <c r="A119" s="3025" t="s">
        <v>1396</v>
      </c>
      <c r="B119" s="3029"/>
      <c r="C119" s="3029"/>
      <c r="D119" s="3029"/>
      <c r="E119" s="3029"/>
      <c r="F119" s="3029"/>
      <c r="G119" s="3029"/>
      <c r="H119" s="3029"/>
      <c r="I119" s="3029"/>
      <c r="J119" s="3029"/>
      <c r="K119" s="3029"/>
      <c r="L119" s="3029"/>
      <c r="N119" s="3069"/>
      <c r="O119" s="3069"/>
      <c r="P119" s="3069"/>
      <c r="Q119" s="3069"/>
      <c r="R119" s="3069"/>
      <c r="S119" s="3069"/>
      <c r="T119" s="3069"/>
      <c r="U119" s="3069"/>
      <c r="V119" s="3069"/>
      <c r="W119" s="3069"/>
      <c r="X119" s="3069"/>
      <c r="Y119" s="3069"/>
      <c r="Z119" s="3069"/>
      <c r="AA119" s="3069"/>
      <c r="AB119" s="3069"/>
      <c r="AC119" s="3069"/>
      <c r="AD119" s="3069"/>
      <c r="AE119" s="3069"/>
      <c r="AF119" s="3069"/>
      <c r="AG119" s="3069"/>
      <c r="AH119" s="3069"/>
      <c r="AI119" s="3069"/>
      <c r="AJ119" s="3069"/>
      <c r="AK119" s="3069"/>
      <c r="AL119" s="3069"/>
      <c r="AM119" s="3069"/>
      <c r="AN119" s="3069"/>
      <c r="AO119" s="3069"/>
      <c r="AP119" s="3069"/>
      <c r="AQ119" s="3069"/>
      <c r="AR119" s="3069"/>
      <c r="AS119" s="3069"/>
      <c r="AT119" s="3069"/>
      <c r="AU119" s="3069"/>
      <c r="AV119" s="3069"/>
      <c r="AW119" s="3069"/>
      <c r="AX119" s="3069"/>
      <c r="AY119" s="3069"/>
      <c r="AZ119" s="3069"/>
      <c r="BA119" s="3069"/>
      <c r="BB119" s="3069"/>
      <c r="BC119" s="3069"/>
      <c r="BD119" s="3069"/>
      <c r="BE119" s="3069"/>
      <c r="BF119" s="3069"/>
      <c r="BG119" s="3069"/>
      <c r="BH119" s="3069"/>
      <c r="BI119" s="3069"/>
      <c r="BJ119" s="3069"/>
      <c r="BK119" s="3069"/>
      <c r="BL119" s="3069"/>
      <c r="BM119" s="3069"/>
      <c r="BN119" s="3069"/>
      <c r="BO119" s="3069"/>
      <c r="BP119" s="3069"/>
      <c r="BQ119" s="3069"/>
      <c r="BR119" s="3069"/>
      <c r="BS119" s="3069"/>
      <c r="BT119" s="3069"/>
      <c r="BU119" s="3069"/>
      <c r="BV119" s="3069"/>
      <c r="BW119" s="3069"/>
      <c r="BX119" s="3069"/>
      <c r="BY119" s="3069"/>
      <c r="BZ119" s="3069"/>
      <c r="CA119" s="3069"/>
      <c r="CB119" s="3069"/>
      <c r="CC119" s="3069"/>
      <c r="CD119" s="3069"/>
      <c r="CE119" s="3069"/>
      <c r="CF119" s="3069"/>
      <c r="CG119" s="3069"/>
      <c r="CH119" s="3069"/>
      <c r="CI119" s="3069"/>
      <c r="CJ119" s="3069"/>
      <c r="CK119" s="3069"/>
      <c r="CL119" s="3069"/>
      <c r="CM119" s="3069"/>
      <c r="CN119" s="3069"/>
      <c r="CO119" s="3069"/>
      <c r="CP119" s="3069"/>
      <c r="CQ119" s="3069"/>
      <c r="CR119" s="3069"/>
      <c r="CS119" s="3069"/>
      <c r="CT119" s="3069"/>
      <c r="CU119" s="3069"/>
      <c r="CV119" s="3069"/>
      <c r="CW119" s="3069"/>
      <c r="CX119" s="3069"/>
      <c r="CY119" s="3160"/>
      <c r="CZ119" s="3160"/>
      <c r="DA119" s="3160"/>
      <c r="DB119" s="3160"/>
    </row>
    <row r="120" spans="1:106" s="3031" customFormat="1" ht="19.8" customHeight="1">
      <c r="A120" s="3163"/>
      <c r="B120" s="3164" t="s">
        <v>1102</v>
      </c>
      <c r="C120" s="3164" t="s">
        <v>1120</v>
      </c>
      <c r="D120" s="3164" t="s">
        <v>1121</v>
      </c>
      <c r="E120" s="3164" t="s">
        <v>1113</v>
      </c>
      <c r="F120" s="3164" t="s">
        <v>1115</v>
      </c>
      <c r="G120" s="3164" t="s">
        <v>1368</v>
      </c>
      <c r="H120" s="3164" t="s">
        <v>907</v>
      </c>
      <c r="I120" s="3164" t="s">
        <v>1114</v>
      </c>
      <c r="J120" s="3164" t="s">
        <v>1116</v>
      </c>
      <c r="K120" s="3164" t="s">
        <v>1368</v>
      </c>
      <c r="L120" s="3164" t="s">
        <v>907</v>
      </c>
      <c r="N120" s="3069"/>
      <c r="O120" s="3069"/>
      <c r="P120" s="3069"/>
      <c r="Q120" s="3069"/>
      <c r="R120" s="3069"/>
      <c r="S120" s="3069"/>
      <c r="T120" s="3069"/>
      <c r="U120" s="3069"/>
      <c r="V120" s="3069"/>
      <c r="W120" s="3069"/>
      <c r="X120" s="3069"/>
      <c r="Y120" s="3069"/>
      <c r="Z120" s="3069"/>
      <c r="AA120" s="3069"/>
      <c r="AB120" s="3069"/>
      <c r="AC120" s="3069"/>
      <c r="AD120" s="3069"/>
      <c r="AE120" s="3069"/>
      <c r="AF120" s="3069"/>
      <c r="AG120" s="3069"/>
      <c r="AH120" s="3069"/>
      <c r="AI120" s="3069"/>
      <c r="AJ120" s="3069"/>
      <c r="AK120" s="3069"/>
      <c r="AL120" s="3069"/>
      <c r="AM120" s="3069"/>
      <c r="AN120" s="3069"/>
      <c r="AO120" s="3069"/>
      <c r="AP120" s="3069"/>
      <c r="AQ120" s="3069"/>
      <c r="AR120" s="3069"/>
      <c r="AS120" s="3069"/>
      <c r="AT120" s="3069"/>
      <c r="AU120" s="3069"/>
      <c r="AV120" s="3069"/>
      <c r="AW120" s="3069"/>
      <c r="AX120" s="3069"/>
      <c r="AY120" s="3069"/>
      <c r="AZ120" s="3069"/>
      <c r="BA120" s="3069"/>
      <c r="BB120" s="3069"/>
      <c r="BC120" s="3069"/>
      <c r="BD120" s="3069"/>
      <c r="BE120" s="3069"/>
      <c r="BF120" s="3069"/>
      <c r="BG120" s="3069"/>
      <c r="BH120" s="3069"/>
      <c r="BI120" s="3069"/>
      <c r="BJ120" s="3069"/>
      <c r="BK120" s="3069"/>
      <c r="BL120" s="3069"/>
      <c r="BM120" s="3069"/>
      <c r="BN120" s="3069"/>
      <c r="BO120" s="3069"/>
      <c r="BP120" s="3069"/>
      <c r="BQ120" s="3069"/>
      <c r="BR120" s="3069"/>
      <c r="BS120" s="3069"/>
      <c r="BT120" s="3069"/>
      <c r="BU120" s="3069"/>
      <c r="BV120" s="3069"/>
      <c r="BW120" s="3069"/>
      <c r="BX120" s="3069"/>
      <c r="BY120" s="3069"/>
      <c r="BZ120" s="3069"/>
      <c r="CA120" s="3069"/>
      <c r="CB120" s="3069"/>
      <c r="CC120" s="3069"/>
      <c r="CD120" s="3069"/>
      <c r="CE120" s="3069"/>
      <c r="CF120" s="3069"/>
      <c r="CG120" s="3069"/>
      <c r="CH120" s="3069"/>
      <c r="CI120" s="3069"/>
      <c r="CJ120" s="3069"/>
      <c r="CK120" s="3069"/>
      <c r="CL120" s="3069"/>
      <c r="CM120" s="3069"/>
      <c r="CN120" s="3069"/>
      <c r="CO120" s="3069"/>
      <c r="CP120" s="3069"/>
      <c r="CQ120" s="3069"/>
      <c r="CR120" s="3069"/>
      <c r="CS120" s="3069"/>
      <c r="CT120" s="3069"/>
      <c r="CU120" s="3069"/>
      <c r="CV120" s="3069"/>
      <c r="CW120" s="3069"/>
      <c r="CX120" s="3069"/>
      <c r="CY120" s="3160"/>
      <c r="CZ120" s="3160"/>
      <c r="DA120" s="3160"/>
      <c r="DB120" s="3160"/>
    </row>
    <row r="121" spans="1:106" s="3038" customFormat="1" ht="17.399999999999999" customHeight="1" thickBot="1">
      <c r="A121" s="3165" t="str">
        <f t="shared" ref="A121:L121" si="122">CI110</f>
        <v>Januar</v>
      </c>
      <c r="B121" s="3166">
        <f t="shared" si="122"/>
        <v>13</v>
      </c>
      <c r="C121" s="3166">
        <f t="shared" si="122"/>
        <v>0</v>
      </c>
      <c r="D121" s="3166">
        <f t="shared" si="122"/>
        <v>0</v>
      </c>
      <c r="E121" s="3167">
        <f t="shared" si="122"/>
        <v>0</v>
      </c>
      <c r="F121" s="3167">
        <f t="shared" si="122"/>
        <v>5908.9502159455751</v>
      </c>
      <c r="G121" s="3167" t="str">
        <f t="shared" si="122"/>
        <v/>
      </c>
      <c r="H121" s="3167" t="str">
        <f t="shared" si="122"/>
        <v/>
      </c>
      <c r="I121" s="3167">
        <f t="shared" si="122"/>
        <v>0</v>
      </c>
      <c r="J121" s="3167">
        <f t="shared" si="122"/>
        <v>344.20451364702603</v>
      </c>
      <c r="K121" s="3167" t="str">
        <f t="shared" si="122"/>
        <v/>
      </c>
      <c r="L121" s="3167" t="str">
        <f t="shared" si="122"/>
        <v/>
      </c>
      <c r="N121" s="3070"/>
      <c r="O121" s="3070"/>
      <c r="P121" s="3070"/>
      <c r="Q121" s="3070"/>
      <c r="R121" s="3070"/>
      <c r="S121" s="3070"/>
      <c r="T121" s="3070"/>
      <c r="U121" s="3070"/>
      <c r="V121" s="3070"/>
      <c r="W121" s="3070"/>
      <c r="X121" s="3070"/>
      <c r="Y121" s="3070"/>
      <c r="Z121" s="3070"/>
      <c r="AA121" s="3070"/>
      <c r="AB121" s="3070"/>
      <c r="AC121" s="3070"/>
      <c r="AD121" s="3070"/>
      <c r="AE121" s="3070"/>
      <c r="AF121" s="3070"/>
      <c r="AG121" s="3070"/>
      <c r="AH121" s="3070"/>
      <c r="AI121" s="3070"/>
      <c r="AJ121" s="3070"/>
      <c r="AK121" s="3070"/>
      <c r="AL121" s="3070"/>
      <c r="AM121" s="3070"/>
      <c r="AN121" s="3070"/>
      <c r="AO121" s="3070"/>
      <c r="AP121" s="3070"/>
      <c r="AQ121" s="3070"/>
      <c r="AR121" s="3070"/>
      <c r="AS121" s="3070"/>
      <c r="AT121" s="3070"/>
      <c r="AU121" s="3070"/>
      <c r="AV121" s="3070"/>
      <c r="AW121" s="3070"/>
      <c r="AX121" s="3070"/>
      <c r="AY121" s="3070"/>
      <c r="AZ121" s="3070"/>
      <c r="BA121" s="3070"/>
      <c r="BB121" s="3070"/>
      <c r="BC121" s="3070"/>
      <c r="BD121" s="3070"/>
      <c r="BE121" s="3070"/>
      <c r="BF121" s="3070"/>
      <c r="BG121" s="3070"/>
      <c r="BH121" s="3070"/>
      <c r="BI121" s="3070"/>
      <c r="BJ121" s="3070"/>
      <c r="BK121" s="3070"/>
      <c r="BL121" s="3070"/>
      <c r="BM121" s="3070"/>
      <c r="BN121" s="3070"/>
      <c r="BO121" s="3070"/>
      <c r="BP121" s="3070"/>
      <c r="BQ121" s="3070"/>
      <c r="BR121" s="3070"/>
      <c r="BS121" s="3070"/>
      <c r="BT121" s="3070"/>
      <c r="BU121" s="3070"/>
      <c r="BV121" s="3070"/>
      <c r="BW121" s="3070"/>
      <c r="BX121" s="3070"/>
      <c r="BY121" s="3070"/>
      <c r="BZ121" s="3070"/>
      <c r="CA121" s="3070"/>
      <c r="CB121" s="3070"/>
      <c r="CC121" s="3070"/>
      <c r="CD121" s="3070"/>
      <c r="CE121" s="3070"/>
      <c r="CF121" s="3070"/>
      <c r="CG121" s="3070"/>
      <c r="CH121" s="3070"/>
      <c r="CI121" s="3070"/>
      <c r="CJ121" s="3070"/>
      <c r="CK121" s="3070"/>
      <c r="CL121" s="3070"/>
      <c r="CM121" s="3070"/>
      <c r="CN121" s="3070"/>
      <c r="CO121" s="3070"/>
      <c r="CP121" s="3070"/>
      <c r="CQ121" s="3070"/>
      <c r="CR121" s="3070"/>
      <c r="CS121" s="3070"/>
      <c r="CT121" s="3070"/>
      <c r="CU121" s="3070"/>
      <c r="CV121" s="3070"/>
      <c r="CW121" s="3070"/>
      <c r="CX121" s="3070"/>
      <c r="CY121" s="3158"/>
      <c r="CZ121" s="3158"/>
      <c r="DA121" s="3158"/>
      <c r="DB121" s="3158"/>
    </row>
    <row r="122" spans="1:106" s="3042" customFormat="1" ht="15.6" customHeight="1" thickBot="1">
      <c r="A122" s="3072"/>
      <c r="B122" s="3072"/>
      <c r="C122" s="3072"/>
      <c r="D122" s="3161"/>
      <c r="E122" s="3161"/>
      <c r="F122" s="3161"/>
      <c r="G122" s="3161"/>
      <c r="H122" s="3161"/>
      <c r="I122" s="3161"/>
      <c r="J122" s="3161"/>
      <c r="K122" s="3161"/>
      <c r="L122" s="3161"/>
      <c r="N122" s="3072"/>
      <c r="O122" s="3072"/>
      <c r="P122" s="3072"/>
      <c r="Q122" s="3072"/>
      <c r="R122" s="3072"/>
      <c r="S122" s="3072"/>
      <c r="T122" s="3072"/>
      <c r="U122" s="3072"/>
      <c r="V122" s="3072"/>
      <c r="W122" s="3072"/>
      <c r="X122" s="3072"/>
      <c r="Y122" s="3072"/>
      <c r="Z122" s="3072"/>
      <c r="AA122" s="3072"/>
      <c r="AB122" s="3072"/>
      <c r="AC122" s="3072"/>
      <c r="AD122" s="3072"/>
      <c r="AE122" s="3072"/>
      <c r="AF122" s="3072"/>
      <c r="AG122" s="3072"/>
      <c r="AH122" s="3072"/>
      <c r="AI122" s="3072"/>
      <c r="AJ122" s="3072"/>
      <c r="AK122" s="3072"/>
      <c r="AL122" s="3072"/>
      <c r="AM122" s="3072"/>
      <c r="AN122" s="3072"/>
      <c r="AO122" s="3072"/>
      <c r="AP122" s="3072"/>
      <c r="AQ122" s="3072"/>
      <c r="AR122" s="3072"/>
      <c r="AS122" s="3072"/>
      <c r="AT122" s="3072"/>
      <c r="AU122" s="3072"/>
      <c r="AV122" s="3072"/>
      <c r="AW122" s="3072"/>
      <c r="AX122" s="3072"/>
      <c r="AY122" s="3072"/>
      <c r="AZ122" s="3072"/>
      <c r="BA122" s="3072"/>
      <c r="BB122" s="3072"/>
      <c r="BC122" s="3072"/>
      <c r="BD122" s="3072"/>
      <c r="BE122" s="3072"/>
      <c r="BF122" s="3072"/>
      <c r="BG122" s="3072"/>
      <c r="BH122" s="3072"/>
      <c r="BI122" s="3072"/>
      <c r="BJ122" s="3072"/>
      <c r="BK122" s="3072"/>
      <c r="BL122" s="3072"/>
      <c r="BM122" s="3072"/>
      <c r="BN122" s="3072"/>
      <c r="BO122" s="3072"/>
      <c r="BP122" s="3072"/>
      <c r="BQ122" s="3072"/>
      <c r="BR122" s="3072"/>
      <c r="BS122" s="3072"/>
      <c r="BT122" s="3072"/>
      <c r="BU122" s="3072"/>
      <c r="BV122" s="3072"/>
      <c r="BW122" s="3072"/>
      <c r="BX122" s="3072"/>
      <c r="BY122" s="3072"/>
      <c r="BZ122" s="3072"/>
      <c r="CA122" s="3072"/>
      <c r="CB122" s="3072"/>
      <c r="CC122" s="3072"/>
      <c r="CD122" s="3072"/>
      <c r="CE122" s="3072"/>
      <c r="CF122" s="3072"/>
      <c r="CG122" s="3072"/>
      <c r="CH122" s="3072"/>
      <c r="CI122" s="3072"/>
      <c r="CJ122" s="3072"/>
      <c r="CK122" s="3072"/>
      <c r="CL122" s="3072"/>
      <c r="CM122" s="3072"/>
      <c r="CN122" s="3072"/>
      <c r="CO122" s="3072"/>
      <c r="CP122" s="3072"/>
      <c r="CQ122" s="3072"/>
      <c r="CR122" s="3072"/>
      <c r="CS122" s="3072"/>
      <c r="CT122" s="3072"/>
      <c r="CU122" s="3072"/>
      <c r="CV122" s="3072"/>
      <c r="CW122" s="3072"/>
      <c r="CX122" s="3072"/>
      <c r="CY122" s="3161"/>
      <c r="CZ122" s="3161"/>
      <c r="DA122" s="3161"/>
      <c r="DB122" s="3161"/>
    </row>
    <row r="123" spans="1:106" s="3048" customFormat="1" ht="17.399999999999999" customHeight="1">
      <c r="A123" s="3025" t="s">
        <v>1363</v>
      </c>
      <c r="B123" s="3026"/>
      <c r="C123" s="3027" t="s">
        <v>1394</v>
      </c>
      <c r="D123" s="3027"/>
      <c r="E123" s="4366" t="s">
        <v>1364</v>
      </c>
      <c r="F123" s="4367"/>
      <c r="G123" s="3028"/>
      <c r="H123" s="3029"/>
      <c r="I123" s="4368" t="s">
        <v>1365</v>
      </c>
      <c r="J123" s="4369"/>
      <c r="K123" s="3030"/>
      <c r="L123" s="3162"/>
      <c r="N123" s="3073"/>
      <c r="O123" s="3073"/>
      <c r="P123" s="3073"/>
      <c r="Q123" s="3073"/>
      <c r="R123" s="3073"/>
      <c r="S123" s="3073"/>
      <c r="T123" s="3073"/>
      <c r="U123" s="3073"/>
      <c r="V123" s="3073"/>
      <c r="W123" s="3073"/>
      <c r="X123" s="3073"/>
      <c r="Y123" s="3073"/>
      <c r="Z123" s="3073"/>
      <c r="AA123" s="3073"/>
      <c r="AB123" s="3073"/>
      <c r="AC123" s="3073"/>
      <c r="AD123" s="3073"/>
      <c r="AE123" s="3073"/>
      <c r="AF123" s="3073"/>
      <c r="AG123" s="3073"/>
      <c r="AH123" s="3073"/>
      <c r="AI123" s="3073"/>
      <c r="AJ123" s="3073"/>
      <c r="AK123" s="3073"/>
      <c r="AL123" s="3073"/>
      <c r="AM123" s="3073"/>
      <c r="AN123" s="3073"/>
      <c r="AO123" s="3073"/>
      <c r="AP123" s="3073"/>
      <c r="AQ123" s="3073"/>
      <c r="AR123" s="3073"/>
      <c r="AS123" s="3073"/>
      <c r="AT123" s="3073"/>
      <c r="AU123" s="3073"/>
      <c r="AV123" s="3073"/>
      <c r="AW123" s="3073"/>
      <c r="AX123" s="3073"/>
      <c r="AY123" s="3073"/>
      <c r="AZ123" s="3073"/>
      <c r="BA123" s="3073"/>
      <c r="BB123" s="3073"/>
      <c r="BC123" s="3073"/>
      <c r="BD123" s="3073"/>
      <c r="BE123" s="3073"/>
      <c r="BF123" s="3073"/>
      <c r="BG123" s="3073"/>
      <c r="BH123" s="3073"/>
      <c r="BI123" s="3073"/>
      <c r="BJ123" s="3073"/>
      <c r="BK123" s="3073"/>
      <c r="BL123" s="3073"/>
      <c r="BM123" s="3073"/>
      <c r="BN123" s="3073"/>
      <c r="BO123" s="3073"/>
      <c r="BP123" s="3073"/>
      <c r="BQ123" s="3073"/>
      <c r="BR123" s="3073"/>
      <c r="BS123" s="3073"/>
      <c r="BT123" s="3073"/>
      <c r="BU123" s="3073"/>
      <c r="BV123" s="3073"/>
      <c r="BW123" s="3073"/>
      <c r="BX123" s="3073"/>
      <c r="BY123" s="3073"/>
      <c r="BZ123" s="3073"/>
      <c r="CA123" s="3073"/>
      <c r="CB123" s="3073"/>
      <c r="CC123" s="3073"/>
      <c r="CD123" s="3073"/>
      <c r="CE123" s="3073"/>
      <c r="CF123" s="3073"/>
      <c r="CG123" s="3073"/>
      <c r="CH123" s="3073"/>
      <c r="CI123" s="3073"/>
      <c r="CJ123" s="3073"/>
      <c r="CK123" s="3073"/>
      <c r="CL123" s="3073"/>
      <c r="CM123" s="3073"/>
      <c r="CN123" s="3073"/>
      <c r="CO123" s="3073"/>
      <c r="CP123" s="3073"/>
      <c r="CQ123" s="3073"/>
      <c r="CR123" s="3073"/>
      <c r="CS123" s="3073"/>
      <c r="CT123" s="3073"/>
      <c r="CU123" s="3073"/>
      <c r="CV123" s="3073"/>
      <c r="CW123" s="3073"/>
      <c r="CX123" s="3073"/>
      <c r="CY123" s="3162"/>
      <c r="CZ123" s="3162"/>
      <c r="DA123" s="3162"/>
      <c r="DB123" s="3162"/>
    </row>
    <row r="124" spans="1:106" ht="17.399999999999999" customHeight="1">
      <c r="A124" s="3032" t="s">
        <v>1366</v>
      </c>
      <c r="B124" s="3032" t="s">
        <v>1367</v>
      </c>
      <c r="C124" s="3033" t="s">
        <v>1368</v>
      </c>
      <c r="E124" s="3034" t="s">
        <v>1113</v>
      </c>
      <c r="F124" s="3034" t="s">
        <v>1115</v>
      </c>
      <c r="G124" s="3035" t="s">
        <v>1368</v>
      </c>
      <c r="I124" s="3036" t="s">
        <v>1114</v>
      </c>
      <c r="J124" s="3036" t="s">
        <v>1116</v>
      </c>
      <c r="K124" s="3033" t="s">
        <v>1368</v>
      </c>
      <c r="L124" s="1869"/>
      <c r="N124" s="565"/>
      <c r="O124" s="565"/>
      <c r="P124" s="565"/>
    </row>
    <row r="125" spans="1:106" ht="17.399999999999999" customHeight="1">
      <c r="A125" s="3037">
        <f>E125+I125</f>
        <v>0</v>
      </c>
      <c r="B125" s="3037">
        <f>BP110</f>
        <v>62077.380000000005</v>
      </c>
      <c r="C125" s="3052">
        <f>A125-B125</f>
        <v>-62077.380000000005</v>
      </c>
      <c r="D125" s="3038"/>
      <c r="E125" s="3039">
        <f>BS110</f>
        <v>0</v>
      </c>
      <c r="F125" s="3039">
        <f>BT110</f>
        <v>58634.967527459929</v>
      </c>
      <c r="G125" s="3053">
        <f>BU110</f>
        <v>-58634.967527459929</v>
      </c>
      <c r="H125" s="3038"/>
      <c r="I125" s="3037">
        <f>BW110</f>
        <v>0</v>
      </c>
      <c r="J125" s="3037">
        <f>BX110</f>
        <v>3415.5678661897196</v>
      </c>
      <c r="K125" s="3052">
        <f>BY110</f>
        <v>-3415.5678661897196</v>
      </c>
      <c r="L125" s="1869"/>
      <c r="N125" s="565"/>
      <c r="O125" s="565"/>
      <c r="P125" s="565"/>
    </row>
    <row r="126" spans="1:106" ht="20.399999999999999" customHeight="1">
      <c r="A126" s="3040" t="s">
        <v>1150</v>
      </c>
      <c r="B126" s="3032" t="s">
        <v>1369</v>
      </c>
      <c r="C126" s="3036" t="s">
        <v>907</v>
      </c>
      <c r="E126" s="3041" t="s">
        <v>1370</v>
      </c>
      <c r="F126" s="3041" t="s">
        <v>1148</v>
      </c>
      <c r="G126" s="3034" t="s">
        <v>907</v>
      </c>
      <c r="I126" s="3040" t="s">
        <v>1371</v>
      </c>
      <c r="J126" s="3040" t="s">
        <v>1149</v>
      </c>
      <c r="K126" s="3036" t="s">
        <v>907</v>
      </c>
      <c r="L126" s="1869"/>
      <c r="M126" s="565"/>
      <c r="N126" s="565"/>
      <c r="O126" s="565"/>
      <c r="P126" s="565"/>
    </row>
    <row r="127" spans="1:106" ht="20.399999999999999" customHeight="1" thickBot="1">
      <c r="A127" s="3043">
        <f>CE110</f>
        <v>0</v>
      </c>
      <c r="B127" s="3044" t="str">
        <f>CA110</f>
        <v/>
      </c>
      <c r="C127" s="3043">
        <f>SUM(G127,K127)</f>
        <v>0</v>
      </c>
      <c r="D127" s="3045"/>
      <c r="E127" s="3046" t="str">
        <f>CB110</f>
        <v/>
      </c>
      <c r="F127" s="3047">
        <f>CF110</f>
        <v>0</v>
      </c>
      <c r="G127" s="3047" t="str">
        <f>BV110</f>
        <v/>
      </c>
      <c r="H127" s="3045"/>
      <c r="I127" s="3044" t="str">
        <f>CC110</f>
        <v/>
      </c>
      <c r="J127" s="3043">
        <f>CG110</f>
        <v>0</v>
      </c>
      <c r="K127" s="3043" t="str">
        <f>BZ110</f>
        <v/>
      </c>
      <c r="L127" s="1869"/>
      <c r="N127" s="565"/>
      <c r="O127" s="565"/>
      <c r="P127" s="565"/>
    </row>
    <row r="128" spans="1:106">
      <c r="N128" s="565"/>
      <c r="O128" s="565"/>
      <c r="P128" s="565"/>
    </row>
    <row r="129" spans="1:106" ht="76.8" customHeight="1">
      <c r="A129" s="4360">
        <f>N131</f>
        <v>0</v>
      </c>
      <c r="B129" s="4361"/>
      <c r="C129" s="3168" t="s">
        <v>1348</v>
      </c>
      <c r="D129" s="3168" t="s">
        <v>1349</v>
      </c>
      <c r="E129" s="3168" t="s">
        <v>1350</v>
      </c>
      <c r="F129" s="3168" t="s">
        <v>1351</v>
      </c>
      <c r="G129" s="3168" t="s">
        <v>663</v>
      </c>
      <c r="H129" s="3168" t="s">
        <v>490</v>
      </c>
      <c r="I129" s="3168" t="s">
        <v>1352</v>
      </c>
      <c r="J129" s="3168" t="s">
        <v>1353</v>
      </c>
      <c r="K129" s="3168" t="s">
        <v>1354</v>
      </c>
      <c r="L129" s="3169"/>
      <c r="N129" s="565"/>
      <c r="O129" s="3074">
        <f>O$1</f>
        <v>0</v>
      </c>
      <c r="P129" s="3074">
        <f t="shared" ref="P129:CA129" si="123">P$1</f>
        <v>0</v>
      </c>
      <c r="Q129" s="3074" t="str">
        <f t="shared" si="123"/>
        <v>Bruttolohn pro Monat 
ohne Provision</v>
      </c>
      <c r="R129" s="3074" t="str">
        <f t="shared" si="123"/>
        <v>einmalige Sonderzahlung z.B.Weihnachts-geld</v>
      </c>
      <c r="S129" s="3074" t="str">
        <f t="shared" si="123"/>
        <v xml:space="preserve">einmalige Sonderzahlung z.B. Urlaubsgeld </v>
      </c>
      <c r="T129" s="3074" t="str">
        <f t="shared" si="123"/>
        <v>regelmäßige monatl. Sonder-zahlung (z.B.Werkzeuggeld, VWL usw.)</v>
      </c>
      <c r="U129" s="3074" t="str">
        <f t="shared" si="123"/>
        <v>einmalige steuerfreie Sonder-zahlung</v>
      </c>
      <c r="V129" s="3074" t="str">
        <f t="shared" si="123"/>
        <v>regelmäßige monatl. Sonder-zahlung steuerfrei</v>
      </c>
      <c r="W129" s="3074" t="str">
        <f t="shared" si="123"/>
        <v>Bruttolohn pro Stunde</v>
      </c>
      <c r="X129" s="3074" t="str">
        <f t="shared" si="123"/>
        <v>Gesamtlohn. Alle Sonderzahl-ungen sind auf 1 Monat gerechnet</v>
      </c>
      <c r="Y129" s="3074" t="str">
        <f t="shared" si="123"/>
        <v xml:space="preserve">Wochenstd.   x  4,33  =  
Arb. -Std. pro Monat </v>
      </c>
      <c r="Z129" s="3074" t="str">
        <f t="shared" si="123"/>
        <v>Stunden - Lohn 
Bruttolohn incl. aller Zusatz-zahlungen</v>
      </c>
      <c r="AA129" s="3074" t="str">
        <f t="shared" si="123"/>
        <v>Wieviele bezahlte Anwesend-heitsmonate in diesem Planungsjahr</v>
      </c>
      <c r="AB129" s="3074" t="str">
        <f t="shared" si="123"/>
        <v>Daraus resultierende wahrschein-liche Arbeitstage im Jahr</v>
      </c>
      <c r="AC129" s="3074" t="str">
        <f t="shared" si="123"/>
        <v>Personal-faktor / VBE</v>
      </c>
      <c r="AD129" s="3074" t="str">
        <f t="shared" si="123"/>
        <v>Brutto Jahreslohn-summe</v>
      </c>
      <c r="AE129" s="3074" t="str">
        <f t="shared" si="123"/>
        <v>Summe Url.-+Weihn.-Geld usw. monatlich</v>
      </c>
      <c r="AF129" s="3074" t="str">
        <f t="shared" si="123"/>
        <v>x Lohn-faktor</v>
      </c>
      <c r="AG129" s="3074" t="str">
        <f t="shared" si="123"/>
        <v>Sollumsatz pro Arbeits-monat €</v>
      </c>
      <c r="AH129" s="3074" t="str">
        <f t="shared" si="123"/>
        <v>Sollumsatz DL pro Anwesen-heitstag €</v>
      </c>
      <c r="AI129" s="3074" t="str">
        <f t="shared" si="123"/>
        <v>Verkaufs-anteil %</v>
      </c>
      <c r="AJ129" s="3074" t="str">
        <f t="shared" si="123"/>
        <v>Verkaufs-anteil € pro Tag</v>
      </c>
      <c r="AK129" s="3074">
        <f t="shared" si="123"/>
        <v>0</v>
      </c>
      <c r="AL129" s="3074" t="str">
        <f t="shared" si="123"/>
        <v>Gesamt-sollumsatz pro Tag €</v>
      </c>
      <c r="AM129" s="3074">
        <f t="shared" si="123"/>
        <v>0</v>
      </c>
      <c r="AN129" s="3074">
        <f t="shared" si="123"/>
        <v>0</v>
      </c>
      <c r="AO129" s="3074" t="str">
        <f t="shared" si="123"/>
        <v>Std</v>
      </c>
      <c r="AP129" s="3074" t="str">
        <f t="shared" si="123"/>
        <v>Tage pro Woche</v>
      </c>
      <c r="AQ129" s="3074" t="str">
        <f t="shared" si="123"/>
        <v>Tage pro Monat</v>
      </c>
      <c r="AR129" s="3074" t="str">
        <f t="shared" si="123"/>
        <v>Gesamtumsatz pro M.</v>
      </c>
      <c r="AS129" s="3074" t="str">
        <f t="shared" si="123"/>
        <v>DL-Umsatz pro M.</v>
      </c>
      <c r="AT129" s="3074" t="str">
        <f t="shared" si="123"/>
        <v>VK-Umsatz pro M.</v>
      </c>
      <c r="AU129" s="3074" t="str">
        <f t="shared" si="123"/>
        <v>Umsatz p. Woche</v>
      </c>
      <c r="AV129" s="3074" t="str">
        <f t="shared" si="123"/>
        <v>Umsatz p. Std</v>
      </c>
      <c r="AW129" s="3074">
        <f t="shared" si="123"/>
        <v>0</v>
      </c>
      <c r="AX129" s="3074" t="str">
        <f t="shared" si="123"/>
        <v>Umsatz p. Std mit Leerlauf</v>
      </c>
      <c r="AY129" s="3074" t="str">
        <f t="shared" si="123"/>
        <v>&lt;-- andern auf Seite 22</v>
      </c>
      <c r="AZ129" s="3074">
        <f t="shared" si="123"/>
        <v>0</v>
      </c>
      <c r="BA129" s="3074" t="str">
        <f t="shared" si="123"/>
        <v>Montag</v>
      </c>
      <c r="BB129" s="3074">
        <f t="shared" si="123"/>
        <v>0</v>
      </c>
      <c r="BC129" s="3074" t="str">
        <f t="shared" si="123"/>
        <v>Dienstag</v>
      </c>
      <c r="BD129" s="3074">
        <f t="shared" si="123"/>
        <v>0</v>
      </c>
      <c r="BE129" s="3074" t="str">
        <f t="shared" si="123"/>
        <v>Mittwoch</v>
      </c>
      <c r="BF129" s="3074">
        <f t="shared" si="123"/>
        <v>0</v>
      </c>
      <c r="BG129" s="3074" t="str">
        <f t="shared" si="123"/>
        <v>Donnerstag</v>
      </c>
      <c r="BH129" s="3074">
        <f t="shared" si="123"/>
        <v>0</v>
      </c>
      <c r="BI129" s="3074" t="str">
        <f t="shared" si="123"/>
        <v>Freitag</v>
      </c>
      <c r="BJ129" s="3074">
        <f t="shared" si="123"/>
        <v>0</v>
      </c>
      <c r="BK129" s="3074" t="str">
        <f t="shared" si="123"/>
        <v>Samstag</v>
      </c>
      <c r="BL129" s="3074">
        <f t="shared" si="123"/>
        <v>0</v>
      </c>
      <c r="BM129" s="3074" t="str">
        <f t="shared" si="123"/>
        <v>Arbeitstage</v>
      </c>
      <c r="BN129" s="3074" t="str">
        <f t="shared" si="123"/>
        <v>Urlaubstage</v>
      </c>
      <c r="BO129" s="3074" t="str">
        <f t="shared" si="123"/>
        <v>Krankentage</v>
      </c>
      <c r="BP129" s="3074" t="str">
        <f t="shared" si="123"/>
        <v>Ums/Ges</v>
      </c>
      <c r="BQ129" s="3074" t="str">
        <f t="shared" si="123"/>
        <v>Ums/DL</v>
      </c>
      <c r="BR129" s="3074" t="str">
        <f t="shared" si="123"/>
        <v>Ums/VK</v>
      </c>
      <c r="BS129" s="3074" t="str">
        <f t="shared" si="123"/>
        <v>DL Differenz Soll/Ist</v>
      </c>
      <c r="BT129" s="3074">
        <f t="shared" si="123"/>
        <v>0</v>
      </c>
      <c r="BU129" s="3074">
        <f t="shared" si="123"/>
        <v>0</v>
      </c>
      <c r="BV129" s="3074">
        <f t="shared" si="123"/>
        <v>0</v>
      </c>
      <c r="BW129" s="3074" t="str">
        <f t="shared" si="123"/>
        <v>Verkauf Differenz Soll/Ist</v>
      </c>
      <c r="BX129" s="3074">
        <f t="shared" si="123"/>
        <v>0</v>
      </c>
      <c r="BY129" s="3074">
        <f t="shared" si="123"/>
        <v>0</v>
      </c>
      <c r="BZ129" s="3074">
        <f t="shared" si="123"/>
        <v>0</v>
      </c>
      <c r="CA129" s="3074">
        <f t="shared" si="123"/>
        <v>0</v>
      </c>
      <c r="CB129" s="3074" t="str">
        <f t="shared" ref="CB129:CG129" si="124">CB$1</f>
        <v>Monate im +</v>
      </c>
      <c r="CC129" s="3074" t="str">
        <f t="shared" si="124"/>
        <v>Monate im +</v>
      </c>
      <c r="CD129" s="3074">
        <f t="shared" si="124"/>
        <v>0</v>
      </c>
      <c r="CE129" s="3074">
        <f t="shared" si="124"/>
        <v>0</v>
      </c>
      <c r="CF129" s="3074">
        <f t="shared" si="124"/>
        <v>0</v>
      </c>
      <c r="CG129" s="3074">
        <f t="shared" si="124"/>
        <v>0</v>
      </c>
    </row>
    <row r="130" spans="1:106" s="3000" customFormat="1" ht="20.399999999999999" customHeight="1" thickBot="1">
      <c r="A130" s="3051">
        <f>CH131</f>
        <v>7</v>
      </c>
      <c r="B130" s="3001"/>
      <c r="C130" s="3002" t="str">
        <f t="shared" ref="C130" si="125">Q131</f>
        <v/>
      </c>
      <c r="D130" s="3002">
        <f t="shared" ref="D130" si="126">R131</f>
        <v>0</v>
      </c>
      <c r="E130" s="3002">
        <f t="shared" ref="E130" si="127">S131</f>
        <v>0</v>
      </c>
      <c r="F130" s="3002">
        <f t="shared" ref="F130" si="128">T131</f>
        <v>0</v>
      </c>
      <c r="G130" s="3002">
        <f t="shared" ref="G130" si="129">U131</f>
        <v>0</v>
      </c>
      <c r="H130" s="3002">
        <f t="shared" ref="H130" si="130">V131</f>
        <v>0</v>
      </c>
      <c r="I130" s="3002" t="str">
        <f>X131</f>
        <v/>
      </c>
      <c r="J130" s="3003" t="str">
        <f>AA131</f>
        <v/>
      </c>
      <c r="K130" s="3004" t="str">
        <f>AD131</f>
        <v/>
      </c>
      <c r="N130" s="565" t="s">
        <v>1345</v>
      </c>
      <c r="O130" s="3074">
        <f t="shared" ref="O130:AT130" si="131">O88</f>
        <v>0</v>
      </c>
      <c r="P130" s="3074">
        <f t="shared" si="131"/>
        <v>0</v>
      </c>
      <c r="Q130" s="3074">
        <f t="shared" si="131"/>
        <v>1040</v>
      </c>
      <c r="R130" s="3074">
        <f t="shared" si="131"/>
        <v>0</v>
      </c>
      <c r="S130" s="3074">
        <f t="shared" si="131"/>
        <v>0</v>
      </c>
      <c r="T130" s="3074">
        <f t="shared" si="131"/>
        <v>0</v>
      </c>
      <c r="U130" s="3074">
        <f t="shared" si="131"/>
        <v>0</v>
      </c>
      <c r="V130" s="3074">
        <f t="shared" si="131"/>
        <v>0</v>
      </c>
      <c r="W130" s="3074">
        <f t="shared" si="131"/>
        <v>15.011547344110854</v>
      </c>
      <c r="X130" s="3074">
        <f t="shared" si="131"/>
        <v>1040</v>
      </c>
      <c r="Y130" s="3074">
        <f t="shared" si="131"/>
        <v>69.28</v>
      </c>
      <c r="Z130" s="3074">
        <f t="shared" si="131"/>
        <v>15.011547344110854</v>
      </c>
      <c r="AA130" s="3074">
        <f t="shared" si="131"/>
        <v>12</v>
      </c>
      <c r="AB130" s="3074">
        <f t="shared" si="131"/>
        <v>86.596536</v>
      </c>
      <c r="AC130" s="3074">
        <f t="shared" si="131"/>
        <v>0.4</v>
      </c>
      <c r="AD130" s="3074">
        <f t="shared" si="131"/>
        <v>12480</v>
      </c>
      <c r="AE130" s="3074">
        <f t="shared" si="131"/>
        <v>0</v>
      </c>
      <c r="AF130" s="3074">
        <f t="shared" si="131"/>
        <v>4.63</v>
      </c>
      <c r="AG130" s="3074">
        <f t="shared" si="131"/>
        <v>4815</v>
      </c>
      <c r="AH130" s="3074">
        <f t="shared" si="131"/>
        <v>525.40801536314405</v>
      </c>
      <c r="AI130" s="3074">
        <f t="shared" si="131"/>
        <v>5.5021555102258944E-2</v>
      </c>
      <c r="AJ130" s="3074">
        <f t="shared" si="131"/>
        <v>30.591984636855972</v>
      </c>
      <c r="AK130" s="3074">
        <f t="shared" si="131"/>
        <v>0</v>
      </c>
      <c r="AL130" s="3074">
        <f t="shared" si="131"/>
        <v>556</v>
      </c>
      <c r="AM130" s="3074">
        <f t="shared" si="131"/>
        <v>0</v>
      </c>
      <c r="AN130" s="3074">
        <f t="shared" si="131"/>
        <v>0</v>
      </c>
      <c r="AO130" s="3074">
        <f t="shared" si="131"/>
        <v>16</v>
      </c>
      <c r="AP130" s="3074">
        <f t="shared" si="131"/>
        <v>2</v>
      </c>
      <c r="AQ130" s="3074">
        <f t="shared" si="131"/>
        <v>8.66</v>
      </c>
      <c r="AR130" s="3074">
        <f t="shared" si="131"/>
        <v>4815</v>
      </c>
      <c r="AS130" s="3074">
        <f t="shared" si="131"/>
        <v>4550.0712121826236</v>
      </c>
      <c r="AT130" s="3074">
        <f t="shared" si="131"/>
        <v>264.92878781737681</v>
      </c>
      <c r="AU130" s="3074">
        <f t="shared" ref="AU130:BZ130" si="132">AU88</f>
        <v>1112</v>
      </c>
      <c r="AV130" s="3074">
        <f t="shared" si="132"/>
        <v>69.500577367205537</v>
      </c>
      <c r="AW130" s="3074">
        <f t="shared" si="132"/>
        <v>0</v>
      </c>
      <c r="AX130" s="3074">
        <f t="shared" si="132"/>
        <v>86.87572170900691</v>
      </c>
      <c r="AY130" s="3074" t="str">
        <f t="shared" si="132"/>
        <v>Christa</v>
      </c>
      <c r="AZ130" s="3074">
        <f t="shared" si="132"/>
        <v>48149.599999999999</v>
      </c>
      <c r="BA130" s="3074" t="str">
        <f t="shared" si="132"/>
        <v/>
      </c>
      <c r="BB130" s="3074" t="str">
        <f t="shared" si="132"/>
        <v/>
      </c>
      <c r="BC130" s="3074" t="str">
        <f t="shared" si="132"/>
        <v/>
      </c>
      <c r="BD130" s="3074" t="str">
        <f t="shared" si="132"/>
        <v/>
      </c>
      <c r="BE130" s="3074" t="str">
        <f t="shared" si="132"/>
        <v/>
      </c>
      <c r="BF130" s="3074" t="str">
        <f t="shared" si="132"/>
        <v/>
      </c>
      <c r="BG130" s="3074" t="str">
        <f t="shared" si="132"/>
        <v/>
      </c>
      <c r="BH130" s="3074" t="str">
        <f t="shared" si="132"/>
        <v/>
      </c>
      <c r="BI130" s="3074">
        <f t="shared" si="132"/>
        <v>8</v>
      </c>
      <c r="BJ130" s="3074">
        <f t="shared" si="132"/>
        <v>556.0046189376443</v>
      </c>
      <c r="BK130" s="3074">
        <f t="shared" si="132"/>
        <v>8</v>
      </c>
      <c r="BL130" s="3074">
        <f t="shared" si="132"/>
        <v>556.0046189376443</v>
      </c>
      <c r="BM130" s="3074">
        <f t="shared" si="132"/>
        <v>88</v>
      </c>
      <c r="BN130" s="3074">
        <f t="shared" si="132"/>
        <v>10</v>
      </c>
      <c r="BO130" s="3074">
        <f t="shared" si="132"/>
        <v>5</v>
      </c>
      <c r="BP130" s="3074">
        <f t="shared" si="132"/>
        <v>48928</v>
      </c>
      <c r="BQ130" s="3074">
        <f t="shared" si="132"/>
        <v>46235.905351956673</v>
      </c>
      <c r="BR130" s="3074">
        <f t="shared" si="132"/>
        <v>2692.1170124629512</v>
      </c>
      <c r="BS130" s="3074">
        <f t="shared" si="132"/>
        <v>0</v>
      </c>
      <c r="BT130" s="3074">
        <f t="shared" si="132"/>
        <v>46235.905351956673</v>
      </c>
      <c r="BU130" s="3074">
        <f t="shared" si="132"/>
        <v>-46235.905351956673</v>
      </c>
      <c r="BV130" s="3074" t="str">
        <f t="shared" si="132"/>
        <v/>
      </c>
      <c r="BW130" s="3074">
        <f t="shared" si="132"/>
        <v>0</v>
      </c>
      <c r="BX130" s="3074">
        <f t="shared" si="132"/>
        <v>2692.1170124629512</v>
      </c>
      <c r="BY130" s="3074">
        <f t="shared" si="132"/>
        <v>-2692.1170124629512</v>
      </c>
      <c r="BZ130" s="3074" t="str">
        <f t="shared" si="132"/>
        <v/>
      </c>
      <c r="CA130" s="3074" t="str">
        <f t="shared" ref="CA130:CG130" si="133">CA88</f>
        <v/>
      </c>
      <c r="CB130" s="3074" t="str">
        <f t="shared" si="133"/>
        <v/>
      </c>
      <c r="CC130" s="3074" t="str">
        <f t="shared" si="133"/>
        <v/>
      </c>
      <c r="CD130" s="3074" t="str">
        <f t="shared" si="133"/>
        <v>Christa</v>
      </c>
      <c r="CE130" s="3074">
        <f t="shared" si="133"/>
        <v>0</v>
      </c>
      <c r="CF130" s="3074">
        <f t="shared" si="133"/>
        <v>0</v>
      </c>
      <c r="CG130" s="3074">
        <f t="shared" si="133"/>
        <v>0</v>
      </c>
      <c r="CH130" s="3062"/>
      <c r="CI130" s="3062"/>
      <c r="CJ130" s="3062"/>
      <c r="CK130" s="3062"/>
      <c r="CL130" s="3062"/>
      <c r="CM130" s="3062"/>
      <c r="CN130" s="3062"/>
      <c r="CO130" s="3062"/>
      <c r="CP130" s="3062"/>
      <c r="CQ130" s="3062"/>
      <c r="CR130" s="3062"/>
      <c r="CS130" s="3062"/>
      <c r="CT130" s="3062"/>
      <c r="CU130" s="3062"/>
      <c r="CV130" s="3062"/>
      <c r="CW130" s="3062"/>
      <c r="CX130" s="3062"/>
      <c r="CY130" s="3159"/>
      <c r="CZ130" s="3159"/>
      <c r="DA130" s="3159"/>
      <c r="DB130" s="3159"/>
    </row>
    <row r="131" spans="1:106" s="3005" customFormat="1" ht="41.4" customHeight="1">
      <c r="B131" s="3006"/>
      <c r="C131" s="3007" t="s">
        <v>1296</v>
      </c>
      <c r="D131" s="3007" t="s">
        <v>1355</v>
      </c>
      <c r="E131" s="3007" t="s">
        <v>1356</v>
      </c>
      <c r="F131" s="3007" t="s">
        <v>1357</v>
      </c>
      <c r="G131" s="3007" t="s">
        <v>1358</v>
      </c>
      <c r="H131" s="3007" t="s">
        <v>1359</v>
      </c>
      <c r="I131" s="3007" t="s">
        <v>1360</v>
      </c>
      <c r="J131" s="3007" t="s">
        <v>1361</v>
      </c>
      <c r="N131" s="565">
        <f>MAdaten!A10</f>
        <v>0</v>
      </c>
      <c r="O131" s="565">
        <f>MAdaten!B10</f>
        <v>0</v>
      </c>
      <c r="P131" s="565">
        <f>MAdaten!C10</f>
        <v>0</v>
      </c>
      <c r="Q131" s="565" t="str">
        <f>MAdaten!D10</f>
        <v/>
      </c>
      <c r="R131" s="565">
        <f>MAdaten!E10</f>
        <v>0</v>
      </c>
      <c r="S131" s="565">
        <f>MAdaten!F10</f>
        <v>0</v>
      </c>
      <c r="T131" s="565">
        <f>MAdaten!G10</f>
        <v>0</v>
      </c>
      <c r="U131" s="565">
        <f>MAdaten!H10</f>
        <v>0</v>
      </c>
      <c r="V131" s="565">
        <f>MAdaten!I10</f>
        <v>0</v>
      </c>
      <c r="W131" s="565" t="e">
        <f>MAdaten!J10</f>
        <v>#VALUE!</v>
      </c>
      <c r="X131" s="565" t="str">
        <f>MAdaten!K10</f>
        <v/>
      </c>
      <c r="Y131" s="565" t="str">
        <f>MAdaten!L10</f>
        <v/>
      </c>
      <c r="Z131" s="565" t="str">
        <f>MAdaten!M10</f>
        <v/>
      </c>
      <c r="AA131" s="565" t="str">
        <f>MAdaten!N10</f>
        <v/>
      </c>
      <c r="AB131" s="565" t="str">
        <f>MAdaten!O10</f>
        <v/>
      </c>
      <c r="AC131" s="565" t="str">
        <f>MAdaten!P10</f>
        <v/>
      </c>
      <c r="AD131" s="565" t="str">
        <f>MAdaten!Q10</f>
        <v/>
      </c>
      <c r="AE131" s="565">
        <f>MAdaten!R10</f>
        <v>0</v>
      </c>
      <c r="AF131" s="565" t="str">
        <f>MAdaten!S10</f>
        <v/>
      </c>
      <c r="AG131" s="565" t="str">
        <f>MAdaten!T10</f>
        <v/>
      </c>
      <c r="AH131" s="565" t="str">
        <f>MAdaten!U10</f>
        <v/>
      </c>
      <c r="AI131" s="565">
        <f>MAdaten!V10</f>
        <v>5.5021555102258944E-2</v>
      </c>
      <c r="AJ131" s="565" t="str">
        <f>MAdaten!W10</f>
        <v/>
      </c>
      <c r="AK131" s="565">
        <f>MAdaten!X10</f>
        <v>0</v>
      </c>
      <c r="AL131" s="565" t="str">
        <f>MAdaten!Y10</f>
        <v/>
      </c>
      <c r="AM131" s="565">
        <f>MAdaten!Z10</f>
        <v>0</v>
      </c>
      <c r="AN131" s="565">
        <f>MAdaten!AA10</f>
        <v>0</v>
      </c>
      <c r="AO131" s="565" t="str">
        <f>MAdaten!AB10</f>
        <v/>
      </c>
      <c r="AP131" s="565" t="str">
        <f>MAdaten!AC10</f>
        <v/>
      </c>
      <c r="AQ131" s="565" t="str">
        <f>MAdaten!AD10</f>
        <v/>
      </c>
      <c r="AR131" s="565" t="str">
        <f>MAdaten!AE10</f>
        <v/>
      </c>
      <c r="AS131" s="565" t="str">
        <f>MAdaten!AF10</f>
        <v/>
      </c>
      <c r="AT131" s="565" t="str">
        <f>MAdaten!AG10</f>
        <v/>
      </c>
      <c r="AU131" s="565" t="str">
        <f>MAdaten!AH10</f>
        <v/>
      </c>
      <c r="AV131" s="565" t="str">
        <f>MAdaten!AI10</f>
        <v/>
      </c>
      <c r="AW131" s="565">
        <f>MAdaten!AJ10</f>
        <v>0</v>
      </c>
      <c r="AX131" s="565" t="str">
        <f>MAdaten!AK10</f>
        <v/>
      </c>
      <c r="AY131" s="565" t="str">
        <f>MAdaten!AL10</f>
        <v/>
      </c>
      <c r="AZ131" s="565" t="str">
        <f>MAdaten!AM10</f>
        <v/>
      </c>
      <c r="BA131" s="565" t="str">
        <f>MAdaten!AN10</f>
        <v/>
      </c>
      <c r="BB131" s="565" t="str">
        <f>MAdaten!AO10</f>
        <v/>
      </c>
      <c r="BC131" s="565" t="str">
        <f>MAdaten!AP10</f>
        <v/>
      </c>
      <c r="BD131" s="565" t="str">
        <f>MAdaten!AQ10</f>
        <v/>
      </c>
      <c r="BE131" s="565" t="str">
        <f>MAdaten!AR10</f>
        <v/>
      </c>
      <c r="BF131" s="565" t="str">
        <f>MAdaten!AS10</f>
        <v/>
      </c>
      <c r="BG131" s="565" t="str">
        <f>MAdaten!AT10</f>
        <v/>
      </c>
      <c r="BH131" s="565" t="str">
        <f>MAdaten!AU10</f>
        <v/>
      </c>
      <c r="BI131" s="565" t="str">
        <f>MAdaten!AV10</f>
        <v/>
      </c>
      <c r="BJ131" s="565" t="str">
        <f>MAdaten!AW10</f>
        <v/>
      </c>
      <c r="BK131" s="565" t="str">
        <f>MAdaten!AX10</f>
        <v/>
      </c>
      <c r="BL131" s="565" t="str">
        <f>MAdaten!AY10</f>
        <v/>
      </c>
      <c r="BM131" s="565" t="str">
        <f>MAdaten!AZ10</f>
        <v/>
      </c>
      <c r="BN131" s="565" t="str">
        <f>MAdaten!BA10</f>
        <v/>
      </c>
      <c r="BO131" s="565" t="str">
        <f>MAdaten!BB10</f>
        <v/>
      </c>
      <c r="BP131" s="565" t="str">
        <f>MAdaten!BC10</f>
        <v/>
      </c>
      <c r="BQ131" s="565" t="str">
        <f>MAdaten!BD10</f>
        <v/>
      </c>
      <c r="BR131" s="565" t="str">
        <f>MAdaten!BE10</f>
        <v/>
      </c>
      <c r="BS131" s="565" t="str">
        <f>MAdaten!BF10</f>
        <v/>
      </c>
      <c r="BT131" s="565" t="str">
        <f>MAdaten!BG10</f>
        <v/>
      </c>
      <c r="BU131" s="565" t="str">
        <f>MAdaten!BH10</f>
        <v/>
      </c>
      <c r="BV131" s="565" t="str">
        <f>MAdaten!BI10</f>
        <v/>
      </c>
      <c r="BW131" s="565" t="str">
        <f>MAdaten!BJ10</f>
        <v/>
      </c>
      <c r="BX131" s="565" t="str">
        <f>MAdaten!BK10</f>
        <v/>
      </c>
      <c r="BY131" s="565" t="str">
        <f>MAdaten!BL10</f>
        <v/>
      </c>
      <c r="BZ131" s="565" t="str">
        <f>MAdaten!BM10</f>
        <v/>
      </c>
      <c r="CA131" s="565" t="str">
        <f>MAdaten!BN10</f>
        <v/>
      </c>
      <c r="CB131" s="565" t="str">
        <f>MAdaten!BO10</f>
        <v/>
      </c>
      <c r="CC131" s="565" t="str">
        <f>MAdaten!BP10</f>
        <v/>
      </c>
      <c r="CD131" s="565" t="str">
        <f>MAdaten!BQ10</f>
        <v/>
      </c>
      <c r="CE131" s="565" t="str">
        <f>MAdaten!BR10</f>
        <v/>
      </c>
      <c r="CF131" s="565" t="str">
        <f>MAdaten!BS10</f>
        <v/>
      </c>
      <c r="CG131" s="565" t="str">
        <f>MAdaten!BT10</f>
        <v/>
      </c>
      <c r="CH131" s="565">
        <f>MAdaten!BU10</f>
        <v>7</v>
      </c>
      <c r="CI131" s="565" t="str">
        <f>MAdaten!BV10</f>
        <v>Januar</v>
      </c>
      <c r="CJ131" s="565">
        <f>MAdaten!BW10</f>
        <v>0</v>
      </c>
      <c r="CK131" s="565">
        <f>MAdaten!BX10</f>
        <v>0</v>
      </c>
      <c r="CL131" s="565">
        <f>MAdaten!BY10</f>
        <v>0</v>
      </c>
      <c r="CM131" s="565">
        <f>MAdaten!BZ10</f>
        <v>0</v>
      </c>
      <c r="CN131" s="565" t="str">
        <f>MAdaten!CA10</f>
        <v/>
      </c>
      <c r="CO131" s="565" t="str">
        <f>MAdaten!CB10</f>
        <v/>
      </c>
      <c r="CP131" s="565" t="str">
        <f>MAdaten!CC10</f>
        <v/>
      </c>
      <c r="CQ131" s="565">
        <f>MAdaten!CD10</f>
        <v>0</v>
      </c>
      <c r="CR131" s="565" t="str">
        <f>MAdaten!CE10</f>
        <v/>
      </c>
      <c r="CS131" s="565" t="str">
        <f>MAdaten!CF10</f>
        <v/>
      </c>
      <c r="CT131" s="565" t="str">
        <f>MAdaten!CG10</f>
        <v/>
      </c>
      <c r="CU131" s="3069"/>
      <c r="CV131" s="3069"/>
      <c r="CW131" s="3069"/>
      <c r="CX131" s="3069"/>
      <c r="CY131" s="3160"/>
      <c r="CZ131" s="3160"/>
      <c r="DA131" s="3160"/>
      <c r="DB131" s="3160"/>
    </row>
    <row r="132" spans="1:106" s="3000" customFormat="1" ht="20.399999999999999" customHeight="1" thickBot="1">
      <c r="B132" s="3001"/>
      <c r="C132" s="3008" t="e">
        <f>W131</f>
        <v>#VALUE!</v>
      </c>
      <c r="D132" s="3008" t="str">
        <f>Z131</f>
        <v/>
      </c>
      <c r="E132" s="3008" t="str">
        <f>AO131</f>
        <v/>
      </c>
      <c r="F132" s="3008" t="str">
        <f>Y131</f>
        <v/>
      </c>
      <c r="G132" s="3008" t="str">
        <f>AP131</f>
        <v/>
      </c>
      <c r="H132" s="3008" t="str">
        <f>AQ131</f>
        <v/>
      </c>
      <c r="I132" s="3004" t="str">
        <f>AB131</f>
        <v/>
      </c>
      <c r="J132" s="3003" t="str">
        <f>AC131</f>
        <v/>
      </c>
      <c r="N132" s="3062"/>
      <c r="O132" s="3062"/>
      <c r="P132" s="3062"/>
      <c r="Q132" s="3062"/>
      <c r="R132" s="3062"/>
      <c r="S132" s="3062"/>
      <c r="T132" s="3062"/>
      <c r="U132" s="3062"/>
      <c r="V132" s="3062"/>
      <c r="W132" s="3062"/>
      <c r="X132" s="3062"/>
      <c r="Y132" s="3062"/>
      <c r="Z132" s="3062"/>
      <c r="AA132" s="3062"/>
      <c r="AB132" s="3062"/>
      <c r="AC132" s="3062"/>
      <c r="AD132" s="3062"/>
      <c r="AE132" s="3062"/>
      <c r="AF132" s="3062"/>
      <c r="AG132" s="3062"/>
      <c r="AH132" s="3062"/>
      <c r="AI132" s="3062"/>
      <c r="AJ132" s="3062"/>
      <c r="AK132" s="3062"/>
      <c r="AL132" s="3062"/>
      <c r="AM132" s="3062"/>
      <c r="AN132" s="3062"/>
      <c r="AO132" s="3062"/>
      <c r="AP132" s="3062"/>
      <c r="AQ132" s="3062"/>
      <c r="AR132" s="3062"/>
      <c r="AS132" s="3062"/>
      <c r="AT132" s="3062"/>
      <c r="AU132" s="3062"/>
      <c r="AV132" s="3062"/>
      <c r="AW132" s="3062"/>
      <c r="AX132" s="3062"/>
      <c r="AY132" s="3062"/>
      <c r="AZ132" s="3062"/>
      <c r="BA132" s="3062"/>
      <c r="BB132" s="3062"/>
      <c r="BC132" s="3062"/>
      <c r="BD132" s="3062"/>
      <c r="BE132" s="3062"/>
      <c r="BF132" s="3062"/>
      <c r="BG132" s="3062"/>
      <c r="BH132" s="3062"/>
      <c r="BI132" s="3062"/>
      <c r="BJ132" s="3062"/>
      <c r="BK132" s="3062"/>
      <c r="BL132" s="3062"/>
      <c r="BM132" s="3062"/>
      <c r="BN132" s="3062"/>
      <c r="BO132" s="3062"/>
      <c r="BP132" s="3062"/>
      <c r="BQ132" s="3062"/>
      <c r="BR132" s="3062"/>
      <c r="BS132" s="3062"/>
      <c r="BT132" s="3062"/>
      <c r="BU132" s="3062"/>
      <c r="BV132" s="3062"/>
      <c r="BW132" s="3062"/>
      <c r="BX132" s="3062"/>
      <c r="BY132" s="3062"/>
      <c r="BZ132" s="3062"/>
      <c r="CA132" s="3062"/>
      <c r="CB132" s="3062"/>
      <c r="CC132" s="3062"/>
      <c r="CD132" s="3062"/>
      <c r="CE132" s="3062"/>
      <c r="CF132" s="3062"/>
      <c r="CG132" s="3062"/>
      <c r="CH132" s="3062"/>
      <c r="CI132" s="3062"/>
      <c r="CJ132" s="3062"/>
      <c r="CK132" s="3062"/>
      <c r="CL132" s="3062"/>
      <c r="CM132" s="3062"/>
      <c r="CN132" s="3062"/>
      <c r="CO132" s="3062"/>
      <c r="CP132" s="3062"/>
      <c r="CQ132" s="3062"/>
      <c r="CR132" s="3062"/>
      <c r="CS132" s="3062"/>
      <c r="CT132" s="3062"/>
      <c r="CU132" s="3062"/>
      <c r="CV132" s="3062"/>
      <c r="CW132" s="3062"/>
      <c r="CX132" s="3062"/>
      <c r="CY132" s="3159"/>
      <c r="CZ132" s="3159"/>
      <c r="DA132" s="3159"/>
      <c r="DB132" s="3159"/>
    </row>
    <row r="133" spans="1:106" ht="21.6" customHeight="1" thickBot="1">
      <c r="A133" s="3009"/>
      <c r="B133" s="3010"/>
      <c r="C133" s="3011"/>
      <c r="D133" s="3012"/>
      <c r="E133" s="3011"/>
      <c r="F133" s="3012"/>
      <c r="G133" s="3011"/>
      <c r="H133" s="3012"/>
      <c r="I133" s="3054"/>
      <c r="J133" s="3054"/>
      <c r="K133" s="3055"/>
      <c r="L133" s="3054"/>
      <c r="N133" s="565"/>
      <c r="O133" s="565"/>
      <c r="P133" s="565"/>
    </row>
    <row r="134" spans="1:106" s="3005" customFormat="1" ht="66" customHeight="1">
      <c r="A134" s="4362" t="s">
        <v>1362</v>
      </c>
      <c r="B134" s="4363"/>
      <c r="C134" s="3013" t="str">
        <f>AG129</f>
        <v>Sollumsatz pro Arbeits-monat €</v>
      </c>
      <c r="D134" s="3013" t="str">
        <f>AL129</f>
        <v>Gesamt-sollumsatz pro Tag €</v>
      </c>
      <c r="E134" s="3013" t="str">
        <f>AU129</f>
        <v>Umsatz p. Woche</v>
      </c>
      <c r="F134" s="3013" t="str">
        <f>AV129</f>
        <v>Umsatz p. Std</v>
      </c>
      <c r="G134" s="3013" t="str">
        <f>AX129</f>
        <v>Umsatz p. Std mit Leerlauf</v>
      </c>
      <c r="H134" s="3014" t="str">
        <f>AS129</f>
        <v>DL-Umsatz pro M.</v>
      </c>
      <c r="I134" s="3014" t="str">
        <f>AH129</f>
        <v>Sollumsatz DL pro Anwesen-heitstag €</v>
      </c>
      <c r="J134" s="3014" t="str">
        <f>AT129</f>
        <v>VK-Umsatz pro M.</v>
      </c>
      <c r="K134" s="3014" t="str">
        <f>AI129</f>
        <v>Verkaufs-anteil %</v>
      </c>
      <c r="L134" s="3014" t="str">
        <f>AJ129</f>
        <v>Verkaufs-anteil € pro Tag</v>
      </c>
      <c r="N134" s="3069"/>
      <c r="O134" s="3069"/>
      <c r="P134" s="3069"/>
      <c r="Q134" s="3069"/>
      <c r="R134" s="3069"/>
      <c r="S134" s="3069"/>
      <c r="T134" s="3069"/>
      <c r="U134" s="3069"/>
      <c r="V134" s="3069"/>
      <c r="W134" s="3069"/>
      <c r="X134" s="3069"/>
      <c r="Y134" s="3069"/>
      <c r="Z134" s="3069"/>
      <c r="AA134" s="3069"/>
      <c r="AB134" s="3069"/>
      <c r="AC134" s="3069"/>
      <c r="AD134" s="3069"/>
      <c r="AE134" s="3069"/>
      <c r="AF134" s="3069"/>
      <c r="AG134" s="3069"/>
      <c r="AH134" s="3069"/>
      <c r="AI134" s="3069"/>
      <c r="AJ134" s="3069"/>
      <c r="AK134" s="3069"/>
      <c r="AL134" s="3069"/>
      <c r="AM134" s="3069"/>
      <c r="AN134" s="3069"/>
      <c r="AO134" s="3069"/>
      <c r="AP134" s="3069"/>
      <c r="AQ134" s="3069"/>
      <c r="AR134" s="3069"/>
      <c r="AS134" s="3069"/>
      <c r="AT134" s="3069"/>
      <c r="AU134" s="3069"/>
      <c r="AV134" s="3069"/>
      <c r="AW134" s="3069"/>
      <c r="AX134" s="3069"/>
      <c r="AY134" s="3069"/>
      <c r="AZ134" s="3069"/>
      <c r="BA134" s="3069"/>
      <c r="BB134" s="3069"/>
      <c r="BC134" s="3069"/>
      <c r="BD134" s="3069"/>
      <c r="BE134" s="3069"/>
      <c r="BF134" s="3069"/>
      <c r="BG134" s="3069"/>
      <c r="BH134" s="3069"/>
      <c r="BI134" s="3069"/>
      <c r="BJ134" s="3069"/>
      <c r="BK134" s="3069"/>
      <c r="BL134" s="3069"/>
      <c r="BM134" s="3069"/>
      <c r="BN134" s="3069"/>
      <c r="BO134" s="3069"/>
      <c r="BP134" s="3069"/>
      <c r="BQ134" s="3069"/>
      <c r="BR134" s="3069"/>
      <c r="BS134" s="3069"/>
      <c r="BT134" s="3069"/>
      <c r="BU134" s="3069"/>
      <c r="BV134" s="3069"/>
      <c r="BW134" s="3069"/>
      <c r="BX134" s="3069"/>
      <c r="BY134" s="3069"/>
      <c r="BZ134" s="3069"/>
      <c r="CA134" s="3069"/>
      <c r="CB134" s="3069"/>
      <c r="CC134" s="3069"/>
      <c r="CD134" s="3069"/>
      <c r="CE134" s="3069"/>
      <c r="CF134" s="3069"/>
      <c r="CG134" s="3069"/>
      <c r="CH134" s="3069"/>
      <c r="CI134" s="3069"/>
      <c r="CJ134" s="3069"/>
      <c r="CK134" s="3069"/>
      <c r="CL134" s="3069"/>
      <c r="CM134" s="3069"/>
      <c r="CN134" s="3069"/>
      <c r="CO134" s="3069"/>
      <c r="CP134" s="3069"/>
      <c r="CQ134" s="3069"/>
      <c r="CR134" s="3069"/>
      <c r="CS134" s="3069"/>
      <c r="CT134" s="3069"/>
      <c r="CU134" s="3069"/>
      <c r="CV134" s="3069"/>
      <c r="CW134" s="3069"/>
      <c r="CX134" s="3069"/>
      <c r="CY134" s="3160"/>
      <c r="CZ134" s="3160"/>
      <c r="DA134" s="3160"/>
      <c r="DB134" s="3160"/>
    </row>
    <row r="135" spans="1:106" s="3049" customFormat="1">
      <c r="A135" s="3015"/>
      <c r="B135" s="3016"/>
      <c r="C135" s="3017" t="str">
        <f>AR131</f>
        <v/>
      </c>
      <c r="D135" s="3017" t="str">
        <f>AL131</f>
        <v/>
      </c>
      <c r="E135" s="3017" t="str">
        <f>AU131</f>
        <v/>
      </c>
      <c r="F135" s="3018" t="str">
        <f>AV131</f>
        <v/>
      </c>
      <c r="G135" s="3018" t="str">
        <f>AX131</f>
        <v/>
      </c>
      <c r="H135" s="3019" t="str">
        <f>AS131</f>
        <v/>
      </c>
      <c r="I135" s="3020" t="str">
        <f>AH131</f>
        <v/>
      </c>
      <c r="J135" s="3020" t="str">
        <f>AT131</f>
        <v/>
      </c>
      <c r="K135" s="3021">
        <f>AI131</f>
        <v>5.5021555102258944E-2</v>
      </c>
      <c r="L135" s="3020" t="str">
        <f>AJ131</f>
        <v/>
      </c>
      <c r="N135" s="3070"/>
      <c r="O135" s="3070"/>
      <c r="P135" s="3070"/>
      <c r="Q135" s="3070"/>
      <c r="R135" s="3070"/>
      <c r="S135" s="3070"/>
      <c r="T135" s="3070"/>
      <c r="U135" s="3070"/>
      <c r="V135" s="3070"/>
      <c r="W135" s="3070"/>
      <c r="X135" s="3070"/>
      <c r="Y135" s="3070"/>
      <c r="Z135" s="3070"/>
      <c r="AA135" s="3070"/>
      <c r="AB135" s="3070"/>
      <c r="AC135" s="3070"/>
      <c r="AD135" s="3070"/>
      <c r="AE135" s="3070"/>
      <c r="AF135" s="3070"/>
      <c r="AG135" s="3070"/>
      <c r="AH135" s="3070"/>
      <c r="AI135" s="3070"/>
      <c r="AJ135" s="3070"/>
      <c r="AK135" s="3070"/>
      <c r="AL135" s="3070"/>
      <c r="AM135" s="3070"/>
      <c r="AN135" s="3070"/>
      <c r="AO135" s="3070"/>
      <c r="AP135" s="3070"/>
      <c r="AQ135" s="3070"/>
      <c r="AR135" s="3070"/>
      <c r="AS135" s="3070"/>
      <c r="AT135" s="3070"/>
      <c r="AU135" s="3070"/>
      <c r="AV135" s="3070"/>
      <c r="AW135" s="3070"/>
      <c r="AX135" s="3070"/>
      <c r="AY135" s="3070"/>
      <c r="AZ135" s="3070"/>
      <c r="BA135" s="3070"/>
      <c r="BB135" s="3070"/>
      <c r="BC135" s="3070"/>
      <c r="BD135" s="3070"/>
      <c r="BE135" s="3070"/>
      <c r="BF135" s="3070"/>
      <c r="BG135" s="3070"/>
      <c r="BH135" s="3070"/>
      <c r="BI135" s="3070"/>
      <c r="BJ135" s="3070"/>
      <c r="BK135" s="3070"/>
      <c r="BL135" s="3070"/>
      <c r="BM135" s="3070"/>
      <c r="BN135" s="3070"/>
      <c r="BO135" s="3070"/>
      <c r="BP135" s="3070"/>
      <c r="BQ135" s="3070"/>
      <c r="BR135" s="3070"/>
      <c r="BS135" s="3070"/>
      <c r="BT135" s="3070"/>
      <c r="BU135" s="3070"/>
      <c r="BV135" s="3070"/>
      <c r="BW135" s="3070"/>
      <c r="BX135" s="3070"/>
      <c r="BY135" s="3070"/>
      <c r="BZ135" s="3070"/>
      <c r="CA135" s="3070"/>
      <c r="CB135" s="3070"/>
      <c r="CC135" s="3070"/>
      <c r="CD135" s="3070"/>
      <c r="CE135" s="3070"/>
      <c r="CF135" s="3070"/>
      <c r="CG135" s="3070"/>
      <c r="CH135" s="3070"/>
      <c r="CI135" s="3070"/>
      <c r="CJ135" s="3070"/>
      <c r="CK135" s="3070"/>
      <c r="CL135" s="3070"/>
      <c r="CM135" s="3070"/>
      <c r="CN135" s="3070"/>
      <c r="CO135" s="3070"/>
      <c r="CP135" s="3070"/>
      <c r="CQ135" s="3070"/>
      <c r="CR135" s="3070"/>
      <c r="CS135" s="3070"/>
      <c r="CT135" s="3070"/>
      <c r="CU135" s="3070"/>
      <c r="CV135" s="3070"/>
      <c r="CW135" s="3070"/>
      <c r="CX135" s="3070"/>
      <c r="CY135" s="3158"/>
      <c r="CZ135" s="3158"/>
      <c r="DA135" s="3158"/>
      <c r="DB135" s="3158"/>
    </row>
    <row r="136" spans="1:106" s="3005" customFormat="1" ht="20.399999999999999" customHeight="1">
      <c r="A136" s="4364" t="s">
        <v>168</v>
      </c>
      <c r="B136" s="4365"/>
      <c r="C136" s="4364" t="s">
        <v>169</v>
      </c>
      <c r="D136" s="4365"/>
      <c r="E136" s="4364" t="s">
        <v>170</v>
      </c>
      <c r="F136" s="4365"/>
      <c r="G136" s="4364" t="s">
        <v>171</v>
      </c>
      <c r="H136" s="4365"/>
      <c r="I136" s="4364" t="s">
        <v>172</v>
      </c>
      <c r="J136" s="4365"/>
      <c r="K136" s="4364" t="s">
        <v>173</v>
      </c>
      <c r="L136" s="4365"/>
      <c r="N136" s="3069"/>
      <c r="O136" s="3069"/>
      <c r="P136" s="3069"/>
      <c r="Q136" s="3069"/>
      <c r="R136" s="3069"/>
      <c r="S136" s="3069"/>
      <c r="T136" s="3069"/>
      <c r="U136" s="3069"/>
      <c r="V136" s="3069"/>
      <c r="W136" s="3069"/>
      <c r="X136" s="3069"/>
      <c r="Y136" s="3069"/>
      <c r="Z136" s="3069"/>
      <c r="AA136" s="3069"/>
      <c r="AB136" s="3069"/>
      <c r="AC136" s="3069"/>
      <c r="AD136" s="3069"/>
      <c r="AE136" s="3069"/>
      <c r="AF136" s="3069"/>
      <c r="AG136" s="3069"/>
      <c r="AH136" s="3069"/>
      <c r="AI136" s="3069"/>
      <c r="AJ136" s="3069"/>
      <c r="AK136" s="3069"/>
      <c r="AL136" s="3069"/>
      <c r="AM136" s="3069"/>
      <c r="AN136" s="3069"/>
      <c r="AO136" s="3069"/>
      <c r="AP136" s="3069"/>
      <c r="AQ136" s="3069"/>
      <c r="AR136" s="3069"/>
      <c r="AS136" s="3069"/>
      <c r="AT136" s="3069"/>
      <c r="AU136" s="3069"/>
      <c r="AV136" s="3069"/>
      <c r="AW136" s="3069"/>
      <c r="AX136" s="3069"/>
      <c r="AY136" s="3069"/>
      <c r="AZ136" s="3069"/>
      <c r="BA136" s="3069"/>
      <c r="BB136" s="3069"/>
      <c r="BC136" s="3069"/>
      <c r="BD136" s="3069"/>
      <c r="BE136" s="3069"/>
      <c r="BF136" s="3069"/>
      <c r="BG136" s="3069"/>
      <c r="BH136" s="3069"/>
      <c r="BI136" s="3069"/>
      <c r="BJ136" s="3069"/>
      <c r="BK136" s="3069"/>
      <c r="BL136" s="3069"/>
      <c r="BM136" s="3069"/>
      <c r="BN136" s="3069"/>
      <c r="BO136" s="3069"/>
      <c r="BP136" s="3069"/>
      <c r="BQ136" s="3069"/>
      <c r="BR136" s="3069"/>
      <c r="BS136" s="3069"/>
      <c r="BT136" s="3069"/>
      <c r="BU136" s="3069"/>
      <c r="BV136" s="3069"/>
      <c r="BW136" s="3069"/>
      <c r="BX136" s="3069"/>
      <c r="BY136" s="3069"/>
      <c r="BZ136" s="3069"/>
      <c r="CA136" s="3069"/>
      <c r="CB136" s="3069"/>
      <c r="CC136" s="3069"/>
      <c r="CD136" s="3069"/>
      <c r="CE136" s="3069"/>
      <c r="CF136" s="3069"/>
      <c r="CG136" s="3069"/>
      <c r="CH136" s="3069"/>
      <c r="CI136" s="3069"/>
      <c r="CJ136" s="3069"/>
      <c r="CK136" s="3069"/>
      <c r="CL136" s="3069"/>
      <c r="CM136" s="3069"/>
      <c r="CN136" s="3069"/>
      <c r="CO136" s="3069"/>
      <c r="CP136" s="3069"/>
      <c r="CQ136" s="3069"/>
      <c r="CR136" s="3069"/>
      <c r="CS136" s="3069"/>
      <c r="CT136" s="3069"/>
      <c r="CU136" s="3069"/>
      <c r="CV136" s="3069"/>
      <c r="CW136" s="3069"/>
      <c r="CX136" s="3069"/>
      <c r="CY136" s="3160"/>
      <c r="CZ136" s="3160"/>
      <c r="DA136" s="3160"/>
      <c r="DB136" s="3160"/>
    </row>
    <row r="137" spans="1:106" s="3005" customFormat="1" ht="20.399999999999999" customHeight="1">
      <c r="A137" s="3022" t="s">
        <v>217</v>
      </c>
      <c r="B137" s="3022" t="s">
        <v>61</v>
      </c>
      <c r="C137" s="3022" t="s">
        <v>217</v>
      </c>
      <c r="D137" s="3022" t="s">
        <v>61</v>
      </c>
      <c r="E137" s="3022" t="s">
        <v>217</v>
      </c>
      <c r="F137" s="3022" t="s">
        <v>61</v>
      </c>
      <c r="G137" s="3022" t="s">
        <v>217</v>
      </c>
      <c r="H137" s="3022" t="s">
        <v>61</v>
      </c>
      <c r="I137" s="3022" t="s">
        <v>217</v>
      </c>
      <c r="J137" s="3022" t="s">
        <v>61</v>
      </c>
      <c r="K137" s="3022" t="s">
        <v>217</v>
      </c>
      <c r="L137" s="3022" t="s">
        <v>61</v>
      </c>
      <c r="N137" s="3069"/>
      <c r="O137" s="3069"/>
      <c r="P137" s="3069"/>
      <c r="Q137" s="3069"/>
      <c r="R137" s="3069"/>
      <c r="S137" s="3069"/>
      <c r="T137" s="3069"/>
      <c r="U137" s="3069"/>
      <c r="V137" s="3069"/>
      <c r="W137" s="3069"/>
      <c r="X137" s="3069"/>
      <c r="Y137" s="3069"/>
      <c r="Z137" s="3069"/>
      <c r="AA137" s="3069"/>
      <c r="AB137" s="3069"/>
      <c r="AC137" s="3069"/>
      <c r="AD137" s="3069"/>
      <c r="AE137" s="3069"/>
      <c r="AF137" s="3069"/>
      <c r="AG137" s="3069"/>
      <c r="AH137" s="3069"/>
      <c r="AI137" s="3069"/>
      <c r="AJ137" s="3069"/>
      <c r="AK137" s="3069"/>
      <c r="AL137" s="3069"/>
      <c r="AM137" s="3069"/>
      <c r="AN137" s="3069"/>
      <c r="AO137" s="3069"/>
      <c r="AP137" s="3069"/>
      <c r="AQ137" s="3069"/>
      <c r="AR137" s="3069"/>
      <c r="AS137" s="3069"/>
      <c r="AT137" s="3069"/>
      <c r="AU137" s="3069"/>
      <c r="AV137" s="3069"/>
      <c r="AW137" s="3069"/>
      <c r="AX137" s="3069"/>
      <c r="AY137" s="3069"/>
      <c r="AZ137" s="3069"/>
      <c r="BA137" s="3069"/>
      <c r="BB137" s="3069"/>
      <c r="BC137" s="3069"/>
      <c r="BD137" s="3069"/>
      <c r="BE137" s="3069"/>
      <c r="BF137" s="3069"/>
      <c r="BG137" s="3069"/>
      <c r="BH137" s="3069"/>
      <c r="BI137" s="3069"/>
      <c r="BJ137" s="3069"/>
      <c r="BK137" s="3069"/>
      <c r="BL137" s="3069"/>
      <c r="BM137" s="3069"/>
      <c r="BN137" s="3069"/>
      <c r="BO137" s="3069"/>
      <c r="BP137" s="3069"/>
      <c r="BQ137" s="3069"/>
      <c r="BR137" s="3069"/>
      <c r="BS137" s="3069"/>
      <c r="BT137" s="3069"/>
      <c r="BU137" s="3069"/>
      <c r="BV137" s="3069"/>
      <c r="BW137" s="3069"/>
      <c r="BX137" s="3069"/>
      <c r="BY137" s="3069"/>
      <c r="BZ137" s="3069"/>
      <c r="CA137" s="3069"/>
      <c r="CB137" s="3069"/>
      <c r="CC137" s="3069"/>
      <c r="CD137" s="3069"/>
      <c r="CE137" s="3069"/>
      <c r="CF137" s="3069"/>
      <c r="CG137" s="3069"/>
      <c r="CH137" s="3069"/>
      <c r="CI137" s="3069"/>
      <c r="CJ137" s="3069"/>
      <c r="CK137" s="3069"/>
      <c r="CL137" s="3069"/>
      <c r="CM137" s="3069"/>
      <c r="CN137" s="3069"/>
      <c r="CO137" s="3069"/>
      <c r="CP137" s="3069"/>
      <c r="CQ137" s="3069"/>
      <c r="CR137" s="3069"/>
      <c r="CS137" s="3069"/>
      <c r="CT137" s="3069"/>
      <c r="CU137" s="3069"/>
      <c r="CV137" s="3069"/>
      <c r="CW137" s="3069"/>
      <c r="CX137" s="3069"/>
      <c r="CY137" s="3160"/>
      <c r="CZ137" s="3160"/>
      <c r="DA137" s="3160"/>
      <c r="DB137" s="3160"/>
    </row>
    <row r="138" spans="1:106" s="3050" customFormat="1" ht="20.399999999999999" customHeight="1" thickBot="1">
      <c r="A138" s="3023" t="str">
        <f t="shared" ref="A138" si="134">BA131</f>
        <v/>
      </c>
      <c r="B138" s="3024" t="str">
        <f t="shared" ref="B138" si="135">BB131</f>
        <v/>
      </c>
      <c r="C138" s="3023" t="str">
        <f t="shared" ref="C138" si="136">BC131</f>
        <v/>
      </c>
      <c r="D138" s="3024" t="str">
        <f t="shared" ref="D138" si="137">BD131</f>
        <v/>
      </c>
      <c r="E138" s="3023" t="str">
        <f t="shared" ref="E138" si="138">BE131</f>
        <v/>
      </c>
      <c r="F138" s="3024" t="str">
        <f t="shared" ref="F138" si="139">BF131</f>
        <v/>
      </c>
      <c r="G138" s="3023" t="str">
        <f t="shared" ref="G138" si="140">BG131</f>
        <v/>
      </c>
      <c r="H138" s="3024" t="str">
        <f t="shared" ref="H138" si="141">BH131</f>
        <v/>
      </c>
      <c r="I138" s="3023" t="str">
        <f t="shared" ref="I138" si="142">BI131</f>
        <v/>
      </c>
      <c r="J138" s="3024" t="str">
        <f t="shared" ref="J138" si="143">BJ131</f>
        <v/>
      </c>
      <c r="K138" s="3023" t="str">
        <f t="shared" ref="K138" si="144">BK131</f>
        <v/>
      </c>
      <c r="L138" s="3024" t="str">
        <f t="shared" ref="L138" si="145">BL131</f>
        <v/>
      </c>
      <c r="N138" s="3071"/>
      <c r="O138" s="3071"/>
      <c r="P138" s="3071"/>
      <c r="Q138" s="3071"/>
      <c r="R138" s="3071"/>
      <c r="S138" s="3071"/>
      <c r="T138" s="3071"/>
      <c r="U138" s="3071"/>
      <c r="V138" s="3071"/>
      <c r="W138" s="3071"/>
      <c r="X138" s="3071"/>
      <c r="Y138" s="3071"/>
      <c r="Z138" s="3071"/>
      <c r="AA138" s="3071"/>
      <c r="AB138" s="3071"/>
      <c r="AC138" s="3071"/>
      <c r="AD138" s="3071"/>
      <c r="AE138" s="3071"/>
      <c r="AF138" s="3071"/>
      <c r="AG138" s="3071"/>
      <c r="AH138" s="3071"/>
      <c r="AI138" s="3071"/>
      <c r="AJ138" s="3071"/>
      <c r="AK138" s="3071"/>
      <c r="AL138" s="3071"/>
      <c r="AM138" s="3071"/>
      <c r="AN138" s="3071"/>
      <c r="AO138" s="3071"/>
      <c r="AP138" s="3071"/>
      <c r="AQ138" s="3071"/>
      <c r="AR138" s="3071"/>
      <c r="AS138" s="3071"/>
      <c r="AT138" s="3071"/>
      <c r="AU138" s="3071"/>
      <c r="AV138" s="3071"/>
      <c r="AW138" s="3071"/>
      <c r="AX138" s="3071"/>
      <c r="AY138" s="3071"/>
      <c r="AZ138" s="3071"/>
      <c r="BA138" s="3071"/>
      <c r="BB138" s="3071"/>
      <c r="BC138" s="3071"/>
      <c r="BD138" s="3071"/>
      <c r="BE138" s="3071"/>
      <c r="BF138" s="3071"/>
      <c r="BG138" s="3071"/>
      <c r="BH138" s="3071"/>
      <c r="BI138" s="3071"/>
      <c r="BJ138" s="3071"/>
      <c r="BK138" s="3071"/>
      <c r="BL138" s="3071"/>
      <c r="BM138" s="3071"/>
      <c r="BN138" s="3071"/>
      <c r="BO138" s="3071"/>
      <c r="BP138" s="3071"/>
      <c r="BQ138" s="3071"/>
      <c r="BR138" s="3071"/>
      <c r="BS138" s="3071"/>
      <c r="BT138" s="3071"/>
      <c r="BU138" s="3071"/>
      <c r="BV138" s="3071"/>
      <c r="BW138" s="3071"/>
      <c r="BX138" s="3071"/>
      <c r="BY138" s="3071"/>
      <c r="BZ138" s="3071"/>
      <c r="CA138" s="3071"/>
      <c r="CB138" s="3071"/>
      <c r="CC138" s="3071"/>
      <c r="CD138" s="3071"/>
      <c r="CE138" s="3071"/>
      <c r="CF138" s="3071"/>
      <c r="CG138" s="3071"/>
      <c r="CH138" s="3071"/>
      <c r="CI138" s="3071"/>
      <c r="CJ138" s="3071"/>
      <c r="CK138" s="3071"/>
      <c r="CL138" s="3071"/>
      <c r="CM138" s="3071"/>
      <c r="CN138" s="3071"/>
      <c r="CO138" s="3071"/>
      <c r="CP138" s="3071"/>
      <c r="CQ138" s="3071"/>
      <c r="CR138" s="3071"/>
      <c r="CS138" s="3071"/>
      <c r="CT138" s="3071"/>
      <c r="CU138" s="3071"/>
      <c r="CV138" s="3071"/>
      <c r="CW138" s="3071"/>
      <c r="CX138" s="3071"/>
      <c r="CY138" s="830"/>
      <c r="CZ138" s="830"/>
      <c r="DA138" s="830"/>
      <c r="DB138" s="830"/>
    </row>
    <row r="139" spans="1:106" ht="21.6" customHeight="1" thickBot="1">
      <c r="A139" s="3009"/>
      <c r="B139" s="3010"/>
      <c r="C139" s="3011"/>
      <c r="D139" s="3012"/>
      <c r="E139" s="3011"/>
      <c r="F139" s="3012"/>
      <c r="G139" s="3011"/>
      <c r="H139" s="3012"/>
      <c r="I139" s="3054"/>
      <c r="J139" s="3054"/>
      <c r="K139" s="3055"/>
      <c r="L139" s="3054"/>
      <c r="N139" s="565"/>
      <c r="O139" s="565"/>
      <c r="P139" s="565"/>
    </row>
    <row r="140" spans="1:106" s="3031" customFormat="1" ht="19.8" customHeight="1">
      <c r="A140" s="3025" t="s">
        <v>1396</v>
      </c>
      <c r="B140" s="3029"/>
      <c r="C140" s="3029"/>
      <c r="D140" s="3029"/>
      <c r="E140" s="3029"/>
      <c r="F140" s="3029"/>
      <c r="G140" s="3029"/>
      <c r="H140" s="3029"/>
      <c r="I140" s="3029"/>
      <c r="J140" s="3029"/>
      <c r="K140" s="3029"/>
      <c r="L140" s="3029"/>
      <c r="N140" s="3069"/>
      <c r="O140" s="3069"/>
      <c r="P140" s="3069"/>
      <c r="Q140" s="3069"/>
      <c r="R140" s="3069"/>
      <c r="S140" s="3069"/>
      <c r="T140" s="3069"/>
      <c r="U140" s="3069"/>
      <c r="V140" s="3069"/>
      <c r="W140" s="3069"/>
      <c r="X140" s="3069"/>
      <c r="Y140" s="3069"/>
      <c r="Z140" s="3069"/>
      <c r="AA140" s="3069"/>
      <c r="AB140" s="3069"/>
      <c r="AC140" s="3069"/>
      <c r="AD140" s="3069"/>
      <c r="AE140" s="3069"/>
      <c r="AF140" s="3069"/>
      <c r="AG140" s="3069"/>
      <c r="AH140" s="3069"/>
      <c r="AI140" s="3069"/>
      <c r="AJ140" s="3069"/>
      <c r="AK140" s="3069"/>
      <c r="AL140" s="3069"/>
      <c r="AM140" s="3069"/>
      <c r="AN140" s="3069"/>
      <c r="AO140" s="3069"/>
      <c r="AP140" s="3069"/>
      <c r="AQ140" s="3069"/>
      <c r="AR140" s="3069"/>
      <c r="AS140" s="3069"/>
      <c r="AT140" s="3069"/>
      <c r="AU140" s="3069"/>
      <c r="AV140" s="3069"/>
      <c r="AW140" s="3069"/>
      <c r="AX140" s="3069"/>
      <c r="AY140" s="3069"/>
      <c r="AZ140" s="3069"/>
      <c r="BA140" s="3069"/>
      <c r="BB140" s="3069"/>
      <c r="BC140" s="3069"/>
      <c r="BD140" s="3069"/>
      <c r="BE140" s="3069"/>
      <c r="BF140" s="3069"/>
      <c r="BG140" s="3069"/>
      <c r="BH140" s="3069"/>
      <c r="BI140" s="3069"/>
      <c r="BJ140" s="3069"/>
      <c r="BK140" s="3069"/>
      <c r="BL140" s="3069"/>
      <c r="BM140" s="3069"/>
      <c r="BN140" s="3069"/>
      <c r="BO140" s="3069"/>
      <c r="BP140" s="3069"/>
      <c r="BQ140" s="3069"/>
      <c r="BR140" s="3069"/>
      <c r="BS140" s="3069"/>
      <c r="BT140" s="3069"/>
      <c r="BU140" s="3069"/>
      <c r="BV140" s="3069"/>
      <c r="BW140" s="3069"/>
      <c r="BX140" s="3069"/>
      <c r="BY140" s="3069"/>
      <c r="BZ140" s="3069"/>
      <c r="CA140" s="3069"/>
      <c r="CB140" s="3069"/>
      <c r="CC140" s="3069"/>
      <c r="CD140" s="3069"/>
      <c r="CE140" s="3069"/>
      <c r="CF140" s="3069"/>
      <c r="CG140" s="3069"/>
      <c r="CH140" s="3069"/>
      <c r="CI140" s="3069"/>
      <c r="CJ140" s="3069"/>
      <c r="CK140" s="3069"/>
      <c r="CL140" s="3069"/>
      <c r="CM140" s="3069"/>
      <c r="CN140" s="3069"/>
      <c r="CO140" s="3069"/>
      <c r="CP140" s="3069"/>
      <c r="CQ140" s="3069"/>
      <c r="CR140" s="3069"/>
      <c r="CS140" s="3069"/>
      <c r="CT140" s="3069"/>
      <c r="CU140" s="3069"/>
      <c r="CV140" s="3069"/>
      <c r="CW140" s="3069"/>
      <c r="CX140" s="3069"/>
      <c r="CY140" s="3160"/>
      <c r="CZ140" s="3160"/>
      <c r="DA140" s="3160"/>
      <c r="DB140" s="3160"/>
    </row>
    <row r="141" spans="1:106" s="3031" customFormat="1" ht="19.8" customHeight="1">
      <c r="A141" s="3163"/>
      <c r="B141" s="3164" t="s">
        <v>1102</v>
      </c>
      <c r="C141" s="3164" t="s">
        <v>1120</v>
      </c>
      <c r="D141" s="3164" t="s">
        <v>1121</v>
      </c>
      <c r="E141" s="3164" t="s">
        <v>1113</v>
      </c>
      <c r="F141" s="3164" t="s">
        <v>1115</v>
      </c>
      <c r="G141" s="3164" t="s">
        <v>1368</v>
      </c>
      <c r="H141" s="3164" t="s">
        <v>907</v>
      </c>
      <c r="I141" s="3164" t="s">
        <v>1114</v>
      </c>
      <c r="J141" s="3164" t="s">
        <v>1116</v>
      </c>
      <c r="K141" s="3164" t="s">
        <v>1368</v>
      </c>
      <c r="L141" s="3164" t="s">
        <v>907</v>
      </c>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J141" s="3069"/>
      <c r="AK141" s="3069"/>
      <c r="AL141" s="3069"/>
      <c r="AM141" s="3069"/>
      <c r="AN141" s="3069"/>
      <c r="AO141" s="3069"/>
      <c r="AP141" s="3069"/>
      <c r="AQ141" s="3069"/>
      <c r="AR141" s="3069"/>
      <c r="AS141" s="3069"/>
      <c r="AT141" s="3069"/>
      <c r="AU141" s="3069"/>
      <c r="AV141" s="3069"/>
      <c r="AW141" s="3069"/>
      <c r="AX141" s="3069"/>
      <c r="AY141" s="3069"/>
      <c r="AZ141" s="3069"/>
      <c r="BA141" s="3069"/>
      <c r="BB141" s="3069"/>
      <c r="BC141" s="3069"/>
      <c r="BD141" s="3069"/>
      <c r="BE141" s="3069"/>
      <c r="BF141" s="3069"/>
      <c r="BG141" s="3069"/>
      <c r="BH141" s="3069"/>
      <c r="BI141" s="3069"/>
      <c r="BJ141" s="3069"/>
      <c r="BK141" s="3069"/>
      <c r="BL141" s="3069"/>
      <c r="BM141" s="3069"/>
      <c r="BN141" s="3069"/>
      <c r="BO141" s="3069"/>
      <c r="BP141" s="3069"/>
      <c r="BQ141" s="3069"/>
      <c r="BR141" s="3069"/>
      <c r="BS141" s="3069"/>
      <c r="BT141" s="3069"/>
      <c r="BU141" s="3069"/>
      <c r="BV141" s="3069"/>
      <c r="BW141" s="3069"/>
      <c r="BX141" s="3069"/>
      <c r="BY141" s="3069"/>
      <c r="BZ141" s="3069"/>
      <c r="CA141" s="3069"/>
      <c r="CB141" s="3069"/>
      <c r="CC141" s="3069"/>
      <c r="CD141" s="3069"/>
      <c r="CE141" s="3069"/>
      <c r="CF141" s="3069"/>
      <c r="CG141" s="3069"/>
      <c r="CH141" s="3069"/>
      <c r="CI141" s="3069"/>
      <c r="CJ141" s="3069"/>
      <c r="CK141" s="3069"/>
      <c r="CL141" s="3069"/>
      <c r="CM141" s="3069"/>
      <c r="CN141" s="3069"/>
      <c r="CO141" s="3069"/>
      <c r="CP141" s="3069"/>
      <c r="CQ141" s="3069"/>
      <c r="CR141" s="3069"/>
      <c r="CS141" s="3069"/>
      <c r="CT141" s="3069"/>
      <c r="CU141" s="3069"/>
      <c r="CV141" s="3069"/>
      <c r="CW141" s="3069"/>
      <c r="CX141" s="3069"/>
      <c r="CY141" s="3160"/>
      <c r="CZ141" s="3160"/>
      <c r="DA141" s="3160"/>
      <c r="DB141" s="3160"/>
    </row>
    <row r="142" spans="1:106" s="3038" customFormat="1" ht="17.399999999999999" customHeight="1" thickBot="1">
      <c r="A142" s="3165" t="str">
        <f t="shared" ref="A142:L142" si="146">CI131</f>
        <v>Januar</v>
      </c>
      <c r="B142" s="3166">
        <f t="shared" si="146"/>
        <v>0</v>
      </c>
      <c r="C142" s="3166">
        <f t="shared" si="146"/>
        <v>0</v>
      </c>
      <c r="D142" s="3166">
        <f t="shared" si="146"/>
        <v>0</v>
      </c>
      <c r="E142" s="3167">
        <f t="shared" si="146"/>
        <v>0</v>
      </c>
      <c r="F142" s="3167" t="str">
        <f t="shared" si="146"/>
        <v/>
      </c>
      <c r="G142" s="3167" t="str">
        <f t="shared" si="146"/>
        <v/>
      </c>
      <c r="H142" s="3167" t="str">
        <f t="shared" si="146"/>
        <v/>
      </c>
      <c r="I142" s="3167">
        <f t="shared" si="146"/>
        <v>0</v>
      </c>
      <c r="J142" s="3167" t="str">
        <f t="shared" si="146"/>
        <v/>
      </c>
      <c r="K142" s="3167" t="str">
        <f t="shared" si="146"/>
        <v/>
      </c>
      <c r="L142" s="3167" t="str">
        <f t="shared" si="146"/>
        <v/>
      </c>
      <c r="N142" s="3070"/>
      <c r="O142" s="3070"/>
      <c r="P142" s="3070"/>
      <c r="Q142" s="3070"/>
      <c r="R142" s="3070"/>
      <c r="S142" s="3070"/>
      <c r="T142" s="3070"/>
      <c r="U142" s="3070"/>
      <c r="V142" s="3070"/>
      <c r="W142" s="3070"/>
      <c r="X142" s="3070"/>
      <c r="Y142" s="3070"/>
      <c r="Z142" s="3070"/>
      <c r="AA142" s="3070"/>
      <c r="AB142" s="3070"/>
      <c r="AC142" s="3070"/>
      <c r="AD142" s="3070"/>
      <c r="AE142" s="3070"/>
      <c r="AF142" s="3070"/>
      <c r="AG142" s="3070"/>
      <c r="AH142" s="3070"/>
      <c r="AI142" s="3070"/>
      <c r="AJ142" s="3070"/>
      <c r="AK142" s="3070"/>
      <c r="AL142" s="3070"/>
      <c r="AM142" s="3070"/>
      <c r="AN142" s="3070"/>
      <c r="AO142" s="3070"/>
      <c r="AP142" s="3070"/>
      <c r="AQ142" s="3070"/>
      <c r="AR142" s="3070"/>
      <c r="AS142" s="3070"/>
      <c r="AT142" s="3070"/>
      <c r="AU142" s="3070"/>
      <c r="AV142" s="3070"/>
      <c r="AW142" s="3070"/>
      <c r="AX142" s="3070"/>
      <c r="AY142" s="3070"/>
      <c r="AZ142" s="3070"/>
      <c r="BA142" s="3070"/>
      <c r="BB142" s="3070"/>
      <c r="BC142" s="3070"/>
      <c r="BD142" s="3070"/>
      <c r="BE142" s="3070"/>
      <c r="BF142" s="3070"/>
      <c r="BG142" s="3070"/>
      <c r="BH142" s="3070"/>
      <c r="BI142" s="3070"/>
      <c r="BJ142" s="3070"/>
      <c r="BK142" s="3070"/>
      <c r="BL142" s="3070"/>
      <c r="BM142" s="3070"/>
      <c r="BN142" s="3070"/>
      <c r="BO142" s="3070"/>
      <c r="BP142" s="3070"/>
      <c r="BQ142" s="3070"/>
      <c r="BR142" s="3070"/>
      <c r="BS142" s="3070"/>
      <c r="BT142" s="3070"/>
      <c r="BU142" s="3070"/>
      <c r="BV142" s="3070"/>
      <c r="BW142" s="3070"/>
      <c r="BX142" s="3070"/>
      <c r="BY142" s="3070"/>
      <c r="BZ142" s="3070"/>
      <c r="CA142" s="3070"/>
      <c r="CB142" s="3070"/>
      <c r="CC142" s="3070"/>
      <c r="CD142" s="3070"/>
      <c r="CE142" s="3070"/>
      <c r="CF142" s="3070"/>
      <c r="CG142" s="3070"/>
      <c r="CH142" s="3070"/>
      <c r="CI142" s="3070"/>
      <c r="CJ142" s="3070"/>
      <c r="CK142" s="3070"/>
      <c r="CL142" s="3070"/>
      <c r="CM142" s="3070"/>
      <c r="CN142" s="3070"/>
      <c r="CO142" s="3070"/>
      <c r="CP142" s="3070"/>
      <c r="CQ142" s="3070"/>
      <c r="CR142" s="3070"/>
      <c r="CS142" s="3070"/>
      <c r="CT142" s="3070"/>
      <c r="CU142" s="3070"/>
      <c r="CV142" s="3070"/>
      <c r="CW142" s="3070"/>
      <c r="CX142" s="3070"/>
      <c r="CY142" s="3158"/>
      <c r="CZ142" s="3158"/>
      <c r="DA142" s="3158"/>
      <c r="DB142" s="3158"/>
    </row>
    <row r="143" spans="1:106" s="3042" customFormat="1" ht="15.6" customHeight="1" thickBot="1">
      <c r="A143" s="3072"/>
      <c r="B143" s="3072"/>
      <c r="C143" s="3072"/>
      <c r="D143" s="3161"/>
      <c r="E143" s="3161"/>
      <c r="F143" s="3161"/>
      <c r="G143" s="3161"/>
      <c r="H143" s="3161"/>
      <c r="I143" s="3161"/>
      <c r="J143" s="3161"/>
      <c r="K143" s="3161"/>
      <c r="L143" s="3161"/>
      <c r="N143" s="3072"/>
      <c r="O143" s="3072"/>
      <c r="P143" s="3072"/>
      <c r="Q143" s="3072"/>
      <c r="R143" s="3072"/>
      <c r="S143" s="3072"/>
      <c r="T143" s="3072"/>
      <c r="U143" s="3072"/>
      <c r="V143" s="3072"/>
      <c r="W143" s="3072"/>
      <c r="X143" s="3072"/>
      <c r="Y143" s="3072"/>
      <c r="Z143" s="3072"/>
      <c r="AA143" s="3072"/>
      <c r="AB143" s="3072"/>
      <c r="AC143" s="3072"/>
      <c r="AD143" s="3072"/>
      <c r="AE143" s="3072"/>
      <c r="AF143" s="3072"/>
      <c r="AG143" s="3072"/>
      <c r="AH143" s="3072"/>
      <c r="AI143" s="3072"/>
      <c r="AJ143" s="3072"/>
      <c r="AK143" s="3072"/>
      <c r="AL143" s="3072"/>
      <c r="AM143" s="3072"/>
      <c r="AN143" s="3072"/>
      <c r="AO143" s="3072"/>
      <c r="AP143" s="3072"/>
      <c r="AQ143" s="3072"/>
      <c r="AR143" s="3072"/>
      <c r="AS143" s="3072"/>
      <c r="AT143" s="3072"/>
      <c r="AU143" s="3072"/>
      <c r="AV143" s="3072"/>
      <c r="AW143" s="3072"/>
      <c r="AX143" s="3072"/>
      <c r="AY143" s="3072"/>
      <c r="AZ143" s="3072"/>
      <c r="BA143" s="3072"/>
      <c r="BB143" s="3072"/>
      <c r="BC143" s="3072"/>
      <c r="BD143" s="3072"/>
      <c r="BE143" s="3072"/>
      <c r="BF143" s="3072"/>
      <c r="BG143" s="3072"/>
      <c r="BH143" s="3072"/>
      <c r="BI143" s="3072"/>
      <c r="BJ143" s="3072"/>
      <c r="BK143" s="3072"/>
      <c r="BL143" s="3072"/>
      <c r="BM143" s="3072"/>
      <c r="BN143" s="3072"/>
      <c r="BO143" s="3072"/>
      <c r="BP143" s="3072"/>
      <c r="BQ143" s="3072"/>
      <c r="BR143" s="3072"/>
      <c r="BS143" s="3072"/>
      <c r="BT143" s="3072"/>
      <c r="BU143" s="3072"/>
      <c r="BV143" s="3072"/>
      <c r="BW143" s="3072"/>
      <c r="BX143" s="3072"/>
      <c r="BY143" s="3072"/>
      <c r="BZ143" s="3072"/>
      <c r="CA143" s="3072"/>
      <c r="CB143" s="3072"/>
      <c r="CC143" s="3072"/>
      <c r="CD143" s="3072"/>
      <c r="CE143" s="3072"/>
      <c r="CF143" s="3072"/>
      <c r="CG143" s="3072"/>
      <c r="CH143" s="3072"/>
      <c r="CI143" s="3072"/>
      <c r="CJ143" s="3072"/>
      <c r="CK143" s="3072"/>
      <c r="CL143" s="3072"/>
      <c r="CM143" s="3072"/>
      <c r="CN143" s="3072"/>
      <c r="CO143" s="3072"/>
      <c r="CP143" s="3072"/>
      <c r="CQ143" s="3072"/>
      <c r="CR143" s="3072"/>
      <c r="CS143" s="3072"/>
      <c r="CT143" s="3072"/>
      <c r="CU143" s="3072"/>
      <c r="CV143" s="3072"/>
      <c r="CW143" s="3072"/>
      <c r="CX143" s="3072"/>
      <c r="CY143" s="3161"/>
      <c r="CZ143" s="3161"/>
      <c r="DA143" s="3161"/>
      <c r="DB143" s="3161"/>
    </row>
    <row r="144" spans="1:106" s="3048" customFormat="1" ht="17.399999999999999" customHeight="1">
      <c r="A144" s="3025" t="s">
        <v>1363</v>
      </c>
      <c r="B144" s="3026"/>
      <c r="C144" s="3027" t="s">
        <v>1394</v>
      </c>
      <c r="D144" s="3027"/>
      <c r="E144" s="4366" t="s">
        <v>1364</v>
      </c>
      <c r="F144" s="4367"/>
      <c r="G144" s="3028"/>
      <c r="H144" s="3029"/>
      <c r="I144" s="4368" t="s">
        <v>1365</v>
      </c>
      <c r="J144" s="4369"/>
      <c r="K144" s="3030"/>
      <c r="L144" s="3162"/>
      <c r="N144" s="3073"/>
      <c r="O144" s="3073"/>
      <c r="P144" s="3073"/>
      <c r="Q144" s="3073"/>
      <c r="R144" s="3073"/>
      <c r="S144" s="3073"/>
      <c r="T144" s="3073"/>
      <c r="U144" s="3073"/>
      <c r="V144" s="3073"/>
      <c r="W144" s="3073"/>
      <c r="X144" s="3073"/>
      <c r="Y144" s="3073"/>
      <c r="Z144" s="3073"/>
      <c r="AA144" s="3073"/>
      <c r="AB144" s="3073"/>
      <c r="AC144" s="3073"/>
      <c r="AD144" s="3073"/>
      <c r="AE144" s="3073"/>
      <c r="AF144" s="3073"/>
      <c r="AG144" s="3073"/>
      <c r="AH144" s="3073"/>
      <c r="AI144" s="3073"/>
      <c r="AJ144" s="3073"/>
      <c r="AK144" s="3073"/>
      <c r="AL144" s="3073"/>
      <c r="AM144" s="3073"/>
      <c r="AN144" s="3073"/>
      <c r="AO144" s="3073"/>
      <c r="AP144" s="3073"/>
      <c r="AQ144" s="3073"/>
      <c r="AR144" s="3073"/>
      <c r="AS144" s="3073"/>
      <c r="AT144" s="3073"/>
      <c r="AU144" s="3073"/>
      <c r="AV144" s="3073"/>
      <c r="AW144" s="3073"/>
      <c r="AX144" s="3073"/>
      <c r="AY144" s="3073"/>
      <c r="AZ144" s="3073"/>
      <c r="BA144" s="3073"/>
      <c r="BB144" s="3073"/>
      <c r="BC144" s="3073"/>
      <c r="BD144" s="3073"/>
      <c r="BE144" s="3073"/>
      <c r="BF144" s="3073"/>
      <c r="BG144" s="3073"/>
      <c r="BH144" s="3073"/>
      <c r="BI144" s="3073"/>
      <c r="BJ144" s="3073"/>
      <c r="BK144" s="3073"/>
      <c r="BL144" s="3073"/>
      <c r="BM144" s="3073"/>
      <c r="BN144" s="3073"/>
      <c r="BO144" s="3073"/>
      <c r="BP144" s="3073"/>
      <c r="BQ144" s="3073"/>
      <c r="BR144" s="3073"/>
      <c r="BS144" s="3073"/>
      <c r="BT144" s="3073"/>
      <c r="BU144" s="3073"/>
      <c r="BV144" s="3073"/>
      <c r="BW144" s="3073"/>
      <c r="BX144" s="3073"/>
      <c r="BY144" s="3073"/>
      <c r="BZ144" s="3073"/>
      <c r="CA144" s="3073"/>
      <c r="CB144" s="3073"/>
      <c r="CC144" s="3073"/>
      <c r="CD144" s="3073"/>
      <c r="CE144" s="3073"/>
      <c r="CF144" s="3073"/>
      <c r="CG144" s="3073"/>
      <c r="CH144" s="3073"/>
      <c r="CI144" s="3073"/>
      <c r="CJ144" s="3073"/>
      <c r="CK144" s="3073"/>
      <c r="CL144" s="3073"/>
      <c r="CM144" s="3073"/>
      <c r="CN144" s="3073"/>
      <c r="CO144" s="3073"/>
      <c r="CP144" s="3073"/>
      <c r="CQ144" s="3073"/>
      <c r="CR144" s="3073"/>
      <c r="CS144" s="3073"/>
      <c r="CT144" s="3073"/>
      <c r="CU144" s="3073"/>
      <c r="CV144" s="3073"/>
      <c r="CW144" s="3073"/>
      <c r="CX144" s="3073"/>
      <c r="CY144" s="3162"/>
      <c r="CZ144" s="3162"/>
      <c r="DA144" s="3162"/>
      <c r="DB144" s="3162"/>
    </row>
    <row r="145" spans="1:106" ht="15.6" customHeight="1">
      <c r="A145" s="3032" t="s">
        <v>1366</v>
      </c>
      <c r="B145" s="3032" t="s">
        <v>1367</v>
      </c>
      <c r="C145" s="3033" t="s">
        <v>1368</v>
      </c>
      <c r="E145" s="3034" t="s">
        <v>1113</v>
      </c>
      <c r="F145" s="3034" t="s">
        <v>1115</v>
      </c>
      <c r="G145" s="3035" t="s">
        <v>1368</v>
      </c>
      <c r="I145" s="3036" t="s">
        <v>1114</v>
      </c>
      <c r="J145" s="3036" t="s">
        <v>1116</v>
      </c>
      <c r="K145" s="3033" t="s">
        <v>1368</v>
      </c>
      <c r="L145" s="1869"/>
      <c r="N145" s="565"/>
      <c r="O145" s="565"/>
      <c r="P145" s="565"/>
    </row>
    <row r="146" spans="1:106" ht="15.6" customHeight="1">
      <c r="A146" s="3037" t="e">
        <f>E146+I146</f>
        <v>#VALUE!</v>
      </c>
      <c r="B146" s="3037" t="str">
        <f>BP131</f>
        <v/>
      </c>
      <c r="C146" s="3052" t="e">
        <f>A146-B146</f>
        <v>#VALUE!</v>
      </c>
      <c r="D146" s="3038"/>
      <c r="E146" s="3039" t="str">
        <f>BS131</f>
        <v/>
      </c>
      <c r="F146" s="3039" t="str">
        <f>BT131</f>
        <v/>
      </c>
      <c r="G146" s="3053" t="str">
        <f>BU131</f>
        <v/>
      </c>
      <c r="H146" s="3038"/>
      <c r="I146" s="3037" t="str">
        <f>BW131</f>
        <v/>
      </c>
      <c r="J146" s="3037" t="str">
        <f>BX131</f>
        <v/>
      </c>
      <c r="K146" s="3052" t="str">
        <f>BY131</f>
        <v/>
      </c>
      <c r="L146" s="1869"/>
      <c r="N146" s="565"/>
      <c r="O146" s="565"/>
      <c r="P146" s="565"/>
    </row>
    <row r="147" spans="1:106" ht="15.6" customHeight="1">
      <c r="A147" s="3040" t="s">
        <v>1150</v>
      </c>
      <c r="B147" s="3032" t="s">
        <v>1369</v>
      </c>
      <c r="C147" s="3036" t="s">
        <v>907</v>
      </c>
      <c r="E147" s="3041" t="s">
        <v>1370</v>
      </c>
      <c r="F147" s="3041" t="s">
        <v>1148</v>
      </c>
      <c r="G147" s="3034" t="s">
        <v>907</v>
      </c>
      <c r="I147" s="3040" t="s">
        <v>1371</v>
      </c>
      <c r="J147" s="3040" t="s">
        <v>1149</v>
      </c>
      <c r="K147" s="3036" t="s">
        <v>907</v>
      </c>
      <c r="L147" s="1869"/>
      <c r="N147" s="565"/>
      <c r="O147" s="565"/>
      <c r="P147" s="565"/>
    </row>
    <row r="148" spans="1:106" ht="15.6" customHeight="1" thickBot="1">
      <c r="A148" s="3043" t="str">
        <f>CE131</f>
        <v/>
      </c>
      <c r="B148" s="3044" t="str">
        <f>CA131</f>
        <v/>
      </c>
      <c r="C148" s="3043">
        <f>SUM(G148,K148)</f>
        <v>0</v>
      </c>
      <c r="D148" s="3045"/>
      <c r="E148" s="3046" t="str">
        <f>CB131</f>
        <v/>
      </c>
      <c r="F148" s="3047" t="str">
        <f>CF131</f>
        <v/>
      </c>
      <c r="G148" s="3047" t="str">
        <f>BV131</f>
        <v/>
      </c>
      <c r="H148" s="3045"/>
      <c r="I148" s="3044" t="str">
        <f>CC131</f>
        <v/>
      </c>
      <c r="J148" s="3043" t="str">
        <f>CG131</f>
        <v/>
      </c>
      <c r="K148" s="3043" t="str">
        <f>BZ131</f>
        <v/>
      </c>
      <c r="L148" s="1869"/>
      <c r="M148" s="565"/>
      <c r="N148" s="565"/>
      <c r="O148" s="565"/>
      <c r="P148" s="565"/>
    </row>
    <row r="149" spans="1:106" ht="23.4" customHeight="1">
      <c r="N149" s="565"/>
      <c r="O149" s="565"/>
      <c r="P149" s="565"/>
    </row>
    <row r="150" spans="1:106" ht="76.8" customHeight="1">
      <c r="A150" s="4360" t="str">
        <f>N152</f>
        <v>Salli</v>
      </c>
      <c r="B150" s="4361"/>
      <c r="C150" s="3168" t="s">
        <v>1348</v>
      </c>
      <c r="D150" s="3168" t="s">
        <v>1349</v>
      </c>
      <c r="E150" s="3168" t="s">
        <v>1350</v>
      </c>
      <c r="F150" s="3168" t="s">
        <v>1351</v>
      </c>
      <c r="G150" s="3168" t="s">
        <v>663</v>
      </c>
      <c r="H150" s="3168" t="s">
        <v>490</v>
      </c>
      <c r="I150" s="3168" t="s">
        <v>1352</v>
      </c>
      <c r="J150" s="3168" t="s">
        <v>1353</v>
      </c>
      <c r="K150" s="3168" t="s">
        <v>1354</v>
      </c>
      <c r="L150" s="3169"/>
      <c r="N150" s="565"/>
      <c r="O150" s="3074">
        <f>O$1</f>
        <v>0</v>
      </c>
      <c r="P150" s="3074">
        <f t="shared" ref="P150:CA150" si="147">P$1</f>
        <v>0</v>
      </c>
      <c r="Q150" s="3074" t="str">
        <f t="shared" si="147"/>
        <v>Bruttolohn pro Monat 
ohne Provision</v>
      </c>
      <c r="R150" s="3074" t="str">
        <f t="shared" si="147"/>
        <v>einmalige Sonderzahlung z.B.Weihnachts-geld</v>
      </c>
      <c r="S150" s="3074" t="str">
        <f t="shared" si="147"/>
        <v xml:space="preserve">einmalige Sonderzahlung z.B. Urlaubsgeld </v>
      </c>
      <c r="T150" s="3074" t="str">
        <f t="shared" si="147"/>
        <v>regelmäßige monatl. Sonder-zahlung (z.B.Werkzeuggeld, VWL usw.)</v>
      </c>
      <c r="U150" s="3074" t="str">
        <f t="shared" si="147"/>
        <v>einmalige steuerfreie Sonder-zahlung</v>
      </c>
      <c r="V150" s="3074" t="str">
        <f t="shared" si="147"/>
        <v>regelmäßige monatl. Sonder-zahlung steuerfrei</v>
      </c>
      <c r="W150" s="3074" t="str">
        <f t="shared" si="147"/>
        <v>Bruttolohn pro Stunde</v>
      </c>
      <c r="X150" s="3074" t="str">
        <f t="shared" si="147"/>
        <v>Gesamtlohn. Alle Sonderzahl-ungen sind auf 1 Monat gerechnet</v>
      </c>
      <c r="Y150" s="3074" t="str">
        <f t="shared" si="147"/>
        <v xml:space="preserve">Wochenstd.   x  4,33  =  
Arb. -Std. pro Monat </v>
      </c>
      <c r="Z150" s="3074" t="str">
        <f t="shared" si="147"/>
        <v>Stunden - Lohn 
Bruttolohn incl. aller Zusatz-zahlungen</v>
      </c>
      <c r="AA150" s="3074" t="str">
        <f t="shared" si="147"/>
        <v>Wieviele bezahlte Anwesend-heitsmonate in diesem Planungsjahr</v>
      </c>
      <c r="AB150" s="3074" t="str">
        <f t="shared" si="147"/>
        <v>Daraus resultierende wahrschein-liche Arbeitstage im Jahr</v>
      </c>
      <c r="AC150" s="3074" t="str">
        <f t="shared" si="147"/>
        <v>Personal-faktor / VBE</v>
      </c>
      <c r="AD150" s="3074" t="str">
        <f t="shared" si="147"/>
        <v>Brutto Jahreslohn-summe</v>
      </c>
      <c r="AE150" s="3074" t="str">
        <f t="shared" si="147"/>
        <v>Summe Url.-+Weihn.-Geld usw. monatlich</v>
      </c>
      <c r="AF150" s="3074" t="str">
        <f t="shared" si="147"/>
        <v>x Lohn-faktor</v>
      </c>
      <c r="AG150" s="3074" t="str">
        <f t="shared" si="147"/>
        <v>Sollumsatz pro Arbeits-monat €</v>
      </c>
      <c r="AH150" s="3074" t="str">
        <f t="shared" si="147"/>
        <v>Sollumsatz DL pro Anwesen-heitstag €</v>
      </c>
      <c r="AI150" s="3074" t="str">
        <f t="shared" si="147"/>
        <v>Verkaufs-anteil %</v>
      </c>
      <c r="AJ150" s="3074" t="str">
        <f t="shared" si="147"/>
        <v>Verkaufs-anteil € pro Tag</v>
      </c>
      <c r="AK150" s="3074">
        <f t="shared" si="147"/>
        <v>0</v>
      </c>
      <c r="AL150" s="3074" t="str">
        <f t="shared" si="147"/>
        <v>Gesamt-sollumsatz pro Tag €</v>
      </c>
      <c r="AM150" s="3074">
        <f t="shared" si="147"/>
        <v>0</v>
      </c>
      <c r="AN150" s="3074">
        <f t="shared" si="147"/>
        <v>0</v>
      </c>
      <c r="AO150" s="3074" t="str">
        <f t="shared" si="147"/>
        <v>Std</v>
      </c>
      <c r="AP150" s="3074" t="str">
        <f t="shared" si="147"/>
        <v>Tage pro Woche</v>
      </c>
      <c r="AQ150" s="3074" t="str">
        <f t="shared" si="147"/>
        <v>Tage pro Monat</v>
      </c>
      <c r="AR150" s="3074" t="str">
        <f t="shared" si="147"/>
        <v>Gesamtumsatz pro M.</v>
      </c>
      <c r="AS150" s="3074" t="str">
        <f t="shared" si="147"/>
        <v>DL-Umsatz pro M.</v>
      </c>
      <c r="AT150" s="3074" t="str">
        <f t="shared" si="147"/>
        <v>VK-Umsatz pro M.</v>
      </c>
      <c r="AU150" s="3074" t="str">
        <f t="shared" si="147"/>
        <v>Umsatz p. Woche</v>
      </c>
      <c r="AV150" s="3074" t="str">
        <f t="shared" si="147"/>
        <v>Umsatz p. Std</v>
      </c>
      <c r="AW150" s="3074">
        <f t="shared" si="147"/>
        <v>0</v>
      </c>
      <c r="AX150" s="3074" t="str">
        <f t="shared" si="147"/>
        <v>Umsatz p. Std mit Leerlauf</v>
      </c>
      <c r="AY150" s="3074" t="str">
        <f t="shared" si="147"/>
        <v>&lt;-- andern auf Seite 22</v>
      </c>
      <c r="AZ150" s="3074">
        <f t="shared" si="147"/>
        <v>0</v>
      </c>
      <c r="BA150" s="3074" t="str">
        <f t="shared" si="147"/>
        <v>Montag</v>
      </c>
      <c r="BB150" s="3074">
        <f t="shared" si="147"/>
        <v>0</v>
      </c>
      <c r="BC150" s="3074" t="str">
        <f t="shared" si="147"/>
        <v>Dienstag</v>
      </c>
      <c r="BD150" s="3074">
        <f t="shared" si="147"/>
        <v>0</v>
      </c>
      <c r="BE150" s="3074" t="str">
        <f t="shared" si="147"/>
        <v>Mittwoch</v>
      </c>
      <c r="BF150" s="3074">
        <f t="shared" si="147"/>
        <v>0</v>
      </c>
      <c r="BG150" s="3074" t="str">
        <f t="shared" si="147"/>
        <v>Donnerstag</v>
      </c>
      <c r="BH150" s="3074">
        <f t="shared" si="147"/>
        <v>0</v>
      </c>
      <c r="BI150" s="3074" t="str">
        <f t="shared" si="147"/>
        <v>Freitag</v>
      </c>
      <c r="BJ150" s="3074">
        <f t="shared" si="147"/>
        <v>0</v>
      </c>
      <c r="BK150" s="3074" t="str">
        <f t="shared" si="147"/>
        <v>Samstag</v>
      </c>
      <c r="BL150" s="3074">
        <f t="shared" si="147"/>
        <v>0</v>
      </c>
      <c r="BM150" s="3074" t="str">
        <f t="shared" si="147"/>
        <v>Arbeitstage</v>
      </c>
      <c r="BN150" s="3074" t="str">
        <f t="shared" si="147"/>
        <v>Urlaubstage</v>
      </c>
      <c r="BO150" s="3074" t="str">
        <f t="shared" si="147"/>
        <v>Krankentage</v>
      </c>
      <c r="BP150" s="3074" t="str">
        <f t="shared" si="147"/>
        <v>Ums/Ges</v>
      </c>
      <c r="BQ150" s="3074" t="str">
        <f t="shared" si="147"/>
        <v>Ums/DL</v>
      </c>
      <c r="BR150" s="3074" t="str">
        <f t="shared" si="147"/>
        <v>Ums/VK</v>
      </c>
      <c r="BS150" s="3074" t="str">
        <f t="shared" si="147"/>
        <v>DL Differenz Soll/Ist</v>
      </c>
      <c r="BT150" s="3074">
        <f t="shared" si="147"/>
        <v>0</v>
      </c>
      <c r="BU150" s="3074">
        <f t="shared" si="147"/>
        <v>0</v>
      </c>
      <c r="BV150" s="3074">
        <f t="shared" si="147"/>
        <v>0</v>
      </c>
      <c r="BW150" s="3074" t="str">
        <f t="shared" si="147"/>
        <v>Verkauf Differenz Soll/Ist</v>
      </c>
      <c r="BX150" s="3074">
        <f t="shared" si="147"/>
        <v>0</v>
      </c>
      <c r="BY150" s="3074">
        <f t="shared" si="147"/>
        <v>0</v>
      </c>
      <c r="BZ150" s="3074">
        <f t="shared" si="147"/>
        <v>0</v>
      </c>
      <c r="CA150" s="3074">
        <f t="shared" si="147"/>
        <v>0</v>
      </c>
      <c r="CB150" s="3074" t="str">
        <f t="shared" ref="CB150:CG150" si="148">CB$1</f>
        <v>Monate im +</v>
      </c>
      <c r="CC150" s="3074" t="str">
        <f t="shared" si="148"/>
        <v>Monate im +</v>
      </c>
      <c r="CD150" s="3074">
        <f t="shared" si="148"/>
        <v>0</v>
      </c>
      <c r="CE150" s="3074">
        <f t="shared" si="148"/>
        <v>0</v>
      </c>
      <c r="CF150" s="3074">
        <f t="shared" si="148"/>
        <v>0</v>
      </c>
      <c r="CG150" s="3074">
        <f t="shared" si="148"/>
        <v>0</v>
      </c>
    </row>
    <row r="151" spans="1:106" s="3000" customFormat="1" ht="20.399999999999999" customHeight="1" thickBot="1">
      <c r="A151" s="3051">
        <f>CH152</f>
        <v>8</v>
      </c>
      <c r="B151" s="3001"/>
      <c r="C151" s="3002">
        <f t="shared" ref="C151" si="149">Q152</f>
        <v>1326.8851999999999</v>
      </c>
      <c r="D151" s="3002">
        <f t="shared" ref="D151" si="150">R152</f>
        <v>0</v>
      </c>
      <c r="E151" s="3002">
        <f t="shared" ref="E151" si="151">S152</f>
        <v>0</v>
      </c>
      <c r="F151" s="3002">
        <f t="shared" ref="F151" si="152">T152</f>
        <v>0</v>
      </c>
      <c r="G151" s="3002">
        <f t="shared" ref="G151" si="153">U152</f>
        <v>0</v>
      </c>
      <c r="H151" s="3002">
        <f t="shared" ref="H151" si="154">V152</f>
        <v>0</v>
      </c>
      <c r="I151" s="3002">
        <f>X152</f>
        <v>1326.8851999999999</v>
      </c>
      <c r="J151" s="3003">
        <f>AA152</f>
        <v>7</v>
      </c>
      <c r="K151" s="3004">
        <f>AD152</f>
        <v>9288.1963999999989</v>
      </c>
      <c r="N151" s="565" t="s">
        <v>1345</v>
      </c>
      <c r="O151" s="3074">
        <f t="shared" ref="O151:AT151" si="155">O110</f>
        <v>0</v>
      </c>
      <c r="P151" s="3074">
        <f t="shared" si="155"/>
        <v>0</v>
      </c>
      <c r="Q151" s="3074">
        <f t="shared" si="155"/>
        <v>1350</v>
      </c>
      <c r="R151" s="3074">
        <f t="shared" si="155"/>
        <v>0</v>
      </c>
      <c r="S151" s="3074">
        <f t="shared" si="155"/>
        <v>0</v>
      </c>
      <c r="T151" s="3074">
        <f t="shared" si="155"/>
        <v>0</v>
      </c>
      <c r="U151" s="3074">
        <f t="shared" si="155"/>
        <v>0</v>
      </c>
      <c r="V151" s="3074">
        <f t="shared" si="155"/>
        <v>0</v>
      </c>
      <c r="W151" s="3074">
        <f t="shared" si="155"/>
        <v>14.846585285384361</v>
      </c>
      <c r="X151" s="3074">
        <f t="shared" si="155"/>
        <v>1350</v>
      </c>
      <c r="Y151" s="3074">
        <f t="shared" si="155"/>
        <v>90.93</v>
      </c>
      <c r="Z151" s="3074">
        <f t="shared" si="155"/>
        <v>14.846585285384361</v>
      </c>
      <c r="AA151" s="3074">
        <f t="shared" si="155"/>
        <v>12</v>
      </c>
      <c r="AB151" s="3074">
        <f t="shared" si="155"/>
        <v>129.89480399999999</v>
      </c>
      <c r="AC151" s="3074">
        <f t="shared" si="155"/>
        <v>0.52500000000000002</v>
      </c>
      <c r="AD151" s="3074">
        <f t="shared" si="155"/>
        <v>16200</v>
      </c>
      <c r="AE151" s="3074">
        <f t="shared" si="155"/>
        <v>0</v>
      </c>
      <c r="AF151" s="3074">
        <f t="shared" si="155"/>
        <v>4.63</v>
      </c>
      <c r="AG151" s="3074">
        <f t="shared" si="155"/>
        <v>6251</v>
      </c>
      <c r="AH151" s="3074">
        <f t="shared" si="155"/>
        <v>454.53463199581347</v>
      </c>
      <c r="AI151" s="3074">
        <f t="shared" si="155"/>
        <v>5.5021555102258944E-2</v>
      </c>
      <c r="AJ151" s="3074">
        <f t="shared" si="155"/>
        <v>26.465368004186551</v>
      </c>
      <c r="AK151" s="3074">
        <f t="shared" si="155"/>
        <v>0</v>
      </c>
      <c r="AL151" s="3074">
        <f t="shared" si="155"/>
        <v>481.22</v>
      </c>
      <c r="AM151" s="3074">
        <f t="shared" si="155"/>
        <v>0</v>
      </c>
      <c r="AN151" s="3074">
        <f t="shared" si="155"/>
        <v>0</v>
      </c>
      <c r="AO151" s="3074">
        <f t="shared" si="155"/>
        <v>21</v>
      </c>
      <c r="AP151" s="3074">
        <f t="shared" si="155"/>
        <v>3</v>
      </c>
      <c r="AQ151" s="3074">
        <f t="shared" si="155"/>
        <v>12.99</v>
      </c>
      <c r="AR151" s="3074">
        <f t="shared" si="155"/>
        <v>6251</v>
      </c>
      <c r="AS151" s="3074">
        <f t="shared" si="155"/>
        <v>5907.0602590557792</v>
      </c>
      <c r="AT151" s="3074">
        <f t="shared" si="155"/>
        <v>343.93974094422066</v>
      </c>
      <c r="AU151" s="3074">
        <f t="shared" ref="AU151:BZ151" si="156">AU110</f>
        <v>1443</v>
      </c>
      <c r="AV151" s="3074">
        <f t="shared" si="156"/>
        <v>68.745188606620474</v>
      </c>
      <c r="AW151" s="3074">
        <f t="shared" si="156"/>
        <v>0</v>
      </c>
      <c r="AX151" s="3074">
        <f t="shared" si="156"/>
        <v>85.931485758275585</v>
      </c>
      <c r="AY151" s="3074" t="str">
        <f t="shared" si="156"/>
        <v>Horst</v>
      </c>
      <c r="AZ151" s="3074">
        <f t="shared" si="156"/>
        <v>62481.9</v>
      </c>
      <c r="BA151" s="3074" t="str">
        <f t="shared" si="156"/>
        <v/>
      </c>
      <c r="BB151" s="3074" t="str">
        <f t="shared" si="156"/>
        <v/>
      </c>
      <c r="BC151" s="3074">
        <f t="shared" si="156"/>
        <v>7</v>
      </c>
      <c r="BD151" s="3074">
        <f t="shared" si="156"/>
        <v>481.21632024634334</v>
      </c>
      <c r="BE151" s="3074">
        <f t="shared" si="156"/>
        <v>7</v>
      </c>
      <c r="BF151" s="3074">
        <f t="shared" si="156"/>
        <v>481.21632024634334</v>
      </c>
      <c r="BG151" s="3074">
        <f t="shared" si="156"/>
        <v>7</v>
      </c>
      <c r="BH151" s="3074">
        <f t="shared" si="156"/>
        <v>481.21632024634334</v>
      </c>
      <c r="BI151" s="3074" t="str">
        <f t="shared" si="156"/>
        <v/>
      </c>
      <c r="BJ151" s="3074" t="str">
        <f t="shared" si="156"/>
        <v/>
      </c>
      <c r="BK151" s="3074">
        <f t="shared" si="156"/>
        <v>7</v>
      </c>
      <c r="BL151" s="3074">
        <f t="shared" si="156"/>
        <v>481.21632024634334</v>
      </c>
      <c r="BM151" s="3074">
        <f t="shared" si="156"/>
        <v>129</v>
      </c>
      <c r="BN151" s="3074">
        <f t="shared" si="156"/>
        <v>14</v>
      </c>
      <c r="BO151" s="3074">
        <f t="shared" si="156"/>
        <v>12</v>
      </c>
      <c r="BP151" s="3074">
        <f t="shared" si="156"/>
        <v>62077.380000000005</v>
      </c>
      <c r="BQ151" s="3074">
        <f t="shared" si="156"/>
        <v>58634.967527459936</v>
      </c>
      <c r="BR151" s="3074">
        <f t="shared" si="156"/>
        <v>3415.56786618972</v>
      </c>
      <c r="BS151" s="3074">
        <f t="shared" si="156"/>
        <v>0</v>
      </c>
      <c r="BT151" s="3074">
        <f t="shared" si="156"/>
        <v>58634.967527459929</v>
      </c>
      <c r="BU151" s="3074">
        <f t="shared" si="156"/>
        <v>-58634.967527459929</v>
      </c>
      <c r="BV151" s="3074" t="str">
        <f t="shared" si="156"/>
        <v/>
      </c>
      <c r="BW151" s="3074">
        <f t="shared" si="156"/>
        <v>0</v>
      </c>
      <c r="BX151" s="3074">
        <f t="shared" si="156"/>
        <v>3415.5678661897196</v>
      </c>
      <c r="BY151" s="3074">
        <f t="shared" si="156"/>
        <v>-3415.5678661897196</v>
      </c>
      <c r="BZ151" s="3074" t="str">
        <f t="shared" si="156"/>
        <v/>
      </c>
      <c r="CA151" s="3074" t="str">
        <f t="shared" ref="CA151:CG151" si="157">CA110</f>
        <v/>
      </c>
      <c r="CB151" s="3074" t="str">
        <f t="shared" si="157"/>
        <v/>
      </c>
      <c r="CC151" s="3074" t="str">
        <f t="shared" si="157"/>
        <v/>
      </c>
      <c r="CD151" s="3074" t="str">
        <f t="shared" si="157"/>
        <v>Horst</v>
      </c>
      <c r="CE151" s="3074">
        <f t="shared" si="157"/>
        <v>0</v>
      </c>
      <c r="CF151" s="3074">
        <f t="shared" si="157"/>
        <v>0</v>
      </c>
      <c r="CG151" s="3074">
        <f t="shared" si="157"/>
        <v>0</v>
      </c>
      <c r="CH151" s="3062"/>
      <c r="CI151" s="3062"/>
      <c r="CJ151" s="3062"/>
      <c r="CK151" s="3062"/>
      <c r="CL151" s="3062"/>
      <c r="CM151" s="3062"/>
      <c r="CN151" s="3062"/>
      <c r="CO151" s="3062"/>
      <c r="CP151" s="3062"/>
      <c r="CQ151" s="3062"/>
      <c r="CR151" s="3062"/>
      <c r="CS151" s="3062"/>
      <c r="CT151" s="3062"/>
      <c r="CU151" s="3062"/>
      <c r="CV151" s="3062"/>
      <c r="CW151" s="3062"/>
      <c r="CX151" s="3062"/>
      <c r="CY151" s="3159"/>
      <c r="CZ151" s="3159"/>
      <c r="DA151" s="3159"/>
      <c r="DB151" s="3159"/>
    </row>
    <row r="152" spans="1:106" s="3005" customFormat="1" ht="41.4" customHeight="1">
      <c r="B152" s="3006"/>
      <c r="C152" s="3007" t="s">
        <v>1296</v>
      </c>
      <c r="D152" s="3007" t="s">
        <v>1355</v>
      </c>
      <c r="E152" s="3007" t="s">
        <v>1356</v>
      </c>
      <c r="F152" s="3007" t="s">
        <v>1357</v>
      </c>
      <c r="G152" s="3007" t="s">
        <v>1358</v>
      </c>
      <c r="H152" s="3007" t="s">
        <v>1359</v>
      </c>
      <c r="I152" s="3007" t="s">
        <v>1360</v>
      </c>
      <c r="J152" s="3007" t="s">
        <v>1361</v>
      </c>
      <c r="N152" s="565" t="str">
        <f>MAdaten!A11</f>
        <v>Salli</v>
      </c>
      <c r="O152" s="565">
        <f>MAdaten!B11</f>
        <v>23.5</v>
      </c>
      <c r="P152" s="565">
        <f>MAdaten!C11</f>
        <v>13.04</v>
      </c>
      <c r="Q152" s="565">
        <f>MAdaten!D11</f>
        <v>1326.8851999999999</v>
      </c>
      <c r="R152" s="565">
        <f>MAdaten!E11</f>
        <v>0</v>
      </c>
      <c r="S152" s="565">
        <f>MAdaten!F11</f>
        <v>0</v>
      </c>
      <c r="T152" s="565">
        <f>MAdaten!G11</f>
        <v>0</v>
      </c>
      <c r="U152" s="565">
        <f>MAdaten!H11</f>
        <v>0</v>
      </c>
      <c r="V152" s="565">
        <f>MAdaten!I11</f>
        <v>0</v>
      </c>
      <c r="W152" s="565">
        <f>MAdaten!J11</f>
        <v>13.04</v>
      </c>
      <c r="X152" s="565">
        <f>MAdaten!K11</f>
        <v>1326.8851999999999</v>
      </c>
      <c r="Y152" s="565">
        <f>MAdaten!L11</f>
        <v>101.755</v>
      </c>
      <c r="Z152" s="565">
        <f>MAdaten!M11</f>
        <v>13.04</v>
      </c>
      <c r="AA152" s="565">
        <f>MAdaten!N11</f>
        <v>7</v>
      </c>
      <c r="AB152" s="565">
        <f>MAdaten!O11</f>
        <v>75.771968999999999</v>
      </c>
      <c r="AC152" s="565">
        <f>MAdaten!P11</f>
        <v>0.34270833333333334</v>
      </c>
      <c r="AD152" s="565">
        <f>MAdaten!Q11</f>
        <v>9288.1963999999989</v>
      </c>
      <c r="AE152" s="565">
        <f>MAdaten!R11</f>
        <v>0</v>
      </c>
      <c r="AF152" s="565">
        <f>MAdaten!S11</f>
        <v>4.63</v>
      </c>
      <c r="AG152" s="565">
        <f>MAdaten!T11</f>
        <v>6143</v>
      </c>
      <c r="AH152" s="565">
        <f>MAdaten!U11</f>
        <v>446.97480443663153</v>
      </c>
      <c r="AI152" s="565">
        <f>MAdaten!V11</f>
        <v>5.5021555102258944E-2</v>
      </c>
      <c r="AJ152" s="565">
        <f>MAdaten!W11</f>
        <v>26.025195563368481</v>
      </c>
      <c r="AK152" s="565">
        <f>MAdaten!X11</f>
        <v>0</v>
      </c>
      <c r="AL152" s="565">
        <f>MAdaten!Y11</f>
        <v>472.9</v>
      </c>
      <c r="AM152" s="565">
        <f>MAdaten!Z11</f>
        <v>0</v>
      </c>
      <c r="AN152" s="565">
        <f>MAdaten!AA11</f>
        <v>0</v>
      </c>
      <c r="AO152" s="565">
        <f>MAdaten!AB11</f>
        <v>23.5</v>
      </c>
      <c r="AP152" s="565">
        <f>MAdaten!AC11</f>
        <v>3</v>
      </c>
      <c r="AQ152" s="565">
        <f>MAdaten!AD11</f>
        <v>12.99</v>
      </c>
      <c r="AR152" s="565">
        <f>MAdaten!AE11</f>
        <v>6143</v>
      </c>
      <c r="AS152" s="565">
        <f>MAdaten!AF11</f>
        <v>5805.002587006823</v>
      </c>
      <c r="AT152" s="565">
        <f>MAdaten!AG11</f>
        <v>337.99741299317668</v>
      </c>
      <c r="AU152" s="565">
        <f>MAdaten!AH11</f>
        <v>1419</v>
      </c>
      <c r="AV152" s="565">
        <f>MAdaten!AI11</f>
        <v>60.370497764237633</v>
      </c>
      <c r="AW152" s="565">
        <f>MAdaten!AJ11</f>
        <v>0</v>
      </c>
      <c r="AX152" s="565">
        <f>MAdaten!AK11</f>
        <v>75.46312220529704</v>
      </c>
      <c r="AY152" s="565" t="str">
        <f>MAdaten!AL11</f>
        <v>Salli</v>
      </c>
      <c r="AZ152" s="565">
        <f>MAdaten!AM11</f>
        <v>35841.575000000004</v>
      </c>
      <c r="BA152" s="565" t="str">
        <f>MAdaten!AN11</f>
        <v/>
      </c>
      <c r="BB152" s="565" t="str">
        <f>MAdaten!AO11</f>
        <v/>
      </c>
      <c r="BC152" s="565" t="str">
        <f>MAdaten!AP11</f>
        <v/>
      </c>
      <c r="BD152" s="565" t="str">
        <f>MAdaten!AQ11</f>
        <v/>
      </c>
      <c r="BE152" s="565" t="str">
        <f>MAdaten!AR11</f>
        <v/>
      </c>
      <c r="BF152" s="565" t="str">
        <f>MAdaten!AS11</f>
        <v/>
      </c>
      <c r="BG152" s="565">
        <f>MAdaten!AT11</f>
        <v>8</v>
      </c>
      <c r="BH152" s="565">
        <f>MAdaten!AU11</f>
        <v>482.96398211390107</v>
      </c>
      <c r="BI152" s="565">
        <f>MAdaten!AV11</f>
        <v>8</v>
      </c>
      <c r="BJ152" s="565">
        <f>MAdaten!AW11</f>
        <v>482.96398211390107</v>
      </c>
      <c r="BK152" s="565">
        <f>MAdaten!AX11</f>
        <v>7.5</v>
      </c>
      <c r="BL152" s="565">
        <f>MAdaten!AY11</f>
        <v>452.77873323178227</v>
      </c>
      <c r="BM152" s="565">
        <f>MAdaten!AZ11</f>
        <v>80</v>
      </c>
      <c r="BN152" s="565">
        <f>MAdaten!BA11</f>
        <v>6</v>
      </c>
      <c r="BO152" s="565">
        <f>MAdaten!BB11</f>
        <v>5</v>
      </c>
      <c r="BP152" s="565">
        <f>MAdaten!BC11</f>
        <v>37832</v>
      </c>
      <c r="BQ152" s="565">
        <f>MAdaten!BD11</f>
        <v>35757.984354930522</v>
      </c>
      <c r="BR152" s="565">
        <f>MAdaten!BE11</f>
        <v>2081.5852994191018</v>
      </c>
      <c r="BS152" s="565">
        <f>MAdaten!BF11</f>
        <v>0</v>
      </c>
      <c r="BT152" s="565">
        <f>MAdaten!BG11</f>
        <v>35757.984354930522</v>
      </c>
      <c r="BU152" s="565">
        <f>MAdaten!BH11</f>
        <v>-35757.984354930522</v>
      </c>
      <c r="BV152" s="565" t="str">
        <f>MAdaten!BI11</f>
        <v/>
      </c>
      <c r="BW152" s="565">
        <f>MAdaten!BJ11</f>
        <v>0</v>
      </c>
      <c r="BX152" s="565">
        <f>MAdaten!BK11</f>
        <v>2081.5852994191018</v>
      </c>
      <c r="BY152" s="565">
        <f>MAdaten!BL11</f>
        <v>-2081.5852994191018</v>
      </c>
      <c r="BZ152" s="565" t="str">
        <f>MAdaten!BM11</f>
        <v/>
      </c>
      <c r="CA152" s="565" t="str">
        <f>MAdaten!BN11</f>
        <v/>
      </c>
      <c r="CB152" s="565" t="str">
        <f>MAdaten!BO11</f>
        <v/>
      </c>
      <c r="CC152" s="565" t="str">
        <f>MAdaten!BP11</f>
        <v/>
      </c>
      <c r="CD152" s="565" t="str">
        <f>MAdaten!BQ11</f>
        <v>Salli</v>
      </c>
      <c r="CE152" s="565">
        <f>MAdaten!BR11</f>
        <v>0</v>
      </c>
      <c r="CF152" s="565">
        <f>MAdaten!BS11</f>
        <v>0</v>
      </c>
      <c r="CG152" s="565">
        <f>MAdaten!BT11</f>
        <v>0</v>
      </c>
      <c r="CH152" s="565">
        <f>MAdaten!BU11</f>
        <v>8</v>
      </c>
      <c r="CI152" s="565" t="str">
        <f>MAdaten!BV11</f>
        <v>Januar</v>
      </c>
      <c r="CJ152" s="565">
        <f>MAdaten!BW11</f>
        <v>13</v>
      </c>
      <c r="CK152" s="565">
        <f>MAdaten!BX11</f>
        <v>0</v>
      </c>
      <c r="CL152" s="565">
        <f>MAdaten!BY11</f>
        <v>0</v>
      </c>
      <c r="CM152" s="565">
        <f>MAdaten!BZ11</f>
        <v>0</v>
      </c>
      <c r="CN152" s="565">
        <f>MAdaten!CA11</f>
        <v>5810.6724576762099</v>
      </c>
      <c r="CO152" s="565" t="str">
        <f>MAdaten!CB11</f>
        <v/>
      </c>
      <c r="CP152" s="565" t="str">
        <f>MAdaten!CC11</f>
        <v/>
      </c>
      <c r="CQ152" s="565">
        <f>MAdaten!CD11</f>
        <v>0</v>
      </c>
      <c r="CR152" s="565">
        <f>MAdaten!CE11</f>
        <v>338.25761115560408</v>
      </c>
      <c r="CS152" s="565" t="str">
        <f>MAdaten!CF11</f>
        <v/>
      </c>
      <c r="CT152" s="565" t="str">
        <f>MAdaten!CG11</f>
        <v/>
      </c>
      <c r="CU152" s="3069"/>
      <c r="CV152" s="3069"/>
      <c r="CW152" s="3069"/>
      <c r="CX152" s="3069"/>
      <c r="CY152" s="3160"/>
      <c r="CZ152" s="3160"/>
      <c r="DA152" s="3160"/>
      <c r="DB152" s="3160"/>
    </row>
    <row r="153" spans="1:106" s="3000" customFormat="1" ht="20.399999999999999" customHeight="1" thickBot="1">
      <c r="B153" s="3001"/>
      <c r="C153" s="3008">
        <f>W152</f>
        <v>13.04</v>
      </c>
      <c r="D153" s="3008">
        <f>Z152</f>
        <v>13.04</v>
      </c>
      <c r="E153" s="3008">
        <f>AO152</f>
        <v>23.5</v>
      </c>
      <c r="F153" s="3008">
        <f>Y152</f>
        <v>101.755</v>
      </c>
      <c r="G153" s="3008">
        <f>AP152</f>
        <v>3</v>
      </c>
      <c r="H153" s="3008">
        <f>AQ152</f>
        <v>12.99</v>
      </c>
      <c r="I153" s="3004">
        <f>AB152</f>
        <v>75.771968999999999</v>
      </c>
      <c r="J153" s="3003">
        <f>AC152</f>
        <v>0.34270833333333334</v>
      </c>
      <c r="N153" s="3062"/>
      <c r="O153" s="3062"/>
      <c r="P153" s="3062"/>
      <c r="Q153" s="3062"/>
      <c r="R153" s="3062"/>
      <c r="S153" s="3062"/>
      <c r="T153" s="3062"/>
      <c r="U153" s="3062"/>
      <c r="V153" s="3062"/>
      <c r="W153" s="3062"/>
      <c r="X153" s="3062"/>
      <c r="Y153" s="3062"/>
      <c r="Z153" s="3062"/>
      <c r="AA153" s="3062"/>
      <c r="AB153" s="3062"/>
      <c r="AC153" s="3062"/>
      <c r="AD153" s="3062"/>
      <c r="AE153" s="3062"/>
      <c r="AF153" s="3062"/>
      <c r="AG153" s="3062"/>
      <c r="AH153" s="3062"/>
      <c r="AI153" s="3062"/>
      <c r="AJ153" s="3062"/>
      <c r="AK153" s="3062"/>
      <c r="AL153" s="3062"/>
      <c r="AM153" s="3062"/>
      <c r="AN153" s="3062"/>
      <c r="AO153" s="3062"/>
      <c r="AP153" s="3062"/>
      <c r="AQ153" s="3062"/>
      <c r="AR153" s="3062"/>
      <c r="AS153" s="3062"/>
      <c r="AT153" s="3062"/>
      <c r="AU153" s="3062"/>
      <c r="AV153" s="3062"/>
      <c r="AW153" s="3062"/>
      <c r="AX153" s="3062"/>
      <c r="AY153" s="3062"/>
      <c r="AZ153" s="3062"/>
      <c r="BA153" s="3062"/>
      <c r="BB153" s="3062"/>
      <c r="BC153" s="3062"/>
      <c r="BD153" s="3062"/>
      <c r="BE153" s="3062"/>
      <c r="BF153" s="3062"/>
      <c r="BG153" s="3062"/>
      <c r="BH153" s="3062"/>
      <c r="BI153" s="3062"/>
      <c r="BJ153" s="3062"/>
      <c r="BK153" s="3062"/>
      <c r="BL153" s="3062"/>
      <c r="BM153" s="3062"/>
      <c r="BN153" s="3062"/>
      <c r="BO153" s="3062"/>
      <c r="BP153" s="3062"/>
      <c r="BQ153" s="3062"/>
      <c r="BR153" s="3062"/>
      <c r="BS153" s="3062"/>
      <c r="BT153" s="3062"/>
      <c r="BU153" s="3062"/>
      <c r="BV153" s="3062"/>
      <c r="BW153" s="3062"/>
      <c r="BX153" s="3062"/>
      <c r="BY153" s="3062"/>
      <c r="BZ153" s="3062"/>
      <c r="CA153" s="3062"/>
      <c r="CB153" s="3062"/>
      <c r="CC153" s="3062"/>
      <c r="CD153" s="3062"/>
      <c r="CE153" s="3062"/>
      <c r="CF153" s="3062"/>
      <c r="CG153" s="3062"/>
      <c r="CH153" s="3062"/>
      <c r="CI153" s="3062"/>
      <c r="CJ153" s="3062"/>
      <c r="CK153" s="3062"/>
      <c r="CL153" s="3062"/>
      <c r="CM153" s="3062"/>
      <c r="CN153" s="3062"/>
      <c r="CO153" s="3062"/>
      <c r="CP153" s="3062"/>
      <c r="CQ153" s="3062"/>
      <c r="CR153" s="3062"/>
      <c r="CS153" s="3062"/>
      <c r="CT153" s="3062"/>
      <c r="CU153" s="3062"/>
      <c r="CV153" s="3062"/>
      <c r="CW153" s="3062"/>
      <c r="CX153" s="3062"/>
      <c r="CY153" s="3159"/>
      <c r="CZ153" s="3159"/>
      <c r="DA153" s="3159"/>
      <c r="DB153" s="3159"/>
    </row>
    <row r="154" spans="1:106" ht="21.6" customHeight="1" thickBot="1">
      <c r="A154" s="3009"/>
      <c r="B154" s="3010"/>
      <c r="C154" s="3011"/>
      <c r="D154" s="3012"/>
      <c r="E154" s="3011"/>
      <c r="F154" s="3012"/>
      <c r="G154" s="3011"/>
      <c r="H154" s="3012"/>
      <c r="I154" s="3054"/>
      <c r="J154" s="3054"/>
      <c r="K154" s="3055"/>
      <c r="L154" s="3054"/>
      <c r="N154" s="565"/>
      <c r="O154" s="565"/>
      <c r="P154" s="565"/>
    </row>
    <row r="155" spans="1:106" s="3005" customFormat="1" ht="66" customHeight="1">
      <c r="A155" s="4362" t="s">
        <v>1362</v>
      </c>
      <c r="B155" s="4363"/>
      <c r="C155" s="3013" t="str">
        <f>AG150</f>
        <v>Sollumsatz pro Arbeits-monat €</v>
      </c>
      <c r="D155" s="3013" t="str">
        <f>AL150</f>
        <v>Gesamt-sollumsatz pro Tag €</v>
      </c>
      <c r="E155" s="3013" t="str">
        <f>AU150</f>
        <v>Umsatz p. Woche</v>
      </c>
      <c r="F155" s="3013" t="str">
        <f>AV150</f>
        <v>Umsatz p. Std</v>
      </c>
      <c r="G155" s="3013" t="str">
        <f>AX150</f>
        <v>Umsatz p. Std mit Leerlauf</v>
      </c>
      <c r="H155" s="3014" t="str">
        <f>AS150</f>
        <v>DL-Umsatz pro M.</v>
      </c>
      <c r="I155" s="3014" t="str">
        <f>AH150</f>
        <v>Sollumsatz DL pro Anwesen-heitstag €</v>
      </c>
      <c r="J155" s="3014" t="str">
        <f>AT150</f>
        <v>VK-Umsatz pro M.</v>
      </c>
      <c r="K155" s="3014" t="str">
        <f>AI150</f>
        <v>Verkaufs-anteil %</v>
      </c>
      <c r="L155" s="3014" t="str">
        <f>AJ150</f>
        <v>Verkaufs-anteil € pro Tag</v>
      </c>
      <c r="N155" s="3069"/>
      <c r="O155" s="3069"/>
      <c r="P155" s="3069"/>
      <c r="Q155" s="3069"/>
      <c r="R155" s="3069"/>
      <c r="S155" s="3069"/>
      <c r="T155" s="3069"/>
      <c r="U155" s="3069"/>
      <c r="V155" s="3069"/>
      <c r="W155" s="3069"/>
      <c r="X155" s="3069"/>
      <c r="Y155" s="3069"/>
      <c r="Z155" s="3069"/>
      <c r="AA155" s="3069"/>
      <c r="AB155" s="3069"/>
      <c r="AC155" s="3069"/>
      <c r="AD155" s="3069"/>
      <c r="AE155" s="3069"/>
      <c r="AF155" s="3069"/>
      <c r="AG155" s="3069"/>
      <c r="AH155" s="3069"/>
      <c r="AI155" s="3069"/>
      <c r="AJ155" s="3069"/>
      <c r="AK155" s="3069"/>
      <c r="AL155" s="3069"/>
      <c r="AM155" s="3069"/>
      <c r="AN155" s="3069"/>
      <c r="AO155" s="3069"/>
      <c r="AP155" s="3069"/>
      <c r="AQ155" s="3069"/>
      <c r="AR155" s="3069"/>
      <c r="AS155" s="3069"/>
      <c r="AT155" s="3069"/>
      <c r="AU155" s="3069"/>
      <c r="AV155" s="3069"/>
      <c r="AW155" s="3069"/>
      <c r="AX155" s="3069"/>
      <c r="AY155" s="3069"/>
      <c r="AZ155" s="3069"/>
      <c r="BA155" s="3069"/>
      <c r="BB155" s="3069"/>
      <c r="BC155" s="3069"/>
      <c r="BD155" s="3069"/>
      <c r="BE155" s="3069"/>
      <c r="BF155" s="3069"/>
      <c r="BG155" s="3069"/>
      <c r="BH155" s="3069"/>
      <c r="BI155" s="3069"/>
      <c r="BJ155" s="3069"/>
      <c r="BK155" s="3069"/>
      <c r="BL155" s="3069"/>
      <c r="BM155" s="3069"/>
      <c r="BN155" s="3069"/>
      <c r="BO155" s="3069"/>
      <c r="BP155" s="3069"/>
      <c r="BQ155" s="3069"/>
      <c r="BR155" s="3069"/>
      <c r="BS155" s="3069"/>
      <c r="BT155" s="3069"/>
      <c r="BU155" s="3069"/>
      <c r="BV155" s="3069"/>
      <c r="BW155" s="3069"/>
      <c r="BX155" s="3069"/>
      <c r="BY155" s="3069"/>
      <c r="BZ155" s="3069"/>
      <c r="CA155" s="3069"/>
      <c r="CB155" s="3069"/>
      <c r="CC155" s="3069"/>
      <c r="CD155" s="3069"/>
      <c r="CE155" s="3069"/>
      <c r="CF155" s="3069"/>
      <c r="CG155" s="3069"/>
      <c r="CH155" s="3069"/>
      <c r="CI155" s="3069"/>
      <c r="CJ155" s="3069"/>
      <c r="CK155" s="3069"/>
      <c r="CL155" s="3069"/>
      <c r="CM155" s="3069"/>
      <c r="CN155" s="3069"/>
      <c r="CO155" s="3069"/>
      <c r="CP155" s="3069"/>
      <c r="CQ155" s="3069"/>
      <c r="CR155" s="3069"/>
      <c r="CS155" s="3069"/>
      <c r="CT155" s="3069"/>
      <c r="CU155" s="3069"/>
      <c r="CV155" s="3069"/>
      <c r="CW155" s="3069"/>
      <c r="CX155" s="3069"/>
      <c r="CY155" s="3160"/>
      <c r="CZ155" s="3160"/>
      <c r="DA155" s="3160"/>
      <c r="DB155" s="3160"/>
    </row>
    <row r="156" spans="1:106" s="3049" customFormat="1">
      <c r="A156" s="3015"/>
      <c r="B156" s="3016"/>
      <c r="C156" s="3017">
        <f>AR152</f>
        <v>6143</v>
      </c>
      <c r="D156" s="3017">
        <f>AL152</f>
        <v>472.9</v>
      </c>
      <c r="E156" s="3017">
        <f>AU152</f>
        <v>1419</v>
      </c>
      <c r="F156" s="3018">
        <f>AV152</f>
        <v>60.370497764237633</v>
      </c>
      <c r="G156" s="3018">
        <f>AX152</f>
        <v>75.46312220529704</v>
      </c>
      <c r="H156" s="3019">
        <f>AS152</f>
        <v>5805.002587006823</v>
      </c>
      <c r="I156" s="3020">
        <f>AH152</f>
        <v>446.97480443663153</v>
      </c>
      <c r="J156" s="3020">
        <f>AT152</f>
        <v>337.99741299317668</v>
      </c>
      <c r="K156" s="3021">
        <f>AI152</f>
        <v>5.5021555102258944E-2</v>
      </c>
      <c r="L156" s="3020">
        <f>AJ152</f>
        <v>26.025195563368481</v>
      </c>
      <c r="N156" s="3070"/>
      <c r="O156" s="3070"/>
      <c r="P156" s="3070"/>
      <c r="Q156" s="3070"/>
      <c r="R156" s="3070"/>
      <c r="S156" s="3070"/>
      <c r="T156" s="3070"/>
      <c r="U156" s="3070"/>
      <c r="V156" s="3070"/>
      <c r="W156" s="3070"/>
      <c r="X156" s="3070"/>
      <c r="Y156" s="3070"/>
      <c r="Z156" s="3070"/>
      <c r="AA156" s="3070"/>
      <c r="AB156" s="3070"/>
      <c r="AC156" s="3070"/>
      <c r="AD156" s="3070"/>
      <c r="AE156" s="3070"/>
      <c r="AF156" s="3070"/>
      <c r="AG156" s="3070"/>
      <c r="AH156" s="3070"/>
      <c r="AI156" s="3070"/>
      <c r="AJ156" s="3070"/>
      <c r="AK156" s="3070"/>
      <c r="AL156" s="3070"/>
      <c r="AM156" s="3070"/>
      <c r="AN156" s="3070"/>
      <c r="AO156" s="3070"/>
      <c r="AP156" s="3070"/>
      <c r="AQ156" s="3070"/>
      <c r="AR156" s="3070"/>
      <c r="AS156" s="3070"/>
      <c r="AT156" s="3070"/>
      <c r="AU156" s="3070"/>
      <c r="AV156" s="3070"/>
      <c r="AW156" s="3070"/>
      <c r="AX156" s="3070"/>
      <c r="AY156" s="3070"/>
      <c r="AZ156" s="3070"/>
      <c r="BA156" s="3070"/>
      <c r="BB156" s="3070"/>
      <c r="BC156" s="3070"/>
      <c r="BD156" s="3070"/>
      <c r="BE156" s="3070"/>
      <c r="BF156" s="3070"/>
      <c r="BG156" s="3070"/>
      <c r="BH156" s="3070"/>
      <c r="BI156" s="3070"/>
      <c r="BJ156" s="3070"/>
      <c r="BK156" s="3070"/>
      <c r="BL156" s="3070"/>
      <c r="BM156" s="3070"/>
      <c r="BN156" s="3070"/>
      <c r="BO156" s="3070"/>
      <c r="BP156" s="3070"/>
      <c r="BQ156" s="3070"/>
      <c r="BR156" s="3070"/>
      <c r="BS156" s="3070"/>
      <c r="BT156" s="3070"/>
      <c r="BU156" s="3070"/>
      <c r="BV156" s="3070"/>
      <c r="BW156" s="3070"/>
      <c r="BX156" s="3070"/>
      <c r="BY156" s="3070"/>
      <c r="BZ156" s="3070"/>
      <c r="CA156" s="3070"/>
      <c r="CB156" s="3070"/>
      <c r="CC156" s="3070"/>
      <c r="CD156" s="3070"/>
      <c r="CE156" s="3070"/>
      <c r="CF156" s="3070"/>
      <c r="CG156" s="3070"/>
      <c r="CH156" s="3070"/>
      <c r="CI156" s="3070"/>
      <c r="CJ156" s="3070"/>
      <c r="CK156" s="3070"/>
      <c r="CL156" s="3070"/>
      <c r="CM156" s="3070"/>
      <c r="CN156" s="3070"/>
      <c r="CO156" s="3070"/>
      <c r="CP156" s="3070"/>
      <c r="CQ156" s="3070"/>
      <c r="CR156" s="3070"/>
      <c r="CS156" s="3070"/>
      <c r="CT156" s="3070"/>
      <c r="CU156" s="3070"/>
      <c r="CV156" s="3070"/>
      <c r="CW156" s="3070"/>
      <c r="CX156" s="3070"/>
      <c r="CY156" s="3158"/>
      <c r="CZ156" s="3158"/>
      <c r="DA156" s="3158"/>
      <c r="DB156" s="3158"/>
    </row>
    <row r="157" spans="1:106" s="3005" customFormat="1" ht="20.399999999999999" customHeight="1">
      <c r="A157" s="4364" t="s">
        <v>168</v>
      </c>
      <c r="B157" s="4365"/>
      <c r="C157" s="4364" t="s">
        <v>169</v>
      </c>
      <c r="D157" s="4365"/>
      <c r="E157" s="4364" t="s">
        <v>170</v>
      </c>
      <c r="F157" s="4365"/>
      <c r="G157" s="4364" t="s">
        <v>171</v>
      </c>
      <c r="H157" s="4365"/>
      <c r="I157" s="4364" t="s">
        <v>172</v>
      </c>
      <c r="J157" s="4365"/>
      <c r="K157" s="4364" t="s">
        <v>173</v>
      </c>
      <c r="L157" s="4365"/>
      <c r="N157" s="3069"/>
      <c r="O157" s="3069"/>
      <c r="P157" s="3069"/>
      <c r="Q157" s="3069"/>
      <c r="R157" s="3069"/>
      <c r="S157" s="3069"/>
      <c r="T157" s="3069"/>
      <c r="U157" s="3069"/>
      <c r="V157" s="3069"/>
      <c r="W157" s="3069"/>
      <c r="X157" s="3069"/>
      <c r="Y157" s="3069"/>
      <c r="Z157" s="3069"/>
      <c r="AA157" s="3069"/>
      <c r="AB157" s="3069"/>
      <c r="AC157" s="3069"/>
      <c r="AD157" s="3069"/>
      <c r="AE157" s="3069"/>
      <c r="AF157" s="3069"/>
      <c r="AG157" s="3069"/>
      <c r="AH157" s="3069"/>
      <c r="AI157" s="3069"/>
      <c r="AJ157" s="3069"/>
      <c r="AK157" s="3069"/>
      <c r="AL157" s="3069"/>
      <c r="AM157" s="3069"/>
      <c r="AN157" s="3069"/>
      <c r="AO157" s="3069"/>
      <c r="AP157" s="3069"/>
      <c r="AQ157" s="3069"/>
      <c r="AR157" s="3069"/>
      <c r="AS157" s="3069"/>
      <c r="AT157" s="3069"/>
      <c r="AU157" s="3069"/>
      <c r="AV157" s="3069"/>
      <c r="AW157" s="3069"/>
      <c r="AX157" s="3069"/>
      <c r="AY157" s="3069"/>
      <c r="AZ157" s="3069"/>
      <c r="BA157" s="3069"/>
      <c r="BB157" s="3069"/>
      <c r="BC157" s="3069"/>
      <c r="BD157" s="3069"/>
      <c r="BE157" s="3069"/>
      <c r="BF157" s="3069"/>
      <c r="BG157" s="3069"/>
      <c r="BH157" s="3069"/>
      <c r="BI157" s="3069"/>
      <c r="BJ157" s="3069"/>
      <c r="BK157" s="3069"/>
      <c r="BL157" s="3069"/>
      <c r="BM157" s="3069"/>
      <c r="BN157" s="3069"/>
      <c r="BO157" s="3069"/>
      <c r="BP157" s="3069"/>
      <c r="BQ157" s="3069"/>
      <c r="BR157" s="3069"/>
      <c r="BS157" s="3069"/>
      <c r="BT157" s="3069"/>
      <c r="BU157" s="3069"/>
      <c r="BV157" s="3069"/>
      <c r="BW157" s="3069"/>
      <c r="BX157" s="3069"/>
      <c r="BY157" s="3069"/>
      <c r="BZ157" s="3069"/>
      <c r="CA157" s="3069"/>
      <c r="CB157" s="3069"/>
      <c r="CC157" s="3069"/>
      <c r="CD157" s="3069"/>
      <c r="CE157" s="3069"/>
      <c r="CF157" s="3069"/>
      <c r="CG157" s="3069"/>
      <c r="CH157" s="3069"/>
      <c r="CI157" s="3069"/>
      <c r="CJ157" s="3069"/>
      <c r="CK157" s="3069"/>
      <c r="CL157" s="3069"/>
      <c r="CM157" s="3069"/>
      <c r="CN157" s="3069"/>
      <c r="CO157" s="3069"/>
      <c r="CP157" s="3069"/>
      <c r="CQ157" s="3069"/>
      <c r="CR157" s="3069"/>
      <c r="CS157" s="3069"/>
      <c r="CT157" s="3069"/>
      <c r="CU157" s="3069"/>
      <c r="CV157" s="3069"/>
      <c r="CW157" s="3069"/>
      <c r="CX157" s="3069"/>
      <c r="CY157" s="3160"/>
      <c r="CZ157" s="3160"/>
      <c r="DA157" s="3160"/>
      <c r="DB157" s="3160"/>
    </row>
    <row r="158" spans="1:106" s="3005" customFormat="1" ht="20.399999999999999" customHeight="1">
      <c r="A158" s="3022" t="s">
        <v>217</v>
      </c>
      <c r="B158" s="3022" t="s">
        <v>61</v>
      </c>
      <c r="C158" s="3022" t="s">
        <v>217</v>
      </c>
      <c r="D158" s="3022" t="s">
        <v>61</v>
      </c>
      <c r="E158" s="3022" t="s">
        <v>217</v>
      </c>
      <c r="F158" s="3022" t="s">
        <v>61</v>
      </c>
      <c r="G158" s="3022" t="s">
        <v>217</v>
      </c>
      <c r="H158" s="3022" t="s">
        <v>61</v>
      </c>
      <c r="I158" s="3022" t="s">
        <v>217</v>
      </c>
      <c r="J158" s="3022" t="s">
        <v>61</v>
      </c>
      <c r="K158" s="3022" t="s">
        <v>217</v>
      </c>
      <c r="L158" s="3022" t="s">
        <v>61</v>
      </c>
      <c r="N158" s="3069"/>
      <c r="O158" s="3069"/>
      <c r="P158" s="3069"/>
      <c r="Q158" s="3069"/>
      <c r="R158" s="3069"/>
      <c r="S158" s="3069"/>
      <c r="T158" s="3069"/>
      <c r="U158" s="3069"/>
      <c r="V158" s="3069"/>
      <c r="W158" s="3069"/>
      <c r="X158" s="3069"/>
      <c r="Y158" s="3069"/>
      <c r="Z158" s="3069"/>
      <c r="AA158" s="3069"/>
      <c r="AB158" s="3069"/>
      <c r="AC158" s="3069"/>
      <c r="AD158" s="3069"/>
      <c r="AE158" s="3069"/>
      <c r="AF158" s="3069"/>
      <c r="AG158" s="3069"/>
      <c r="AH158" s="3069"/>
      <c r="AI158" s="3069"/>
      <c r="AJ158" s="3069"/>
      <c r="AK158" s="3069"/>
      <c r="AL158" s="3069"/>
      <c r="AM158" s="3069"/>
      <c r="AN158" s="3069"/>
      <c r="AO158" s="3069"/>
      <c r="AP158" s="3069"/>
      <c r="AQ158" s="3069"/>
      <c r="AR158" s="3069"/>
      <c r="AS158" s="3069"/>
      <c r="AT158" s="3069"/>
      <c r="AU158" s="3069"/>
      <c r="AV158" s="3069"/>
      <c r="AW158" s="3069"/>
      <c r="AX158" s="3069"/>
      <c r="AY158" s="3069"/>
      <c r="AZ158" s="3069"/>
      <c r="BA158" s="3069"/>
      <c r="BB158" s="3069"/>
      <c r="BC158" s="3069"/>
      <c r="BD158" s="3069"/>
      <c r="BE158" s="3069"/>
      <c r="BF158" s="3069"/>
      <c r="BG158" s="3069"/>
      <c r="BH158" s="3069"/>
      <c r="BI158" s="3069"/>
      <c r="BJ158" s="3069"/>
      <c r="BK158" s="3069"/>
      <c r="BL158" s="3069"/>
      <c r="BM158" s="3069"/>
      <c r="BN158" s="3069"/>
      <c r="BO158" s="3069"/>
      <c r="BP158" s="3069"/>
      <c r="BQ158" s="3069"/>
      <c r="BR158" s="3069"/>
      <c r="BS158" s="3069"/>
      <c r="BT158" s="3069"/>
      <c r="BU158" s="3069"/>
      <c r="BV158" s="3069"/>
      <c r="BW158" s="3069"/>
      <c r="BX158" s="3069"/>
      <c r="BY158" s="3069"/>
      <c r="BZ158" s="3069"/>
      <c r="CA158" s="3069"/>
      <c r="CB158" s="3069"/>
      <c r="CC158" s="3069"/>
      <c r="CD158" s="3069"/>
      <c r="CE158" s="3069"/>
      <c r="CF158" s="3069"/>
      <c r="CG158" s="3069"/>
      <c r="CH158" s="3069"/>
      <c r="CI158" s="3069"/>
      <c r="CJ158" s="3069"/>
      <c r="CK158" s="3069"/>
      <c r="CL158" s="3069"/>
      <c r="CM158" s="3069"/>
      <c r="CN158" s="3069"/>
      <c r="CO158" s="3069"/>
      <c r="CP158" s="3069"/>
      <c r="CQ158" s="3069"/>
      <c r="CR158" s="3069"/>
      <c r="CS158" s="3069"/>
      <c r="CT158" s="3069"/>
      <c r="CU158" s="3069"/>
      <c r="CV158" s="3069"/>
      <c r="CW158" s="3069"/>
      <c r="CX158" s="3069"/>
      <c r="CY158" s="3160"/>
      <c r="CZ158" s="3160"/>
      <c r="DA158" s="3160"/>
      <c r="DB158" s="3160"/>
    </row>
    <row r="159" spans="1:106" s="3050" customFormat="1" ht="20.399999999999999" customHeight="1" thickBot="1">
      <c r="A159" s="3023" t="str">
        <f t="shared" ref="A159" si="158">BA152</f>
        <v/>
      </c>
      <c r="B159" s="3024" t="str">
        <f t="shared" ref="B159" si="159">BB152</f>
        <v/>
      </c>
      <c r="C159" s="3023" t="str">
        <f t="shared" ref="C159" si="160">BC152</f>
        <v/>
      </c>
      <c r="D159" s="3024" t="str">
        <f t="shared" ref="D159" si="161">BD152</f>
        <v/>
      </c>
      <c r="E159" s="3023" t="str">
        <f t="shared" ref="E159" si="162">BE152</f>
        <v/>
      </c>
      <c r="F159" s="3024" t="str">
        <f t="shared" ref="F159" si="163">BF152</f>
        <v/>
      </c>
      <c r="G159" s="3023">
        <f t="shared" ref="G159" si="164">BG152</f>
        <v>8</v>
      </c>
      <c r="H159" s="3024">
        <f t="shared" ref="H159" si="165">BH152</f>
        <v>482.96398211390107</v>
      </c>
      <c r="I159" s="3023">
        <f t="shared" ref="I159" si="166">BI152</f>
        <v>8</v>
      </c>
      <c r="J159" s="3024">
        <f t="shared" ref="J159" si="167">BJ152</f>
        <v>482.96398211390107</v>
      </c>
      <c r="K159" s="3023">
        <f t="shared" ref="K159" si="168">BK152</f>
        <v>7.5</v>
      </c>
      <c r="L159" s="3024">
        <f t="shared" ref="L159" si="169">BL152</f>
        <v>452.77873323178227</v>
      </c>
      <c r="N159" s="3071"/>
      <c r="O159" s="3071"/>
      <c r="P159" s="3071"/>
      <c r="Q159" s="3071"/>
      <c r="R159" s="3071"/>
      <c r="S159" s="3071"/>
      <c r="T159" s="3071"/>
      <c r="U159" s="3071"/>
      <c r="V159" s="3071"/>
      <c r="W159" s="3071"/>
      <c r="X159" s="3071"/>
      <c r="Y159" s="3071"/>
      <c r="Z159" s="3071"/>
      <c r="AA159" s="3071"/>
      <c r="AB159" s="3071"/>
      <c r="AC159" s="3071"/>
      <c r="AD159" s="3071"/>
      <c r="AE159" s="3071"/>
      <c r="AF159" s="3071"/>
      <c r="AG159" s="3071"/>
      <c r="AH159" s="3071"/>
      <c r="AI159" s="3071"/>
      <c r="AJ159" s="3071"/>
      <c r="AK159" s="3071"/>
      <c r="AL159" s="3071"/>
      <c r="AM159" s="3071"/>
      <c r="AN159" s="3071"/>
      <c r="AO159" s="3071"/>
      <c r="AP159" s="3071"/>
      <c r="AQ159" s="3071"/>
      <c r="AR159" s="3071"/>
      <c r="AS159" s="3071"/>
      <c r="AT159" s="3071"/>
      <c r="AU159" s="3071"/>
      <c r="AV159" s="3071"/>
      <c r="AW159" s="3071"/>
      <c r="AX159" s="3071"/>
      <c r="AY159" s="3071"/>
      <c r="AZ159" s="3071"/>
      <c r="BA159" s="3071"/>
      <c r="BB159" s="3071"/>
      <c r="BC159" s="3071"/>
      <c r="BD159" s="3071"/>
      <c r="BE159" s="3071"/>
      <c r="BF159" s="3071"/>
      <c r="BG159" s="3071"/>
      <c r="BH159" s="3071"/>
      <c r="BI159" s="3071"/>
      <c r="BJ159" s="3071"/>
      <c r="BK159" s="3071"/>
      <c r="BL159" s="3071"/>
      <c r="BM159" s="3071"/>
      <c r="BN159" s="3071"/>
      <c r="BO159" s="3071"/>
      <c r="BP159" s="3071"/>
      <c r="BQ159" s="3071"/>
      <c r="BR159" s="3071"/>
      <c r="BS159" s="3071"/>
      <c r="BT159" s="3071"/>
      <c r="BU159" s="3071"/>
      <c r="BV159" s="3071"/>
      <c r="BW159" s="3071"/>
      <c r="BX159" s="3071"/>
      <c r="BY159" s="3071"/>
      <c r="BZ159" s="3071"/>
      <c r="CA159" s="3071"/>
      <c r="CB159" s="3071"/>
      <c r="CC159" s="3071"/>
      <c r="CD159" s="3071"/>
      <c r="CE159" s="3071"/>
      <c r="CF159" s="3071"/>
      <c r="CG159" s="3071"/>
      <c r="CH159" s="3071"/>
      <c r="CI159" s="3071"/>
      <c r="CJ159" s="3071"/>
      <c r="CK159" s="3071"/>
      <c r="CL159" s="3071"/>
      <c r="CM159" s="3071"/>
      <c r="CN159" s="3071"/>
      <c r="CO159" s="3071"/>
      <c r="CP159" s="3071"/>
      <c r="CQ159" s="3071"/>
      <c r="CR159" s="3071"/>
      <c r="CS159" s="3071"/>
      <c r="CT159" s="3071"/>
      <c r="CU159" s="3071"/>
      <c r="CV159" s="3071"/>
      <c r="CW159" s="3071"/>
      <c r="CX159" s="3071"/>
      <c r="CY159" s="830"/>
      <c r="CZ159" s="830"/>
      <c r="DA159" s="830"/>
      <c r="DB159" s="830"/>
    </row>
    <row r="160" spans="1:106" ht="21.6" customHeight="1" thickBot="1">
      <c r="A160" s="3009"/>
      <c r="B160" s="3010"/>
      <c r="C160" s="3011"/>
      <c r="D160" s="3012"/>
      <c r="E160" s="3011"/>
      <c r="F160" s="3012"/>
      <c r="G160" s="3011"/>
      <c r="H160" s="3012"/>
      <c r="I160" s="3054"/>
      <c r="J160" s="3054"/>
      <c r="K160" s="3055"/>
      <c r="L160" s="3054"/>
      <c r="N160" s="565"/>
      <c r="O160" s="565"/>
      <c r="P160" s="565"/>
    </row>
    <row r="161" spans="1:106" s="3031" customFormat="1" ht="19.8" customHeight="1">
      <c r="A161" s="3025" t="s">
        <v>1396</v>
      </c>
      <c r="B161" s="3029"/>
      <c r="C161" s="3029"/>
      <c r="D161" s="3029"/>
      <c r="E161" s="3029"/>
      <c r="F161" s="3029"/>
      <c r="G161" s="3029"/>
      <c r="H161" s="3029"/>
      <c r="I161" s="3029"/>
      <c r="J161" s="3029"/>
      <c r="K161" s="3029"/>
      <c r="L161" s="3029"/>
      <c r="N161" s="3069"/>
      <c r="O161" s="3069"/>
      <c r="P161" s="3069"/>
      <c r="Q161" s="3069"/>
      <c r="R161" s="3069"/>
      <c r="S161" s="3069"/>
      <c r="T161" s="3069"/>
      <c r="U161" s="3069"/>
      <c r="V161" s="3069"/>
      <c r="W161" s="3069"/>
      <c r="X161" s="3069"/>
      <c r="Y161" s="3069"/>
      <c r="Z161" s="3069"/>
      <c r="AA161" s="3069"/>
      <c r="AB161" s="3069"/>
      <c r="AC161" s="3069"/>
      <c r="AD161" s="3069"/>
      <c r="AE161" s="3069"/>
      <c r="AF161" s="3069"/>
      <c r="AG161" s="3069"/>
      <c r="AH161" s="3069"/>
      <c r="AI161" s="3069"/>
      <c r="AJ161" s="3069"/>
      <c r="AK161" s="3069"/>
      <c r="AL161" s="3069"/>
      <c r="AM161" s="3069"/>
      <c r="AN161" s="3069"/>
      <c r="AO161" s="3069"/>
      <c r="AP161" s="3069"/>
      <c r="AQ161" s="3069"/>
      <c r="AR161" s="3069"/>
      <c r="AS161" s="3069"/>
      <c r="AT161" s="3069"/>
      <c r="AU161" s="3069"/>
      <c r="AV161" s="3069"/>
      <c r="AW161" s="3069"/>
      <c r="AX161" s="3069"/>
      <c r="AY161" s="3069"/>
      <c r="AZ161" s="3069"/>
      <c r="BA161" s="3069"/>
      <c r="BB161" s="3069"/>
      <c r="BC161" s="3069"/>
      <c r="BD161" s="3069"/>
      <c r="BE161" s="3069"/>
      <c r="BF161" s="3069"/>
      <c r="BG161" s="3069"/>
      <c r="BH161" s="3069"/>
      <c r="BI161" s="3069"/>
      <c r="BJ161" s="3069"/>
      <c r="BK161" s="3069"/>
      <c r="BL161" s="3069"/>
      <c r="BM161" s="3069"/>
      <c r="BN161" s="3069"/>
      <c r="BO161" s="3069"/>
      <c r="BP161" s="3069"/>
      <c r="BQ161" s="3069"/>
      <c r="BR161" s="3069"/>
      <c r="BS161" s="3069"/>
      <c r="BT161" s="3069"/>
      <c r="BU161" s="3069"/>
      <c r="BV161" s="3069"/>
      <c r="BW161" s="3069"/>
      <c r="BX161" s="3069"/>
      <c r="BY161" s="3069"/>
      <c r="BZ161" s="3069"/>
      <c r="CA161" s="3069"/>
      <c r="CB161" s="3069"/>
      <c r="CC161" s="3069"/>
      <c r="CD161" s="3069"/>
      <c r="CE161" s="3069"/>
      <c r="CF161" s="3069"/>
      <c r="CG161" s="3069"/>
      <c r="CH161" s="3069"/>
      <c r="CI161" s="3069"/>
      <c r="CJ161" s="3069"/>
      <c r="CK161" s="3069"/>
      <c r="CL161" s="3069"/>
      <c r="CM161" s="3069"/>
      <c r="CN161" s="3069"/>
      <c r="CO161" s="3069"/>
      <c r="CP161" s="3069"/>
      <c r="CQ161" s="3069"/>
      <c r="CR161" s="3069"/>
      <c r="CS161" s="3069"/>
      <c r="CT161" s="3069"/>
      <c r="CU161" s="3069"/>
      <c r="CV161" s="3069"/>
      <c r="CW161" s="3069"/>
      <c r="CX161" s="3069"/>
      <c r="CY161" s="3160"/>
      <c r="CZ161" s="3160"/>
      <c r="DA161" s="3160"/>
      <c r="DB161" s="3160"/>
    </row>
    <row r="162" spans="1:106" s="3031" customFormat="1" ht="19.8" customHeight="1">
      <c r="A162" s="3163"/>
      <c r="B162" s="3164" t="s">
        <v>1102</v>
      </c>
      <c r="C162" s="3164" t="s">
        <v>1120</v>
      </c>
      <c r="D162" s="3164" t="s">
        <v>1121</v>
      </c>
      <c r="E162" s="3164" t="s">
        <v>1113</v>
      </c>
      <c r="F162" s="3164" t="s">
        <v>1115</v>
      </c>
      <c r="G162" s="3164" t="s">
        <v>1368</v>
      </c>
      <c r="H162" s="3164" t="s">
        <v>907</v>
      </c>
      <c r="I162" s="3164" t="s">
        <v>1114</v>
      </c>
      <c r="J162" s="3164" t="s">
        <v>1116</v>
      </c>
      <c r="K162" s="3164" t="s">
        <v>1368</v>
      </c>
      <c r="L162" s="3164" t="s">
        <v>907</v>
      </c>
      <c r="N162" s="3069"/>
      <c r="O162" s="3069"/>
      <c r="P162" s="3069"/>
      <c r="Q162" s="3069"/>
      <c r="R162" s="3069"/>
      <c r="S162" s="3069"/>
      <c r="T162" s="3069"/>
      <c r="U162" s="3069"/>
      <c r="V162" s="3069"/>
      <c r="W162" s="3069"/>
      <c r="X162" s="3069"/>
      <c r="Y162" s="3069"/>
      <c r="Z162" s="3069"/>
      <c r="AA162" s="3069"/>
      <c r="AB162" s="3069"/>
      <c r="AC162" s="3069"/>
      <c r="AD162" s="3069"/>
      <c r="AE162" s="3069"/>
      <c r="AF162" s="3069"/>
      <c r="AG162" s="3069"/>
      <c r="AH162" s="3069"/>
      <c r="AI162" s="3069"/>
      <c r="AJ162" s="3069"/>
      <c r="AK162" s="3069"/>
      <c r="AL162" s="3069"/>
      <c r="AM162" s="3069"/>
      <c r="AN162" s="3069"/>
      <c r="AO162" s="3069"/>
      <c r="AP162" s="3069"/>
      <c r="AQ162" s="3069"/>
      <c r="AR162" s="3069"/>
      <c r="AS162" s="3069"/>
      <c r="AT162" s="3069"/>
      <c r="AU162" s="3069"/>
      <c r="AV162" s="3069"/>
      <c r="AW162" s="3069"/>
      <c r="AX162" s="3069"/>
      <c r="AY162" s="3069"/>
      <c r="AZ162" s="3069"/>
      <c r="BA162" s="3069"/>
      <c r="BB162" s="3069"/>
      <c r="BC162" s="3069"/>
      <c r="BD162" s="3069"/>
      <c r="BE162" s="3069"/>
      <c r="BF162" s="3069"/>
      <c r="BG162" s="3069"/>
      <c r="BH162" s="3069"/>
      <c r="BI162" s="3069"/>
      <c r="BJ162" s="3069"/>
      <c r="BK162" s="3069"/>
      <c r="BL162" s="3069"/>
      <c r="BM162" s="3069"/>
      <c r="BN162" s="3069"/>
      <c r="BO162" s="3069"/>
      <c r="BP162" s="3069"/>
      <c r="BQ162" s="3069"/>
      <c r="BR162" s="3069"/>
      <c r="BS162" s="3069"/>
      <c r="BT162" s="3069"/>
      <c r="BU162" s="3069"/>
      <c r="BV162" s="3069"/>
      <c r="BW162" s="3069"/>
      <c r="BX162" s="3069"/>
      <c r="BY162" s="3069"/>
      <c r="BZ162" s="3069"/>
      <c r="CA162" s="3069"/>
      <c r="CB162" s="3069"/>
      <c r="CC162" s="3069"/>
      <c r="CD162" s="3069"/>
      <c r="CE162" s="3069"/>
      <c r="CF162" s="3069"/>
      <c r="CG162" s="3069"/>
      <c r="CH162" s="3069"/>
      <c r="CI162" s="3069"/>
      <c r="CJ162" s="3069"/>
      <c r="CK162" s="3069"/>
      <c r="CL162" s="3069"/>
      <c r="CM162" s="3069"/>
      <c r="CN162" s="3069"/>
      <c r="CO162" s="3069"/>
      <c r="CP162" s="3069"/>
      <c r="CQ162" s="3069"/>
      <c r="CR162" s="3069"/>
      <c r="CS162" s="3069"/>
      <c r="CT162" s="3069"/>
      <c r="CU162" s="3069"/>
      <c r="CV162" s="3069"/>
      <c r="CW162" s="3069"/>
      <c r="CX162" s="3069"/>
      <c r="CY162" s="3160"/>
      <c r="CZ162" s="3160"/>
      <c r="DA162" s="3160"/>
      <c r="DB162" s="3160"/>
    </row>
    <row r="163" spans="1:106" s="3038" customFormat="1" ht="17.399999999999999" customHeight="1" thickBot="1">
      <c r="A163" s="3165" t="str">
        <f t="shared" ref="A163:L163" si="170">CI152</f>
        <v>Januar</v>
      </c>
      <c r="B163" s="3166">
        <f t="shared" si="170"/>
        <v>13</v>
      </c>
      <c r="C163" s="3166">
        <f t="shared" si="170"/>
        <v>0</v>
      </c>
      <c r="D163" s="3166">
        <f t="shared" si="170"/>
        <v>0</v>
      </c>
      <c r="E163" s="3167">
        <f t="shared" si="170"/>
        <v>0</v>
      </c>
      <c r="F163" s="3167">
        <f t="shared" si="170"/>
        <v>5810.6724576762099</v>
      </c>
      <c r="G163" s="3167" t="str">
        <f t="shared" si="170"/>
        <v/>
      </c>
      <c r="H163" s="3167" t="str">
        <f t="shared" si="170"/>
        <v/>
      </c>
      <c r="I163" s="3167">
        <f t="shared" si="170"/>
        <v>0</v>
      </c>
      <c r="J163" s="3167">
        <f t="shared" si="170"/>
        <v>338.25761115560408</v>
      </c>
      <c r="K163" s="3167" t="str">
        <f t="shared" si="170"/>
        <v/>
      </c>
      <c r="L163" s="3167" t="str">
        <f t="shared" si="170"/>
        <v/>
      </c>
      <c r="N163" s="3070"/>
      <c r="O163" s="3070"/>
      <c r="P163" s="3070"/>
      <c r="Q163" s="3070"/>
      <c r="R163" s="3070"/>
      <c r="S163" s="3070"/>
      <c r="T163" s="3070"/>
      <c r="U163" s="3070"/>
      <c r="V163" s="3070"/>
      <c r="W163" s="3070"/>
      <c r="X163" s="3070"/>
      <c r="Y163" s="3070"/>
      <c r="Z163" s="3070"/>
      <c r="AA163" s="3070"/>
      <c r="AB163" s="3070"/>
      <c r="AC163" s="3070"/>
      <c r="AD163" s="3070"/>
      <c r="AE163" s="3070"/>
      <c r="AF163" s="3070"/>
      <c r="AG163" s="3070"/>
      <c r="AH163" s="3070"/>
      <c r="AI163" s="3070"/>
      <c r="AJ163" s="3070"/>
      <c r="AK163" s="3070"/>
      <c r="AL163" s="3070"/>
      <c r="AM163" s="3070"/>
      <c r="AN163" s="3070"/>
      <c r="AO163" s="3070"/>
      <c r="AP163" s="3070"/>
      <c r="AQ163" s="3070"/>
      <c r="AR163" s="3070"/>
      <c r="AS163" s="3070"/>
      <c r="AT163" s="3070"/>
      <c r="AU163" s="3070"/>
      <c r="AV163" s="3070"/>
      <c r="AW163" s="3070"/>
      <c r="AX163" s="3070"/>
      <c r="AY163" s="3070"/>
      <c r="AZ163" s="3070"/>
      <c r="BA163" s="3070"/>
      <c r="BB163" s="3070"/>
      <c r="BC163" s="3070"/>
      <c r="BD163" s="3070"/>
      <c r="BE163" s="3070"/>
      <c r="BF163" s="3070"/>
      <c r="BG163" s="3070"/>
      <c r="BH163" s="3070"/>
      <c r="BI163" s="3070"/>
      <c r="BJ163" s="3070"/>
      <c r="BK163" s="3070"/>
      <c r="BL163" s="3070"/>
      <c r="BM163" s="3070"/>
      <c r="BN163" s="3070"/>
      <c r="BO163" s="3070"/>
      <c r="BP163" s="3070"/>
      <c r="BQ163" s="3070"/>
      <c r="BR163" s="3070"/>
      <c r="BS163" s="3070"/>
      <c r="BT163" s="3070"/>
      <c r="BU163" s="3070"/>
      <c r="BV163" s="3070"/>
      <c r="BW163" s="3070"/>
      <c r="BX163" s="3070"/>
      <c r="BY163" s="3070"/>
      <c r="BZ163" s="3070"/>
      <c r="CA163" s="3070"/>
      <c r="CB163" s="3070"/>
      <c r="CC163" s="3070"/>
      <c r="CD163" s="3070"/>
      <c r="CE163" s="3070"/>
      <c r="CF163" s="3070"/>
      <c r="CG163" s="3070"/>
      <c r="CH163" s="3070"/>
      <c r="CI163" s="3070"/>
      <c r="CJ163" s="3070"/>
      <c r="CK163" s="3070"/>
      <c r="CL163" s="3070"/>
      <c r="CM163" s="3070"/>
      <c r="CN163" s="3070"/>
      <c r="CO163" s="3070"/>
      <c r="CP163" s="3070"/>
      <c r="CQ163" s="3070"/>
      <c r="CR163" s="3070"/>
      <c r="CS163" s="3070"/>
      <c r="CT163" s="3070"/>
      <c r="CU163" s="3070"/>
      <c r="CV163" s="3070"/>
      <c r="CW163" s="3070"/>
      <c r="CX163" s="3070"/>
      <c r="CY163" s="3158"/>
      <c r="CZ163" s="3158"/>
      <c r="DA163" s="3158"/>
      <c r="DB163" s="3158"/>
    </row>
    <row r="164" spans="1:106" s="3042" customFormat="1" ht="19.8" customHeight="1" thickBot="1">
      <c r="A164" s="3072"/>
      <c r="B164" s="3072"/>
      <c r="C164" s="3072"/>
      <c r="D164" s="3161"/>
      <c r="E164" s="3161"/>
      <c r="F164" s="3161"/>
      <c r="G164" s="3161"/>
      <c r="H164" s="3161"/>
      <c r="I164" s="3161"/>
      <c r="J164" s="3161"/>
      <c r="K164" s="3161"/>
      <c r="L164" s="3161"/>
      <c r="N164" s="3072"/>
      <c r="O164" s="3072"/>
      <c r="P164" s="3072"/>
      <c r="Q164" s="3072"/>
      <c r="R164" s="3072"/>
      <c r="S164" s="3072"/>
      <c r="T164" s="3072"/>
      <c r="U164" s="3072"/>
      <c r="V164" s="3072"/>
      <c r="W164" s="3072"/>
      <c r="X164" s="3072"/>
      <c r="Y164" s="3072"/>
      <c r="Z164" s="3072"/>
      <c r="AA164" s="3072"/>
      <c r="AB164" s="3072"/>
      <c r="AC164" s="3072"/>
      <c r="AD164" s="3072"/>
      <c r="AE164" s="3072"/>
      <c r="AF164" s="3072"/>
      <c r="AG164" s="3072"/>
      <c r="AH164" s="3072"/>
      <c r="AI164" s="3072"/>
      <c r="AJ164" s="3072"/>
      <c r="AK164" s="3072"/>
      <c r="AL164" s="3072"/>
      <c r="AM164" s="3072"/>
      <c r="AN164" s="3072"/>
      <c r="AO164" s="3072"/>
      <c r="AP164" s="3072"/>
      <c r="AQ164" s="3072"/>
      <c r="AR164" s="3072"/>
      <c r="AS164" s="3072"/>
      <c r="AT164" s="3072"/>
      <c r="AU164" s="3072"/>
      <c r="AV164" s="3072"/>
      <c r="AW164" s="3072"/>
      <c r="AX164" s="3072"/>
      <c r="AY164" s="3072"/>
      <c r="AZ164" s="3072"/>
      <c r="BA164" s="3072"/>
      <c r="BB164" s="3072"/>
      <c r="BC164" s="3072"/>
      <c r="BD164" s="3072"/>
      <c r="BE164" s="3072"/>
      <c r="BF164" s="3072"/>
      <c r="BG164" s="3072"/>
      <c r="BH164" s="3072"/>
      <c r="BI164" s="3072"/>
      <c r="BJ164" s="3072"/>
      <c r="BK164" s="3072"/>
      <c r="BL164" s="3072"/>
      <c r="BM164" s="3072"/>
      <c r="BN164" s="3072"/>
      <c r="BO164" s="3072"/>
      <c r="BP164" s="3072"/>
      <c r="BQ164" s="3072"/>
      <c r="BR164" s="3072"/>
      <c r="BS164" s="3072"/>
      <c r="BT164" s="3072"/>
      <c r="BU164" s="3072"/>
      <c r="BV164" s="3072"/>
      <c r="BW164" s="3072"/>
      <c r="BX164" s="3072"/>
      <c r="BY164" s="3072"/>
      <c r="BZ164" s="3072"/>
      <c r="CA164" s="3072"/>
      <c r="CB164" s="3072"/>
      <c r="CC164" s="3072"/>
      <c r="CD164" s="3072"/>
      <c r="CE164" s="3072"/>
      <c r="CF164" s="3072"/>
      <c r="CG164" s="3072"/>
      <c r="CH164" s="3072"/>
      <c r="CI164" s="3072"/>
      <c r="CJ164" s="3072"/>
      <c r="CK164" s="3072"/>
      <c r="CL164" s="3072"/>
      <c r="CM164" s="3072"/>
      <c r="CN164" s="3072"/>
      <c r="CO164" s="3072"/>
      <c r="CP164" s="3072"/>
      <c r="CQ164" s="3072"/>
      <c r="CR164" s="3072"/>
      <c r="CS164" s="3072"/>
      <c r="CT164" s="3072"/>
      <c r="CU164" s="3072"/>
      <c r="CV164" s="3072"/>
      <c r="CW164" s="3072"/>
      <c r="CX164" s="3072"/>
      <c r="CY164" s="3161"/>
      <c r="CZ164" s="3161"/>
      <c r="DA164" s="3161"/>
      <c r="DB164" s="3161"/>
    </row>
    <row r="165" spans="1:106" s="3048" customFormat="1" ht="17.399999999999999" customHeight="1">
      <c r="A165" s="3025" t="s">
        <v>1363</v>
      </c>
      <c r="B165" s="3026"/>
      <c r="C165" s="3027" t="s">
        <v>1394</v>
      </c>
      <c r="D165" s="3027"/>
      <c r="E165" s="4366" t="s">
        <v>1364</v>
      </c>
      <c r="F165" s="4367"/>
      <c r="G165" s="3028"/>
      <c r="H165" s="3029"/>
      <c r="I165" s="4368" t="s">
        <v>1365</v>
      </c>
      <c r="J165" s="4369"/>
      <c r="K165" s="3030"/>
      <c r="L165" s="3162"/>
      <c r="N165" s="3073"/>
      <c r="O165" s="3073"/>
      <c r="P165" s="3073"/>
      <c r="Q165" s="3073"/>
      <c r="R165" s="3073"/>
      <c r="S165" s="3073"/>
      <c r="T165" s="3073"/>
      <c r="U165" s="3073"/>
      <c r="V165" s="3073"/>
      <c r="W165" s="3073"/>
      <c r="X165" s="3073"/>
      <c r="Y165" s="3073"/>
      <c r="Z165" s="3073"/>
      <c r="AA165" s="3073"/>
      <c r="AB165" s="3073"/>
      <c r="AC165" s="3073"/>
      <c r="AD165" s="3073"/>
      <c r="AE165" s="3073"/>
      <c r="AF165" s="3073"/>
      <c r="AG165" s="3073"/>
      <c r="AH165" s="3073"/>
      <c r="AI165" s="3073"/>
      <c r="AJ165" s="3073"/>
      <c r="AK165" s="3073"/>
      <c r="AL165" s="3073"/>
      <c r="AM165" s="3073"/>
      <c r="AN165" s="3073"/>
      <c r="AO165" s="3073"/>
      <c r="AP165" s="3073"/>
      <c r="AQ165" s="3073"/>
      <c r="AR165" s="3073"/>
      <c r="AS165" s="3073"/>
      <c r="AT165" s="3073"/>
      <c r="AU165" s="3073"/>
      <c r="AV165" s="3073"/>
      <c r="AW165" s="3073"/>
      <c r="AX165" s="3073"/>
      <c r="AY165" s="3073"/>
      <c r="AZ165" s="3073"/>
      <c r="BA165" s="3073"/>
      <c r="BB165" s="3073"/>
      <c r="BC165" s="3073"/>
      <c r="BD165" s="3073"/>
      <c r="BE165" s="3073"/>
      <c r="BF165" s="3073"/>
      <c r="BG165" s="3073"/>
      <c r="BH165" s="3073"/>
      <c r="BI165" s="3073"/>
      <c r="BJ165" s="3073"/>
      <c r="BK165" s="3073"/>
      <c r="BL165" s="3073"/>
      <c r="BM165" s="3073"/>
      <c r="BN165" s="3073"/>
      <c r="BO165" s="3073"/>
      <c r="BP165" s="3073"/>
      <c r="BQ165" s="3073"/>
      <c r="BR165" s="3073"/>
      <c r="BS165" s="3073"/>
      <c r="BT165" s="3073"/>
      <c r="BU165" s="3073"/>
      <c r="BV165" s="3073"/>
      <c r="BW165" s="3073"/>
      <c r="BX165" s="3073"/>
      <c r="BY165" s="3073"/>
      <c r="BZ165" s="3073"/>
      <c r="CA165" s="3073"/>
      <c r="CB165" s="3073"/>
      <c r="CC165" s="3073"/>
      <c r="CD165" s="3073"/>
      <c r="CE165" s="3073"/>
      <c r="CF165" s="3073"/>
      <c r="CG165" s="3073"/>
      <c r="CH165" s="3073"/>
      <c r="CI165" s="3073"/>
      <c r="CJ165" s="3073"/>
      <c r="CK165" s="3073"/>
      <c r="CL165" s="3073"/>
      <c r="CM165" s="3073"/>
      <c r="CN165" s="3073"/>
      <c r="CO165" s="3073"/>
      <c r="CP165" s="3073"/>
      <c r="CQ165" s="3073"/>
      <c r="CR165" s="3073"/>
      <c r="CS165" s="3073"/>
      <c r="CT165" s="3073"/>
      <c r="CU165" s="3073"/>
      <c r="CV165" s="3073"/>
      <c r="CW165" s="3073"/>
      <c r="CX165" s="3073"/>
      <c r="CY165" s="3162"/>
      <c r="CZ165" s="3162"/>
      <c r="DA165" s="3162"/>
      <c r="DB165" s="3162"/>
    </row>
    <row r="166" spans="1:106" ht="16.2" customHeight="1">
      <c r="A166" s="3032" t="s">
        <v>1366</v>
      </c>
      <c r="B166" s="3032" t="s">
        <v>1367</v>
      </c>
      <c r="C166" s="3033" t="s">
        <v>1368</v>
      </c>
      <c r="E166" s="3034" t="s">
        <v>1113</v>
      </c>
      <c r="F166" s="3034" t="s">
        <v>1115</v>
      </c>
      <c r="G166" s="3035" t="s">
        <v>1368</v>
      </c>
      <c r="I166" s="3036" t="s">
        <v>1114</v>
      </c>
      <c r="J166" s="3036" t="s">
        <v>1116</v>
      </c>
      <c r="K166" s="3033" t="s">
        <v>1368</v>
      </c>
      <c r="L166" s="1869"/>
      <c r="N166" s="565"/>
      <c r="O166" s="565"/>
      <c r="P166" s="565"/>
    </row>
    <row r="167" spans="1:106" ht="16.2" customHeight="1">
      <c r="A167" s="3037">
        <f>E167+I167</f>
        <v>0</v>
      </c>
      <c r="B167" s="3037">
        <f>BP152</f>
        <v>37832</v>
      </c>
      <c r="C167" s="3052">
        <f>A167-B167</f>
        <v>-37832</v>
      </c>
      <c r="D167" s="3038"/>
      <c r="E167" s="3039">
        <f>BS152</f>
        <v>0</v>
      </c>
      <c r="F167" s="3039">
        <f>BT152</f>
        <v>35757.984354930522</v>
      </c>
      <c r="G167" s="3053">
        <f>BU152</f>
        <v>-35757.984354930522</v>
      </c>
      <c r="H167" s="3038"/>
      <c r="I167" s="3037">
        <f>BW152</f>
        <v>0</v>
      </c>
      <c r="J167" s="3037">
        <f>BX152</f>
        <v>2081.5852994191018</v>
      </c>
      <c r="K167" s="3052">
        <f>BY152</f>
        <v>-2081.5852994191018</v>
      </c>
      <c r="L167" s="1869"/>
      <c r="N167" s="565"/>
      <c r="O167" s="565"/>
      <c r="P167" s="565"/>
    </row>
    <row r="168" spans="1:106" ht="16.2" customHeight="1">
      <c r="A168" s="3040" t="s">
        <v>1150</v>
      </c>
      <c r="B168" s="3032" t="s">
        <v>1369</v>
      </c>
      <c r="C168" s="3036" t="s">
        <v>907</v>
      </c>
      <c r="E168" s="3041" t="s">
        <v>1370</v>
      </c>
      <c r="F168" s="3041" t="s">
        <v>1148</v>
      </c>
      <c r="G168" s="3034" t="s">
        <v>907</v>
      </c>
      <c r="I168" s="3040" t="s">
        <v>1371</v>
      </c>
      <c r="J168" s="3040" t="s">
        <v>1149</v>
      </c>
      <c r="K168" s="3036" t="s">
        <v>907</v>
      </c>
      <c r="L168" s="1869"/>
      <c r="M168" s="565"/>
      <c r="N168" s="565"/>
      <c r="O168" s="565"/>
      <c r="P168" s="565"/>
    </row>
    <row r="169" spans="1:106" ht="16.2" customHeight="1" thickBot="1">
      <c r="A169" s="3043">
        <f>CE152</f>
        <v>0</v>
      </c>
      <c r="B169" s="3044" t="str">
        <f>CA152</f>
        <v/>
      </c>
      <c r="C169" s="3043">
        <f>SUM(G169,K169)</f>
        <v>0</v>
      </c>
      <c r="D169" s="3045"/>
      <c r="E169" s="3046" t="str">
        <f>CB152</f>
        <v/>
      </c>
      <c r="F169" s="3047">
        <f>CF152</f>
        <v>0</v>
      </c>
      <c r="G169" s="3047" t="str">
        <f>BV152</f>
        <v/>
      </c>
      <c r="H169" s="3045"/>
      <c r="I169" s="3044" t="str">
        <f>CC152</f>
        <v/>
      </c>
      <c r="J169" s="3043">
        <f>CG152</f>
        <v>0</v>
      </c>
      <c r="K169" s="3043" t="str">
        <f>BZ152</f>
        <v/>
      </c>
      <c r="L169" s="1869"/>
      <c r="N169" s="565"/>
      <c r="O169" s="565"/>
      <c r="P169" s="565"/>
    </row>
    <row r="170" spans="1:106">
      <c r="N170" s="565"/>
      <c r="O170" s="565"/>
      <c r="P170" s="565"/>
    </row>
    <row r="171" spans="1:106" ht="76.8" customHeight="1">
      <c r="A171" s="4360" t="str">
        <f>N173</f>
        <v>Salli</v>
      </c>
      <c r="B171" s="4361"/>
      <c r="C171" s="3168" t="s">
        <v>1348</v>
      </c>
      <c r="D171" s="3168" t="s">
        <v>1349</v>
      </c>
      <c r="E171" s="3168" t="s">
        <v>1350</v>
      </c>
      <c r="F171" s="3168" t="s">
        <v>1351</v>
      </c>
      <c r="G171" s="3168" t="s">
        <v>663</v>
      </c>
      <c r="H171" s="3168" t="s">
        <v>490</v>
      </c>
      <c r="I171" s="3168" t="s">
        <v>1352</v>
      </c>
      <c r="J171" s="3168" t="s">
        <v>1353</v>
      </c>
      <c r="K171" s="3168" t="s">
        <v>1354</v>
      </c>
      <c r="L171" s="3169"/>
      <c r="N171" s="565"/>
      <c r="O171" s="3074">
        <f>O$1</f>
        <v>0</v>
      </c>
      <c r="P171" s="3074">
        <f t="shared" ref="P171:CA171" si="171">P$1</f>
        <v>0</v>
      </c>
      <c r="Q171" s="3074" t="str">
        <f t="shared" si="171"/>
        <v>Bruttolohn pro Monat 
ohne Provision</v>
      </c>
      <c r="R171" s="3074" t="str">
        <f t="shared" si="171"/>
        <v>einmalige Sonderzahlung z.B.Weihnachts-geld</v>
      </c>
      <c r="S171" s="3074" t="str">
        <f t="shared" si="171"/>
        <v xml:space="preserve">einmalige Sonderzahlung z.B. Urlaubsgeld </v>
      </c>
      <c r="T171" s="3074" t="str">
        <f t="shared" si="171"/>
        <v>regelmäßige monatl. Sonder-zahlung (z.B.Werkzeuggeld, VWL usw.)</v>
      </c>
      <c r="U171" s="3074" t="str">
        <f t="shared" si="171"/>
        <v>einmalige steuerfreie Sonder-zahlung</v>
      </c>
      <c r="V171" s="3074" t="str">
        <f t="shared" si="171"/>
        <v>regelmäßige monatl. Sonder-zahlung steuerfrei</v>
      </c>
      <c r="W171" s="3074" t="str">
        <f t="shared" si="171"/>
        <v>Bruttolohn pro Stunde</v>
      </c>
      <c r="X171" s="3074" t="str">
        <f t="shared" si="171"/>
        <v>Gesamtlohn. Alle Sonderzahl-ungen sind auf 1 Monat gerechnet</v>
      </c>
      <c r="Y171" s="3074" t="str">
        <f t="shared" si="171"/>
        <v xml:space="preserve">Wochenstd.   x  4,33  =  
Arb. -Std. pro Monat </v>
      </c>
      <c r="Z171" s="3074" t="str">
        <f t="shared" si="171"/>
        <v>Stunden - Lohn 
Bruttolohn incl. aller Zusatz-zahlungen</v>
      </c>
      <c r="AA171" s="3074" t="str">
        <f t="shared" si="171"/>
        <v>Wieviele bezahlte Anwesend-heitsmonate in diesem Planungsjahr</v>
      </c>
      <c r="AB171" s="3074" t="str">
        <f t="shared" si="171"/>
        <v>Daraus resultierende wahrschein-liche Arbeitstage im Jahr</v>
      </c>
      <c r="AC171" s="3074" t="str">
        <f t="shared" si="171"/>
        <v>Personal-faktor / VBE</v>
      </c>
      <c r="AD171" s="3074" t="str">
        <f t="shared" si="171"/>
        <v>Brutto Jahreslohn-summe</v>
      </c>
      <c r="AE171" s="3074" t="str">
        <f t="shared" si="171"/>
        <v>Summe Url.-+Weihn.-Geld usw. monatlich</v>
      </c>
      <c r="AF171" s="3074" t="str">
        <f t="shared" si="171"/>
        <v>x Lohn-faktor</v>
      </c>
      <c r="AG171" s="3074" t="str">
        <f t="shared" si="171"/>
        <v>Sollumsatz pro Arbeits-monat €</v>
      </c>
      <c r="AH171" s="3074" t="str">
        <f t="shared" si="171"/>
        <v>Sollumsatz DL pro Anwesen-heitstag €</v>
      </c>
      <c r="AI171" s="3074" t="str">
        <f t="shared" si="171"/>
        <v>Verkaufs-anteil %</v>
      </c>
      <c r="AJ171" s="3074" t="str">
        <f t="shared" si="171"/>
        <v>Verkaufs-anteil € pro Tag</v>
      </c>
      <c r="AK171" s="3074">
        <f t="shared" si="171"/>
        <v>0</v>
      </c>
      <c r="AL171" s="3074" t="str">
        <f t="shared" si="171"/>
        <v>Gesamt-sollumsatz pro Tag €</v>
      </c>
      <c r="AM171" s="3074">
        <f t="shared" si="171"/>
        <v>0</v>
      </c>
      <c r="AN171" s="3074">
        <f t="shared" si="171"/>
        <v>0</v>
      </c>
      <c r="AO171" s="3074" t="str">
        <f t="shared" si="171"/>
        <v>Std</v>
      </c>
      <c r="AP171" s="3074" t="str">
        <f t="shared" si="171"/>
        <v>Tage pro Woche</v>
      </c>
      <c r="AQ171" s="3074" t="str">
        <f t="shared" si="171"/>
        <v>Tage pro Monat</v>
      </c>
      <c r="AR171" s="3074" t="str">
        <f t="shared" si="171"/>
        <v>Gesamtumsatz pro M.</v>
      </c>
      <c r="AS171" s="3074" t="str">
        <f t="shared" si="171"/>
        <v>DL-Umsatz pro M.</v>
      </c>
      <c r="AT171" s="3074" t="str">
        <f t="shared" si="171"/>
        <v>VK-Umsatz pro M.</v>
      </c>
      <c r="AU171" s="3074" t="str">
        <f t="shared" si="171"/>
        <v>Umsatz p. Woche</v>
      </c>
      <c r="AV171" s="3074" t="str">
        <f t="shared" si="171"/>
        <v>Umsatz p. Std</v>
      </c>
      <c r="AW171" s="3074">
        <f t="shared" si="171"/>
        <v>0</v>
      </c>
      <c r="AX171" s="3074" t="str">
        <f t="shared" si="171"/>
        <v>Umsatz p. Std mit Leerlauf</v>
      </c>
      <c r="AY171" s="3074" t="str">
        <f t="shared" si="171"/>
        <v>&lt;-- andern auf Seite 22</v>
      </c>
      <c r="AZ171" s="3074">
        <f t="shared" si="171"/>
        <v>0</v>
      </c>
      <c r="BA171" s="3074" t="str">
        <f t="shared" si="171"/>
        <v>Montag</v>
      </c>
      <c r="BB171" s="3074">
        <f t="shared" si="171"/>
        <v>0</v>
      </c>
      <c r="BC171" s="3074" t="str">
        <f t="shared" si="171"/>
        <v>Dienstag</v>
      </c>
      <c r="BD171" s="3074">
        <f t="shared" si="171"/>
        <v>0</v>
      </c>
      <c r="BE171" s="3074" t="str">
        <f t="shared" si="171"/>
        <v>Mittwoch</v>
      </c>
      <c r="BF171" s="3074">
        <f t="shared" si="171"/>
        <v>0</v>
      </c>
      <c r="BG171" s="3074" t="str">
        <f t="shared" si="171"/>
        <v>Donnerstag</v>
      </c>
      <c r="BH171" s="3074">
        <f t="shared" si="171"/>
        <v>0</v>
      </c>
      <c r="BI171" s="3074" t="str">
        <f t="shared" si="171"/>
        <v>Freitag</v>
      </c>
      <c r="BJ171" s="3074">
        <f t="shared" si="171"/>
        <v>0</v>
      </c>
      <c r="BK171" s="3074" t="str">
        <f t="shared" si="171"/>
        <v>Samstag</v>
      </c>
      <c r="BL171" s="3074">
        <f t="shared" si="171"/>
        <v>0</v>
      </c>
      <c r="BM171" s="3074" t="str">
        <f t="shared" si="171"/>
        <v>Arbeitstage</v>
      </c>
      <c r="BN171" s="3074" t="str">
        <f t="shared" si="171"/>
        <v>Urlaubstage</v>
      </c>
      <c r="BO171" s="3074" t="str">
        <f t="shared" si="171"/>
        <v>Krankentage</v>
      </c>
      <c r="BP171" s="3074" t="str">
        <f t="shared" si="171"/>
        <v>Ums/Ges</v>
      </c>
      <c r="BQ171" s="3074" t="str">
        <f t="shared" si="171"/>
        <v>Ums/DL</v>
      </c>
      <c r="BR171" s="3074" t="str">
        <f t="shared" si="171"/>
        <v>Ums/VK</v>
      </c>
      <c r="BS171" s="3074" t="str">
        <f t="shared" si="171"/>
        <v>DL Differenz Soll/Ist</v>
      </c>
      <c r="BT171" s="3074">
        <f t="shared" si="171"/>
        <v>0</v>
      </c>
      <c r="BU171" s="3074">
        <f t="shared" si="171"/>
        <v>0</v>
      </c>
      <c r="BV171" s="3074">
        <f t="shared" si="171"/>
        <v>0</v>
      </c>
      <c r="BW171" s="3074" t="str">
        <f t="shared" si="171"/>
        <v>Verkauf Differenz Soll/Ist</v>
      </c>
      <c r="BX171" s="3074">
        <f t="shared" si="171"/>
        <v>0</v>
      </c>
      <c r="BY171" s="3074">
        <f t="shared" si="171"/>
        <v>0</v>
      </c>
      <c r="BZ171" s="3074">
        <f t="shared" si="171"/>
        <v>0</v>
      </c>
      <c r="CA171" s="3074">
        <f t="shared" si="171"/>
        <v>0</v>
      </c>
      <c r="CB171" s="3074" t="str">
        <f t="shared" ref="CB171:CG171" si="172">CB$1</f>
        <v>Monate im +</v>
      </c>
      <c r="CC171" s="3074" t="str">
        <f t="shared" si="172"/>
        <v>Monate im +</v>
      </c>
      <c r="CD171" s="3074">
        <f t="shared" si="172"/>
        <v>0</v>
      </c>
      <c r="CE171" s="3074">
        <f t="shared" si="172"/>
        <v>0</v>
      </c>
      <c r="CF171" s="3074">
        <f t="shared" si="172"/>
        <v>0</v>
      </c>
      <c r="CG171" s="3074">
        <f t="shared" si="172"/>
        <v>0</v>
      </c>
    </row>
    <row r="172" spans="1:106" s="3000" customFormat="1" ht="20.399999999999999" customHeight="1" thickBot="1">
      <c r="A172" s="3051">
        <f>CH173</f>
        <v>9</v>
      </c>
      <c r="B172" s="3001"/>
      <c r="C172" s="3002">
        <f t="shared" ref="C172" si="173">Q173</f>
        <v>1600</v>
      </c>
      <c r="D172" s="3002">
        <f t="shared" ref="D172" si="174">R173</f>
        <v>0</v>
      </c>
      <c r="E172" s="3002">
        <f t="shared" ref="E172" si="175">S173</f>
        <v>0</v>
      </c>
      <c r="F172" s="3002">
        <f t="shared" ref="F172" si="176">T173</f>
        <v>0</v>
      </c>
      <c r="G172" s="3002">
        <f t="shared" ref="G172" si="177">U173</f>
        <v>0</v>
      </c>
      <c r="H172" s="3002">
        <f t="shared" ref="H172" si="178">V173</f>
        <v>0</v>
      </c>
      <c r="I172" s="3002">
        <f>X173</f>
        <v>1600</v>
      </c>
      <c r="J172" s="3003">
        <f>AA173</f>
        <v>5</v>
      </c>
      <c r="K172" s="3004">
        <f>AD173</f>
        <v>8000</v>
      </c>
      <c r="N172" s="565" t="s">
        <v>1345</v>
      </c>
      <c r="O172" s="3074">
        <f t="shared" ref="O172:AT172" si="179">O131</f>
        <v>0</v>
      </c>
      <c r="P172" s="3074">
        <f t="shared" si="179"/>
        <v>0</v>
      </c>
      <c r="Q172" s="3074" t="str">
        <f t="shared" si="179"/>
        <v/>
      </c>
      <c r="R172" s="3074">
        <f t="shared" si="179"/>
        <v>0</v>
      </c>
      <c r="S172" s="3074">
        <f t="shared" si="179"/>
        <v>0</v>
      </c>
      <c r="T172" s="3074">
        <f t="shared" si="179"/>
        <v>0</v>
      </c>
      <c r="U172" s="3074">
        <f t="shared" si="179"/>
        <v>0</v>
      </c>
      <c r="V172" s="3074">
        <f t="shared" si="179"/>
        <v>0</v>
      </c>
      <c r="W172" s="3074" t="e">
        <f t="shared" si="179"/>
        <v>#VALUE!</v>
      </c>
      <c r="X172" s="3074" t="str">
        <f t="shared" si="179"/>
        <v/>
      </c>
      <c r="Y172" s="3074" t="str">
        <f t="shared" si="179"/>
        <v/>
      </c>
      <c r="Z172" s="3074" t="str">
        <f t="shared" si="179"/>
        <v/>
      </c>
      <c r="AA172" s="3074" t="str">
        <f t="shared" si="179"/>
        <v/>
      </c>
      <c r="AB172" s="3074" t="str">
        <f t="shared" si="179"/>
        <v/>
      </c>
      <c r="AC172" s="3074" t="str">
        <f t="shared" si="179"/>
        <v/>
      </c>
      <c r="AD172" s="3074" t="str">
        <f t="shared" si="179"/>
        <v/>
      </c>
      <c r="AE172" s="3074">
        <f t="shared" si="179"/>
        <v>0</v>
      </c>
      <c r="AF172" s="3074" t="str">
        <f t="shared" si="179"/>
        <v/>
      </c>
      <c r="AG172" s="3074" t="str">
        <f t="shared" si="179"/>
        <v/>
      </c>
      <c r="AH172" s="3074" t="str">
        <f t="shared" si="179"/>
        <v/>
      </c>
      <c r="AI172" s="3074">
        <f t="shared" si="179"/>
        <v>5.5021555102258944E-2</v>
      </c>
      <c r="AJ172" s="3074" t="str">
        <f t="shared" si="179"/>
        <v/>
      </c>
      <c r="AK172" s="3074">
        <f t="shared" si="179"/>
        <v>0</v>
      </c>
      <c r="AL172" s="3074" t="str">
        <f t="shared" si="179"/>
        <v/>
      </c>
      <c r="AM172" s="3074">
        <f t="shared" si="179"/>
        <v>0</v>
      </c>
      <c r="AN172" s="3074">
        <f t="shared" si="179"/>
        <v>0</v>
      </c>
      <c r="AO172" s="3074" t="str">
        <f t="shared" si="179"/>
        <v/>
      </c>
      <c r="AP172" s="3074" t="str">
        <f t="shared" si="179"/>
        <v/>
      </c>
      <c r="AQ172" s="3074" t="str">
        <f t="shared" si="179"/>
        <v/>
      </c>
      <c r="AR172" s="3074" t="str">
        <f t="shared" si="179"/>
        <v/>
      </c>
      <c r="AS172" s="3074" t="str">
        <f t="shared" si="179"/>
        <v/>
      </c>
      <c r="AT172" s="3074" t="str">
        <f t="shared" si="179"/>
        <v/>
      </c>
      <c r="AU172" s="3074" t="str">
        <f t="shared" ref="AU172:BZ172" si="180">AU131</f>
        <v/>
      </c>
      <c r="AV172" s="3074" t="str">
        <f t="shared" si="180"/>
        <v/>
      </c>
      <c r="AW172" s="3074">
        <f t="shared" si="180"/>
        <v>0</v>
      </c>
      <c r="AX172" s="3074" t="str">
        <f t="shared" si="180"/>
        <v/>
      </c>
      <c r="AY172" s="3074" t="str">
        <f t="shared" si="180"/>
        <v/>
      </c>
      <c r="AZ172" s="3074" t="str">
        <f t="shared" si="180"/>
        <v/>
      </c>
      <c r="BA172" s="3074" t="str">
        <f t="shared" si="180"/>
        <v/>
      </c>
      <c r="BB172" s="3074" t="str">
        <f t="shared" si="180"/>
        <v/>
      </c>
      <c r="BC172" s="3074" t="str">
        <f t="shared" si="180"/>
        <v/>
      </c>
      <c r="BD172" s="3074" t="str">
        <f t="shared" si="180"/>
        <v/>
      </c>
      <c r="BE172" s="3074" t="str">
        <f t="shared" si="180"/>
        <v/>
      </c>
      <c r="BF172" s="3074" t="str">
        <f t="shared" si="180"/>
        <v/>
      </c>
      <c r="BG172" s="3074" t="str">
        <f t="shared" si="180"/>
        <v/>
      </c>
      <c r="BH172" s="3074" t="str">
        <f t="shared" si="180"/>
        <v/>
      </c>
      <c r="BI172" s="3074" t="str">
        <f t="shared" si="180"/>
        <v/>
      </c>
      <c r="BJ172" s="3074" t="str">
        <f t="shared" si="180"/>
        <v/>
      </c>
      <c r="BK172" s="3074" t="str">
        <f t="shared" si="180"/>
        <v/>
      </c>
      <c r="BL172" s="3074" t="str">
        <f t="shared" si="180"/>
        <v/>
      </c>
      <c r="BM172" s="3074" t="str">
        <f t="shared" si="180"/>
        <v/>
      </c>
      <c r="BN172" s="3074" t="str">
        <f t="shared" si="180"/>
        <v/>
      </c>
      <c r="BO172" s="3074" t="str">
        <f t="shared" si="180"/>
        <v/>
      </c>
      <c r="BP172" s="3074" t="str">
        <f t="shared" si="180"/>
        <v/>
      </c>
      <c r="BQ172" s="3074" t="str">
        <f t="shared" si="180"/>
        <v/>
      </c>
      <c r="BR172" s="3074" t="str">
        <f t="shared" si="180"/>
        <v/>
      </c>
      <c r="BS172" s="3074" t="str">
        <f t="shared" si="180"/>
        <v/>
      </c>
      <c r="BT172" s="3074" t="str">
        <f t="shared" si="180"/>
        <v/>
      </c>
      <c r="BU172" s="3074" t="str">
        <f t="shared" si="180"/>
        <v/>
      </c>
      <c r="BV172" s="3074" t="str">
        <f t="shared" si="180"/>
        <v/>
      </c>
      <c r="BW172" s="3074" t="str">
        <f t="shared" si="180"/>
        <v/>
      </c>
      <c r="BX172" s="3074" t="str">
        <f t="shared" si="180"/>
        <v/>
      </c>
      <c r="BY172" s="3074" t="str">
        <f t="shared" si="180"/>
        <v/>
      </c>
      <c r="BZ172" s="3074" t="str">
        <f t="shared" si="180"/>
        <v/>
      </c>
      <c r="CA172" s="3074" t="str">
        <f t="shared" ref="CA172:CG172" si="181">CA131</f>
        <v/>
      </c>
      <c r="CB172" s="3074" t="str">
        <f t="shared" si="181"/>
        <v/>
      </c>
      <c r="CC172" s="3074" t="str">
        <f t="shared" si="181"/>
        <v/>
      </c>
      <c r="CD172" s="3074" t="str">
        <f t="shared" si="181"/>
        <v/>
      </c>
      <c r="CE172" s="3074" t="str">
        <f t="shared" si="181"/>
        <v/>
      </c>
      <c r="CF172" s="3074" t="str">
        <f t="shared" si="181"/>
        <v/>
      </c>
      <c r="CG172" s="3074" t="str">
        <f t="shared" si="181"/>
        <v/>
      </c>
      <c r="CH172" s="3062"/>
      <c r="CI172" s="3062"/>
      <c r="CJ172" s="3062"/>
      <c r="CK172" s="3062"/>
      <c r="CL172" s="3062"/>
      <c r="CM172" s="3062"/>
      <c r="CN172" s="3062"/>
      <c r="CO172" s="3062"/>
      <c r="CP172" s="3062"/>
      <c r="CQ172" s="3062"/>
      <c r="CR172" s="3062"/>
      <c r="CS172" s="3062"/>
      <c r="CT172" s="3062"/>
      <c r="CU172" s="3062"/>
      <c r="CV172" s="3062"/>
      <c r="CW172" s="3062"/>
      <c r="CX172" s="3062"/>
      <c r="CY172" s="3159"/>
      <c r="CZ172" s="3159"/>
      <c r="DA172" s="3159"/>
      <c r="DB172" s="3159"/>
    </row>
    <row r="173" spans="1:106" s="3005" customFormat="1" ht="41.4" customHeight="1">
      <c r="B173" s="3006"/>
      <c r="C173" s="3007" t="s">
        <v>1296</v>
      </c>
      <c r="D173" s="3007" t="s">
        <v>1355</v>
      </c>
      <c r="E173" s="3007" t="s">
        <v>1356</v>
      </c>
      <c r="F173" s="3007" t="s">
        <v>1357</v>
      </c>
      <c r="G173" s="3007" t="s">
        <v>1358</v>
      </c>
      <c r="H173" s="3007" t="s">
        <v>1359</v>
      </c>
      <c r="I173" s="3007" t="s">
        <v>1360</v>
      </c>
      <c r="J173" s="3007" t="s">
        <v>1361</v>
      </c>
      <c r="N173" s="565" t="str">
        <f>MAdaten!A12</f>
        <v>Salli</v>
      </c>
      <c r="O173" s="565">
        <f>MAdaten!B12</f>
        <v>0</v>
      </c>
      <c r="P173" s="565">
        <f>MAdaten!C12</f>
        <v>0</v>
      </c>
      <c r="Q173" s="565">
        <f>MAdaten!D12</f>
        <v>1600</v>
      </c>
      <c r="R173" s="565">
        <f>MAdaten!E12</f>
        <v>0</v>
      </c>
      <c r="S173" s="565">
        <f>MAdaten!F12</f>
        <v>0</v>
      </c>
      <c r="T173" s="565">
        <f>MAdaten!G12</f>
        <v>0</v>
      </c>
      <c r="U173" s="565">
        <f>MAdaten!H12</f>
        <v>0</v>
      </c>
      <c r="V173" s="565">
        <f>MAdaten!I12</f>
        <v>0</v>
      </c>
      <c r="W173" s="565">
        <f>MAdaten!J12</f>
        <v>14.490784766562513</v>
      </c>
      <c r="X173" s="565">
        <f>MAdaten!K12</f>
        <v>1600</v>
      </c>
      <c r="Y173" s="565">
        <f>MAdaten!L12</f>
        <v>110.41500000000001</v>
      </c>
      <c r="Z173" s="565">
        <f>MAdaten!M12</f>
        <v>14.490784766562513</v>
      </c>
      <c r="AA173" s="565">
        <f>MAdaten!N12</f>
        <v>5</v>
      </c>
      <c r="AB173" s="565">
        <f>MAdaten!O12</f>
        <v>63.143307499999999</v>
      </c>
      <c r="AC173" s="565">
        <f>MAdaten!P12</f>
        <v>0.265625</v>
      </c>
      <c r="AD173" s="565">
        <f>MAdaten!Q12</f>
        <v>8000</v>
      </c>
      <c r="AE173" s="565">
        <f>MAdaten!R12</f>
        <v>0</v>
      </c>
      <c r="AF173" s="565">
        <f>MAdaten!S12</f>
        <v>4.63</v>
      </c>
      <c r="AG173" s="565">
        <f>MAdaten!T12</f>
        <v>7408</v>
      </c>
      <c r="AH173" s="565">
        <f>MAdaten!U12</f>
        <v>462.09445955499535</v>
      </c>
      <c r="AI173" s="565">
        <f>MAdaten!V12</f>
        <v>5.5021555102258944E-2</v>
      </c>
      <c r="AJ173" s="565">
        <f>MAdaten!W12</f>
        <v>26.905540445004625</v>
      </c>
      <c r="AK173" s="565">
        <f>MAdaten!X12</f>
        <v>0</v>
      </c>
      <c r="AL173" s="565">
        <f>MAdaten!Y12</f>
        <v>488.82</v>
      </c>
      <c r="AM173" s="565">
        <f>MAdaten!Z12</f>
        <v>0</v>
      </c>
      <c r="AN173" s="565">
        <f>MAdaten!AA12</f>
        <v>0</v>
      </c>
      <c r="AO173" s="565">
        <f>MAdaten!AB12</f>
        <v>25.5</v>
      </c>
      <c r="AP173" s="565">
        <f>MAdaten!AC12</f>
        <v>3.5</v>
      </c>
      <c r="AQ173" s="565">
        <f>MAdaten!AD12</f>
        <v>15.155000000000001</v>
      </c>
      <c r="AR173" s="565">
        <f>MAdaten!AE12</f>
        <v>7408</v>
      </c>
      <c r="AS173" s="565">
        <f>MAdaten!AF12</f>
        <v>7000.4003198024657</v>
      </c>
      <c r="AT173" s="565">
        <f>MAdaten!AG12</f>
        <v>407.59968019753427</v>
      </c>
      <c r="AU173" s="565">
        <f>MAdaten!AH12</f>
        <v>1711.5</v>
      </c>
      <c r="AV173" s="565">
        <f>MAdaten!AI12</f>
        <v>67.092333469184439</v>
      </c>
      <c r="AW173" s="565">
        <f>MAdaten!AJ12</f>
        <v>0</v>
      </c>
      <c r="AX173" s="565">
        <f>MAdaten!AK12</f>
        <v>83.865416836480549</v>
      </c>
      <c r="AY173" s="565" t="str">
        <f>MAdaten!AL12</f>
        <v>Salli</v>
      </c>
      <c r="AZ173" s="565">
        <f>MAdaten!AM12</f>
        <v>30878.312500000004</v>
      </c>
      <c r="BA173" s="565" t="str">
        <f>MAdaten!AN12</f>
        <v/>
      </c>
      <c r="BB173" s="565" t="str">
        <f>MAdaten!AO12</f>
        <v/>
      </c>
      <c r="BC173" s="565" t="str">
        <f>MAdaten!AP12</f>
        <v/>
      </c>
      <c r="BD173" s="565" t="str">
        <f>MAdaten!AQ12</f>
        <v/>
      </c>
      <c r="BE173" s="565">
        <f>MAdaten!AR12</f>
        <v>4</v>
      </c>
      <c r="BF173" s="565">
        <f>MAdaten!AS12</f>
        <v>268.36933387673776</v>
      </c>
      <c r="BG173" s="565">
        <f>MAdaten!AT12</f>
        <v>8</v>
      </c>
      <c r="BH173" s="565">
        <f>MAdaten!AU12</f>
        <v>536.73866775347551</v>
      </c>
      <c r="BI173" s="565">
        <f>MAdaten!AV12</f>
        <v>8</v>
      </c>
      <c r="BJ173" s="565">
        <f>MAdaten!AW12</f>
        <v>536.73866775347551</v>
      </c>
      <c r="BK173" s="565">
        <f>MAdaten!AX12</f>
        <v>7.5</v>
      </c>
      <c r="BL173" s="565">
        <f>MAdaten!AY12</f>
        <v>503.19250101888326</v>
      </c>
      <c r="BM173" s="565">
        <f>MAdaten!AZ12</f>
        <v>72</v>
      </c>
      <c r="BN173" s="565">
        <f>MAdaten!BA12</f>
        <v>5</v>
      </c>
      <c r="BO173" s="565">
        <f>MAdaten!BB12</f>
        <v>7</v>
      </c>
      <c r="BP173" s="565">
        <f>MAdaten!BC12</f>
        <v>35195.040000000001</v>
      </c>
      <c r="BQ173" s="565">
        <f>MAdaten!BD12</f>
        <v>33270.801087959662</v>
      </c>
      <c r="BR173" s="565">
        <f>MAdaten!BE12</f>
        <v>1936.4682925913867</v>
      </c>
      <c r="BS173" s="565">
        <f>MAdaten!BF12</f>
        <v>0</v>
      </c>
      <c r="BT173" s="565">
        <f>MAdaten!BG12</f>
        <v>33270.801087959662</v>
      </c>
      <c r="BU173" s="565">
        <f>MAdaten!BH12</f>
        <v>-33270.801087959662</v>
      </c>
      <c r="BV173" s="565" t="str">
        <f>MAdaten!BI12</f>
        <v/>
      </c>
      <c r="BW173" s="565">
        <f>MAdaten!BJ12</f>
        <v>0</v>
      </c>
      <c r="BX173" s="565">
        <f>MAdaten!BK12</f>
        <v>1936.4682925913871</v>
      </c>
      <c r="BY173" s="565">
        <f>MAdaten!BL12</f>
        <v>-1936.4682925913871</v>
      </c>
      <c r="BZ173" s="565" t="str">
        <f>MAdaten!BM12</f>
        <v/>
      </c>
      <c r="CA173" s="565" t="str">
        <f>MAdaten!BN12</f>
        <v/>
      </c>
      <c r="CB173" s="565" t="str">
        <f>MAdaten!BO12</f>
        <v/>
      </c>
      <c r="CC173" s="565" t="str">
        <f>MAdaten!BP12</f>
        <v/>
      </c>
      <c r="CD173" s="565" t="str">
        <f>MAdaten!BQ12</f>
        <v>Salli</v>
      </c>
      <c r="CE173" s="565">
        <f>MAdaten!BR12</f>
        <v>0</v>
      </c>
      <c r="CF173" s="565">
        <f>MAdaten!BS12</f>
        <v>0</v>
      </c>
      <c r="CG173" s="565">
        <f>MAdaten!BT12</f>
        <v>0</v>
      </c>
      <c r="CH173" s="565">
        <f>MAdaten!BU12</f>
        <v>9</v>
      </c>
      <c r="CI173" s="565" t="str">
        <f>MAdaten!BV12</f>
        <v>Januar</v>
      </c>
      <c r="CJ173" s="565">
        <f>MAdaten!BW12</f>
        <v>0</v>
      </c>
      <c r="CK173" s="565">
        <f>MAdaten!BX12</f>
        <v>0</v>
      </c>
      <c r="CL173" s="565">
        <f>MAdaten!BY12</f>
        <v>0</v>
      </c>
      <c r="CM173" s="565">
        <f>MAdaten!BZ12</f>
        <v>0</v>
      </c>
      <c r="CN173" s="565" t="str">
        <f>MAdaten!CA12</f>
        <v/>
      </c>
      <c r="CO173" s="565" t="str">
        <f>MAdaten!CB12</f>
        <v/>
      </c>
      <c r="CP173" s="565" t="str">
        <f>MAdaten!CC12</f>
        <v/>
      </c>
      <c r="CQ173" s="565">
        <f>MAdaten!CD12</f>
        <v>0</v>
      </c>
      <c r="CR173" s="565" t="str">
        <f>MAdaten!CE12</f>
        <v/>
      </c>
      <c r="CS173" s="565" t="str">
        <f>MAdaten!CF12</f>
        <v/>
      </c>
      <c r="CT173" s="565" t="str">
        <f>MAdaten!CG12</f>
        <v/>
      </c>
      <c r="CU173" s="3069"/>
      <c r="CV173" s="3069"/>
      <c r="CW173" s="3069"/>
      <c r="CX173" s="3069"/>
      <c r="CY173" s="3160"/>
      <c r="CZ173" s="3160"/>
      <c r="DA173" s="3160"/>
      <c r="DB173" s="3160"/>
    </row>
    <row r="174" spans="1:106" s="3000" customFormat="1" ht="20.399999999999999" customHeight="1" thickBot="1">
      <c r="B174" s="3001"/>
      <c r="C174" s="3008">
        <f>W173</f>
        <v>14.490784766562513</v>
      </c>
      <c r="D174" s="3008">
        <f>Z173</f>
        <v>14.490784766562513</v>
      </c>
      <c r="E174" s="3008">
        <f>AO173</f>
        <v>25.5</v>
      </c>
      <c r="F174" s="3008">
        <f>Y173</f>
        <v>110.41500000000001</v>
      </c>
      <c r="G174" s="3008">
        <f>AP173</f>
        <v>3.5</v>
      </c>
      <c r="H174" s="3008">
        <f>AQ173</f>
        <v>15.155000000000001</v>
      </c>
      <c r="I174" s="3004">
        <f>AB173</f>
        <v>63.143307499999999</v>
      </c>
      <c r="J174" s="3003">
        <f>AC173</f>
        <v>0.265625</v>
      </c>
      <c r="N174" s="3062"/>
      <c r="O174" s="3062"/>
      <c r="P174" s="3062"/>
      <c r="Q174" s="3062"/>
      <c r="R174" s="3062"/>
      <c r="S174" s="3062"/>
      <c r="T174" s="3062"/>
      <c r="U174" s="3062"/>
      <c r="V174" s="3062"/>
      <c r="W174" s="3062"/>
      <c r="X174" s="3062"/>
      <c r="Y174" s="3062"/>
      <c r="Z174" s="3062"/>
      <c r="AA174" s="3062"/>
      <c r="AB174" s="3062"/>
      <c r="AC174" s="3062"/>
      <c r="AD174" s="3062"/>
      <c r="AE174" s="3062"/>
      <c r="AF174" s="3062"/>
      <c r="AG174" s="3062"/>
      <c r="AH174" s="3062"/>
      <c r="AI174" s="3062"/>
      <c r="AJ174" s="3062"/>
      <c r="AK174" s="3062"/>
      <c r="AL174" s="3062"/>
      <c r="AM174" s="3062"/>
      <c r="AN174" s="3062"/>
      <c r="AO174" s="3062"/>
      <c r="AP174" s="3062"/>
      <c r="AQ174" s="3062"/>
      <c r="AR174" s="3062"/>
      <c r="AS174" s="3062"/>
      <c r="AT174" s="3062"/>
      <c r="AU174" s="3062"/>
      <c r="AV174" s="3062"/>
      <c r="AW174" s="3062"/>
      <c r="AX174" s="3062"/>
      <c r="AY174" s="3062"/>
      <c r="AZ174" s="3062"/>
      <c r="BA174" s="3062"/>
      <c r="BB174" s="3062"/>
      <c r="BC174" s="3062"/>
      <c r="BD174" s="3062"/>
      <c r="BE174" s="3062"/>
      <c r="BF174" s="3062"/>
      <c r="BG174" s="3062"/>
      <c r="BH174" s="3062"/>
      <c r="BI174" s="3062"/>
      <c r="BJ174" s="3062"/>
      <c r="BK174" s="3062"/>
      <c r="BL174" s="3062"/>
      <c r="BM174" s="3062"/>
      <c r="BN174" s="3062"/>
      <c r="BO174" s="3062"/>
      <c r="BP174" s="3062"/>
      <c r="BQ174" s="3062"/>
      <c r="BR174" s="3062"/>
      <c r="BS174" s="3062"/>
      <c r="BT174" s="3062"/>
      <c r="BU174" s="3062"/>
      <c r="BV174" s="3062"/>
      <c r="BW174" s="3062"/>
      <c r="BX174" s="3062"/>
      <c r="BY174" s="3062"/>
      <c r="BZ174" s="3062"/>
      <c r="CA174" s="3062"/>
      <c r="CB174" s="3062"/>
      <c r="CC174" s="3062"/>
      <c r="CD174" s="3062"/>
      <c r="CE174" s="3062"/>
      <c r="CF174" s="3062"/>
      <c r="CG174" s="3062"/>
      <c r="CH174" s="3062"/>
      <c r="CI174" s="3062"/>
      <c r="CJ174" s="3062"/>
      <c r="CK174" s="3062"/>
      <c r="CL174" s="3062"/>
      <c r="CM174" s="3062"/>
      <c r="CN174" s="3062"/>
      <c r="CO174" s="3062"/>
      <c r="CP174" s="3062"/>
      <c r="CQ174" s="3062"/>
      <c r="CR174" s="3062"/>
      <c r="CS174" s="3062"/>
      <c r="CT174" s="3062"/>
      <c r="CU174" s="3062"/>
      <c r="CV174" s="3062"/>
      <c r="CW174" s="3062"/>
      <c r="CX174" s="3062"/>
      <c r="CY174" s="3159"/>
      <c r="CZ174" s="3159"/>
      <c r="DA174" s="3159"/>
      <c r="DB174" s="3159"/>
    </row>
    <row r="175" spans="1:106" ht="21.6" customHeight="1" thickBot="1">
      <c r="A175" s="3009"/>
      <c r="B175" s="3010"/>
      <c r="C175" s="3011"/>
      <c r="D175" s="3012"/>
      <c r="E175" s="3011"/>
      <c r="F175" s="3012"/>
      <c r="G175" s="3011"/>
      <c r="H175" s="3012"/>
      <c r="I175" s="3054"/>
      <c r="J175" s="3054"/>
      <c r="K175" s="3055"/>
      <c r="L175" s="3054"/>
      <c r="N175" s="565"/>
      <c r="O175" s="565"/>
      <c r="P175" s="565"/>
    </row>
    <row r="176" spans="1:106" s="3005" customFormat="1" ht="66" customHeight="1">
      <c r="A176" s="4362" t="s">
        <v>1362</v>
      </c>
      <c r="B176" s="4363"/>
      <c r="C176" s="3013" t="str">
        <f>AG171</f>
        <v>Sollumsatz pro Arbeits-monat €</v>
      </c>
      <c r="D176" s="3013" t="str">
        <f>AL171</f>
        <v>Gesamt-sollumsatz pro Tag €</v>
      </c>
      <c r="E176" s="3013" t="str">
        <f>AU171</f>
        <v>Umsatz p. Woche</v>
      </c>
      <c r="F176" s="3013" t="str">
        <f>AV171</f>
        <v>Umsatz p. Std</v>
      </c>
      <c r="G176" s="3013" t="str">
        <f>AX171</f>
        <v>Umsatz p. Std mit Leerlauf</v>
      </c>
      <c r="H176" s="3014" t="str">
        <f>AS171</f>
        <v>DL-Umsatz pro M.</v>
      </c>
      <c r="I176" s="3014" t="str">
        <f>AH171</f>
        <v>Sollumsatz DL pro Anwesen-heitstag €</v>
      </c>
      <c r="J176" s="3014" t="str">
        <f>AT171</f>
        <v>VK-Umsatz pro M.</v>
      </c>
      <c r="K176" s="3014" t="str">
        <f>AI171</f>
        <v>Verkaufs-anteil %</v>
      </c>
      <c r="L176" s="3014" t="str">
        <f>AJ171</f>
        <v>Verkaufs-anteil € pro Tag</v>
      </c>
      <c r="N176" s="3069"/>
      <c r="O176" s="3069"/>
      <c r="P176" s="3069"/>
      <c r="Q176" s="3069"/>
      <c r="R176" s="3069"/>
      <c r="S176" s="3069"/>
      <c r="T176" s="3069"/>
      <c r="U176" s="3069"/>
      <c r="V176" s="3069"/>
      <c r="W176" s="3069"/>
      <c r="X176" s="3069"/>
      <c r="Y176" s="3069"/>
      <c r="Z176" s="3069"/>
      <c r="AA176" s="3069"/>
      <c r="AB176" s="3069"/>
      <c r="AC176" s="3069"/>
      <c r="AD176" s="3069"/>
      <c r="AE176" s="3069"/>
      <c r="AF176" s="3069"/>
      <c r="AG176" s="3069"/>
      <c r="AH176" s="3069"/>
      <c r="AI176" s="3069"/>
      <c r="AJ176" s="3069"/>
      <c r="AK176" s="3069"/>
      <c r="AL176" s="3069"/>
      <c r="AM176" s="3069"/>
      <c r="AN176" s="3069"/>
      <c r="AO176" s="3069"/>
      <c r="AP176" s="3069"/>
      <c r="AQ176" s="3069"/>
      <c r="AR176" s="3069"/>
      <c r="AS176" s="3069"/>
      <c r="AT176" s="3069"/>
      <c r="AU176" s="3069"/>
      <c r="AV176" s="3069"/>
      <c r="AW176" s="3069"/>
      <c r="AX176" s="3069"/>
      <c r="AY176" s="3069"/>
      <c r="AZ176" s="3069"/>
      <c r="BA176" s="3069"/>
      <c r="BB176" s="3069"/>
      <c r="BC176" s="3069"/>
      <c r="BD176" s="3069"/>
      <c r="BE176" s="3069"/>
      <c r="BF176" s="3069"/>
      <c r="BG176" s="3069"/>
      <c r="BH176" s="3069"/>
      <c r="BI176" s="3069"/>
      <c r="BJ176" s="3069"/>
      <c r="BK176" s="3069"/>
      <c r="BL176" s="3069"/>
      <c r="BM176" s="3069"/>
      <c r="BN176" s="3069"/>
      <c r="BO176" s="3069"/>
      <c r="BP176" s="3069"/>
      <c r="BQ176" s="3069"/>
      <c r="BR176" s="3069"/>
      <c r="BS176" s="3069"/>
      <c r="BT176" s="3069"/>
      <c r="BU176" s="3069"/>
      <c r="BV176" s="3069"/>
      <c r="BW176" s="3069"/>
      <c r="BX176" s="3069"/>
      <c r="BY176" s="3069"/>
      <c r="BZ176" s="3069"/>
      <c r="CA176" s="3069"/>
      <c r="CB176" s="3069"/>
      <c r="CC176" s="3069"/>
      <c r="CD176" s="3069"/>
      <c r="CE176" s="3069"/>
      <c r="CF176" s="3069"/>
      <c r="CG176" s="3069"/>
      <c r="CH176" s="3069"/>
      <c r="CI176" s="3069"/>
      <c r="CJ176" s="3069"/>
      <c r="CK176" s="3069"/>
      <c r="CL176" s="3069"/>
      <c r="CM176" s="3069"/>
      <c r="CN176" s="3069"/>
      <c r="CO176" s="3069"/>
      <c r="CP176" s="3069"/>
      <c r="CQ176" s="3069"/>
      <c r="CR176" s="3069"/>
      <c r="CS176" s="3069"/>
      <c r="CT176" s="3069"/>
      <c r="CU176" s="3069"/>
      <c r="CV176" s="3069"/>
      <c r="CW176" s="3069"/>
      <c r="CX176" s="3069"/>
      <c r="CY176" s="3160"/>
      <c r="CZ176" s="3160"/>
      <c r="DA176" s="3160"/>
      <c r="DB176" s="3160"/>
    </row>
    <row r="177" spans="1:106" s="3049" customFormat="1">
      <c r="A177" s="3015"/>
      <c r="B177" s="3016"/>
      <c r="C177" s="3017">
        <f>AR173</f>
        <v>7408</v>
      </c>
      <c r="D177" s="3017">
        <f>AL173</f>
        <v>488.82</v>
      </c>
      <c r="E177" s="3017">
        <f>AU173</f>
        <v>1711.5</v>
      </c>
      <c r="F177" s="3018">
        <f>AV173</f>
        <v>67.092333469184439</v>
      </c>
      <c r="G177" s="3018">
        <f>AX173</f>
        <v>83.865416836480549</v>
      </c>
      <c r="H177" s="3019">
        <f>AS173</f>
        <v>7000.4003198024657</v>
      </c>
      <c r="I177" s="3020">
        <f>AH173</f>
        <v>462.09445955499535</v>
      </c>
      <c r="J177" s="3020">
        <f>AT173</f>
        <v>407.59968019753427</v>
      </c>
      <c r="K177" s="3021">
        <f>AI173</f>
        <v>5.5021555102258944E-2</v>
      </c>
      <c r="L177" s="3020">
        <f>AJ173</f>
        <v>26.905540445004625</v>
      </c>
      <c r="N177" s="3070"/>
      <c r="O177" s="3070"/>
      <c r="P177" s="3070"/>
      <c r="Q177" s="3070"/>
      <c r="R177" s="3070"/>
      <c r="S177" s="3070"/>
      <c r="T177" s="3070"/>
      <c r="U177" s="3070"/>
      <c r="V177" s="3070"/>
      <c r="W177" s="3070"/>
      <c r="X177" s="3070"/>
      <c r="Y177" s="3070"/>
      <c r="Z177" s="3070"/>
      <c r="AA177" s="3070"/>
      <c r="AB177" s="3070"/>
      <c r="AC177" s="3070"/>
      <c r="AD177" s="3070"/>
      <c r="AE177" s="3070"/>
      <c r="AF177" s="3070"/>
      <c r="AG177" s="3070"/>
      <c r="AH177" s="3070"/>
      <c r="AI177" s="3070"/>
      <c r="AJ177" s="3070"/>
      <c r="AK177" s="3070"/>
      <c r="AL177" s="3070"/>
      <c r="AM177" s="3070"/>
      <c r="AN177" s="3070"/>
      <c r="AO177" s="3070"/>
      <c r="AP177" s="3070"/>
      <c r="AQ177" s="3070"/>
      <c r="AR177" s="3070"/>
      <c r="AS177" s="3070"/>
      <c r="AT177" s="3070"/>
      <c r="AU177" s="3070"/>
      <c r="AV177" s="3070"/>
      <c r="AW177" s="3070"/>
      <c r="AX177" s="3070"/>
      <c r="AY177" s="3070"/>
      <c r="AZ177" s="3070"/>
      <c r="BA177" s="3070"/>
      <c r="BB177" s="3070"/>
      <c r="BC177" s="3070"/>
      <c r="BD177" s="3070"/>
      <c r="BE177" s="3070"/>
      <c r="BF177" s="3070"/>
      <c r="BG177" s="3070"/>
      <c r="BH177" s="3070"/>
      <c r="BI177" s="3070"/>
      <c r="BJ177" s="3070"/>
      <c r="BK177" s="3070"/>
      <c r="BL177" s="3070"/>
      <c r="BM177" s="3070"/>
      <c r="BN177" s="3070"/>
      <c r="BO177" s="3070"/>
      <c r="BP177" s="3070"/>
      <c r="BQ177" s="3070"/>
      <c r="BR177" s="3070"/>
      <c r="BS177" s="3070"/>
      <c r="BT177" s="3070"/>
      <c r="BU177" s="3070"/>
      <c r="BV177" s="3070"/>
      <c r="BW177" s="3070"/>
      <c r="BX177" s="3070"/>
      <c r="BY177" s="3070"/>
      <c r="BZ177" s="3070"/>
      <c r="CA177" s="3070"/>
      <c r="CB177" s="3070"/>
      <c r="CC177" s="3070"/>
      <c r="CD177" s="3070"/>
      <c r="CE177" s="3070"/>
      <c r="CF177" s="3070"/>
      <c r="CG177" s="3070"/>
      <c r="CH177" s="3070"/>
      <c r="CI177" s="3070"/>
      <c r="CJ177" s="3070"/>
      <c r="CK177" s="3070"/>
      <c r="CL177" s="3070"/>
      <c r="CM177" s="3070"/>
      <c r="CN177" s="3070"/>
      <c r="CO177" s="3070"/>
      <c r="CP177" s="3070"/>
      <c r="CQ177" s="3070"/>
      <c r="CR177" s="3070"/>
      <c r="CS177" s="3070"/>
      <c r="CT177" s="3070"/>
      <c r="CU177" s="3070"/>
      <c r="CV177" s="3070"/>
      <c r="CW177" s="3070"/>
      <c r="CX177" s="3070"/>
      <c r="CY177" s="3158"/>
      <c r="CZ177" s="3158"/>
      <c r="DA177" s="3158"/>
      <c r="DB177" s="3158"/>
    </row>
    <row r="178" spans="1:106" s="3005" customFormat="1" ht="20.399999999999999" customHeight="1">
      <c r="A178" s="4364" t="s">
        <v>168</v>
      </c>
      <c r="B178" s="4365"/>
      <c r="C178" s="4364" t="s">
        <v>169</v>
      </c>
      <c r="D178" s="4365"/>
      <c r="E178" s="4364" t="s">
        <v>170</v>
      </c>
      <c r="F178" s="4365"/>
      <c r="G178" s="4364" t="s">
        <v>171</v>
      </c>
      <c r="H178" s="4365"/>
      <c r="I178" s="4364" t="s">
        <v>172</v>
      </c>
      <c r="J178" s="4365"/>
      <c r="K178" s="4364" t="s">
        <v>173</v>
      </c>
      <c r="L178" s="4365"/>
      <c r="N178" s="3069"/>
      <c r="O178" s="3069"/>
      <c r="P178" s="3069"/>
      <c r="Q178" s="3069"/>
      <c r="R178" s="3069"/>
      <c r="S178" s="3069"/>
      <c r="T178" s="3069"/>
      <c r="U178" s="3069"/>
      <c r="V178" s="3069"/>
      <c r="W178" s="3069"/>
      <c r="X178" s="3069"/>
      <c r="Y178" s="3069"/>
      <c r="Z178" s="3069"/>
      <c r="AA178" s="3069"/>
      <c r="AB178" s="3069"/>
      <c r="AC178" s="3069"/>
      <c r="AD178" s="3069"/>
      <c r="AE178" s="3069"/>
      <c r="AF178" s="3069"/>
      <c r="AG178" s="3069"/>
      <c r="AH178" s="3069"/>
      <c r="AI178" s="3069"/>
      <c r="AJ178" s="3069"/>
      <c r="AK178" s="3069"/>
      <c r="AL178" s="3069"/>
      <c r="AM178" s="3069"/>
      <c r="AN178" s="3069"/>
      <c r="AO178" s="3069"/>
      <c r="AP178" s="3069"/>
      <c r="AQ178" s="3069"/>
      <c r="AR178" s="3069"/>
      <c r="AS178" s="3069"/>
      <c r="AT178" s="3069"/>
      <c r="AU178" s="3069"/>
      <c r="AV178" s="3069"/>
      <c r="AW178" s="3069"/>
      <c r="AX178" s="3069"/>
      <c r="AY178" s="3069"/>
      <c r="AZ178" s="3069"/>
      <c r="BA178" s="3069"/>
      <c r="BB178" s="3069"/>
      <c r="BC178" s="3069"/>
      <c r="BD178" s="3069"/>
      <c r="BE178" s="3069"/>
      <c r="BF178" s="3069"/>
      <c r="BG178" s="3069"/>
      <c r="BH178" s="3069"/>
      <c r="BI178" s="3069"/>
      <c r="BJ178" s="3069"/>
      <c r="BK178" s="3069"/>
      <c r="BL178" s="3069"/>
      <c r="BM178" s="3069"/>
      <c r="BN178" s="3069"/>
      <c r="BO178" s="3069"/>
      <c r="BP178" s="3069"/>
      <c r="BQ178" s="3069"/>
      <c r="BR178" s="3069"/>
      <c r="BS178" s="3069"/>
      <c r="BT178" s="3069"/>
      <c r="BU178" s="3069"/>
      <c r="BV178" s="3069"/>
      <c r="BW178" s="3069"/>
      <c r="BX178" s="3069"/>
      <c r="BY178" s="3069"/>
      <c r="BZ178" s="3069"/>
      <c r="CA178" s="3069"/>
      <c r="CB178" s="3069"/>
      <c r="CC178" s="3069"/>
      <c r="CD178" s="3069"/>
      <c r="CE178" s="3069"/>
      <c r="CF178" s="3069"/>
      <c r="CG178" s="3069"/>
      <c r="CH178" s="3069"/>
      <c r="CI178" s="3069"/>
      <c r="CJ178" s="3069"/>
      <c r="CK178" s="3069"/>
      <c r="CL178" s="3069"/>
      <c r="CM178" s="3069"/>
      <c r="CN178" s="3069"/>
      <c r="CO178" s="3069"/>
      <c r="CP178" s="3069"/>
      <c r="CQ178" s="3069"/>
      <c r="CR178" s="3069"/>
      <c r="CS178" s="3069"/>
      <c r="CT178" s="3069"/>
      <c r="CU178" s="3069"/>
      <c r="CV178" s="3069"/>
      <c r="CW178" s="3069"/>
      <c r="CX178" s="3069"/>
      <c r="CY178" s="3160"/>
      <c r="CZ178" s="3160"/>
      <c r="DA178" s="3160"/>
      <c r="DB178" s="3160"/>
    </row>
    <row r="179" spans="1:106" s="3005" customFormat="1" ht="20.399999999999999" customHeight="1">
      <c r="A179" s="3022" t="s">
        <v>217</v>
      </c>
      <c r="B179" s="3022" t="s">
        <v>61</v>
      </c>
      <c r="C179" s="3022" t="s">
        <v>217</v>
      </c>
      <c r="D179" s="3022" t="s">
        <v>61</v>
      </c>
      <c r="E179" s="3022" t="s">
        <v>217</v>
      </c>
      <c r="F179" s="3022" t="s">
        <v>61</v>
      </c>
      <c r="G179" s="3022" t="s">
        <v>217</v>
      </c>
      <c r="H179" s="3022" t="s">
        <v>61</v>
      </c>
      <c r="I179" s="3022" t="s">
        <v>217</v>
      </c>
      <c r="J179" s="3022" t="s">
        <v>61</v>
      </c>
      <c r="K179" s="3022" t="s">
        <v>217</v>
      </c>
      <c r="L179" s="3022" t="s">
        <v>61</v>
      </c>
      <c r="N179" s="3069"/>
      <c r="O179" s="3069"/>
      <c r="P179" s="3069"/>
      <c r="Q179" s="3069"/>
      <c r="R179" s="3069"/>
      <c r="S179" s="3069"/>
      <c r="T179" s="3069"/>
      <c r="U179" s="3069"/>
      <c r="V179" s="3069"/>
      <c r="W179" s="3069"/>
      <c r="X179" s="3069"/>
      <c r="Y179" s="3069"/>
      <c r="Z179" s="3069"/>
      <c r="AA179" s="3069"/>
      <c r="AB179" s="3069"/>
      <c r="AC179" s="3069"/>
      <c r="AD179" s="3069"/>
      <c r="AE179" s="3069"/>
      <c r="AF179" s="3069"/>
      <c r="AG179" s="3069"/>
      <c r="AH179" s="3069"/>
      <c r="AI179" s="3069"/>
      <c r="AJ179" s="3069"/>
      <c r="AK179" s="3069"/>
      <c r="AL179" s="3069"/>
      <c r="AM179" s="3069"/>
      <c r="AN179" s="3069"/>
      <c r="AO179" s="3069"/>
      <c r="AP179" s="3069"/>
      <c r="AQ179" s="3069"/>
      <c r="AR179" s="3069"/>
      <c r="AS179" s="3069"/>
      <c r="AT179" s="3069"/>
      <c r="AU179" s="3069"/>
      <c r="AV179" s="3069"/>
      <c r="AW179" s="3069"/>
      <c r="AX179" s="3069"/>
      <c r="AY179" s="3069"/>
      <c r="AZ179" s="3069"/>
      <c r="BA179" s="3069"/>
      <c r="BB179" s="3069"/>
      <c r="BC179" s="3069"/>
      <c r="BD179" s="3069"/>
      <c r="BE179" s="3069"/>
      <c r="BF179" s="3069"/>
      <c r="BG179" s="3069"/>
      <c r="BH179" s="3069"/>
      <c r="BI179" s="3069"/>
      <c r="BJ179" s="3069"/>
      <c r="BK179" s="3069"/>
      <c r="BL179" s="3069"/>
      <c r="BM179" s="3069"/>
      <c r="BN179" s="3069"/>
      <c r="BO179" s="3069"/>
      <c r="BP179" s="3069"/>
      <c r="BQ179" s="3069"/>
      <c r="BR179" s="3069"/>
      <c r="BS179" s="3069"/>
      <c r="BT179" s="3069"/>
      <c r="BU179" s="3069"/>
      <c r="BV179" s="3069"/>
      <c r="BW179" s="3069"/>
      <c r="BX179" s="3069"/>
      <c r="BY179" s="3069"/>
      <c r="BZ179" s="3069"/>
      <c r="CA179" s="3069"/>
      <c r="CB179" s="3069"/>
      <c r="CC179" s="3069"/>
      <c r="CD179" s="3069"/>
      <c r="CE179" s="3069"/>
      <c r="CF179" s="3069"/>
      <c r="CG179" s="3069"/>
      <c r="CH179" s="3069"/>
      <c r="CI179" s="3069"/>
      <c r="CJ179" s="3069"/>
      <c r="CK179" s="3069"/>
      <c r="CL179" s="3069"/>
      <c r="CM179" s="3069"/>
      <c r="CN179" s="3069"/>
      <c r="CO179" s="3069"/>
      <c r="CP179" s="3069"/>
      <c r="CQ179" s="3069"/>
      <c r="CR179" s="3069"/>
      <c r="CS179" s="3069"/>
      <c r="CT179" s="3069"/>
      <c r="CU179" s="3069"/>
      <c r="CV179" s="3069"/>
      <c r="CW179" s="3069"/>
      <c r="CX179" s="3069"/>
      <c r="CY179" s="3160"/>
      <c r="CZ179" s="3160"/>
      <c r="DA179" s="3160"/>
      <c r="DB179" s="3160"/>
    </row>
    <row r="180" spans="1:106" s="3050" customFormat="1" ht="20.399999999999999" customHeight="1" thickBot="1">
      <c r="A180" s="3023" t="str">
        <f t="shared" ref="A180" si="182">BA173</f>
        <v/>
      </c>
      <c r="B180" s="3024" t="str">
        <f t="shared" ref="B180" si="183">BB173</f>
        <v/>
      </c>
      <c r="C180" s="3023" t="str">
        <f t="shared" ref="C180" si="184">BC173</f>
        <v/>
      </c>
      <c r="D180" s="3024" t="str">
        <f t="shared" ref="D180" si="185">BD173</f>
        <v/>
      </c>
      <c r="E180" s="3023">
        <f t="shared" ref="E180" si="186">BE173</f>
        <v>4</v>
      </c>
      <c r="F180" s="3024">
        <f t="shared" ref="F180" si="187">BF173</f>
        <v>268.36933387673776</v>
      </c>
      <c r="G180" s="3023">
        <f t="shared" ref="G180" si="188">BG173</f>
        <v>8</v>
      </c>
      <c r="H180" s="3024">
        <f t="shared" ref="H180" si="189">BH173</f>
        <v>536.73866775347551</v>
      </c>
      <c r="I180" s="3023">
        <f t="shared" ref="I180" si="190">BI173</f>
        <v>8</v>
      </c>
      <c r="J180" s="3024">
        <f t="shared" ref="J180" si="191">BJ173</f>
        <v>536.73866775347551</v>
      </c>
      <c r="K180" s="3023">
        <f t="shared" ref="K180" si="192">BK173</f>
        <v>7.5</v>
      </c>
      <c r="L180" s="3024">
        <f t="shared" ref="L180" si="193">BL173</f>
        <v>503.19250101888326</v>
      </c>
      <c r="N180" s="3071"/>
      <c r="O180" s="3071"/>
      <c r="P180" s="3071"/>
      <c r="Q180" s="3071"/>
      <c r="R180" s="3071"/>
      <c r="S180" s="3071"/>
      <c r="T180" s="3071"/>
      <c r="U180" s="3071"/>
      <c r="V180" s="3071"/>
      <c r="W180" s="3071"/>
      <c r="X180" s="3071"/>
      <c r="Y180" s="3071"/>
      <c r="Z180" s="3071"/>
      <c r="AA180" s="3071"/>
      <c r="AB180" s="3071"/>
      <c r="AC180" s="3071"/>
      <c r="AD180" s="3071"/>
      <c r="AE180" s="3071"/>
      <c r="AF180" s="3071"/>
      <c r="AG180" s="3071"/>
      <c r="AH180" s="3071"/>
      <c r="AI180" s="3071"/>
      <c r="AJ180" s="3071"/>
      <c r="AK180" s="3071"/>
      <c r="AL180" s="3071"/>
      <c r="AM180" s="3071"/>
      <c r="AN180" s="3071"/>
      <c r="AO180" s="3071"/>
      <c r="AP180" s="3071"/>
      <c r="AQ180" s="3071"/>
      <c r="AR180" s="3071"/>
      <c r="AS180" s="3071"/>
      <c r="AT180" s="3071"/>
      <c r="AU180" s="3071"/>
      <c r="AV180" s="3071"/>
      <c r="AW180" s="3071"/>
      <c r="AX180" s="3071"/>
      <c r="AY180" s="3071"/>
      <c r="AZ180" s="3071"/>
      <c r="BA180" s="3071"/>
      <c r="BB180" s="3071"/>
      <c r="BC180" s="3071"/>
      <c r="BD180" s="3071"/>
      <c r="BE180" s="3071"/>
      <c r="BF180" s="3071"/>
      <c r="BG180" s="3071"/>
      <c r="BH180" s="3071"/>
      <c r="BI180" s="3071"/>
      <c r="BJ180" s="3071"/>
      <c r="BK180" s="3071"/>
      <c r="BL180" s="3071"/>
      <c r="BM180" s="3071"/>
      <c r="BN180" s="3071"/>
      <c r="BO180" s="3071"/>
      <c r="BP180" s="3071"/>
      <c r="BQ180" s="3071"/>
      <c r="BR180" s="3071"/>
      <c r="BS180" s="3071"/>
      <c r="BT180" s="3071"/>
      <c r="BU180" s="3071"/>
      <c r="BV180" s="3071"/>
      <c r="BW180" s="3071"/>
      <c r="BX180" s="3071"/>
      <c r="BY180" s="3071"/>
      <c r="BZ180" s="3071"/>
      <c r="CA180" s="3071"/>
      <c r="CB180" s="3071"/>
      <c r="CC180" s="3071"/>
      <c r="CD180" s="3071"/>
      <c r="CE180" s="3071"/>
      <c r="CF180" s="3071"/>
      <c r="CG180" s="3071"/>
      <c r="CH180" s="3071"/>
      <c r="CI180" s="3071"/>
      <c r="CJ180" s="3071"/>
      <c r="CK180" s="3071"/>
      <c r="CL180" s="3071"/>
      <c r="CM180" s="3071"/>
      <c r="CN180" s="3071"/>
      <c r="CO180" s="3071"/>
      <c r="CP180" s="3071"/>
      <c r="CQ180" s="3071"/>
      <c r="CR180" s="3071"/>
      <c r="CS180" s="3071"/>
      <c r="CT180" s="3071"/>
      <c r="CU180" s="3071"/>
      <c r="CV180" s="3071"/>
      <c r="CW180" s="3071"/>
      <c r="CX180" s="3071"/>
      <c r="CY180" s="830"/>
      <c r="CZ180" s="830"/>
      <c r="DA180" s="830"/>
      <c r="DB180" s="830"/>
    </row>
    <row r="181" spans="1:106" ht="21.6" customHeight="1" thickBot="1">
      <c r="A181" s="3009"/>
      <c r="B181" s="3010"/>
      <c r="C181" s="3011"/>
      <c r="D181" s="3012"/>
      <c r="E181" s="3011"/>
      <c r="F181" s="3012"/>
      <c r="G181" s="3011"/>
      <c r="H181" s="3012"/>
      <c r="I181" s="3054"/>
      <c r="J181" s="3054"/>
      <c r="K181" s="3055"/>
      <c r="L181" s="3054"/>
      <c r="N181" s="565"/>
      <c r="O181" s="565"/>
      <c r="P181" s="565"/>
    </row>
    <row r="182" spans="1:106" s="3031" customFormat="1" ht="19.8" customHeight="1">
      <c r="A182" s="3025" t="s">
        <v>1396</v>
      </c>
      <c r="B182" s="3029"/>
      <c r="C182" s="3029"/>
      <c r="D182" s="3029"/>
      <c r="E182" s="3029"/>
      <c r="F182" s="3029"/>
      <c r="G182" s="3029"/>
      <c r="H182" s="3029"/>
      <c r="I182" s="3029"/>
      <c r="J182" s="3029"/>
      <c r="K182" s="3029"/>
      <c r="L182" s="3029"/>
      <c r="N182" s="3069"/>
      <c r="O182" s="3069"/>
      <c r="P182" s="3069"/>
      <c r="Q182" s="3069"/>
      <c r="R182" s="3069"/>
      <c r="S182" s="3069"/>
      <c r="T182" s="3069"/>
      <c r="U182" s="3069"/>
      <c r="V182" s="3069"/>
      <c r="W182" s="3069"/>
      <c r="X182" s="3069"/>
      <c r="Y182" s="3069"/>
      <c r="Z182" s="3069"/>
      <c r="AA182" s="3069"/>
      <c r="AB182" s="3069"/>
      <c r="AC182" s="3069"/>
      <c r="AD182" s="3069"/>
      <c r="AE182" s="3069"/>
      <c r="AF182" s="3069"/>
      <c r="AG182" s="3069"/>
      <c r="AH182" s="3069"/>
      <c r="AI182" s="3069"/>
      <c r="AJ182" s="3069"/>
      <c r="AK182" s="3069"/>
      <c r="AL182" s="3069"/>
      <c r="AM182" s="3069"/>
      <c r="AN182" s="3069"/>
      <c r="AO182" s="3069"/>
      <c r="AP182" s="3069"/>
      <c r="AQ182" s="3069"/>
      <c r="AR182" s="3069"/>
      <c r="AS182" s="3069"/>
      <c r="AT182" s="3069"/>
      <c r="AU182" s="3069"/>
      <c r="AV182" s="3069"/>
      <c r="AW182" s="3069"/>
      <c r="AX182" s="3069"/>
      <c r="AY182" s="3069"/>
      <c r="AZ182" s="3069"/>
      <c r="BA182" s="3069"/>
      <c r="BB182" s="3069"/>
      <c r="BC182" s="3069"/>
      <c r="BD182" s="3069"/>
      <c r="BE182" s="3069"/>
      <c r="BF182" s="3069"/>
      <c r="BG182" s="3069"/>
      <c r="BH182" s="3069"/>
      <c r="BI182" s="3069"/>
      <c r="BJ182" s="3069"/>
      <c r="BK182" s="3069"/>
      <c r="BL182" s="3069"/>
      <c r="BM182" s="3069"/>
      <c r="BN182" s="3069"/>
      <c r="BO182" s="3069"/>
      <c r="BP182" s="3069"/>
      <c r="BQ182" s="3069"/>
      <c r="BR182" s="3069"/>
      <c r="BS182" s="3069"/>
      <c r="BT182" s="3069"/>
      <c r="BU182" s="3069"/>
      <c r="BV182" s="3069"/>
      <c r="BW182" s="3069"/>
      <c r="BX182" s="3069"/>
      <c r="BY182" s="3069"/>
      <c r="BZ182" s="3069"/>
      <c r="CA182" s="3069"/>
      <c r="CB182" s="3069"/>
      <c r="CC182" s="3069"/>
      <c r="CD182" s="3069"/>
      <c r="CE182" s="3069"/>
      <c r="CF182" s="3069"/>
      <c r="CG182" s="3069"/>
      <c r="CH182" s="3069"/>
      <c r="CI182" s="3069"/>
      <c r="CJ182" s="3069"/>
      <c r="CK182" s="3069"/>
      <c r="CL182" s="3069"/>
      <c r="CM182" s="3069"/>
      <c r="CN182" s="3069"/>
      <c r="CO182" s="3069"/>
      <c r="CP182" s="3069"/>
      <c r="CQ182" s="3069"/>
      <c r="CR182" s="3069"/>
      <c r="CS182" s="3069"/>
      <c r="CT182" s="3069"/>
      <c r="CU182" s="3069"/>
      <c r="CV182" s="3069"/>
      <c r="CW182" s="3069"/>
      <c r="CX182" s="3069"/>
      <c r="CY182" s="3160"/>
      <c r="CZ182" s="3160"/>
      <c r="DA182" s="3160"/>
      <c r="DB182" s="3160"/>
    </row>
    <row r="183" spans="1:106" s="3031" customFormat="1" ht="19.8" customHeight="1">
      <c r="A183" s="3163"/>
      <c r="B183" s="3164" t="s">
        <v>1102</v>
      </c>
      <c r="C183" s="3164" t="s">
        <v>1120</v>
      </c>
      <c r="D183" s="3164" t="s">
        <v>1121</v>
      </c>
      <c r="E183" s="3164" t="s">
        <v>1113</v>
      </c>
      <c r="F183" s="3164" t="s">
        <v>1115</v>
      </c>
      <c r="G183" s="3164" t="s">
        <v>1368</v>
      </c>
      <c r="H183" s="3164" t="s">
        <v>907</v>
      </c>
      <c r="I183" s="3164" t="s">
        <v>1114</v>
      </c>
      <c r="J183" s="3164" t="s">
        <v>1116</v>
      </c>
      <c r="K183" s="3164" t="s">
        <v>1368</v>
      </c>
      <c r="L183" s="3164" t="s">
        <v>907</v>
      </c>
      <c r="N183" s="3069"/>
      <c r="O183" s="3069"/>
      <c r="P183" s="3069"/>
      <c r="Q183" s="3069"/>
      <c r="R183" s="3069"/>
      <c r="S183" s="3069"/>
      <c r="T183" s="3069"/>
      <c r="U183" s="3069"/>
      <c r="V183" s="3069"/>
      <c r="W183" s="3069"/>
      <c r="X183" s="3069"/>
      <c r="Y183" s="3069"/>
      <c r="Z183" s="3069"/>
      <c r="AA183" s="3069"/>
      <c r="AB183" s="3069"/>
      <c r="AC183" s="3069"/>
      <c r="AD183" s="3069"/>
      <c r="AE183" s="3069"/>
      <c r="AF183" s="3069"/>
      <c r="AG183" s="3069"/>
      <c r="AH183" s="3069"/>
      <c r="AI183" s="3069"/>
      <c r="AJ183" s="3069"/>
      <c r="AK183" s="3069"/>
      <c r="AL183" s="3069"/>
      <c r="AM183" s="3069"/>
      <c r="AN183" s="3069"/>
      <c r="AO183" s="3069"/>
      <c r="AP183" s="3069"/>
      <c r="AQ183" s="3069"/>
      <c r="AR183" s="3069"/>
      <c r="AS183" s="3069"/>
      <c r="AT183" s="3069"/>
      <c r="AU183" s="3069"/>
      <c r="AV183" s="3069"/>
      <c r="AW183" s="3069"/>
      <c r="AX183" s="3069"/>
      <c r="AY183" s="3069"/>
      <c r="AZ183" s="3069"/>
      <c r="BA183" s="3069"/>
      <c r="BB183" s="3069"/>
      <c r="BC183" s="3069"/>
      <c r="BD183" s="3069"/>
      <c r="BE183" s="3069"/>
      <c r="BF183" s="3069"/>
      <c r="BG183" s="3069"/>
      <c r="BH183" s="3069"/>
      <c r="BI183" s="3069"/>
      <c r="BJ183" s="3069"/>
      <c r="BK183" s="3069"/>
      <c r="BL183" s="3069"/>
      <c r="BM183" s="3069"/>
      <c r="BN183" s="3069"/>
      <c r="BO183" s="3069"/>
      <c r="BP183" s="3069"/>
      <c r="BQ183" s="3069"/>
      <c r="BR183" s="3069"/>
      <c r="BS183" s="3069"/>
      <c r="BT183" s="3069"/>
      <c r="BU183" s="3069"/>
      <c r="BV183" s="3069"/>
      <c r="BW183" s="3069"/>
      <c r="BX183" s="3069"/>
      <c r="BY183" s="3069"/>
      <c r="BZ183" s="3069"/>
      <c r="CA183" s="3069"/>
      <c r="CB183" s="3069"/>
      <c r="CC183" s="3069"/>
      <c r="CD183" s="3069"/>
      <c r="CE183" s="3069"/>
      <c r="CF183" s="3069"/>
      <c r="CG183" s="3069"/>
      <c r="CH183" s="3069"/>
      <c r="CI183" s="3069"/>
      <c r="CJ183" s="3069"/>
      <c r="CK183" s="3069"/>
      <c r="CL183" s="3069"/>
      <c r="CM183" s="3069"/>
      <c r="CN183" s="3069"/>
      <c r="CO183" s="3069"/>
      <c r="CP183" s="3069"/>
      <c r="CQ183" s="3069"/>
      <c r="CR183" s="3069"/>
      <c r="CS183" s="3069"/>
      <c r="CT183" s="3069"/>
      <c r="CU183" s="3069"/>
      <c r="CV183" s="3069"/>
      <c r="CW183" s="3069"/>
      <c r="CX183" s="3069"/>
      <c r="CY183" s="3160"/>
      <c r="CZ183" s="3160"/>
      <c r="DA183" s="3160"/>
      <c r="DB183" s="3160"/>
    </row>
    <row r="184" spans="1:106" s="3038" customFormat="1" ht="17.399999999999999" customHeight="1" thickBot="1">
      <c r="A184" s="3165" t="str">
        <f t="shared" ref="A184:L184" si="194">CI173</f>
        <v>Januar</v>
      </c>
      <c r="B184" s="3166">
        <f t="shared" si="194"/>
        <v>0</v>
      </c>
      <c r="C184" s="3166">
        <f t="shared" si="194"/>
        <v>0</v>
      </c>
      <c r="D184" s="3166">
        <f t="shared" si="194"/>
        <v>0</v>
      </c>
      <c r="E184" s="3167">
        <f t="shared" si="194"/>
        <v>0</v>
      </c>
      <c r="F184" s="3167" t="str">
        <f t="shared" si="194"/>
        <v/>
      </c>
      <c r="G184" s="3167" t="str">
        <f t="shared" si="194"/>
        <v/>
      </c>
      <c r="H184" s="3167" t="str">
        <f t="shared" si="194"/>
        <v/>
      </c>
      <c r="I184" s="3167">
        <f t="shared" si="194"/>
        <v>0</v>
      </c>
      <c r="J184" s="3167" t="str">
        <f t="shared" si="194"/>
        <v/>
      </c>
      <c r="K184" s="3167" t="str">
        <f t="shared" si="194"/>
        <v/>
      </c>
      <c r="L184" s="3167" t="str">
        <f t="shared" si="194"/>
        <v/>
      </c>
      <c r="N184" s="3070"/>
      <c r="O184" s="3070"/>
      <c r="P184" s="3070"/>
      <c r="Q184" s="3070"/>
      <c r="R184" s="3070"/>
      <c r="S184" s="3070"/>
      <c r="T184" s="3070"/>
      <c r="U184" s="3070"/>
      <c r="V184" s="3070"/>
      <c r="W184" s="3070"/>
      <c r="X184" s="3070"/>
      <c r="Y184" s="3070"/>
      <c r="Z184" s="3070"/>
      <c r="AA184" s="3070"/>
      <c r="AB184" s="3070"/>
      <c r="AC184" s="3070"/>
      <c r="AD184" s="3070"/>
      <c r="AE184" s="3070"/>
      <c r="AF184" s="3070"/>
      <c r="AG184" s="3070"/>
      <c r="AH184" s="3070"/>
      <c r="AI184" s="3070"/>
      <c r="AJ184" s="3070"/>
      <c r="AK184" s="3070"/>
      <c r="AL184" s="3070"/>
      <c r="AM184" s="3070"/>
      <c r="AN184" s="3070"/>
      <c r="AO184" s="3070"/>
      <c r="AP184" s="3070"/>
      <c r="AQ184" s="3070"/>
      <c r="AR184" s="3070"/>
      <c r="AS184" s="3070"/>
      <c r="AT184" s="3070"/>
      <c r="AU184" s="3070"/>
      <c r="AV184" s="3070"/>
      <c r="AW184" s="3070"/>
      <c r="AX184" s="3070"/>
      <c r="AY184" s="3070"/>
      <c r="AZ184" s="3070"/>
      <c r="BA184" s="3070"/>
      <c r="BB184" s="3070"/>
      <c r="BC184" s="3070"/>
      <c r="BD184" s="3070"/>
      <c r="BE184" s="3070"/>
      <c r="BF184" s="3070"/>
      <c r="BG184" s="3070"/>
      <c r="BH184" s="3070"/>
      <c r="BI184" s="3070"/>
      <c r="BJ184" s="3070"/>
      <c r="BK184" s="3070"/>
      <c r="BL184" s="3070"/>
      <c r="BM184" s="3070"/>
      <c r="BN184" s="3070"/>
      <c r="BO184" s="3070"/>
      <c r="BP184" s="3070"/>
      <c r="BQ184" s="3070"/>
      <c r="BR184" s="3070"/>
      <c r="BS184" s="3070"/>
      <c r="BT184" s="3070"/>
      <c r="BU184" s="3070"/>
      <c r="BV184" s="3070"/>
      <c r="BW184" s="3070"/>
      <c r="BX184" s="3070"/>
      <c r="BY184" s="3070"/>
      <c r="BZ184" s="3070"/>
      <c r="CA184" s="3070"/>
      <c r="CB184" s="3070"/>
      <c r="CC184" s="3070"/>
      <c r="CD184" s="3070"/>
      <c r="CE184" s="3070"/>
      <c r="CF184" s="3070"/>
      <c r="CG184" s="3070"/>
      <c r="CH184" s="3070"/>
      <c r="CI184" s="3070"/>
      <c r="CJ184" s="3070"/>
      <c r="CK184" s="3070"/>
      <c r="CL184" s="3070"/>
      <c r="CM184" s="3070"/>
      <c r="CN184" s="3070"/>
      <c r="CO184" s="3070"/>
      <c r="CP184" s="3070"/>
      <c r="CQ184" s="3070"/>
      <c r="CR184" s="3070"/>
      <c r="CS184" s="3070"/>
      <c r="CT184" s="3070"/>
      <c r="CU184" s="3070"/>
      <c r="CV184" s="3070"/>
      <c r="CW184" s="3070"/>
      <c r="CX184" s="3070"/>
      <c r="CY184" s="3158"/>
      <c r="CZ184" s="3158"/>
      <c r="DA184" s="3158"/>
      <c r="DB184" s="3158"/>
    </row>
    <row r="185" spans="1:106" s="3042" customFormat="1" ht="19.8" customHeight="1" thickBot="1">
      <c r="A185" s="3072"/>
      <c r="B185" s="3072"/>
      <c r="C185" s="3072"/>
      <c r="D185" s="3161"/>
      <c r="E185" s="3161"/>
      <c r="F185" s="3161"/>
      <c r="G185" s="3161"/>
      <c r="H185" s="3161"/>
      <c r="I185" s="3161"/>
      <c r="J185" s="3161"/>
      <c r="K185" s="3161"/>
      <c r="L185" s="3161"/>
      <c r="N185" s="3072"/>
      <c r="O185" s="3072"/>
      <c r="P185" s="3072"/>
      <c r="Q185" s="3072"/>
      <c r="R185" s="3072"/>
      <c r="S185" s="3072"/>
      <c r="T185" s="3072"/>
      <c r="U185" s="3072"/>
      <c r="V185" s="3072"/>
      <c r="W185" s="3072"/>
      <c r="X185" s="3072"/>
      <c r="Y185" s="3072"/>
      <c r="Z185" s="3072"/>
      <c r="AA185" s="3072"/>
      <c r="AB185" s="3072"/>
      <c r="AC185" s="3072"/>
      <c r="AD185" s="3072"/>
      <c r="AE185" s="3072"/>
      <c r="AF185" s="3072"/>
      <c r="AG185" s="3072"/>
      <c r="AH185" s="3072"/>
      <c r="AI185" s="3072"/>
      <c r="AJ185" s="3072"/>
      <c r="AK185" s="3072"/>
      <c r="AL185" s="3072"/>
      <c r="AM185" s="3072"/>
      <c r="AN185" s="3072"/>
      <c r="AO185" s="3072"/>
      <c r="AP185" s="3072"/>
      <c r="AQ185" s="3072"/>
      <c r="AR185" s="3072"/>
      <c r="AS185" s="3072"/>
      <c r="AT185" s="3072"/>
      <c r="AU185" s="3072"/>
      <c r="AV185" s="3072"/>
      <c r="AW185" s="3072"/>
      <c r="AX185" s="3072"/>
      <c r="AY185" s="3072"/>
      <c r="AZ185" s="3072"/>
      <c r="BA185" s="3072"/>
      <c r="BB185" s="3072"/>
      <c r="BC185" s="3072"/>
      <c r="BD185" s="3072"/>
      <c r="BE185" s="3072"/>
      <c r="BF185" s="3072"/>
      <c r="BG185" s="3072"/>
      <c r="BH185" s="3072"/>
      <c r="BI185" s="3072"/>
      <c r="BJ185" s="3072"/>
      <c r="BK185" s="3072"/>
      <c r="BL185" s="3072"/>
      <c r="BM185" s="3072"/>
      <c r="BN185" s="3072"/>
      <c r="BO185" s="3072"/>
      <c r="BP185" s="3072"/>
      <c r="BQ185" s="3072"/>
      <c r="BR185" s="3072"/>
      <c r="BS185" s="3072"/>
      <c r="BT185" s="3072"/>
      <c r="BU185" s="3072"/>
      <c r="BV185" s="3072"/>
      <c r="BW185" s="3072"/>
      <c r="BX185" s="3072"/>
      <c r="BY185" s="3072"/>
      <c r="BZ185" s="3072"/>
      <c r="CA185" s="3072"/>
      <c r="CB185" s="3072"/>
      <c r="CC185" s="3072"/>
      <c r="CD185" s="3072"/>
      <c r="CE185" s="3072"/>
      <c r="CF185" s="3072"/>
      <c r="CG185" s="3072"/>
      <c r="CH185" s="3072"/>
      <c r="CI185" s="3072"/>
      <c r="CJ185" s="3072"/>
      <c r="CK185" s="3072"/>
      <c r="CL185" s="3072"/>
      <c r="CM185" s="3072"/>
      <c r="CN185" s="3072"/>
      <c r="CO185" s="3072"/>
      <c r="CP185" s="3072"/>
      <c r="CQ185" s="3072"/>
      <c r="CR185" s="3072"/>
      <c r="CS185" s="3072"/>
      <c r="CT185" s="3072"/>
      <c r="CU185" s="3072"/>
      <c r="CV185" s="3072"/>
      <c r="CW185" s="3072"/>
      <c r="CX185" s="3072"/>
      <c r="CY185" s="3161"/>
      <c r="CZ185" s="3161"/>
      <c r="DA185" s="3161"/>
      <c r="DB185" s="3161"/>
    </row>
    <row r="186" spans="1:106" s="3048" customFormat="1" ht="17.399999999999999" customHeight="1">
      <c r="A186" s="3025" t="s">
        <v>1363</v>
      </c>
      <c r="B186" s="3026"/>
      <c r="C186" s="3027" t="s">
        <v>1394</v>
      </c>
      <c r="D186" s="3027"/>
      <c r="E186" s="4366" t="s">
        <v>1364</v>
      </c>
      <c r="F186" s="4367"/>
      <c r="G186" s="3028"/>
      <c r="H186" s="3029"/>
      <c r="I186" s="4368" t="s">
        <v>1365</v>
      </c>
      <c r="J186" s="4369"/>
      <c r="K186" s="3030"/>
      <c r="L186" s="3162"/>
      <c r="N186" s="3073"/>
      <c r="O186" s="3073"/>
      <c r="P186" s="3073"/>
      <c r="Q186" s="3073"/>
      <c r="R186" s="3073"/>
      <c r="S186" s="3073"/>
      <c r="T186" s="3073"/>
      <c r="U186" s="3073"/>
      <c r="V186" s="3073"/>
      <c r="W186" s="3073"/>
      <c r="X186" s="3073"/>
      <c r="Y186" s="3073"/>
      <c r="Z186" s="3073"/>
      <c r="AA186" s="3073"/>
      <c r="AB186" s="3073"/>
      <c r="AC186" s="3073"/>
      <c r="AD186" s="3073"/>
      <c r="AE186" s="3073"/>
      <c r="AF186" s="3073"/>
      <c r="AG186" s="3073"/>
      <c r="AH186" s="3073"/>
      <c r="AI186" s="3073"/>
      <c r="AJ186" s="3073"/>
      <c r="AK186" s="3073"/>
      <c r="AL186" s="3073"/>
      <c r="AM186" s="3073"/>
      <c r="AN186" s="3073"/>
      <c r="AO186" s="3073"/>
      <c r="AP186" s="3073"/>
      <c r="AQ186" s="3073"/>
      <c r="AR186" s="3073"/>
      <c r="AS186" s="3073"/>
      <c r="AT186" s="3073"/>
      <c r="AU186" s="3073"/>
      <c r="AV186" s="3073"/>
      <c r="AW186" s="3073"/>
      <c r="AX186" s="3073"/>
      <c r="AY186" s="3073"/>
      <c r="AZ186" s="3073"/>
      <c r="BA186" s="3073"/>
      <c r="BB186" s="3073"/>
      <c r="BC186" s="3073"/>
      <c r="BD186" s="3073"/>
      <c r="BE186" s="3073"/>
      <c r="BF186" s="3073"/>
      <c r="BG186" s="3073"/>
      <c r="BH186" s="3073"/>
      <c r="BI186" s="3073"/>
      <c r="BJ186" s="3073"/>
      <c r="BK186" s="3073"/>
      <c r="BL186" s="3073"/>
      <c r="BM186" s="3073"/>
      <c r="BN186" s="3073"/>
      <c r="BO186" s="3073"/>
      <c r="BP186" s="3073"/>
      <c r="BQ186" s="3073"/>
      <c r="BR186" s="3073"/>
      <c r="BS186" s="3073"/>
      <c r="BT186" s="3073"/>
      <c r="BU186" s="3073"/>
      <c r="BV186" s="3073"/>
      <c r="BW186" s="3073"/>
      <c r="BX186" s="3073"/>
      <c r="BY186" s="3073"/>
      <c r="BZ186" s="3073"/>
      <c r="CA186" s="3073"/>
      <c r="CB186" s="3073"/>
      <c r="CC186" s="3073"/>
      <c r="CD186" s="3073"/>
      <c r="CE186" s="3073"/>
      <c r="CF186" s="3073"/>
      <c r="CG186" s="3073"/>
      <c r="CH186" s="3073"/>
      <c r="CI186" s="3073"/>
      <c r="CJ186" s="3073"/>
      <c r="CK186" s="3073"/>
      <c r="CL186" s="3073"/>
      <c r="CM186" s="3073"/>
      <c r="CN186" s="3073"/>
      <c r="CO186" s="3073"/>
      <c r="CP186" s="3073"/>
      <c r="CQ186" s="3073"/>
      <c r="CR186" s="3073"/>
      <c r="CS186" s="3073"/>
      <c r="CT186" s="3073"/>
      <c r="CU186" s="3073"/>
      <c r="CV186" s="3073"/>
      <c r="CW186" s="3073"/>
      <c r="CX186" s="3073"/>
      <c r="CY186" s="3162"/>
      <c r="CZ186" s="3162"/>
      <c r="DA186" s="3162"/>
      <c r="DB186" s="3162"/>
    </row>
    <row r="187" spans="1:106">
      <c r="A187" s="3032" t="s">
        <v>1366</v>
      </c>
      <c r="B187" s="3032" t="s">
        <v>1367</v>
      </c>
      <c r="C187" s="3033" t="s">
        <v>1368</v>
      </c>
      <c r="E187" s="3034" t="s">
        <v>1113</v>
      </c>
      <c r="F187" s="3034" t="s">
        <v>1115</v>
      </c>
      <c r="G187" s="3035" t="s">
        <v>1368</v>
      </c>
      <c r="I187" s="3036" t="s">
        <v>1114</v>
      </c>
      <c r="J187" s="3036" t="s">
        <v>1116</v>
      </c>
      <c r="K187" s="3033" t="s">
        <v>1368</v>
      </c>
      <c r="L187" s="1869"/>
      <c r="N187" s="565"/>
      <c r="O187" s="565"/>
      <c r="P187" s="565"/>
    </row>
    <row r="188" spans="1:106">
      <c r="A188" s="3037">
        <f>E188+I188</f>
        <v>0</v>
      </c>
      <c r="B188" s="3037">
        <f>BP173</f>
        <v>35195.040000000001</v>
      </c>
      <c r="C188" s="3052">
        <f>A188-B188</f>
        <v>-35195.040000000001</v>
      </c>
      <c r="D188" s="3038"/>
      <c r="E188" s="3039">
        <f>BS173</f>
        <v>0</v>
      </c>
      <c r="F188" s="3039">
        <f>BT173</f>
        <v>33270.801087959662</v>
      </c>
      <c r="G188" s="3053">
        <f>BU173</f>
        <v>-33270.801087959662</v>
      </c>
      <c r="H188" s="3038"/>
      <c r="I188" s="3037">
        <f>BW173</f>
        <v>0</v>
      </c>
      <c r="J188" s="3037">
        <f>BX173</f>
        <v>1936.4682925913871</v>
      </c>
      <c r="K188" s="3052">
        <f>BY173</f>
        <v>-1936.4682925913871</v>
      </c>
      <c r="L188" s="1869"/>
      <c r="N188" s="565"/>
      <c r="O188" s="565"/>
      <c r="P188" s="565"/>
    </row>
    <row r="189" spans="1:106">
      <c r="A189" s="3040" t="s">
        <v>1150</v>
      </c>
      <c r="B189" s="3032" t="s">
        <v>1369</v>
      </c>
      <c r="C189" s="3036" t="s">
        <v>907</v>
      </c>
      <c r="E189" s="3041" t="s">
        <v>1370</v>
      </c>
      <c r="F189" s="3041" t="s">
        <v>1148</v>
      </c>
      <c r="G189" s="3034" t="s">
        <v>907</v>
      </c>
      <c r="I189" s="3040" t="s">
        <v>1371</v>
      </c>
      <c r="J189" s="3040" t="s">
        <v>1149</v>
      </c>
      <c r="K189" s="3036" t="s">
        <v>907</v>
      </c>
      <c r="L189" s="1869"/>
      <c r="M189" s="565"/>
      <c r="N189" s="565"/>
      <c r="O189" s="565"/>
      <c r="P189" s="565"/>
    </row>
    <row r="190" spans="1:106" ht="14.4" thickBot="1">
      <c r="A190" s="3043">
        <f>CE173</f>
        <v>0</v>
      </c>
      <c r="B190" s="3044" t="str">
        <f>CA173</f>
        <v/>
      </c>
      <c r="C190" s="3043">
        <f>SUM(G190,K190)</f>
        <v>0</v>
      </c>
      <c r="D190" s="3045"/>
      <c r="E190" s="3046" t="str">
        <f>CB173</f>
        <v/>
      </c>
      <c r="F190" s="3047">
        <f>CF173</f>
        <v>0</v>
      </c>
      <c r="G190" s="3047" t="str">
        <f>BV173</f>
        <v/>
      </c>
      <c r="H190" s="3045"/>
      <c r="I190" s="3044" t="str">
        <f>CC173</f>
        <v/>
      </c>
      <c r="J190" s="3043">
        <f>CG173</f>
        <v>0</v>
      </c>
      <c r="K190" s="3043" t="str">
        <f>BZ173</f>
        <v/>
      </c>
      <c r="L190" s="1869"/>
      <c r="N190" s="565"/>
      <c r="O190" s="565"/>
      <c r="P190" s="565"/>
    </row>
    <row r="191" spans="1:106">
      <c r="N191" s="565"/>
      <c r="O191" s="565"/>
      <c r="P191" s="565"/>
    </row>
    <row r="192" spans="1:106" ht="76.8" customHeight="1">
      <c r="A192" s="4360">
        <f>N194</f>
        <v>0</v>
      </c>
      <c r="B192" s="4361"/>
      <c r="C192" s="3168" t="s">
        <v>1348</v>
      </c>
      <c r="D192" s="3168" t="s">
        <v>1349</v>
      </c>
      <c r="E192" s="3168" t="s">
        <v>1350</v>
      </c>
      <c r="F192" s="3168" t="s">
        <v>1351</v>
      </c>
      <c r="G192" s="3168" t="s">
        <v>663</v>
      </c>
      <c r="H192" s="3168" t="s">
        <v>490</v>
      </c>
      <c r="I192" s="3168" t="s">
        <v>1352</v>
      </c>
      <c r="J192" s="3168" t="s">
        <v>1353</v>
      </c>
      <c r="K192" s="3168" t="s">
        <v>1354</v>
      </c>
      <c r="L192" s="3169"/>
      <c r="N192" s="565"/>
      <c r="O192" s="3074">
        <f>O$1</f>
        <v>0</v>
      </c>
      <c r="P192" s="3074">
        <f t="shared" ref="P192:CA192" si="195">P$1</f>
        <v>0</v>
      </c>
      <c r="Q192" s="3074" t="str">
        <f t="shared" si="195"/>
        <v>Bruttolohn pro Monat 
ohne Provision</v>
      </c>
      <c r="R192" s="3074" t="str">
        <f t="shared" si="195"/>
        <v>einmalige Sonderzahlung z.B.Weihnachts-geld</v>
      </c>
      <c r="S192" s="3074" t="str">
        <f t="shared" si="195"/>
        <v xml:space="preserve">einmalige Sonderzahlung z.B. Urlaubsgeld </v>
      </c>
      <c r="T192" s="3074" t="str">
        <f t="shared" si="195"/>
        <v>regelmäßige monatl. Sonder-zahlung (z.B.Werkzeuggeld, VWL usw.)</v>
      </c>
      <c r="U192" s="3074" t="str">
        <f t="shared" si="195"/>
        <v>einmalige steuerfreie Sonder-zahlung</v>
      </c>
      <c r="V192" s="3074" t="str">
        <f t="shared" si="195"/>
        <v>regelmäßige monatl. Sonder-zahlung steuerfrei</v>
      </c>
      <c r="W192" s="3074" t="str">
        <f t="shared" si="195"/>
        <v>Bruttolohn pro Stunde</v>
      </c>
      <c r="X192" s="3074" t="str">
        <f t="shared" si="195"/>
        <v>Gesamtlohn. Alle Sonderzahl-ungen sind auf 1 Monat gerechnet</v>
      </c>
      <c r="Y192" s="3074" t="str">
        <f t="shared" si="195"/>
        <v xml:space="preserve">Wochenstd.   x  4,33  =  
Arb. -Std. pro Monat </v>
      </c>
      <c r="Z192" s="3074" t="str">
        <f t="shared" si="195"/>
        <v>Stunden - Lohn 
Bruttolohn incl. aller Zusatz-zahlungen</v>
      </c>
      <c r="AA192" s="3074" t="str">
        <f t="shared" si="195"/>
        <v>Wieviele bezahlte Anwesend-heitsmonate in diesem Planungsjahr</v>
      </c>
      <c r="AB192" s="3074" t="str">
        <f t="shared" si="195"/>
        <v>Daraus resultierende wahrschein-liche Arbeitstage im Jahr</v>
      </c>
      <c r="AC192" s="3074" t="str">
        <f t="shared" si="195"/>
        <v>Personal-faktor / VBE</v>
      </c>
      <c r="AD192" s="3074" t="str">
        <f t="shared" si="195"/>
        <v>Brutto Jahreslohn-summe</v>
      </c>
      <c r="AE192" s="3074" t="str">
        <f t="shared" si="195"/>
        <v>Summe Url.-+Weihn.-Geld usw. monatlich</v>
      </c>
      <c r="AF192" s="3074" t="str">
        <f t="shared" si="195"/>
        <v>x Lohn-faktor</v>
      </c>
      <c r="AG192" s="3074" t="str">
        <f t="shared" si="195"/>
        <v>Sollumsatz pro Arbeits-monat €</v>
      </c>
      <c r="AH192" s="3074" t="str">
        <f t="shared" si="195"/>
        <v>Sollumsatz DL pro Anwesen-heitstag €</v>
      </c>
      <c r="AI192" s="3074" t="str">
        <f t="shared" si="195"/>
        <v>Verkaufs-anteil %</v>
      </c>
      <c r="AJ192" s="3074" t="str">
        <f t="shared" si="195"/>
        <v>Verkaufs-anteil € pro Tag</v>
      </c>
      <c r="AK192" s="3074">
        <f t="shared" si="195"/>
        <v>0</v>
      </c>
      <c r="AL192" s="3074" t="str">
        <f t="shared" si="195"/>
        <v>Gesamt-sollumsatz pro Tag €</v>
      </c>
      <c r="AM192" s="3074">
        <f t="shared" si="195"/>
        <v>0</v>
      </c>
      <c r="AN192" s="3074">
        <f t="shared" si="195"/>
        <v>0</v>
      </c>
      <c r="AO192" s="3074" t="str">
        <f t="shared" si="195"/>
        <v>Std</v>
      </c>
      <c r="AP192" s="3074" t="str">
        <f t="shared" si="195"/>
        <v>Tage pro Woche</v>
      </c>
      <c r="AQ192" s="3074" t="str">
        <f t="shared" si="195"/>
        <v>Tage pro Monat</v>
      </c>
      <c r="AR192" s="3074" t="str">
        <f t="shared" si="195"/>
        <v>Gesamtumsatz pro M.</v>
      </c>
      <c r="AS192" s="3074" t="str">
        <f t="shared" si="195"/>
        <v>DL-Umsatz pro M.</v>
      </c>
      <c r="AT192" s="3074" t="str">
        <f t="shared" si="195"/>
        <v>VK-Umsatz pro M.</v>
      </c>
      <c r="AU192" s="3074" t="str">
        <f t="shared" si="195"/>
        <v>Umsatz p. Woche</v>
      </c>
      <c r="AV192" s="3074" t="str">
        <f t="shared" si="195"/>
        <v>Umsatz p. Std</v>
      </c>
      <c r="AW192" s="3074">
        <f t="shared" si="195"/>
        <v>0</v>
      </c>
      <c r="AX192" s="3074" t="str">
        <f t="shared" si="195"/>
        <v>Umsatz p. Std mit Leerlauf</v>
      </c>
      <c r="AY192" s="3074" t="str">
        <f t="shared" si="195"/>
        <v>&lt;-- andern auf Seite 22</v>
      </c>
      <c r="AZ192" s="3074">
        <f t="shared" si="195"/>
        <v>0</v>
      </c>
      <c r="BA192" s="3074" t="str">
        <f t="shared" si="195"/>
        <v>Montag</v>
      </c>
      <c r="BB192" s="3074">
        <f t="shared" si="195"/>
        <v>0</v>
      </c>
      <c r="BC192" s="3074" t="str">
        <f t="shared" si="195"/>
        <v>Dienstag</v>
      </c>
      <c r="BD192" s="3074">
        <f t="shared" si="195"/>
        <v>0</v>
      </c>
      <c r="BE192" s="3074" t="str">
        <f t="shared" si="195"/>
        <v>Mittwoch</v>
      </c>
      <c r="BF192" s="3074">
        <f t="shared" si="195"/>
        <v>0</v>
      </c>
      <c r="BG192" s="3074" t="str">
        <f t="shared" si="195"/>
        <v>Donnerstag</v>
      </c>
      <c r="BH192" s="3074">
        <f t="shared" si="195"/>
        <v>0</v>
      </c>
      <c r="BI192" s="3074" t="str">
        <f t="shared" si="195"/>
        <v>Freitag</v>
      </c>
      <c r="BJ192" s="3074">
        <f t="shared" si="195"/>
        <v>0</v>
      </c>
      <c r="BK192" s="3074" t="str">
        <f t="shared" si="195"/>
        <v>Samstag</v>
      </c>
      <c r="BL192" s="3074">
        <f t="shared" si="195"/>
        <v>0</v>
      </c>
      <c r="BM192" s="3074" t="str">
        <f t="shared" si="195"/>
        <v>Arbeitstage</v>
      </c>
      <c r="BN192" s="3074" t="str">
        <f t="shared" si="195"/>
        <v>Urlaubstage</v>
      </c>
      <c r="BO192" s="3074" t="str">
        <f t="shared" si="195"/>
        <v>Krankentage</v>
      </c>
      <c r="BP192" s="3074" t="str">
        <f t="shared" si="195"/>
        <v>Ums/Ges</v>
      </c>
      <c r="BQ192" s="3074" t="str">
        <f t="shared" si="195"/>
        <v>Ums/DL</v>
      </c>
      <c r="BR192" s="3074" t="str">
        <f t="shared" si="195"/>
        <v>Ums/VK</v>
      </c>
      <c r="BS192" s="3074" t="str">
        <f t="shared" si="195"/>
        <v>DL Differenz Soll/Ist</v>
      </c>
      <c r="BT192" s="3074">
        <f t="shared" si="195"/>
        <v>0</v>
      </c>
      <c r="BU192" s="3074">
        <f t="shared" si="195"/>
        <v>0</v>
      </c>
      <c r="BV192" s="3074">
        <f t="shared" si="195"/>
        <v>0</v>
      </c>
      <c r="BW192" s="3074" t="str">
        <f t="shared" si="195"/>
        <v>Verkauf Differenz Soll/Ist</v>
      </c>
      <c r="BX192" s="3074">
        <f t="shared" si="195"/>
        <v>0</v>
      </c>
      <c r="BY192" s="3074">
        <f t="shared" si="195"/>
        <v>0</v>
      </c>
      <c r="BZ192" s="3074">
        <f t="shared" si="195"/>
        <v>0</v>
      </c>
      <c r="CA192" s="3074">
        <f t="shared" si="195"/>
        <v>0</v>
      </c>
      <c r="CB192" s="3074" t="str">
        <f t="shared" ref="CB192:CG192" si="196">CB$1</f>
        <v>Monate im +</v>
      </c>
      <c r="CC192" s="3074" t="str">
        <f t="shared" si="196"/>
        <v>Monate im +</v>
      </c>
      <c r="CD192" s="3074">
        <f t="shared" si="196"/>
        <v>0</v>
      </c>
      <c r="CE192" s="3074">
        <f t="shared" si="196"/>
        <v>0</v>
      </c>
      <c r="CF192" s="3074">
        <f t="shared" si="196"/>
        <v>0</v>
      </c>
      <c r="CG192" s="3074">
        <f t="shared" si="196"/>
        <v>0</v>
      </c>
    </row>
    <row r="193" spans="1:106" s="3000" customFormat="1" ht="20.399999999999999" customHeight="1" thickBot="1">
      <c r="A193" s="3051">
        <f>CH194</f>
        <v>10</v>
      </c>
      <c r="B193" s="3001"/>
      <c r="C193" s="3002" t="str">
        <f t="shared" ref="C193" si="197">Q194</f>
        <v/>
      </c>
      <c r="D193" s="3002">
        <f t="shared" ref="D193" si="198">R194</f>
        <v>0</v>
      </c>
      <c r="E193" s="3002">
        <f t="shared" ref="E193" si="199">S194</f>
        <v>0</v>
      </c>
      <c r="F193" s="3002">
        <f t="shared" ref="F193" si="200">T194</f>
        <v>0</v>
      </c>
      <c r="G193" s="3002">
        <f t="shared" ref="G193" si="201">U194</f>
        <v>0</v>
      </c>
      <c r="H193" s="3002">
        <f t="shared" ref="H193" si="202">V194</f>
        <v>0</v>
      </c>
      <c r="I193" s="3002" t="str">
        <f>X194</f>
        <v/>
      </c>
      <c r="J193" s="3003" t="str">
        <f>AA194</f>
        <v/>
      </c>
      <c r="K193" s="3004" t="str">
        <f>AD194</f>
        <v/>
      </c>
      <c r="N193" s="565" t="s">
        <v>1345</v>
      </c>
      <c r="O193" s="3074">
        <f t="shared" ref="O193:AT193" si="203">O152</f>
        <v>23.5</v>
      </c>
      <c r="P193" s="3074">
        <f t="shared" si="203"/>
        <v>13.04</v>
      </c>
      <c r="Q193" s="3074">
        <f t="shared" si="203"/>
        <v>1326.8851999999999</v>
      </c>
      <c r="R193" s="3074">
        <f t="shared" si="203"/>
        <v>0</v>
      </c>
      <c r="S193" s="3074">
        <f t="shared" si="203"/>
        <v>0</v>
      </c>
      <c r="T193" s="3074">
        <f t="shared" si="203"/>
        <v>0</v>
      </c>
      <c r="U193" s="3074">
        <f t="shared" si="203"/>
        <v>0</v>
      </c>
      <c r="V193" s="3074">
        <f t="shared" si="203"/>
        <v>0</v>
      </c>
      <c r="W193" s="3074">
        <f t="shared" si="203"/>
        <v>13.04</v>
      </c>
      <c r="X193" s="3074">
        <f t="shared" si="203"/>
        <v>1326.8851999999999</v>
      </c>
      <c r="Y193" s="3074">
        <f t="shared" si="203"/>
        <v>101.755</v>
      </c>
      <c r="Z193" s="3074">
        <f t="shared" si="203"/>
        <v>13.04</v>
      </c>
      <c r="AA193" s="3074">
        <f t="shared" si="203"/>
        <v>7</v>
      </c>
      <c r="AB193" s="3074">
        <f t="shared" si="203"/>
        <v>75.771968999999999</v>
      </c>
      <c r="AC193" s="3074">
        <f t="shared" si="203"/>
        <v>0.34270833333333334</v>
      </c>
      <c r="AD193" s="3074">
        <f t="shared" si="203"/>
        <v>9288.1963999999989</v>
      </c>
      <c r="AE193" s="3074">
        <f t="shared" si="203"/>
        <v>0</v>
      </c>
      <c r="AF193" s="3074">
        <f t="shared" si="203"/>
        <v>4.63</v>
      </c>
      <c r="AG193" s="3074">
        <f t="shared" si="203"/>
        <v>6143</v>
      </c>
      <c r="AH193" s="3074">
        <f t="shared" si="203"/>
        <v>446.97480443663153</v>
      </c>
      <c r="AI193" s="3074">
        <f t="shared" si="203"/>
        <v>5.5021555102258944E-2</v>
      </c>
      <c r="AJ193" s="3074">
        <f t="shared" si="203"/>
        <v>26.025195563368481</v>
      </c>
      <c r="AK193" s="3074">
        <f t="shared" si="203"/>
        <v>0</v>
      </c>
      <c r="AL193" s="3074">
        <f t="shared" si="203"/>
        <v>472.9</v>
      </c>
      <c r="AM193" s="3074">
        <f t="shared" si="203"/>
        <v>0</v>
      </c>
      <c r="AN193" s="3074">
        <f t="shared" si="203"/>
        <v>0</v>
      </c>
      <c r="AO193" s="3074">
        <f t="shared" si="203"/>
        <v>23.5</v>
      </c>
      <c r="AP193" s="3074">
        <f t="shared" si="203"/>
        <v>3</v>
      </c>
      <c r="AQ193" s="3074">
        <f t="shared" si="203"/>
        <v>12.99</v>
      </c>
      <c r="AR193" s="3074">
        <f t="shared" si="203"/>
        <v>6143</v>
      </c>
      <c r="AS193" s="3074">
        <f t="shared" si="203"/>
        <v>5805.002587006823</v>
      </c>
      <c r="AT193" s="3074">
        <f t="shared" si="203"/>
        <v>337.99741299317668</v>
      </c>
      <c r="AU193" s="3074">
        <f t="shared" ref="AU193:BZ193" si="204">AU152</f>
        <v>1419</v>
      </c>
      <c r="AV193" s="3074">
        <f t="shared" si="204"/>
        <v>60.370497764237633</v>
      </c>
      <c r="AW193" s="3074">
        <f t="shared" si="204"/>
        <v>0</v>
      </c>
      <c r="AX193" s="3074">
        <f t="shared" si="204"/>
        <v>75.46312220529704</v>
      </c>
      <c r="AY193" s="3074" t="str">
        <f t="shared" si="204"/>
        <v>Salli</v>
      </c>
      <c r="AZ193" s="3074">
        <f t="shared" si="204"/>
        <v>35841.575000000004</v>
      </c>
      <c r="BA193" s="3074" t="str">
        <f t="shared" si="204"/>
        <v/>
      </c>
      <c r="BB193" s="3074" t="str">
        <f t="shared" si="204"/>
        <v/>
      </c>
      <c r="BC193" s="3074" t="str">
        <f t="shared" si="204"/>
        <v/>
      </c>
      <c r="BD193" s="3074" t="str">
        <f t="shared" si="204"/>
        <v/>
      </c>
      <c r="BE193" s="3074" t="str">
        <f t="shared" si="204"/>
        <v/>
      </c>
      <c r="BF193" s="3074" t="str">
        <f t="shared" si="204"/>
        <v/>
      </c>
      <c r="BG193" s="3074">
        <f t="shared" si="204"/>
        <v>8</v>
      </c>
      <c r="BH193" s="3074">
        <f t="shared" si="204"/>
        <v>482.96398211390107</v>
      </c>
      <c r="BI193" s="3074">
        <f t="shared" si="204"/>
        <v>8</v>
      </c>
      <c r="BJ193" s="3074">
        <f t="shared" si="204"/>
        <v>482.96398211390107</v>
      </c>
      <c r="BK193" s="3074">
        <f t="shared" si="204"/>
        <v>7.5</v>
      </c>
      <c r="BL193" s="3074">
        <f t="shared" si="204"/>
        <v>452.77873323178227</v>
      </c>
      <c r="BM193" s="3074">
        <f t="shared" si="204"/>
        <v>80</v>
      </c>
      <c r="BN193" s="3074">
        <f t="shared" si="204"/>
        <v>6</v>
      </c>
      <c r="BO193" s="3074">
        <f t="shared" si="204"/>
        <v>5</v>
      </c>
      <c r="BP193" s="3074">
        <f t="shared" si="204"/>
        <v>37832</v>
      </c>
      <c r="BQ193" s="3074">
        <f t="shared" si="204"/>
        <v>35757.984354930522</v>
      </c>
      <c r="BR193" s="3074">
        <f t="shared" si="204"/>
        <v>2081.5852994191018</v>
      </c>
      <c r="BS193" s="3074">
        <f t="shared" si="204"/>
        <v>0</v>
      </c>
      <c r="BT193" s="3074">
        <f t="shared" si="204"/>
        <v>35757.984354930522</v>
      </c>
      <c r="BU193" s="3074">
        <f t="shared" si="204"/>
        <v>-35757.984354930522</v>
      </c>
      <c r="BV193" s="3074" t="str">
        <f t="shared" si="204"/>
        <v/>
      </c>
      <c r="BW193" s="3074">
        <f t="shared" si="204"/>
        <v>0</v>
      </c>
      <c r="BX193" s="3074">
        <f t="shared" si="204"/>
        <v>2081.5852994191018</v>
      </c>
      <c r="BY193" s="3074">
        <f t="shared" si="204"/>
        <v>-2081.5852994191018</v>
      </c>
      <c r="BZ193" s="3074" t="str">
        <f t="shared" si="204"/>
        <v/>
      </c>
      <c r="CA193" s="3074" t="str">
        <f t="shared" ref="CA193:CG193" si="205">CA152</f>
        <v/>
      </c>
      <c r="CB193" s="3074" t="str">
        <f t="shared" si="205"/>
        <v/>
      </c>
      <c r="CC193" s="3074" t="str">
        <f t="shared" si="205"/>
        <v/>
      </c>
      <c r="CD193" s="3074" t="str">
        <f t="shared" si="205"/>
        <v>Salli</v>
      </c>
      <c r="CE193" s="3074">
        <f t="shared" si="205"/>
        <v>0</v>
      </c>
      <c r="CF193" s="3074">
        <f t="shared" si="205"/>
        <v>0</v>
      </c>
      <c r="CG193" s="3074">
        <f t="shared" si="205"/>
        <v>0</v>
      </c>
      <c r="CH193" s="3062"/>
      <c r="CI193" s="3062"/>
      <c r="CJ193" s="3062"/>
      <c r="CK193" s="3062"/>
      <c r="CL193" s="3062"/>
      <c r="CM193" s="3062"/>
      <c r="CN193" s="3062"/>
      <c r="CO193" s="3062"/>
      <c r="CP193" s="3062"/>
      <c r="CQ193" s="3062"/>
      <c r="CR193" s="3062"/>
      <c r="CS193" s="3062"/>
      <c r="CT193" s="3062"/>
      <c r="CU193" s="3062"/>
      <c r="CV193" s="3062"/>
      <c r="CW193" s="3062"/>
      <c r="CX193" s="3062"/>
      <c r="CY193" s="3159"/>
      <c r="CZ193" s="3159"/>
      <c r="DA193" s="3159"/>
      <c r="DB193" s="3159"/>
    </row>
    <row r="194" spans="1:106" s="3005" customFormat="1" ht="41.4" customHeight="1">
      <c r="B194" s="3006"/>
      <c r="C194" s="3007" t="s">
        <v>1296</v>
      </c>
      <c r="D194" s="3007" t="s">
        <v>1355</v>
      </c>
      <c r="E194" s="3007" t="s">
        <v>1356</v>
      </c>
      <c r="F194" s="3007" t="s">
        <v>1357</v>
      </c>
      <c r="G194" s="3007" t="s">
        <v>1358</v>
      </c>
      <c r="H194" s="3007" t="s">
        <v>1359</v>
      </c>
      <c r="I194" s="3007" t="s">
        <v>1360</v>
      </c>
      <c r="J194" s="3007" t="s">
        <v>1361</v>
      </c>
      <c r="N194" s="565">
        <f>MAdaten!A13</f>
        <v>0</v>
      </c>
      <c r="O194" s="565">
        <f>MAdaten!B13</f>
        <v>0</v>
      </c>
      <c r="P194" s="565">
        <f>MAdaten!C13</f>
        <v>0</v>
      </c>
      <c r="Q194" s="565" t="str">
        <f>MAdaten!D13</f>
        <v/>
      </c>
      <c r="R194" s="565">
        <f>MAdaten!E13</f>
        <v>0</v>
      </c>
      <c r="S194" s="565">
        <f>MAdaten!F13</f>
        <v>0</v>
      </c>
      <c r="T194" s="565">
        <f>MAdaten!G13</f>
        <v>0</v>
      </c>
      <c r="U194" s="565">
        <f>MAdaten!H13</f>
        <v>0</v>
      </c>
      <c r="V194" s="565">
        <f>MAdaten!I13</f>
        <v>0</v>
      </c>
      <c r="W194" s="565" t="e">
        <f>MAdaten!J13</f>
        <v>#VALUE!</v>
      </c>
      <c r="X194" s="565" t="str">
        <f>MAdaten!K13</f>
        <v/>
      </c>
      <c r="Y194" s="565" t="str">
        <f>MAdaten!L13</f>
        <v/>
      </c>
      <c r="Z194" s="565" t="str">
        <f>MAdaten!M13</f>
        <v/>
      </c>
      <c r="AA194" s="565" t="str">
        <f>MAdaten!N13</f>
        <v/>
      </c>
      <c r="AB194" s="565" t="str">
        <f>MAdaten!O13</f>
        <v/>
      </c>
      <c r="AC194" s="565" t="str">
        <f>MAdaten!P13</f>
        <v/>
      </c>
      <c r="AD194" s="565" t="str">
        <f>MAdaten!Q13</f>
        <v/>
      </c>
      <c r="AE194" s="565">
        <f>MAdaten!R13</f>
        <v>0</v>
      </c>
      <c r="AF194" s="565" t="str">
        <f>MAdaten!S13</f>
        <v/>
      </c>
      <c r="AG194" s="565" t="str">
        <f>MAdaten!T13</f>
        <v/>
      </c>
      <c r="AH194" s="565" t="str">
        <f>MAdaten!U13</f>
        <v/>
      </c>
      <c r="AI194" s="565">
        <f>MAdaten!V13</f>
        <v>5.5021555102258944E-2</v>
      </c>
      <c r="AJ194" s="565" t="str">
        <f>MAdaten!W13</f>
        <v/>
      </c>
      <c r="AK194" s="565">
        <f>MAdaten!X13</f>
        <v>0</v>
      </c>
      <c r="AL194" s="565" t="str">
        <f>MAdaten!Y13</f>
        <v/>
      </c>
      <c r="AM194" s="565">
        <f>MAdaten!Z13</f>
        <v>0</v>
      </c>
      <c r="AN194" s="565">
        <f>MAdaten!AA13</f>
        <v>0</v>
      </c>
      <c r="AO194" s="565" t="str">
        <f>MAdaten!AB13</f>
        <v/>
      </c>
      <c r="AP194" s="565" t="str">
        <f>MAdaten!AC13</f>
        <v/>
      </c>
      <c r="AQ194" s="565" t="str">
        <f>MAdaten!AD13</f>
        <v/>
      </c>
      <c r="AR194" s="565" t="str">
        <f>MAdaten!AE13</f>
        <v/>
      </c>
      <c r="AS194" s="565" t="str">
        <f>MAdaten!AF13</f>
        <v/>
      </c>
      <c r="AT194" s="565" t="str">
        <f>MAdaten!AG13</f>
        <v/>
      </c>
      <c r="AU194" s="565" t="str">
        <f>MAdaten!AH13</f>
        <v/>
      </c>
      <c r="AV194" s="565" t="str">
        <f>MAdaten!AI13</f>
        <v/>
      </c>
      <c r="AW194" s="565">
        <f>MAdaten!AJ13</f>
        <v>0</v>
      </c>
      <c r="AX194" s="565" t="str">
        <f>MAdaten!AK13</f>
        <v/>
      </c>
      <c r="AY194" s="565" t="str">
        <f>MAdaten!AL13</f>
        <v/>
      </c>
      <c r="AZ194" s="565" t="str">
        <f>MAdaten!AM13</f>
        <v/>
      </c>
      <c r="BA194" s="565" t="str">
        <f>MAdaten!AN13</f>
        <v/>
      </c>
      <c r="BB194" s="565" t="str">
        <f>MAdaten!AO13</f>
        <v/>
      </c>
      <c r="BC194" s="565" t="str">
        <f>MAdaten!AP13</f>
        <v/>
      </c>
      <c r="BD194" s="565" t="str">
        <f>MAdaten!AQ13</f>
        <v/>
      </c>
      <c r="BE194" s="565" t="str">
        <f>MAdaten!AR13</f>
        <v/>
      </c>
      <c r="BF194" s="565" t="str">
        <f>MAdaten!AS13</f>
        <v/>
      </c>
      <c r="BG194" s="565" t="str">
        <f>MAdaten!AT13</f>
        <v/>
      </c>
      <c r="BH194" s="565" t="str">
        <f>MAdaten!AU13</f>
        <v/>
      </c>
      <c r="BI194" s="565" t="str">
        <f>MAdaten!AV13</f>
        <v/>
      </c>
      <c r="BJ194" s="565" t="str">
        <f>MAdaten!AW13</f>
        <v/>
      </c>
      <c r="BK194" s="565" t="str">
        <f>MAdaten!AX13</f>
        <v/>
      </c>
      <c r="BL194" s="565" t="str">
        <f>MAdaten!AY13</f>
        <v/>
      </c>
      <c r="BM194" s="565" t="str">
        <f>MAdaten!AZ13</f>
        <v/>
      </c>
      <c r="BN194" s="565" t="str">
        <f>MAdaten!BA13</f>
        <v/>
      </c>
      <c r="BO194" s="565" t="str">
        <f>MAdaten!BB13</f>
        <v/>
      </c>
      <c r="BP194" s="565" t="str">
        <f>MAdaten!BC13</f>
        <v/>
      </c>
      <c r="BQ194" s="565" t="str">
        <f>MAdaten!BD13</f>
        <v/>
      </c>
      <c r="BR194" s="565" t="str">
        <f>MAdaten!BE13</f>
        <v/>
      </c>
      <c r="BS194" s="565" t="str">
        <f>MAdaten!BF13</f>
        <v/>
      </c>
      <c r="BT194" s="565" t="str">
        <f>MAdaten!BG13</f>
        <v/>
      </c>
      <c r="BU194" s="565" t="str">
        <f>MAdaten!BH13</f>
        <v/>
      </c>
      <c r="BV194" s="565" t="str">
        <f>MAdaten!BI13</f>
        <v/>
      </c>
      <c r="BW194" s="565" t="str">
        <f>MAdaten!BJ13</f>
        <v/>
      </c>
      <c r="BX194" s="565" t="str">
        <f>MAdaten!BK13</f>
        <v/>
      </c>
      <c r="BY194" s="565" t="str">
        <f>MAdaten!BL13</f>
        <v/>
      </c>
      <c r="BZ194" s="565" t="str">
        <f>MAdaten!BM13</f>
        <v/>
      </c>
      <c r="CA194" s="565" t="str">
        <f>MAdaten!BN13</f>
        <v/>
      </c>
      <c r="CB194" s="565" t="str">
        <f>MAdaten!BO13</f>
        <v/>
      </c>
      <c r="CC194" s="565" t="str">
        <f>MAdaten!BP13</f>
        <v/>
      </c>
      <c r="CD194" s="565" t="str">
        <f>MAdaten!BQ13</f>
        <v/>
      </c>
      <c r="CE194" s="565" t="str">
        <f>MAdaten!BR13</f>
        <v/>
      </c>
      <c r="CF194" s="565" t="str">
        <f>MAdaten!BS13</f>
        <v/>
      </c>
      <c r="CG194" s="565" t="str">
        <f>MAdaten!BT13</f>
        <v/>
      </c>
      <c r="CH194" s="565">
        <f>MAdaten!BU13</f>
        <v>10</v>
      </c>
      <c r="CI194" s="565" t="str">
        <f>MAdaten!BV13</f>
        <v>Januar</v>
      </c>
      <c r="CJ194" s="565">
        <f>MAdaten!BW13</f>
        <v>0</v>
      </c>
      <c r="CK194" s="565">
        <f>MAdaten!BX13</f>
        <v>0</v>
      </c>
      <c r="CL194" s="565">
        <f>MAdaten!BY13</f>
        <v>0</v>
      </c>
      <c r="CM194" s="565">
        <f>MAdaten!BZ13</f>
        <v>0</v>
      </c>
      <c r="CN194" s="565" t="str">
        <f>MAdaten!CA13</f>
        <v/>
      </c>
      <c r="CO194" s="565" t="str">
        <f>MAdaten!CB13</f>
        <v/>
      </c>
      <c r="CP194" s="565" t="str">
        <f>MAdaten!CC13</f>
        <v/>
      </c>
      <c r="CQ194" s="565">
        <f>MAdaten!CD13</f>
        <v>0</v>
      </c>
      <c r="CR194" s="565" t="str">
        <f>MAdaten!CE13</f>
        <v/>
      </c>
      <c r="CS194" s="565" t="str">
        <f>MAdaten!CF13</f>
        <v/>
      </c>
      <c r="CT194" s="565" t="str">
        <f>MAdaten!CG13</f>
        <v/>
      </c>
      <c r="CU194" s="3069"/>
      <c r="CV194" s="3069"/>
      <c r="CW194" s="3069"/>
      <c r="CX194" s="3069"/>
      <c r="CY194" s="3160"/>
      <c r="CZ194" s="3160"/>
      <c r="DA194" s="3160"/>
      <c r="DB194" s="3160"/>
    </row>
    <row r="195" spans="1:106" s="3000" customFormat="1" ht="20.399999999999999" customHeight="1" thickBot="1">
      <c r="B195" s="3001"/>
      <c r="C195" s="3008" t="e">
        <f>W194</f>
        <v>#VALUE!</v>
      </c>
      <c r="D195" s="3008" t="str">
        <f>Z194</f>
        <v/>
      </c>
      <c r="E195" s="3008" t="str">
        <f>AO194</f>
        <v/>
      </c>
      <c r="F195" s="3008" t="str">
        <f>Y194</f>
        <v/>
      </c>
      <c r="G195" s="3008" t="str">
        <f>AP194</f>
        <v/>
      </c>
      <c r="H195" s="3008" t="str">
        <f>AQ194</f>
        <v/>
      </c>
      <c r="I195" s="3004" t="str">
        <f>AB194</f>
        <v/>
      </c>
      <c r="J195" s="3003" t="str">
        <f>AC194</f>
        <v/>
      </c>
      <c r="N195" s="3062"/>
      <c r="O195" s="3062"/>
      <c r="P195" s="3062"/>
      <c r="Q195" s="3062"/>
      <c r="R195" s="3062"/>
      <c r="S195" s="3062"/>
      <c r="T195" s="3062"/>
      <c r="U195" s="3062"/>
      <c r="V195" s="3062"/>
      <c r="W195" s="3062"/>
      <c r="X195" s="3062"/>
      <c r="Y195" s="3062"/>
      <c r="Z195" s="3062"/>
      <c r="AA195" s="3062"/>
      <c r="AB195" s="3062"/>
      <c r="AC195" s="3062"/>
      <c r="AD195" s="3062"/>
      <c r="AE195" s="3062"/>
      <c r="AF195" s="3062"/>
      <c r="AG195" s="3062"/>
      <c r="AH195" s="3062"/>
      <c r="AI195" s="3062"/>
      <c r="AJ195" s="3062"/>
      <c r="AK195" s="3062"/>
      <c r="AL195" s="3062"/>
      <c r="AM195" s="3062"/>
      <c r="AN195" s="3062"/>
      <c r="AO195" s="3062"/>
      <c r="AP195" s="3062"/>
      <c r="AQ195" s="3062"/>
      <c r="AR195" s="3062"/>
      <c r="AS195" s="3062"/>
      <c r="AT195" s="3062"/>
      <c r="AU195" s="3062"/>
      <c r="AV195" s="3062"/>
      <c r="AW195" s="3062"/>
      <c r="AX195" s="3062"/>
      <c r="AY195" s="3062"/>
      <c r="AZ195" s="3062"/>
      <c r="BA195" s="3062"/>
      <c r="BB195" s="3062"/>
      <c r="BC195" s="3062"/>
      <c r="BD195" s="3062"/>
      <c r="BE195" s="3062"/>
      <c r="BF195" s="3062"/>
      <c r="BG195" s="3062"/>
      <c r="BH195" s="3062"/>
      <c r="BI195" s="3062"/>
      <c r="BJ195" s="3062"/>
      <c r="BK195" s="3062"/>
      <c r="BL195" s="3062"/>
      <c r="BM195" s="3062"/>
      <c r="BN195" s="3062"/>
      <c r="BO195" s="3062"/>
      <c r="BP195" s="3062"/>
      <c r="BQ195" s="3062"/>
      <c r="BR195" s="3062"/>
      <c r="BS195" s="3062"/>
      <c r="BT195" s="3062"/>
      <c r="BU195" s="3062"/>
      <c r="BV195" s="3062"/>
      <c r="BW195" s="3062"/>
      <c r="BX195" s="3062"/>
      <c r="BY195" s="3062"/>
      <c r="BZ195" s="3062"/>
      <c r="CA195" s="3062"/>
      <c r="CB195" s="3062"/>
      <c r="CC195" s="3062"/>
      <c r="CD195" s="3062"/>
      <c r="CE195" s="3062"/>
      <c r="CF195" s="3062"/>
      <c r="CG195" s="3062"/>
      <c r="CH195" s="3062"/>
      <c r="CI195" s="3062"/>
      <c r="CJ195" s="3062"/>
      <c r="CK195" s="3062"/>
      <c r="CL195" s="3062"/>
      <c r="CM195" s="3062"/>
      <c r="CN195" s="3062"/>
      <c r="CO195" s="3062"/>
      <c r="CP195" s="3062"/>
      <c r="CQ195" s="3062"/>
      <c r="CR195" s="3062"/>
      <c r="CS195" s="3062"/>
      <c r="CT195" s="3062"/>
      <c r="CU195" s="3062"/>
      <c r="CV195" s="3062"/>
      <c r="CW195" s="3062"/>
      <c r="CX195" s="3062"/>
      <c r="CY195" s="3159"/>
      <c r="CZ195" s="3159"/>
      <c r="DA195" s="3159"/>
      <c r="DB195" s="3159"/>
    </row>
    <row r="196" spans="1:106" ht="21.6" customHeight="1" thickBot="1">
      <c r="A196" s="3009"/>
      <c r="B196" s="3010"/>
      <c r="C196" s="3011"/>
      <c r="D196" s="3012"/>
      <c r="E196" s="3011"/>
      <c r="F196" s="3012"/>
      <c r="G196" s="3011"/>
      <c r="H196" s="3012"/>
      <c r="I196" s="3054"/>
      <c r="J196" s="3054"/>
      <c r="K196" s="3055"/>
      <c r="L196" s="3054"/>
      <c r="N196" s="565"/>
      <c r="O196" s="565"/>
      <c r="P196" s="565"/>
    </row>
    <row r="197" spans="1:106" s="3005" customFormat="1" ht="66" customHeight="1">
      <c r="A197" s="4362" t="s">
        <v>1362</v>
      </c>
      <c r="B197" s="4363"/>
      <c r="C197" s="3013" t="str">
        <f>AG192</f>
        <v>Sollumsatz pro Arbeits-monat €</v>
      </c>
      <c r="D197" s="3013" t="str">
        <f>AL192</f>
        <v>Gesamt-sollumsatz pro Tag €</v>
      </c>
      <c r="E197" s="3013" t="str">
        <f>AU192</f>
        <v>Umsatz p. Woche</v>
      </c>
      <c r="F197" s="3013" t="str">
        <f>AV192</f>
        <v>Umsatz p. Std</v>
      </c>
      <c r="G197" s="3013" t="str">
        <f>AX192</f>
        <v>Umsatz p. Std mit Leerlauf</v>
      </c>
      <c r="H197" s="3014" t="str">
        <f>AS192</f>
        <v>DL-Umsatz pro M.</v>
      </c>
      <c r="I197" s="3014" t="str">
        <f>AH192</f>
        <v>Sollumsatz DL pro Anwesen-heitstag €</v>
      </c>
      <c r="J197" s="3014" t="str">
        <f>AT192</f>
        <v>VK-Umsatz pro M.</v>
      </c>
      <c r="K197" s="3014" t="str">
        <f>AI192</f>
        <v>Verkaufs-anteil %</v>
      </c>
      <c r="L197" s="3014" t="str">
        <f>AJ192</f>
        <v>Verkaufs-anteil € pro Tag</v>
      </c>
      <c r="N197" s="3069"/>
      <c r="O197" s="3069"/>
      <c r="P197" s="3069"/>
      <c r="Q197" s="3069"/>
      <c r="R197" s="3069"/>
      <c r="S197" s="3069"/>
      <c r="T197" s="3069"/>
      <c r="U197" s="3069"/>
      <c r="V197" s="3069"/>
      <c r="W197" s="3069"/>
      <c r="X197" s="3069"/>
      <c r="Y197" s="3069"/>
      <c r="Z197" s="3069"/>
      <c r="AA197" s="3069"/>
      <c r="AB197" s="3069"/>
      <c r="AC197" s="3069"/>
      <c r="AD197" s="3069"/>
      <c r="AE197" s="3069"/>
      <c r="AF197" s="3069"/>
      <c r="AG197" s="3069"/>
      <c r="AH197" s="3069"/>
      <c r="AI197" s="3069"/>
      <c r="AJ197" s="3069"/>
      <c r="AK197" s="3069"/>
      <c r="AL197" s="3069"/>
      <c r="AM197" s="3069"/>
      <c r="AN197" s="3069"/>
      <c r="AO197" s="3069"/>
      <c r="AP197" s="3069"/>
      <c r="AQ197" s="3069"/>
      <c r="AR197" s="3069"/>
      <c r="AS197" s="3069"/>
      <c r="AT197" s="3069"/>
      <c r="AU197" s="3069"/>
      <c r="AV197" s="3069"/>
      <c r="AW197" s="3069"/>
      <c r="AX197" s="3069"/>
      <c r="AY197" s="3069"/>
      <c r="AZ197" s="3069"/>
      <c r="BA197" s="3069"/>
      <c r="BB197" s="3069"/>
      <c r="BC197" s="3069"/>
      <c r="BD197" s="3069"/>
      <c r="BE197" s="3069"/>
      <c r="BF197" s="3069"/>
      <c r="BG197" s="3069"/>
      <c r="BH197" s="3069"/>
      <c r="BI197" s="3069"/>
      <c r="BJ197" s="3069"/>
      <c r="BK197" s="3069"/>
      <c r="BL197" s="3069"/>
      <c r="BM197" s="3069"/>
      <c r="BN197" s="3069"/>
      <c r="BO197" s="3069"/>
      <c r="BP197" s="3069"/>
      <c r="BQ197" s="3069"/>
      <c r="BR197" s="3069"/>
      <c r="BS197" s="3069"/>
      <c r="BT197" s="3069"/>
      <c r="BU197" s="3069"/>
      <c r="BV197" s="3069"/>
      <c r="BW197" s="3069"/>
      <c r="BX197" s="3069"/>
      <c r="BY197" s="3069"/>
      <c r="BZ197" s="3069"/>
      <c r="CA197" s="3069"/>
      <c r="CB197" s="3069"/>
      <c r="CC197" s="3069"/>
      <c r="CD197" s="3069"/>
      <c r="CE197" s="3069"/>
      <c r="CF197" s="3069"/>
      <c r="CG197" s="3069"/>
      <c r="CH197" s="3069"/>
      <c r="CI197" s="3069"/>
      <c r="CJ197" s="3069"/>
      <c r="CK197" s="3069"/>
      <c r="CL197" s="3069"/>
      <c r="CM197" s="3069"/>
      <c r="CN197" s="3069"/>
      <c r="CO197" s="3069"/>
      <c r="CP197" s="3069"/>
      <c r="CQ197" s="3069"/>
      <c r="CR197" s="3069"/>
      <c r="CS197" s="3069"/>
      <c r="CT197" s="3069"/>
      <c r="CU197" s="3069"/>
      <c r="CV197" s="3069"/>
      <c r="CW197" s="3069"/>
      <c r="CX197" s="3069"/>
      <c r="CY197" s="3160"/>
      <c r="CZ197" s="3160"/>
      <c r="DA197" s="3160"/>
      <c r="DB197" s="3160"/>
    </row>
    <row r="198" spans="1:106" s="3049" customFormat="1">
      <c r="A198" s="3015"/>
      <c r="B198" s="3016"/>
      <c r="C198" s="3017" t="str">
        <f>AR194</f>
        <v/>
      </c>
      <c r="D198" s="3017" t="str">
        <f>AL194</f>
        <v/>
      </c>
      <c r="E198" s="3017" t="str">
        <f>AU194</f>
        <v/>
      </c>
      <c r="F198" s="3018" t="str">
        <f>AV194</f>
        <v/>
      </c>
      <c r="G198" s="3018" t="str">
        <f>AX194</f>
        <v/>
      </c>
      <c r="H198" s="3019" t="str">
        <f>AS194</f>
        <v/>
      </c>
      <c r="I198" s="3020" t="str">
        <f>AH194</f>
        <v/>
      </c>
      <c r="J198" s="3020" t="str">
        <f>AT194</f>
        <v/>
      </c>
      <c r="K198" s="3021">
        <f>AI194</f>
        <v>5.5021555102258944E-2</v>
      </c>
      <c r="L198" s="3020" t="str">
        <f>AJ194</f>
        <v/>
      </c>
      <c r="N198" s="3070"/>
      <c r="O198" s="3070"/>
      <c r="P198" s="3070"/>
      <c r="Q198" s="3070"/>
      <c r="R198" s="3070"/>
      <c r="S198" s="3070"/>
      <c r="T198" s="3070"/>
      <c r="U198" s="3070"/>
      <c r="V198" s="3070"/>
      <c r="W198" s="3070"/>
      <c r="X198" s="3070"/>
      <c r="Y198" s="3070"/>
      <c r="Z198" s="3070"/>
      <c r="AA198" s="3070"/>
      <c r="AB198" s="3070"/>
      <c r="AC198" s="3070"/>
      <c r="AD198" s="3070"/>
      <c r="AE198" s="3070"/>
      <c r="AF198" s="3070"/>
      <c r="AG198" s="3070"/>
      <c r="AH198" s="3070"/>
      <c r="AI198" s="3070"/>
      <c r="AJ198" s="3070"/>
      <c r="AK198" s="3070"/>
      <c r="AL198" s="3070"/>
      <c r="AM198" s="3070"/>
      <c r="AN198" s="3070"/>
      <c r="AO198" s="3070"/>
      <c r="AP198" s="3070"/>
      <c r="AQ198" s="3070"/>
      <c r="AR198" s="3070"/>
      <c r="AS198" s="3070"/>
      <c r="AT198" s="3070"/>
      <c r="AU198" s="3070"/>
      <c r="AV198" s="3070"/>
      <c r="AW198" s="3070"/>
      <c r="AX198" s="3070"/>
      <c r="AY198" s="3070"/>
      <c r="AZ198" s="3070"/>
      <c r="BA198" s="3070"/>
      <c r="BB198" s="3070"/>
      <c r="BC198" s="3070"/>
      <c r="BD198" s="3070"/>
      <c r="BE198" s="3070"/>
      <c r="BF198" s="3070"/>
      <c r="BG198" s="3070"/>
      <c r="BH198" s="3070"/>
      <c r="BI198" s="3070"/>
      <c r="BJ198" s="3070"/>
      <c r="BK198" s="3070"/>
      <c r="BL198" s="3070"/>
      <c r="BM198" s="3070"/>
      <c r="BN198" s="3070"/>
      <c r="BO198" s="3070"/>
      <c r="BP198" s="3070"/>
      <c r="BQ198" s="3070"/>
      <c r="BR198" s="3070"/>
      <c r="BS198" s="3070"/>
      <c r="BT198" s="3070"/>
      <c r="BU198" s="3070"/>
      <c r="BV198" s="3070"/>
      <c r="BW198" s="3070"/>
      <c r="BX198" s="3070"/>
      <c r="BY198" s="3070"/>
      <c r="BZ198" s="3070"/>
      <c r="CA198" s="3070"/>
      <c r="CB198" s="3070"/>
      <c r="CC198" s="3070"/>
      <c r="CD198" s="3070"/>
      <c r="CE198" s="3070"/>
      <c r="CF198" s="3070"/>
      <c r="CG198" s="3070"/>
      <c r="CH198" s="3070"/>
      <c r="CI198" s="3070"/>
      <c r="CJ198" s="3070"/>
      <c r="CK198" s="3070"/>
      <c r="CL198" s="3070"/>
      <c r="CM198" s="3070"/>
      <c r="CN198" s="3070"/>
      <c r="CO198" s="3070"/>
      <c r="CP198" s="3070"/>
      <c r="CQ198" s="3070"/>
      <c r="CR198" s="3070"/>
      <c r="CS198" s="3070"/>
      <c r="CT198" s="3070"/>
      <c r="CU198" s="3070"/>
      <c r="CV198" s="3070"/>
      <c r="CW198" s="3070"/>
      <c r="CX198" s="3070"/>
      <c r="CY198" s="3158"/>
      <c r="CZ198" s="3158"/>
      <c r="DA198" s="3158"/>
      <c r="DB198" s="3158"/>
    </row>
    <row r="199" spans="1:106" s="3005" customFormat="1" ht="20.399999999999999" customHeight="1">
      <c r="A199" s="4364" t="s">
        <v>168</v>
      </c>
      <c r="B199" s="4365"/>
      <c r="C199" s="4364" t="s">
        <v>169</v>
      </c>
      <c r="D199" s="4365"/>
      <c r="E199" s="4364" t="s">
        <v>170</v>
      </c>
      <c r="F199" s="4365"/>
      <c r="G199" s="4364" t="s">
        <v>171</v>
      </c>
      <c r="H199" s="4365"/>
      <c r="I199" s="4364" t="s">
        <v>172</v>
      </c>
      <c r="J199" s="4365"/>
      <c r="K199" s="4364" t="s">
        <v>173</v>
      </c>
      <c r="L199" s="4365"/>
      <c r="N199" s="3069"/>
      <c r="O199" s="3069"/>
      <c r="P199" s="3069"/>
      <c r="Q199" s="3069"/>
      <c r="R199" s="3069"/>
      <c r="S199" s="3069"/>
      <c r="T199" s="3069"/>
      <c r="U199" s="3069"/>
      <c r="V199" s="3069"/>
      <c r="W199" s="3069"/>
      <c r="X199" s="3069"/>
      <c r="Y199" s="3069"/>
      <c r="Z199" s="3069"/>
      <c r="AA199" s="3069"/>
      <c r="AB199" s="3069"/>
      <c r="AC199" s="3069"/>
      <c r="AD199" s="3069"/>
      <c r="AE199" s="3069"/>
      <c r="AF199" s="3069"/>
      <c r="AG199" s="3069"/>
      <c r="AH199" s="3069"/>
      <c r="AI199" s="3069"/>
      <c r="AJ199" s="3069"/>
      <c r="AK199" s="3069"/>
      <c r="AL199" s="3069"/>
      <c r="AM199" s="3069"/>
      <c r="AN199" s="3069"/>
      <c r="AO199" s="3069"/>
      <c r="AP199" s="3069"/>
      <c r="AQ199" s="3069"/>
      <c r="AR199" s="3069"/>
      <c r="AS199" s="3069"/>
      <c r="AT199" s="3069"/>
      <c r="AU199" s="3069"/>
      <c r="AV199" s="3069"/>
      <c r="AW199" s="3069"/>
      <c r="AX199" s="3069"/>
      <c r="AY199" s="3069"/>
      <c r="AZ199" s="3069"/>
      <c r="BA199" s="3069"/>
      <c r="BB199" s="3069"/>
      <c r="BC199" s="3069"/>
      <c r="BD199" s="3069"/>
      <c r="BE199" s="3069"/>
      <c r="BF199" s="3069"/>
      <c r="BG199" s="3069"/>
      <c r="BH199" s="3069"/>
      <c r="BI199" s="3069"/>
      <c r="BJ199" s="3069"/>
      <c r="BK199" s="3069"/>
      <c r="BL199" s="3069"/>
      <c r="BM199" s="3069"/>
      <c r="BN199" s="3069"/>
      <c r="BO199" s="3069"/>
      <c r="BP199" s="3069"/>
      <c r="BQ199" s="3069"/>
      <c r="BR199" s="3069"/>
      <c r="BS199" s="3069"/>
      <c r="BT199" s="3069"/>
      <c r="BU199" s="3069"/>
      <c r="BV199" s="3069"/>
      <c r="BW199" s="3069"/>
      <c r="BX199" s="3069"/>
      <c r="BY199" s="3069"/>
      <c r="BZ199" s="3069"/>
      <c r="CA199" s="3069"/>
      <c r="CB199" s="3069"/>
      <c r="CC199" s="3069"/>
      <c r="CD199" s="3069"/>
      <c r="CE199" s="3069"/>
      <c r="CF199" s="3069"/>
      <c r="CG199" s="3069"/>
      <c r="CH199" s="3069"/>
      <c r="CI199" s="3069"/>
      <c r="CJ199" s="3069"/>
      <c r="CK199" s="3069"/>
      <c r="CL199" s="3069"/>
      <c r="CM199" s="3069"/>
      <c r="CN199" s="3069"/>
      <c r="CO199" s="3069"/>
      <c r="CP199" s="3069"/>
      <c r="CQ199" s="3069"/>
      <c r="CR199" s="3069"/>
      <c r="CS199" s="3069"/>
      <c r="CT199" s="3069"/>
      <c r="CU199" s="3069"/>
      <c r="CV199" s="3069"/>
      <c r="CW199" s="3069"/>
      <c r="CX199" s="3069"/>
      <c r="CY199" s="3160"/>
      <c r="CZ199" s="3160"/>
      <c r="DA199" s="3160"/>
      <c r="DB199" s="3160"/>
    </row>
    <row r="200" spans="1:106" s="3005" customFormat="1" ht="20.399999999999999" customHeight="1">
      <c r="A200" s="3022" t="s">
        <v>217</v>
      </c>
      <c r="B200" s="3022" t="s">
        <v>61</v>
      </c>
      <c r="C200" s="3022" t="s">
        <v>217</v>
      </c>
      <c r="D200" s="3022" t="s">
        <v>61</v>
      </c>
      <c r="E200" s="3022" t="s">
        <v>217</v>
      </c>
      <c r="F200" s="3022" t="s">
        <v>61</v>
      </c>
      <c r="G200" s="3022" t="s">
        <v>217</v>
      </c>
      <c r="H200" s="3022" t="s">
        <v>61</v>
      </c>
      <c r="I200" s="3022" t="s">
        <v>217</v>
      </c>
      <c r="J200" s="3022" t="s">
        <v>61</v>
      </c>
      <c r="K200" s="3022" t="s">
        <v>217</v>
      </c>
      <c r="L200" s="3022" t="s">
        <v>61</v>
      </c>
      <c r="N200" s="3069"/>
      <c r="O200" s="3069"/>
      <c r="P200" s="3069"/>
      <c r="Q200" s="3069"/>
      <c r="R200" s="3069"/>
      <c r="S200" s="3069"/>
      <c r="T200" s="3069"/>
      <c r="U200" s="3069"/>
      <c r="V200" s="3069"/>
      <c r="W200" s="3069"/>
      <c r="X200" s="3069"/>
      <c r="Y200" s="3069"/>
      <c r="Z200" s="3069"/>
      <c r="AA200" s="3069"/>
      <c r="AB200" s="3069"/>
      <c r="AC200" s="3069"/>
      <c r="AD200" s="3069"/>
      <c r="AE200" s="3069"/>
      <c r="AF200" s="3069"/>
      <c r="AG200" s="3069"/>
      <c r="AH200" s="3069"/>
      <c r="AI200" s="3069"/>
      <c r="AJ200" s="3069"/>
      <c r="AK200" s="3069"/>
      <c r="AL200" s="3069"/>
      <c r="AM200" s="3069"/>
      <c r="AN200" s="3069"/>
      <c r="AO200" s="3069"/>
      <c r="AP200" s="3069"/>
      <c r="AQ200" s="3069"/>
      <c r="AR200" s="3069"/>
      <c r="AS200" s="3069"/>
      <c r="AT200" s="3069"/>
      <c r="AU200" s="3069"/>
      <c r="AV200" s="3069"/>
      <c r="AW200" s="3069"/>
      <c r="AX200" s="3069"/>
      <c r="AY200" s="3069"/>
      <c r="AZ200" s="3069"/>
      <c r="BA200" s="3069"/>
      <c r="BB200" s="3069"/>
      <c r="BC200" s="3069"/>
      <c r="BD200" s="3069"/>
      <c r="BE200" s="3069"/>
      <c r="BF200" s="3069"/>
      <c r="BG200" s="3069"/>
      <c r="BH200" s="3069"/>
      <c r="BI200" s="3069"/>
      <c r="BJ200" s="3069"/>
      <c r="BK200" s="3069"/>
      <c r="BL200" s="3069"/>
      <c r="BM200" s="3069"/>
      <c r="BN200" s="3069"/>
      <c r="BO200" s="3069"/>
      <c r="BP200" s="3069"/>
      <c r="BQ200" s="3069"/>
      <c r="BR200" s="3069"/>
      <c r="BS200" s="3069"/>
      <c r="BT200" s="3069"/>
      <c r="BU200" s="3069"/>
      <c r="BV200" s="3069"/>
      <c r="BW200" s="3069"/>
      <c r="BX200" s="3069"/>
      <c r="BY200" s="3069"/>
      <c r="BZ200" s="3069"/>
      <c r="CA200" s="3069"/>
      <c r="CB200" s="3069"/>
      <c r="CC200" s="3069"/>
      <c r="CD200" s="3069"/>
      <c r="CE200" s="3069"/>
      <c r="CF200" s="3069"/>
      <c r="CG200" s="3069"/>
      <c r="CH200" s="3069"/>
      <c r="CI200" s="3069"/>
      <c r="CJ200" s="3069"/>
      <c r="CK200" s="3069"/>
      <c r="CL200" s="3069"/>
      <c r="CM200" s="3069"/>
      <c r="CN200" s="3069"/>
      <c r="CO200" s="3069"/>
      <c r="CP200" s="3069"/>
      <c r="CQ200" s="3069"/>
      <c r="CR200" s="3069"/>
      <c r="CS200" s="3069"/>
      <c r="CT200" s="3069"/>
      <c r="CU200" s="3069"/>
      <c r="CV200" s="3069"/>
      <c r="CW200" s="3069"/>
      <c r="CX200" s="3069"/>
      <c r="CY200" s="3160"/>
      <c r="CZ200" s="3160"/>
      <c r="DA200" s="3160"/>
      <c r="DB200" s="3160"/>
    </row>
    <row r="201" spans="1:106" s="3050" customFormat="1" ht="20.399999999999999" customHeight="1" thickBot="1">
      <c r="A201" s="3023" t="str">
        <f t="shared" ref="A201" si="206">BA194</f>
        <v/>
      </c>
      <c r="B201" s="3024" t="str">
        <f t="shared" ref="B201" si="207">BB194</f>
        <v/>
      </c>
      <c r="C201" s="3023" t="str">
        <f t="shared" ref="C201" si="208">BC194</f>
        <v/>
      </c>
      <c r="D201" s="3024" t="str">
        <f t="shared" ref="D201" si="209">BD194</f>
        <v/>
      </c>
      <c r="E201" s="3023" t="str">
        <f t="shared" ref="E201" si="210">BE194</f>
        <v/>
      </c>
      <c r="F201" s="3024" t="str">
        <f t="shared" ref="F201" si="211">BF194</f>
        <v/>
      </c>
      <c r="G201" s="3023" t="str">
        <f t="shared" ref="G201" si="212">BG194</f>
        <v/>
      </c>
      <c r="H201" s="3024" t="str">
        <f t="shared" ref="H201" si="213">BH194</f>
        <v/>
      </c>
      <c r="I201" s="3023" t="str">
        <f t="shared" ref="I201" si="214">BI194</f>
        <v/>
      </c>
      <c r="J201" s="3024" t="str">
        <f t="shared" ref="J201" si="215">BJ194</f>
        <v/>
      </c>
      <c r="K201" s="3023" t="str">
        <f t="shared" ref="K201" si="216">BK194</f>
        <v/>
      </c>
      <c r="L201" s="3024" t="str">
        <f t="shared" ref="L201" si="217">BL194</f>
        <v/>
      </c>
      <c r="N201" s="3071"/>
      <c r="O201" s="3071"/>
      <c r="P201" s="3071"/>
      <c r="Q201" s="3071"/>
      <c r="R201" s="3071"/>
      <c r="S201" s="3071"/>
      <c r="T201" s="3071"/>
      <c r="U201" s="3071"/>
      <c r="V201" s="3071"/>
      <c r="W201" s="3071"/>
      <c r="X201" s="3071"/>
      <c r="Y201" s="3071"/>
      <c r="Z201" s="3071"/>
      <c r="AA201" s="3071"/>
      <c r="AB201" s="3071"/>
      <c r="AC201" s="3071"/>
      <c r="AD201" s="3071"/>
      <c r="AE201" s="3071"/>
      <c r="AF201" s="3071"/>
      <c r="AG201" s="3071"/>
      <c r="AH201" s="3071"/>
      <c r="AI201" s="3071"/>
      <c r="AJ201" s="3071"/>
      <c r="AK201" s="3071"/>
      <c r="AL201" s="3071"/>
      <c r="AM201" s="3071"/>
      <c r="AN201" s="3071"/>
      <c r="AO201" s="3071"/>
      <c r="AP201" s="3071"/>
      <c r="AQ201" s="3071"/>
      <c r="AR201" s="3071"/>
      <c r="AS201" s="3071"/>
      <c r="AT201" s="3071"/>
      <c r="AU201" s="3071"/>
      <c r="AV201" s="3071"/>
      <c r="AW201" s="3071"/>
      <c r="AX201" s="3071"/>
      <c r="AY201" s="3071"/>
      <c r="AZ201" s="3071"/>
      <c r="BA201" s="3071"/>
      <c r="BB201" s="3071"/>
      <c r="BC201" s="3071"/>
      <c r="BD201" s="3071"/>
      <c r="BE201" s="3071"/>
      <c r="BF201" s="3071"/>
      <c r="BG201" s="3071"/>
      <c r="BH201" s="3071"/>
      <c r="BI201" s="3071"/>
      <c r="BJ201" s="3071"/>
      <c r="BK201" s="3071"/>
      <c r="BL201" s="3071"/>
      <c r="BM201" s="3071"/>
      <c r="BN201" s="3071"/>
      <c r="BO201" s="3071"/>
      <c r="BP201" s="3071"/>
      <c r="BQ201" s="3071"/>
      <c r="BR201" s="3071"/>
      <c r="BS201" s="3071"/>
      <c r="BT201" s="3071"/>
      <c r="BU201" s="3071"/>
      <c r="BV201" s="3071"/>
      <c r="BW201" s="3071"/>
      <c r="BX201" s="3071"/>
      <c r="BY201" s="3071"/>
      <c r="BZ201" s="3071"/>
      <c r="CA201" s="3071"/>
      <c r="CB201" s="3071"/>
      <c r="CC201" s="3071"/>
      <c r="CD201" s="3071"/>
      <c r="CE201" s="3071"/>
      <c r="CF201" s="3071"/>
      <c r="CG201" s="3071"/>
      <c r="CH201" s="3071"/>
      <c r="CI201" s="3071"/>
      <c r="CJ201" s="3071"/>
      <c r="CK201" s="3071"/>
      <c r="CL201" s="3071"/>
      <c r="CM201" s="3071"/>
      <c r="CN201" s="3071"/>
      <c r="CO201" s="3071"/>
      <c r="CP201" s="3071"/>
      <c r="CQ201" s="3071"/>
      <c r="CR201" s="3071"/>
      <c r="CS201" s="3071"/>
      <c r="CT201" s="3071"/>
      <c r="CU201" s="3071"/>
      <c r="CV201" s="3071"/>
      <c r="CW201" s="3071"/>
      <c r="CX201" s="3071"/>
      <c r="CY201" s="830"/>
      <c r="CZ201" s="830"/>
      <c r="DA201" s="830"/>
      <c r="DB201" s="830"/>
    </row>
    <row r="202" spans="1:106" ht="21.6" customHeight="1" thickBot="1">
      <c r="A202" s="3009"/>
      <c r="B202" s="3010"/>
      <c r="C202" s="3011"/>
      <c r="D202" s="3012"/>
      <c r="E202" s="3011"/>
      <c r="F202" s="3012"/>
      <c r="G202" s="3011"/>
      <c r="H202" s="3012"/>
      <c r="I202" s="3054"/>
      <c r="J202" s="3054"/>
      <c r="K202" s="3055"/>
      <c r="L202" s="3054"/>
      <c r="N202" s="565"/>
      <c r="O202" s="565"/>
      <c r="P202" s="565"/>
    </row>
    <row r="203" spans="1:106" s="3031" customFormat="1" ht="19.8" customHeight="1">
      <c r="A203" s="3025" t="s">
        <v>1396</v>
      </c>
      <c r="B203" s="3029"/>
      <c r="C203" s="3029"/>
      <c r="D203" s="3029"/>
      <c r="E203" s="3029"/>
      <c r="F203" s="3029"/>
      <c r="G203" s="3029"/>
      <c r="H203" s="3029"/>
      <c r="I203" s="3029"/>
      <c r="J203" s="3029"/>
      <c r="K203" s="3029"/>
      <c r="L203" s="3029"/>
      <c r="N203" s="3069"/>
      <c r="O203" s="3069"/>
      <c r="P203" s="3069"/>
      <c r="Q203" s="3069"/>
      <c r="R203" s="3069"/>
      <c r="S203" s="3069"/>
      <c r="T203" s="3069"/>
      <c r="U203" s="3069"/>
      <c r="V203" s="3069"/>
      <c r="W203" s="3069"/>
      <c r="X203" s="3069"/>
      <c r="Y203" s="3069"/>
      <c r="Z203" s="3069"/>
      <c r="AA203" s="3069"/>
      <c r="AB203" s="3069"/>
      <c r="AC203" s="3069"/>
      <c r="AD203" s="3069"/>
      <c r="AE203" s="3069"/>
      <c r="AF203" s="3069"/>
      <c r="AG203" s="3069"/>
      <c r="AH203" s="3069"/>
      <c r="AI203" s="3069"/>
      <c r="AJ203" s="3069"/>
      <c r="AK203" s="3069"/>
      <c r="AL203" s="3069"/>
      <c r="AM203" s="3069"/>
      <c r="AN203" s="3069"/>
      <c r="AO203" s="3069"/>
      <c r="AP203" s="3069"/>
      <c r="AQ203" s="3069"/>
      <c r="AR203" s="3069"/>
      <c r="AS203" s="3069"/>
      <c r="AT203" s="3069"/>
      <c r="AU203" s="3069"/>
      <c r="AV203" s="3069"/>
      <c r="AW203" s="3069"/>
      <c r="AX203" s="3069"/>
      <c r="AY203" s="3069"/>
      <c r="AZ203" s="3069"/>
      <c r="BA203" s="3069"/>
      <c r="BB203" s="3069"/>
      <c r="BC203" s="3069"/>
      <c r="BD203" s="3069"/>
      <c r="BE203" s="3069"/>
      <c r="BF203" s="3069"/>
      <c r="BG203" s="3069"/>
      <c r="BH203" s="3069"/>
      <c r="BI203" s="3069"/>
      <c r="BJ203" s="3069"/>
      <c r="BK203" s="3069"/>
      <c r="BL203" s="3069"/>
      <c r="BM203" s="3069"/>
      <c r="BN203" s="3069"/>
      <c r="BO203" s="3069"/>
      <c r="BP203" s="3069"/>
      <c r="BQ203" s="3069"/>
      <c r="BR203" s="3069"/>
      <c r="BS203" s="3069"/>
      <c r="BT203" s="3069"/>
      <c r="BU203" s="3069"/>
      <c r="BV203" s="3069"/>
      <c r="BW203" s="3069"/>
      <c r="BX203" s="3069"/>
      <c r="BY203" s="3069"/>
      <c r="BZ203" s="3069"/>
      <c r="CA203" s="3069"/>
      <c r="CB203" s="3069"/>
      <c r="CC203" s="3069"/>
      <c r="CD203" s="3069"/>
      <c r="CE203" s="3069"/>
      <c r="CF203" s="3069"/>
      <c r="CG203" s="3069"/>
      <c r="CH203" s="3069"/>
      <c r="CI203" s="3069"/>
      <c r="CJ203" s="3069"/>
      <c r="CK203" s="3069"/>
      <c r="CL203" s="3069"/>
      <c r="CM203" s="3069"/>
      <c r="CN203" s="3069"/>
      <c r="CO203" s="3069"/>
      <c r="CP203" s="3069"/>
      <c r="CQ203" s="3069"/>
      <c r="CR203" s="3069"/>
      <c r="CS203" s="3069"/>
      <c r="CT203" s="3069"/>
      <c r="CU203" s="3069"/>
      <c r="CV203" s="3069"/>
      <c r="CW203" s="3069"/>
      <c r="CX203" s="3069"/>
      <c r="CY203" s="3160"/>
      <c r="CZ203" s="3160"/>
      <c r="DA203" s="3160"/>
      <c r="DB203" s="3160"/>
    </row>
    <row r="204" spans="1:106" s="3031" customFormat="1" ht="19.8" customHeight="1">
      <c r="A204" s="3163"/>
      <c r="B204" s="3164" t="s">
        <v>1102</v>
      </c>
      <c r="C204" s="3164" t="s">
        <v>1120</v>
      </c>
      <c r="D204" s="3164" t="s">
        <v>1121</v>
      </c>
      <c r="E204" s="3164" t="s">
        <v>1113</v>
      </c>
      <c r="F204" s="3164" t="s">
        <v>1115</v>
      </c>
      <c r="G204" s="3164" t="s">
        <v>1368</v>
      </c>
      <c r="H204" s="3164" t="s">
        <v>907</v>
      </c>
      <c r="I204" s="3164" t="s">
        <v>1114</v>
      </c>
      <c r="J204" s="3164" t="s">
        <v>1116</v>
      </c>
      <c r="K204" s="3164" t="s">
        <v>1368</v>
      </c>
      <c r="L204" s="3164" t="s">
        <v>907</v>
      </c>
      <c r="N204" s="3069"/>
      <c r="O204" s="3069"/>
      <c r="P204" s="3069"/>
      <c r="Q204" s="3069"/>
      <c r="R204" s="3069"/>
      <c r="S204" s="3069"/>
      <c r="T204" s="3069"/>
      <c r="U204" s="3069"/>
      <c r="V204" s="3069"/>
      <c r="W204" s="3069"/>
      <c r="X204" s="3069"/>
      <c r="Y204" s="3069"/>
      <c r="Z204" s="3069"/>
      <c r="AA204" s="3069"/>
      <c r="AB204" s="3069"/>
      <c r="AC204" s="3069"/>
      <c r="AD204" s="3069"/>
      <c r="AE204" s="3069"/>
      <c r="AF204" s="3069"/>
      <c r="AG204" s="3069"/>
      <c r="AH204" s="3069"/>
      <c r="AI204" s="3069"/>
      <c r="AJ204" s="3069"/>
      <c r="AK204" s="3069"/>
      <c r="AL204" s="3069"/>
      <c r="AM204" s="3069"/>
      <c r="AN204" s="3069"/>
      <c r="AO204" s="3069"/>
      <c r="AP204" s="3069"/>
      <c r="AQ204" s="3069"/>
      <c r="AR204" s="3069"/>
      <c r="AS204" s="3069"/>
      <c r="AT204" s="3069"/>
      <c r="AU204" s="3069"/>
      <c r="AV204" s="3069"/>
      <c r="AW204" s="3069"/>
      <c r="AX204" s="3069"/>
      <c r="AY204" s="3069"/>
      <c r="AZ204" s="3069"/>
      <c r="BA204" s="3069"/>
      <c r="BB204" s="3069"/>
      <c r="BC204" s="3069"/>
      <c r="BD204" s="3069"/>
      <c r="BE204" s="3069"/>
      <c r="BF204" s="3069"/>
      <c r="BG204" s="3069"/>
      <c r="BH204" s="3069"/>
      <c r="BI204" s="3069"/>
      <c r="BJ204" s="3069"/>
      <c r="BK204" s="3069"/>
      <c r="BL204" s="3069"/>
      <c r="BM204" s="3069"/>
      <c r="BN204" s="3069"/>
      <c r="BO204" s="3069"/>
      <c r="BP204" s="3069"/>
      <c r="BQ204" s="3069"/>
      <c r="BR204" s="3069"/>
      <c r="BS204" s="3069"/>
      <c r="BT204" s="3069"/>
      <c r="BU204" s="3069"/>
      <c r="BV204" s="3069"/>
      <c r="BW204" s="3069"/>
      <c r="BX204" s="3069"/>
      <c r="BY204" s="3069"/>
      <c r="BZ204" s="3069"/>
      <c r="CA204" s="3069"/>
      <c r="CB204" s="3069"/>
      <c r="CC204" s="3069"/>
      <c r="CD204" s="3069"/>
      <c r="CE204" s="3069"/>
      <c r="CF204" s="3069"/>
      <c r="CG204" s="3069"/>
      <c r="CH204" s="3069"/>
      <c r="CI204" s="3069"/>
      <c r="CJ204" s="3069"/>
      <c r="CK204" s="3069"/>
      <c r="CL204" s="3069"/>
      <c r="CM204" s="3069"/>
      <c r="CN204" s="3069"/>
      <c r="CO204" s="3069"/>
      <c r="CP204" s="3069"/>
      <c r="CQ204" s="3069"/>
      <c r="CR204" s="3069"/>
      <c r="CS204" s="3069"/>
      <c r="CT204" s="3069"/>
      <c r="CU204" s="3069"/>
      <c r="CV204" s="3069"/>
      <c r="CW204" s="3069"/>
      <c r="CX204" s="3069"/>
      <c r="CY204" s="3160"/>
      <c r="CZ204" s="3160"/>
      <c r="DA204" s="3160"/>
      <c r="DB204" s="3160"/>
    </row>
    <row r="205" spans="1:106" s="3038" customFormat="1" ht="17.399999999999999" customHeight="1" thickBot="1">
      <c r="A205" s="3165" t="str">
        <f t="shared" ref="A205:L205" si="218">CI194</f>
        <v>Januar</v>
      </c>
      <c r="B205" s="3166">
        <f t="shared" si="218"/>
        <v>0</v>
      </c>
      <c r="C205" s="3166">
        <f t="shared" si="218"/>
        <v>0</v>
      </c>
      <c r="D205" s="3166">
        <f t="shared" si="218"/>
        <v>0</v>
      </c>
      <c r="E205" s="3167">
        <f t="shared" si="218"/>
        <v>0</v>
      </c>
      <c r="F205" s="3167" t="str">
        <f t="shared" si="218"/>
        <v/>
      </c>
      <c r="G205" s="3167" t="str">
        <f t="shared" si="218"/>
        <v/>
      </c>
      <c r="H205" s="3167" t="str">
        <f t="shared" si="218"/>
        <v/>
      </c>
      <c r="I205" s="3167">
        <f t="shared" si="218"/>
        <v>0</v>
      </c>
      <c r="J205" s="3167" t="str">
        <f t="shared" si="218"/>
        <v/>
      </c>
      <c r="K205" s="3167" t="str">
        <f t="shared" si="218"/>
        <v/>
      </c>
      <c r="L205" s="3167" t="str">
        <f t="shared" si="218"/>
        <v/>
      </c>
      <c r="N205" s="3070"/>
      <c r="O205" s="3070"/>
      <c r="P205" s="3070"/>
      <c r="Q205" s="3070"/>
      <c r="R205" s="3070"/>
      <c r="S205" s="3070"/>
      <c r="T205" s="3070"/>
      <c r="U205" s="3070"/>
      <c r="V205" s="3070"/>
      <c r="W205" s="3070"/>
      <c r="X205" s="3070"/>
      <c r="Y205" s="3070"/>
      <c r="Z205" s="3070"/>
      <c r="AA205" s="3070"/>
      <c r="AB205" s="3070"/>
      <c r="AC205" s="3070"/>
      <c r="AD205" s="3070"/>
      <c r="AE205" s="3070"/>
      <c r="AF205" s="3070"/>
      <c r="AG205" s="3070"/>
      <c r="AH205" s="3070"/>
      <c r="AI205" s="3070"/>
      <c r="AJ205" s="3070"/>
      <c r="AK205" s="3070"/>
      <c r="AL205" s="3070"/>
      <c r="AM205" s="3070"/>
      <c r="AN205" s="3070"/>
      <c r="AO205" s="3070"/>
      <c r="AP205" s="3070"/>
      <c r="AQ205" s="3070"/>
      <c r="AR205" s="3070"/>
      <c r="AS205" s="3070"/>
      <c r="AT205" s="3070"/>
      <c r="AU205" s="3070"/>
      <c r="AV205" s="3070"/>
      <c r="AW205" s="3070"/>
      <c r="AX205" s="3070"/>
      <c r="AY205" s="3070"/>
      <c r="AZ205" s="3070"/>
      <c r="BA205" s="3070"/>
      <c r="BB205" s="3070"/>
      <c r="BC205" s="3070"/>
      <c r="BD205" s="3070"/>
      <c r="BE205" s="3070"/>
      <c r="BF205" s="3070"/>
      <c r="BG205" s="3070"/>
      <c r="BH205" s="3070"/>
      <c r="BI205" s="3070"/>
      <c r="BJ205" s="3070"/>
      <c r="BK205" s="3070"/>
      <c r="BL205" s="3070"/>
      <c r="BM205" s="3070"/>
      <c r="BN205" s="3070"/>
      <c r="BO205" s="3070"/>
      <c r="BP205" s="3070"/>
      <c r="BQ205" s="3070"/>
      <c r="BR205" s="3070"/>
      <c r="BS205" s="3070"/>
      <c r="BT205" s="3070"/>
      <c r="BU205" s="3070"/>
      <c r="BV205" s="3070"/>
      <c r="BW205" s="3070"/>
      <c r="BX205" s="3070"/>
      <c r="BY205" s="3070"/>
      <c r="BZ205" s="3070"/>
      <c r="CA205" s="3070"/>
      <c r="CB205" s="3070"/>
      <c r="CC205" s="3070"/>
      <c r="CD205" s="3070"/>
      <c r="CE205" s="3070"/>
      <c r="CF205" s="3070"/>
      <c r="CG205" s="3070"/>
      <c r="CH205" s="3070"/>
      <c r="CI205" s="3070"/>
      <c r="CJ205" s="3070"/>
      <c r="CK205" s="3070"/>
      <c r="CL205" s="3070"/>
      <c r="CM205" s="3070"/>
      <c r="CN205" s="3070"/>
      <c r="CO205" s="3070"/>
      <c r="CP205" s="3070"/>
      <c r="CQ205" s="3070"/>
      <c r="CR205" s="3070"/>
      <c r="CS205" s="3070"/>
      <c r="CT205" s="3070"/>
      <c r="CU205" s="3070"/>
      <c r="CV205" s="3070"/>
      <c r="CW205" s="3070"/>
      <c r="CX205" s="3070"/>
      <c r="CY205" s="3158"/>
      <c r="CZ205" s="3158"/>
      <c r="DA205" s="3158"/>
      <c r="DB205" s="3158"/>
    </row>
    <row r="206" spans="1:106" s="3042" customFormat="1" ht="19.8" customHeight="1" thickBot="1">
      <c r="A206" s="3072"/>
      <c r="B206" s="3072"/>
      <c r="C206" s="3072"/>
      <c r="D206" s="3161"/>
      <c r="E206" s="3161"/>
      <c r="F206" s="3161"/>
      <c r="G206" s="3161"/>
      <c r="H206" s="3161"/>
      <c r="I206" s="3161"/>
      <c r="J206" s="3161"/>
      <c r="K206" s="3161"/>
      <c r="L206" s="3161"/>
      <c r="N206" s="3072"/>
      <c r="O206" s="3072"/>
      <c r="P206" s="3072"/>
      <c r="Q206" s="3072"/>
      <c r="R206" s="3072"/>
      <c r="S206" s="3072"/>
      <c r="T206" s="3072"/>
      <c r="U206" s="3072"/>
      <c r="V206" s="3072"/>
      <c r="W206" s="3072"/>
      <c r="X206" s="3072"/>
      <c r="Y206" s="3072"/>
      <c r="Z206" s="3072"/>
      <c r="AA206" s="3072"/>
      <c r="AB206" s="3072"/>
      <c r="AC206" s="3072"/>
      <c r="AD206" s="3072"/>
      <c r="AE206" s="3072"/>
      <c r="AF206" s="3072"/>
      <c r="AG206" s="3072"/>
      <c r="AH206" s="3072"/>
      <c r="AI206" s="3072"/>
      <c r="AJ206" s="3072"/>
      <c r="AK206" s="3072"/>
      <c r="AL206" s="3072"/>
      <c r="AM206" s="3072"/>
      <c r="AN206" s="3072"/>
      <c r="AO206" s="3072"/>
      <c r="AP206" s="3072"/>
      <c r="AQ206" s="3072"/>
      <c r="AR206" s="3072"/>
      <c r="AS206" s="3072"/>
      <c r="AT206" s="3072"/>
      <c r="AU206" s="3072"/>
      <c r="AV206" s="3072"/>
      <c r="AW206" s="3072"/>
      <c r="AX206" s="3072"/>
      <c r="AY206" s="3072"/>
      <c r="AZ206" s="3072"/>
      <c r="BA206" s="3072"/>
      <c r="BB206" s="3072"/>
      <c r="BC206" s="3072"/>
      <c r="BD206" s="3072"/>
      <c r="BE206" s="3072"/>
      <c r="BF206" s="3072"/>
      <c r="BG206" s="3072"/>
      <c r="BH206" s="3072"/>
      <c r="BI206" s="3072"/>
      <c r="BJ206" s="3072"/>
      <c r="BK206" s="3072"/>
      <c r="BL206" s="3072"/>
      <c r="BM206" s="3072"/>
      <c r="BN206" s="3072"/>
      <c r="BO206" s="3072"/>
      <c r="BP206" s="3072"/>
      <c r="BQ206" s="3072"/>
      <c r="BR206" s="3072"/>
      <c r="BS206" s="3072"/>
      <c r="BT206" s="3072"/>
      <c r="BU206" s="3072"/>
      <c r="BV206" s="3072"/>
      <c r="BW206" s="3072"/>
      <c r="BX206" s="3072"/>
      <c r="BY206" s="3072"/>
      <c r="BZ206" s="3072"/>
      <c r="CA206" s="3072"/>
      <c r="CB206" s="3072"/>
      <c r="CC206" s="3072"/>
      <c r="CD206" s="3072"/>
      <c r="CE206" s="3072"/>
      <c r="CF206" s="3072"/>
      <c r="CG206" s="3072"/>
      <c r="CH206" s="3072"/>
      <c r="CI206" s="3072"/>
      <c r="CJ206" s="3072"/>
      <c r="CK206" s="3072"/>
      <c r="CL206" s="3072"/>
      <c r="CM206" s="3072"/>
      <c r="CN206" s="3072"/>
      <c r="CO206" s="3072"/>
      <c r="CP206" s="3072"/>
      <c r="CQ206" s="3072"/>
      <c r="CR206" s="3072"/>
      <c r="CS206" s="3072"/>
      <c r="CT206" s="3072"/>
      <c r="CU206" s="3072"/>
      <c r="CV206" s="3072"/>
      <c r="CW206" s="3072"/>
      <c r="CX206" s="3072"/>
      <c r="CY206" s="3161"/>
      <c r="CZ206" s="3161"/>
      <c r="DA206" s="3161"/>
      <c r="DB206" s="3161"/>
    </row>
    <row r="207" spans="1:106" s="3048" customFormat="1" ht="17.399999999999999" customHeight="1">
      <c r="A207" s="3025" t="s">
        <v>1363</v>
      </c>
      <c r="B207" s="3026"/>
      <c r="C207" s="3027" t="s">
        <v>1394</v>
      </c>
      <c r="D207" s="3027"/>
      <c r="E207" s="4366" t="s">
        <v>1364</v>
      </c>
      <c r="F207" s="4367"/>
      <c r="G207" s="3028"/>
      <c r="H207" s="3029"/>
      <c r="I207" s="4368" t="s">
        <v>1365</v>
      </c>
      <c r="J207" s="4369"/>
      <c r="K207" s="3030"/>
      <c r="L207" s="3162"/>
      <c r="N207" s="3073"/>
      <c r="O207" s="3073"/>
      <c r="P207" s="3073"/>
      <c r="Q207" s="3073"/>
      <c r="R207" s="3073"/>
      <c r="S207" s="3073"/>
      <c r="T207" s="3073"/>
      <c r="U207" s="3073"/>
      <c r="V207" s="3073"/>
      <c r="W207" s="3073"/>
      <c r="X207" s="3073"/>
      <c r="Y207" s="3073"/>
      <c r="Z207" s="3073"/>
      <c r="AA207" s="3073"/>
      <c r="AB207" s="3073"/>
      <c r="AC207" s="3073"/>
      <c r="AD207" s="3073"/>
      <c r="AE207" s="3073"/>
      <c r="AF207" s="3073"/>
      <c r="AG207" s="3073"/>
      <c r="AH207" s="3073"/>
      <c r="AI207" s="3073"/>
      <c r="AJ207" s="3073"/>
      <c r="AK207" s="3073"/>
      <c r="AL207" s="3073"/>
      <c r="AM207" s="3073"/>
      <c r="AN207" s="3073"/>
      <c r="AO207" s="3073"/>
      <c r="AP207" s="3073"/>
      <c r="AQ207" s="3073"/>
      <c r="AR207" s="3073"/>
      <c r="AS207" s="3073"/>
      <c r="AT207" s="3073"/>
      <c r="AU207" s="3073"/>
      <c r="AV207" s="3073"/>
      <c r="AW207" s="3073"/>
      <c r="AX207" s="3073"/>
      <c r="AY207" s="3073"/>
      <c r="AZ207" s="3073"/>
      <c r="BA207" s="3073"/>
      <c r="BB207" s="3073"/>
      <c r="BC207" s="3073"/>
      <c r="BD207" s="3073"/>
      <c r="BE207" s="3073"/>
      <c r="BF207" s="3073"/>
      <c r="BG207" s="3073"/>
      <c r="BH207" s="3073"/>
      <c r="BI207" s="3073"/>
      <c r="BJ207" s="3073"/>
      <c r="BK207" s="3073"/>
      <c r="BL207" s="3073"/>
      <c r="BM207" s="3073"/>
      <c r="BN207" s="3073"/>
      <c r="BO207" s="3073"/>
      <c r="BP207" s="3073"/>
      <c r="BQ207" s="3073"/>
      <c r="BR207" s="3073"/>
      <c r="BS207" s="3073"/>
      <c r="BT207" s="3073"/>
      <c r="BU207" s="3073"/>
      <c r="BV207" s="3073"/>
      <c r="BW207" s="3073"/>
      <c r="BX207" s="3073"/>
      <c r="BY207" s="3073"/>
      <c r="BZ207" s="3073"/>
      <c r="CA207" s="3073"/>
      <c r="CB207" s="3073"/>
      <c r="CC207" s="3073"/>
      <c r="CD207" s="3073"/>
      <c r="CE207" s="3073"/>
      <c r="CF207" s="3073"/>
      <c r="CG207" s="3073"/>
      <c r="CH207" s="3073"/>
      <c r="CI207" s="3073"/>
      <c r="CJ207" s="3073"/>
      <c r="CK207" s="3073"/>
      <c r="CL207" s="3073"/>
      <c r="CM207" s="3073"/>
      <c r="CN207" s="3073"/>
      <c r="CO207" s="3073"/>
      <c r="CP207" s="3073"/>
      <c r="CQ207" s="3073"/>
      <c r="CR207" s="3073"/>
      <c r="CS207" s="3073"/>
      <c r="CT207" s="3073"/>
      <c r="CU207" s="3073"/>
      <c r="CV207" s="3073"/>
      <c r="CW207" s="3073"/>
      <c r="CX207" s="3073"/>
      <c r="CY207" s="3162"/>
      <c r="CZ207" s="3162"/>
      <c r="DA207" s="3162"/>
      <c r="DB207" s="3162"/>
    </row>
    <row r="208" spans="1:106">
      <c r="A208" s="3032" t="s">
        <v>1366</v>
      </c>
      <c r="B208" s="3032" t="s">
        <v>1367</v>
      </c>
      <c r="C208" s="3033" t="s">
        <v>1368</v>
      </c>
      <c r="E208" s="3034" t="s">
        <v>1113</v>
      </c>
      <c r="F208" s="3034" t="s">
        <v>1115</v>
      </c>
      <c r="G208" s="3035" t="s">
        <v>1368</v>
      </c>
      <c r="I208" s="3036" t="s">
        <v>1114</v>
      </c>
      <c r="J208" s="3036" t="s">
        <v>1116</v>
      </c>
      <c r="K208" s="3033" t="s">
        <v>1368</v>
      </c>
      <c r="L208" s="1869"/>
      <c r="N208" s="565"/>
      <c r="O208" s="565"/>
      <c r="P208" s="565"/>
    </row>
    <row r="209" spans="1:16">
      <c r="A209" s="3037" t="e">
        <f>E209+I209</f>
        <v>#VALUE!</v>
      </c>
      <c r="B209" s="3037" t="str">
        <f>BP194</f>
        <v/>
      </c>
      <c r="C209" s="3052" t="e">
        <f>A209-B209</f>
        <v>#VALUE!</v>
      </c>
      <c r="D209" s="3038"/>
      <c r="E209" s="3039" t="str">
        <f>BS194</f>
        <v/>
      </c>
      <c r="F209" s="3039" t="str">
        <f>BT194</f>
        <v/>
      </c>
      <c r="G209" s="3053" t="str">
        <f>BU194</f>
        <v/>
      </c>
      <c r="H209" s="3038"/>
      <c r="I209" s="3037" t="str">
        <f>BW194</f>
        <v/>
      </c>
      <c r="J209" s="3037" t="str">
        <f>BX194</f>
        <v/>
      </c>
      <c r="K209" s="3052" t="str">
        <f>BY194</f>
        <v/>
      </c>
      <c r="L209" s="1869"/>
      <c r="N209" s="565"/>
      <c r="O209" s="565"/>
      <c r="P209" s="565"/>
    </row>
    <row r="210" spans="1:16">
      <c r="A210" s="3040" t="s">
        <v>1150</v>
      </c>
      <c r="B210" s="3032" t="s">
        <v>1369</v>
      </c>
      <c r="C210" s="3036" t="s">
        <v>907</v>
      </c>
      <c r="E210" s="3041" t="s">
        <v>1370</v>
      </c>
      <c r="F210" s="3041" t="s">
        <v>1148</v>
      </c>
      <c r="G210" s="3034" t="s">
        <v>907</v>
      </c>
      <c r="I210" s="3040" t="s">
        <v>1371</v>
      </c>
      <c r="J210" s="3040" t="s">
        <v>1149</v>
      </c>
      <c r="K210" s="3036" t="s">
        <v>907</v>
      </c>
      <c r="L210" s="1869"/>
      <c r="N210" s="565"/>
      <c r="O210" s="565"/>
      <c r="P210" s="565"/>
    </row>
    <row r="211" spans="1:16" ht="14.4" thickBot="1">
      <c r="A211" s="3043" t="str">
        <f>CE194</f>
        <v/>
      </c>
      <c r="B211" s="3044" t="str">
        <f>CA194</f>
        <v/>
      </c>
      <c r="C211" s="3043">
        <f>SUM(G211,K211)</f>
        <v>0</v>
      </c>
      <c r="D211" s="3045"/>
      <c r="E211" s="3046" t="str">
        <f>CB194</f>
        <v/>
      </c>
      <c r="F211" s="3047" t="str">
        <f>CF194</f>
        <v/>
      </c>
      <c r="G211" s="3047" t="str">
        <f>BV194</f>
        <v/>
      </c>
      <c r="H211" s="3045"/>
      <c r="I211" s="3044" t="str">
        <f>CC194</f>
        <v/>
      </c>
      <c r="J211" s="3043" t="str">
        <f>CG194</f>
        <v/>
      </c>
      <c r="K211" s="3043" t="str">
        <f>BZ194</f>
        <v/>
      </c>
      <c r="L211" s="1869"/>
      <c r="N211" s="565"/>
      <c r="O211" s="565"/>
      <c r="P211" s="565"/>
    </row>
    <row r="212" spans="1:16">
      <c r="N212" s="565"/>
      <c r="O212" s="565"/>
      <c r="P212" s="565"/>
    </row>
    <row r="213" spans="1:16">
      <c r="N213" s="565"/>
      <c r="O213" s="565"/>
      <c r="P213" s="565"/>
    </row>
    <row r="214" spans="1:16">
      <c r="N214" s="565"/>
      <c r="O214" s="565"/>
      <c r="P214" s="565"/>
    </row>
    <row r="215" spans="1:16">
      <c r="N215" s="565"/>
      <c r="O215" s="565"/>
      <c r="P215" s="565"/>
    </row>
    <row r="216" spans="1:16">
      <c r="N216" s="565"/>
      <c r="O216" s="565"/>
      <c r="P216" s="565"/>
    </row>
    <row r="217" spans="1:16">
      <c r="N217" s="565"/>
      <c r="O217" s="565"/>
      <c r="P217" s="565"/>
    </row>
    <row r="218" spans="1:16">
      <c r="N218" s="565"/>
      <c r="O218" s="565"/>
    </row>
  </sheetData>
  <sheetProtection algorithmName="SHA-512" hashValue="fSeIPpSNTzm8W/Ms7TvaX8bv+4YYaqhBk5NpqwE6OOb+Rh8HGj4nrPHpALOZIByzkFLQYEBLUazYXkp5RLbhQg==" saltValue="gOnHXw5Tp78k+Kp2OwUhXA==" spinCount="100000" sheet="1" objects="1" scenarios="1"/>
  <mergeCells count="113">
    <mergeCell ref="E207:F207"/>
    <mergeCell ref="I207:J207"/>
    <mergeCell ref="N7:P9"/>
    <mergeCell ref="E37:F37"/>
    <mergeCell ref="I37:J37"/>
    <mergeCell ref="E58:F58"/>
    <mergeCell ref="I58:J58"/>
    <mergeCell ref="E79:F79"/>
    <mergeCell ref="I79:J79"/>
    <mergeCell ref="K199:L199"/>
    <mergeCell ref="K178:L178"/>
    <mergeCell ref="BW1:BX1"/>
    <mergeCell ref="AY2:AZ2"/>
    <mergeCell ref="A6:B6"/>
    <mergeCell ref="A1:B1"/>
    <mergeCell ref="AE1:AE2"/>
    <mergeCell ref="BA1:BB1"/>
    <mergeCell ref="BC1:BD1"/>
    <mergeCell ref="BE1:BF1"/>
    <mergeCell ref="BG1:BH1"/>
    <mergeCell ref="N6:P6"/>
    <mergeCell ref="A8:B8"/>
    <mergeCell ref="C8:D8"/>
    <mergeCell ref="E8:F8"/>
    <mergeCell ref="G8:H8"/>
    <mergeCell ref="I8:J8"/>
    <mergeCell ref="K8:L8"/>
    <mergeCell ref="BI1:BJ1"/>
    <mergeCell ref="BK1:BL1"/>
    <mergeCell ref="BS1:BT1"/>
    <mergeCell ref="N1:P1"/>
    <mergeCell ref="A27:B27"/>
    <mergeCell ref="A29:B29"/>
    <mergeCell ref="C29:D29"/>
    <mergeCell ref="E29:F29"/>
    <mergeCell ref="G29:H29"/>
    <mergeCell ref="I29:J29"/>
    <mergeCell ref="E16:F16"/>
    <mergeCell ref="I16:J16"/>
    <mergeCell ref="A22:B22"/>
    <mergeCell ref="A48:B48"/>
    <mergeCell ref="A50:B50"/>
    <mergeCell ref="C50:D50"/>
    <mergeCell ref="E50:F50"/>
    <mergeCell ref="G50:H50"/>
    <mergeCell ref="I50:J50"/>
    <mergeCell ref="K50:L50"/>
    <mergeCell ref="K29:L29"/>
    <mergeCell ref="A43:B43"/>
    <mergeCell ref="A64:B64"/>
    <mergeCell ref="A69:B69"/>
    <mergeCell ref="A71:B71"/>
    <mergeCell ref="C71:D71"/>
    <mergeCell ref="E71:F71"/>
    <mergeCell ref="G71:H71"/>
    <mergeCell ref="I71:J71"/>
    <mergeCell ref="K71:L71"/>
    <mergeCell ref="A86:B86"/>
    <mergeCell ref="A91:B91"/>
    <mergeCell ref="A93:B93"/>
    <mergeCell ref="C93:D93"/>
    <mergeCell ref="E93:F93"/>
    <mergeCell ref="G93:H93"/>
    <mergeCell ref="I93:J93"/>
    <mergeCell ref="K93:L93"/>
    <mergeCell ref="A108:B108"/>
    <mergeCell ref="A113:B113"/>
    <mergeCell ref="A115:B115"/>
    <mergeCell ref="C115:D115"/>
    <mergeCell ref="E115:F115"/>
    <mergeCell ref="G115:H115"/>
    <mergeCell ref="I115:J115"/>
    <mergeCell ref="E101:F101"/>
    <mergeCell ref="I101:J101"/>
    <mergeCell ref="K115:L115"/>
    <mergeCell ref="A129:B129"/>
    <mergeCell ref="A134:B134"/>
    <mergeCell ref="A136:B136"/>
    <mergeCell ref="C136:D136"/>
    <mergeCell ref="E136:F136"/>
    <mergeCell ref="G136:H136"/>
    <mergeCell ref="I136:J136"/>
    <mergeCell ref="K136:L136"/>
    <mergeCell ref="E123:F123"/>
    <mergeCell ref="I123:J123"/>
    <mergeCell ref="A150:B150"/>
    <mergeCell ref="A155:B155"/>
    <mergeCell ref="A157:B157"/>
    <mergeCell ref="C157:D157"/>
    <mergeCell ref="E157:F157"/>
    <mergeCell ref="G157:H157"/>
    <mergeCell ref="I157:J157"/>
    <mergeCell ref="E144:F144"/>
    <mergeCell ref="I144:J144"/>
    <mergeCell ref="A192:B192"/>
    <mergeCell ref="A197:B197"/>
    <mergeCell ref="A199:B199"/>
    <mergeCell ref="C199:D199"/>
    <mergeCell ref="E199:F199"/>
    <mergeCell ref="G199:H199"/>
    <mergeCell ref="I199:J199"/>
    <mergeCell ref="K157:L157"/>
    <mergeCell ref="A171:B171"/>
    <mergeCell ref="A176:B176"/>
    <mergeCell ref="A178:B178"/>
    <mergeCell ref="C178:D178"/>
    <mergeCell ref="E178:F178"/>
    <mergeCell ref="G178:H178"/>
    <mergeCell ref="I178:J178"/>
    <mergeCell ref="E165:F165"/>
    <mergeCell ref="I165:J165"/>
    <mergeCell ref="E186:F186"/>
    <mergeCell ref="I186:J186"/>
  </mergeCells>
  <phoneticPr fontId="4" type="noConversion"/>
  <pageMargins left="0.25" right="0.25"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24"/>
  <sheetViews>
    <sheetView showGridLines="0" workbookViewId="0">
      <selection activeCell="C3" sqref="C3"/>
    </sheetView>
  </sheetViews>
  <sheetFormatPr baseColWidth="10" defaultColWidth="11.44140625" defaultRowHeight="13.8"/>
  <cols>
    <col min="1" max="5" width="11.44140625" style="494"/>
    <col min="6" max="6" width="12" style="494" bestFit="1" customWidth="1"/>
    <col min="7" max="16384" width="11.44140625" style="494"/>
  </cols>
  <sheetData>
    <row r="1" spans="2:14">
      <c r="B1" s="2606" t="s">
        <v>374</v>
      </c>
      <c r="C1" s="2606"/>
      <c r="D1" s="2606"/>
      <c r="E1" s="2606"/>
      <c r="F1" s="2606"/>
      <c r="G1" s="2606" t="s">
        <v>430</v>
      </c>
      <c r="H1" s="2606"/>
      <c r="I1" s="564"/>
    </row>
    <row r="2" spans="2:14">
      <c r="B2" s="2607" t="s">
        <v>375</v>
      </c>
      <c r="C2" s="2608" t="s">
        <v>66</v>
      </c>
      <c r="D2" s="565"/>
      <c r="E2" s="2606"/>
      <c r="F2" s="2606"/>
      <c r="G2" s="2607" t="s">
        <v>375</v>
      </c>
      <c r="H2" s="2608" t="str">
        <f>Start!L17</f>
        <v>ü</v>
      </c>
    </row>
    <row r="3" spans="2:14">
      <c r="B3" s="2607" t="s">
        <v>376</v>
      </c>
      <c r="C3" s="2608" t="str">
        <f>IF(C2="ü","","ü")</f>
        <v/>
      </c>
      <c r="D3" s="565"/>
      <c r="E3" s="2606"/>
      <c r="F3" s="2606"/>
      <c r="G3" s="2607" t="s">
        <v>376</v>
      </c>
      <c r="H3" s="2608" t="str">
        <f>IF(H2="ü","","ü")</f>
        <v/>
      </c>
    </row>
    <row r="4" spans="2:14">
      <c r="B4" s="4380" t="str">
        <f>IF('1 Erklärung'!S3="ok","ü","")</f>
        <v/>
      </c>
      <c r="C4" s="4380"/>
      <c r="D4" s="4380"/>
      <c r="E4" s="4380"/>
    </row>
    <row r="5" spans="2:14" ht="30" customHeight="1">
      <c r="B5" s="626" t="s">
        <v>372</v>
      </c>
      <c r="F5" s="3343"/>
      <c r="G5" s="3343"/>
      <c r="H5" s="3343"/>
      <c r="I5" s="3343"/>
    </row>
    <row r="6" spans="2:14" ht="13.05" customHeight="1">
      <c r="B6" s="830" t="str">
        <f>IF(C3="ü","Dieser Teil wurde nicht gebucht !","")</f>
        <v/>
      </c>
    </row>
    <row r="7" spans="2:14" ht="18.75" customHeight="1">
      <c r="B7" s="4382" t="s">
        <v>1278</v>
      </c>
      <c r="C7" s="4382"/>
      <c r="D7" s="4382"/>
      <c r="E7" s="4382"/>
      <c r="F7" s="4382"/>
      <c r="G7" s="4382"/>
      <c r="H7" s="4382"/>
      <c r="I7" s="4382"/>
      <c r="J7" s="4382"/>
      <c r="K7" s="4382"/>
      <c r="L7" s="4382"/>
      <c r="M7" s="4382"/>
      <c r="N7" s="4382"/>
    </row>
    <row r="8" spans="2:14" ht="18.75" customHeight="1">
      <c r="B8" s="4382"/>
      <c r="C8" s="4382"/>
      <c r="D8" s="4382"/>
      <c r="E8" s="4382"/>
      <c r="F8" s="4382"/>
      <c r="G8" s="4382"/>
      <c r="H8" s="4382"/>
      <c r="I8" s="4382"/>
      <c r="J8" s="4382"/>
      <c r="K8" s="4382"/>
      <c r="L8" s="4382"/>
      <c r="M8" s="4382"/>
      <c r="N8" s="4382"/>
    </row>
    <row r="9" spans="2:14" ht="18">
      <c r="B9" s="245" t="s">
        <v>499</v>
      </c>
    </row>
    <row r="11" spans="2:14" ht="18">
      <c r="B11" s="245" t="s">
        <v>1279</v>
      </c>
    </row>
    <row r="12" spans="2:14" ht="28.05" customHeight="1">
      <c r="B12" s="245" t="s">
        <v>373</v>
      </c>
    </row>
    <row r="13" spans="2:14" ht="36.75" customHeight="1"/>
    <row r="14" spans="2:14" ht="37.5" customHeight="1"/>
    <row r="15" spans="2:14" ht="9" customHeight="1"/>
    <row r="22" spans="1:1" ht="13.05" customHeight="1"/>
    <row r="23" spans="1:1" ht="21" customHeight="1">
      <c r="A23" s="4381" t="str">
        <f>IF(H2="ü","","Wichtige Eingaben!!")</f>
        <v/>
      </c>
    </row>
    <row r="24" spans="1:1">
      <c r="A24" s="4381"/>
    </row>
  </sheetData>
  <sheetProtection algorithmName="SHA-512" hashValue="OZgJK5XAHfZ+cFIvp4Rsg+Q3WTKQyVTQD2ehzXWmvnfYUpE0+lv1OcZIEkyPj/TRVtSaIFpuh2zE48qnt3TUNQ==" saltValue="KtvApKYKp2aF00n23T1wOQ==" spinCount="100000" sheet="1" objects="1" scenarios="1"/>
  <mergeCells count="4">
    <mergeCell ref="B4:E4"/>
    <mergeCell ref="A23:A24"/>
    <mergeCell ref="F5:I5"/>
    <mergeCell ref="B7:N8"/>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0C23-F1C3-4F65-9287-6C5C8FB6A614}">
  <dimension ref="A1:CC107"/>
  <sheetViews>
    <sheetView showGridLines="0" workbookViewId="0">
      <selection activeCell="N1" sqref="N1:O1"/>
    </sheetView>
  </sheetViews>
  <sheetFormatPr baseColWidth="10" defaultColWidth="11" defaultRowHeight="13.2"/>
  <cols>
    <col min="1" max="1" width="3.44140625" style="34" customWidth="1"/>
    <col min="2" max="2" width="26.5546875" style="34" customWidth="1"/>
    <col min="3" max="3" width="0.77734375" style="56" customWidth="1"/>
    <col min="4" max="4" width="9.44140625" style="34" customWidth="1"/>
    <col min="5" max="5" width="1.21875" style="34" customWidth="1"/>
    <col min="6" max="6" width="5" style="57" customWidth="1"/>
    <col min="7" max="7" width="7.44140625" style="34" customWidth="1"/>
    <col min="8" max="8" width="4.44140625" style="34" customWidth="1"/>
    <col min="9" max="9" width="7.44140625" style="13" customWidth="1"/>
    <col min="10" max="10" width="5.77734375" style="13" customWidth="1"/>
    <col min="11" max="11" width="9.44140625" style="34" customWidth="1"/>
    <col min="12" max="12" width="3.44140625" style="34" customWidth="1"/>
    <col min="13" max="13" width="23.77734375" style="34" customWidth="1"/>
    <col min="14" max="14" width="0.77734375" style="56" customWidth="1"/>
    <col min="15" max="15" width="9.44140625" style="34" customWidth="1"/>
    <col min="16" max="16" width="1.21875" style="34" customWidth="1"/>
    <col min="17" max="17" width="5" style="57" customWidth="1"/>
    <col min="18" max="18" width="4.21875" style="34" customWidth="1"/>
    <col min="19" max="19" width="7.44140625" style="34" customWidth="1"/>
    <col min="20" max="20" width="6.21875" style="34" customWidth="1"/>
    <col min="21" max="21" width="6.77734375" style="34" customWidth="1"/>
    <col min="22" max="22" width="12.21875" style="34" customWidth="1"/>
    <col min="23" max="23" width="3.44140625" style="34" customWidth="1"/>
    <col min="24" max="24" width="21" style="34" customWidth="1"/>
    <col min="25" max="25" width="2.44140625" style="34" customWidth="1"/>
    <col min="26" max="26" width="10.44140625" style="34" customWidth="1"/>
    <col min="27" max="27" width="1.77734375" style="34" customWidth="1"/>
    <col min="28" max="28" width="5.77734375" style="34" customWidth="1"/>
    <col min="29" max="29" width="14.44140625" style="34" customWidth="1"/>
    <col min="30" max="30" width="11" style="34"/>
    <col min="31" max="31" width="1.77734375" style="34" customWidth="1"/>
    <col min="32" max="33" width="5.44140625" style="34" customWidth="1"/>
    <col min="34" max="34" width="11" style="34"/>
    <col min="35" max="35" width="1.77734375" style="34" customWidth="1"/>
    <col min="36" max="36" width="5.44140625" style="34" customWidth="1"/>
    <col min="37" max="38" width="11" style="34"/>
    <col min="39" max="39" width="3.44140625" style="34" customWidth="1"/>
    <col min="40" max="40" width="25.77734375" style="34" customWidth="1"/>
    <col min="41" max="41" width="0.77734375" style="56" customWidth="1"/>
    <col min="42" max="42" width="9.44140625" style="34" customWidth="1"/>
    <col min="43" max="43" width="1.21875" style="34" customWidth="1"/>
    <col min="44" max="44" width="5" style="57" customWidth="1"/>
    <col min="45" max="45" width="7.44140625" style="34" customWidth="1"/>
    <col min="46" max="46" width="4.44140625" style="34" customWidth="1"/>
    <col min="47" max="47" width="7.44140625" style="13" customWidth="1"/>
    <col min="48" max="48" width="5.77734375" style="13" customWidth="1"/>
    <col min="49" max="49" width="9.44140625" style="34" customWidth="1"/>
    <col min="50" max="50" width="3.44140625" style="34" customWidth="1"/>
    <col min="51" max="51" width="23.77734375" style="34" customWidth="1"/>
    <col min="52" max="52" width="0.77734375" style="56" customWidth="1"/>
    <col min="53" max="53" width="9.44140625" style="34" customWidth="1"/>
    <col min="54" max="54" width="1.21875" style="34" customWidth="1"/>
    <col min="55" max="55" width="7.44140625" style="57" customWidth="1"/>
    <col min="56" max="56" width="12.21875" style="34" customWidth="1"/>
    <col min="57" max="57" width="3.44140625" style="34" customWidth="1"/>
    <col min="58" max="58" width="11" style="34"/>
    <col min="59" max="59" width="2.77734375" style="34" customWidth="1"/>
    <col min="60" max="60" width="5.44140625" style="34" customWidth="1"/>
    <col min="61" max="61" width="3.44140625" style="34" customWidth="1"/>
    <col min="62" max="62" width="21" style="34" customWidth="1"/>
    <col min="63" max="63" width="2.44140625" style="34" customWidth="1"/>
    <col min="64" max="64" width="10.44140625" style="34" customWidth="1"/>
    <col min="65" max="65" width="1.77734375" style="34" customWidth="1"/>
    <col min="66" max="66" width="5.77734375" style="34" customWidth="1"/>
    <col min="67" max="67" width="14.44140625" style="34" customWidth="1"/>
    <col min="68" max="262" width="11" style="34"/>
    <col min="263" max="263" width="3.44140625" style="34" customWidth="1"/>
    <col min="264" max="264" width="20.21875" style="34" customWidth="1"/>
    <col min="265" max="265" width="0.77734375" style="34" customWidth="1"/>
    <col min="266" max="266" width="10.21875" style="34" bestFit="1" customWidth="1"/>
    <col min="267" max="267" width="1.21875" style="34" customWidth="1"/>
    <col min="268" max="268" width="6.21875" style="34" customWidth="1"/>
    <col min="269" max="269" width="9.44140625" style="34" customWidth="1"/>
    <col min="270" max="270" width="1.21875" style="34" customWidth="1"/>
    <col min="271" max="271" width="5" style="34" customWidth="1"/>
    <col min="272" max="272" width="3.44140625" style="34" customWidth="1"/>
    <col min="273" max="273" width="12.21875" style="34" customWidth="1"/>
    <col min="274" max="274" width="4.44140625" style="34" customWidth="1"/>
    <col min="275" max="276" width="11" style="34"/>
    <col min="277" max="277" width="9.44140625" style="34" customWidth="1"/>
    <col min="278" max="278" width="3.44140625" style="34" customWidth="1"/>
    <col min="279" max="279" width="10.44140625" style="34" customWidth="1"/>
    <col min="280" max="280" width="8.21875" style="34" customWidth="1"/>
    <col min="281" max="281" width="5.44140625" style="34" customWidth="1"/>
    <col min="282" max="282" width="11" style="34"/>
    <col min="283" max="283" width="1.77734375" style="34" customWidth="1"/>
    <col min="284" max="284" width="5.44140625" style="34" customWidth="1"/>
    <col min="285" max="285" width="3.44140625" style="34" customWidth="1"/>
    <col min="286" max="286" width="11" style="34"/>
    <col min="287" max="287" width="1.77734375" style="34" customWidth="1"/>
    <col min="288" max="289" width="5.44140625" style="34" customWidth="1"/>
    <col min="290" max="290" width="11" style="34"/>
    <col min="291" max="291" width="1.77734375" style="34" customWidth="1"/>
    <col min="292" max="292" width="5.44140625" style="34" customWidth="1"/>
    <col min="293" max="518" width="11" style="34"/>
    <col min="519" max="519" width="3.44140625" style="34" customWidth="1"/>
    <col min="520" max="520" width="20.21875" style="34" customWidth="1"/>
    <col min="521" max="521" width="0.77734375" style="34" customWidth="1"/>
    <col min="522" max="522" width="10.21875" style="34" bestFit="1" customWidth="1"/>
    <col min="523" max="523" width="1.21875" style="34" customWidth="1"/>
    <col min="524" max="524" width="6.21875" style="34" customWidth="1"/>
    <col min="525" max="525" width="9.44140625" style="34" customWidth="1"/>
    <col min="526" max="526" width="1.21875" style="34" customWidth="1"/>
    <col min="527" max="527" width="5" style="34" customWidth="1"/>
    <col min="528" max="528" width="3.44140625" style="34" customWidth="1"/>
    <col min="529" max="529" width="12.21875" style="34" customWidth="1"/>
    <col min="530" max="530" width="4.44140625" style="34" customWidth="1"/>
    <col min="531" max="532" width="11" style="34"/>
    <col min="533" max="533" width="9.44140625" style="34" customWidth="1"/>
    <col min="534" max="534" width="3.44140625" style="34" customWidth="1"/>
    <col min="535" max="535" width="10.44140625" style="34" customWidth="1"/>
    <col min="536" max="536" width="8.21875" style="34" customWidth="1"/>
    <col min="537" max="537" width="5.44140625" style="34" customWidth="1"/>
    <col min="538" max="538" width="11" style="34"/>
    <col min="539" max="539" width="1.77734375" style="34" customWidth="1"/>
    <col min="540" max="540" width="5.44140625" style="34" customWidth="1"/>
    <col min="541" max="541" width="3.44140625" style="34" customWidth="1"/>
    <col min="542" max="542" width="11" style="34"/>
    <col min="543" max="543" width="1.77734375" style="34" customWidth="1"/>
    <col min="544" max="545" width="5.44140625" style="34" customWidth="1"/>
    <col min="546" max="546" width="11" style="34"/>
    <col min="547" max="547" width="1.77734375" style="34" customWidth="1"/>
    <col min="548" max="548" width="5.44140625" style="34" customWidth="1"/>
    <col min="549" max="774" width="11" style="34"/>
    <col min="775" max="775" width="3.44140625" style="34" customWidth="1"/>
    <col min="776" max="776" width="20.21875" style="34" customWidth="1"/>
    <col min="777" max="777" width="0.77734375" style="34" customWidth="1"/>
    <col min="778" max="778" width="10.21875" style="34" bestFit="1" customWidth="1"/>
    <col min="779" max="779" width="1.21875" style="34" customWidth="1"/>
    <col min="780" max="780" width="6.21875" style="34" customWidth="1"/>
    <col min="781" max="781" width="9.44140625" style="34" customWidth="1"/>
    <col min="782" max="782" width="1.21875" style="34" customWidth="1"/>
    <col min="783" max="783" width="5" style="34" customWidth="1"/>
    <col min="784" max="784" width="3.44140625" style="34" customWidth="1"/>
    <col min="785" max="785" width="12.21875" style="34" customWidth="1"/>
    <col min="786" max="786" width="4.44140625" style="34" customWidth="1"/>
    <col min="787" max="788" width="11" style="34"/>
    <col min="789" max="789" width="9.44140625" style="34" customWidth="1"/>
    <col min="790" max="790" width="3.44140625" style="34" customWidth="1"/>
    <col min="791" max="791" width="10.44140625" style="34" customWidth="1"/>
    <col min="792" max="792" width="8.21875" style="34" customWidth="1"/>
    <col min="793" max="793" width="5.44140625" style="34" customWidth="1"/>
    <col min="794" max="794" width="11" style="34"/>
    <col min="795" max="795" width="1.77734375" style="34" customWidth="1"/>
    <col min="796" max="796" width="5.44140625" style="34" customWidth="1"/>
    <col min="797" max="797" width="3.44140625" style="34" customWidth="1"/>
    <col min="798" max="798" width="11" style="34"/>
    <col min="799" max="799" width="1.77734375" style="34" customWidth="1"/>
    <col min="800" max="801" width="5.44140625" style="34" customWidth="1"/>
    <col min="802" max="802" width="11" style="34"/>
    <col min="803" max="803" width="1.77734375" style="34" customWidth="1"/>
    <col min="804" max="804" width="5.44140625" style="34" customWidth="1"/>
    <col min="805" max="1030" width="11" style="34"/>
    <col min="1031" max="1031" width="3.44140625" style="34" customWidth="1"/>
    <col min="1032" max="1032" width="20.21875" style="34" customWidth="1"/>
    <col min="1033" max="1033" width="0.77734375" style="34" customWidth="1"/>
    <col min="1034" max="1034" width="10.21875" style="34" bestFit="1" customWidth="1"/>
    <col min="1035" max="1035" width="1.21875" style="34" customWidth="1"/>
    <col min="1036" max="1036" width="6.21875" style="34" customWidth="1"/>
    <col min="1037" max="1037" width="9.44140625" style="34" customWidth="1"/>
    <col min="1038" max="1038" width="1.21875" style="34" customWidth="1"/>
    <col min="1039" max="1039" width="5" style="34" customWidth="1"/>
    <col min="1040" max="1040" width="3.44140625" style="34" customWidth="1"/>
    <col min="1041" max="1041" width="12.21875" style="34" customWidth="1"/>
    <col min="1042" max="1042" width="4.44140625" style="34" customWidth="1"/>
    <col min="1043" max="1044" width="11" style="34"/>
    <col min="1045" max="1045" width="9.44140625" style="34" customWidth="1"/>
    <col min="1046" max="1046" width="3.44140625" style="34" customWidth="1"/>
    <col min="1047" max="1047" width="10.44140625" style="34" customWidth="1"/>
    <col min="1048" max="1048" width="8.21875" style="34" customWidth="1"/>
    <col min="1049" max="1049" width="5.44140625" style="34" customWidth="1"/>
    <col min="1050" max="1050" width="11" style="34"/>
    <col min="1051" max="1051" width="1.77734375" style="34" customWidth="1"/>
    <col min="1052" max="1052" width="5.44140625" style="34" customWidth="1"/>
    <col min="1053" max="1053" width="3.44140625" style="34" customWidth="1"/>
    <col min="1054" max="1054" width="11" style="34"/>
    <col min="1055" max="1055" width="1.77734375" style="34" customWidth="1"/>
    <col min="1056" max="1057" width="5.44140625" style="34" customWidth="1"/>
    <col min="1058" max="1058" width="11" style="34"/>
    <col min="1059" max="1059" width="1.77734375" style="34" customWidth="1"/>
    <col min="1060" max="1060" width="5.44140625" style="34" customWidth="1"/>
    <col min="1061" max="1286" width="11" style="34"/>
    <col min="1287" max="1287" width="3.44140625" style="34" customWidth="1"/>
    <col min="1288" max="1288" width="20.21875" style="34" customWidth="1"/>
    <col min="1289" max="1289" width="0.77734375" style="34" customWidth="1"/>
    <col min="1290" max="1290" width="10.21875" style="34" bestFit="1" customWidth="1"/>
    <col min="1291" max="1291" width="1.21875" style="34" customWidth="1"/>
    <col min="1292" max="1292" width="6.21875" style="34" customWidth="1"/>
    <col min="1293" max="1293" width="9.44140625" style="34" customWidth="1"/>
    <col min="1294" max="1294" width="1.21875" style="34" customWidth="1"/>
    <col min="1295" max="1295" width="5" style="34" customWidth="1"/>
    <col min="1296" max="1296" width="3.44140625" style="34" customWidth="1"/>
    <col min="1297" max="1297" width="12.21875" style="34" customWidth="1"/>
    <col min="1298" max="1298" width="4.44140625" style="34" customWidth="1"/>
    <col min="1299" max="1300" width="11" style="34"/>
    <col min="1301" max="1301" width="9.44140625" style="34" customWidth="1"/>
    <col min="1302" max="1302" width="3.44140625" style="34" customWidth="1"/>
    <col min="1303" max="1303" width="10.44140625" style="34" customWidth="1"/>
    <col min="1304" max="1304" width="8.21875" style="34" customWidth="1"/>
    <col min="1305" max="1305" width="5.44140625" style="34" customWidth="1"/>
    <col min="1306" max="1306" width="11" style="34"/>
    <col min="1307" max="1307" width="1.77734375" style="34" customWidth="1"/>
    <col min="1308" max="1308" width="5.44140625" style="34" customWidth="1"/>
    <col min="1309" max="1309" width="3.44140625" style="34" customWidth="1"/>
    <col min="1310" max="1310" width="11" style="34"/>
    <col min="1311" max="1311" width="1.77734375" style="34" customWidth="1"/>
    <col min="1312" max="1313" width="5.44140625" style="34" customWidth="1"/>
    <col min="1314" max="1314" width="11" style="34"/>
    <col min="1315" max="1315" width="1.77734375" style="34" customWidth="1"/>
    <col min="1316" max="1316" width="5.44140625" style="34" customWidth="1"/>
    <col min="1317" max="1542" width="11" style="34"/>
    <col min="1543" max="1543" width="3.44140625" style="34" customWidth="1"/>
    <col min="1544" max="1544" width="20.21875" style="34" customWidth="1"/>
    <col min="1545" max="1545" width="0.77734375" style="34" customWidth="1"/>
    <col min="1546" max="1546" width="10.21875" style="34" bestFit="1" customWidth="1"/>
    <col min="1547" max="1547" width="1.21875" style="34" customWidth="1"/>
    <col min="1548" max="1548" width="6.21875" style="34" customWidth="1"/>
    <col min="1549" max="1549" width="9.44140625" style="34" customWidth="1"/>
    <col min="1550" max="1550" width="1.21875" style="34" customWidth="1"/>
    <col min="1551" max="1551" width="5" style="34" customWidth="1"/>
    <col min="1552" max="1552" width="3.44140625" style="34" customWidth="1"/>
    <col min="1553" max="1553" width="12.21875" style="34" customWidth="1"/>
    <col min="1554" max="1554" width="4.44140625" style="34" customWidth="1"/>
    <col min="1555" max="1556" width="11" style="34"/>
    <col min="1557" max="1557" width="9.44140625" style="34" customWidth="1"/>
    <col min="1558" max="1558" width="3.44140625" style="34" customWidth="1"/>
    <col min="1559" max="1559" width="10.44140625" style="34" customWidth="1"/>
    <col min="1560" max="1560" width="8.21875" style="34" customWidth="1"/>
    <col min="1561" max="1561" width="5.44140625" style="34" customWidth="1"/>
    <col min="1562" max="1562" width="11" style="34"/>
    <col min="1563" max="1563" width="1.77734375" style="34" customWidth="1"/>
    <col min="1564" max="1564" width="5.44140625" style="34" customWidth="1"/>
    <col min="1565" max="1565" width="3.44140625" style="34" customWidth="1"/>
    <col min="1566" max="1566" width="11" style="34"/>
    <col min="1567" max="1567" width="1.77734375" style="34" customWidth="1"/>
    <col min="1568" max="1569" width="5.44140625" style="34" customWidth="1"/>
    <col min="1570" max="1570" width="11" style="34"/>
    <col min="1571" max="1571" width="1.77734375" style="34" customWidth="1"/>
    <col min="1572" max="1572" width="5.44140625" style="34" customWidth="1"/>
    <col min="1573" max="1798" width="11" style="34"/>
    <col min="1799" max="1799" width="3.44140625" style="34" customWidth="1"/>
    <col min="1800" max="1800" width="20.21875" style="34" customWidth="1"/>
    <col min="1801" max="1801" width="0.77734375" style="34" customWidth="1"/>
    <col min="1802" max="1802" width="10.21875" style="34" bestFit="1" customWidth="1"/>
    <col min="1803" max="1803" width="1.21875" style="34" customWidth="1"/>
    <col min="1804" max="1804" width="6.21875" style="34" customWidth="1"/>
    <col min="1805" max="1805" width="9.44140625" style="34" customWidth="1"/>
    <col min="1806" max="1806" width="1.21875" style="34" customWidth="1"/>
    <col min="1807" max="1807" width="5" style="34" customWidth="1"/>
    <col min="1808" max="1808" width="3.44140625" style="34" customWidth="1"/>
    <col min="1809" max="1809" width="12.21875" style="34" customWidth="1"/>
    <col min="1810" max="1810" width="4.44140625" style="34" customWidth="1"/>
    <col min="1811" max="1812" width="11" style="34"/>
    <col min="1813" max="1813" width="9.44140625" style="34" customWidth="1"/>
    <col min="1814" max="1814" width="3.44140625" style="34" customWidth="1"/>
    <col min="1815" max="1815" width="10.44140625" style="34" customWidth="1"/>
    <col min="1816" max="1816" width="8.21875" style="34" customWidth="1"/>
    <col min="1817" max="1817" width="5.44140625" style="34" customWidth="1"/>
    <col min="1818" max="1818" width="11" style="34"/>
    <col min="1819" max="1819" width="1.77734375" style="34" customWidth="1"/>
    <col min="1820" max="1820" width="5.44140625" style="34" customWidth="1"/>
    <col min="1821" max="1821" width="3.44140625" style="34" customWidth="1"/>
    <col min="1822" max="1822" width="11" style="34"/>
    <col min="1823" max="1823" width="1.77734375" style="34" customWidth="1"/>
    <col min="1824" max="1825" width="5.44140625" style="34" customWidth="1"/>
    <col min="1826" max="1826" width="11" style="34"/>
    <col min="1827" max="1827" width="1.77734375" style="34" customWidth="1"/>
    <col min="1828" max="1828" width="5.44140625" style="34" customWidth="1"/>
    <col min="1829" max="2054" width="11" style="34"/>
    <col min="2055" max="2055" width="3.44140625" style="34" customWidth="1"/>
    <col min="2056" max="2056" width="20.21875" style="34" customWidth="1"/>
    <col min="2057" max="2057" width="0.77734375" style="34" customWidth="1"/>
    <col min="2058" max="2058" width="10.21875" style="34" bestFit="1" customWidth="1"/>
    <col min="2059" max="2059" width="1.21875" style="34" customWidth="1"/>
    <col min="2060" max="2060" width="6.21875" style="34" customWidth="1"/>
    <col min="2061" max="2061" width="9.44140625" style="34" customWidth="1"/>
    <col min="2062" max="2062" width="1.21875" style="34" customWidth="1"/>
    <col min="2063" max="2063" width="5" style="34" customWidth="1"/>
    <col min="2064" max="2064" width="3.44140625" style="34" customWidth="1"/>
    <col min="2065" max="2065" width="12.21875" style="34" customWidth="1"/>
    <col min="2066" max="2066" width="4.44140625" style="34" customWidth="1"/>
    <col min="2067" max="2068" width="11" style="34"/>
    <col min="2069" max="2069" width="9.44140625" style="34" customWidth="1"/>
    <col min="2070" max="2070" width="3.44140625" style="34" customWidth="1"/>
    <col min="2071" max="2071" width="10.44140625" style="34" customWidth="1"/>
    <col min="2072" max="2072" width="8.21875" style="34" customWidth="1"/>
    <col min="2073" max="2073" width="5.44140625" style="34" customWidth="1"/>
    <col min="2074" max="2074" width="11" style="34"/>
    <col min="2075" max="2075" width="1.77734375" style="34" customWidth="1"/>
    <col min="2076" max="2076" width="5.44140625" style="34" customWidth="1"/>
    <col min="2077" max="2077" width="3.44140625" style="34" customWidth="1"/>
    <col min="2078" max="2078" width="11" style="34"/>
    <col min="2079" max="2079" width="1.77734375" style="34" customWidth="1"/>
    <col min="2080" max="2081" width="5.44140625" style="34" customWidth="1"/>
    <col min="2082" max="2082" width="11" style="34"/>
    <col min="2083" max="2083" width="1.77734375" style="34" customWidth="1"/>
    <col min="2084" max="2084" width="5.44140625" style="34" customWidth="1"/>
    <col min="2085" max="2310" width="11" style="34"/>
    <col min="2311" max="2311" width="3.44140625" style="34" customWidth="1"/>
    <col min="2312" max="2312" width="20.21875" style="34" customWidth="1"/>
    <col min="2313" max="2313" width="0.77734375" style="34" customWidth="1"/>
    <col min="2314" max="2314" width="10.21875" style="34" bestFit="1" customWidth="1"/>
    <col min="2315" max="2315" width="1.21875" style="34" customWidth="1"/>
    <col min="2316" max="2316" width="6.21875" style="34" customWidth="1"/>
    <col min="2317" max="2317" width="9.44140625" style="34" customWidth="1"/>
    <col min="2318" max="2318" width="1.21875" style="34" customWidth="1"/>
    <col min="2319" max="2319" width="5" style="34" customWidth="1"/>
    <col min="2320" max="2320" width="3.44140625" style="34" customWidth="1"/>
    <col min="2321" max="2321" width="12.21875" style="34" customWidth="1"/>
    <col min="2322" max="2322" width="4.44140625" style="34" customWidth="1"/>
    <col min="2323" max="2324" width="11" style="34"/>
    <col min="2325" max="2325" width="9.44140625" style="34" customWidth="1"/>
    <col min="2326" max="2326" width="3.44140625" style="34" customWidth="1"/>
    <col min="2327" max="2327" width="10.44140625" style="34" customWidth="1"/>
    <col min="2328" max="2328" width="8.21875" style="34" customWidth="1"/>
    <col min="2329" max="2329" width="5.44140625" style="34" customWidth="1"/>
    <col min="2330" max="2330" width="11" style="34"/>
    <col min="2331" max="2331" width="1.77734375" style="34" customWidth="1"/>
    <col min="2332" max="2332" width="5.44140625" style="34" customWidth="1"/>
    <col min="2333" max="2333" width="3.44140625" style="34" customWidth="1"/>
    <col min="2334" max="2334" width="11" style="34"/>
    <col min="2335" max="2335" width="1.77734375" style="34" customWidth="1"/>
    <col min="2336" max="2337" width="5.44140625" style="34" customWidth="1"/>
    <col min="2338" max="2338" width="11" style="34"/>
    <col min="2339" max="2339" width="1.77734375" style="34" customWidth="1"/>
    <col min="2340" max="2340" width="5.44140625" style="34" customWidth="1"/>
    <col min="2341" max="2566" width="11" style="34"/>
    <col min="2567" max="2567" width="3.44140625" style="34" customWidth="1"/>
    <col min="2568" max="2568" width="20.21875" style="34" customWidth="1"/>
    <col min="2569" max="2569" width="0.77734375" style="34" customWidth="1"/>
    <col min="2570" max="2570" width="10.21875" style="34" bestFit="1" customWidth="1"/>
    <col min="2571" max="2571" width="1.21875" style="34" customWidth="1"/>
    <col min="2572" max="2572" width="6.21875" style="34" customWidth="1"/>
    <col min="2573" max="2573" width="9.44140625" style="34" customWidth="1"/>
    <col min="2574" max="2574" width="1.21875" style="34" customWidth="1"/>
    <col min="2575" max="2575" width="5" style="34" customWidth="1"/>
    <col min="2576" max="2576" width="3.44140625" style="34" customWidth="1"/>
    <col min="2577" max="2577" width="12.21875" style="34" customWidth="1"/>
    <col min="2578" max="2578" width="4.44140625" style="34" customWidth="1"/>
    <col min="2579" max="2580" width="11" style="34"/>
    <col min="2581" max="2581" width="9.44140625" style="34" customWidth="1"/>
    <col min="2582" max="2582" width="3.44140625" style="34" customWidth="1"/>
    <col min="2583" max="2583" width="10.44140625" style="34" customWidth="1"/>
    <col min="2584" max="2584" width="8.21875" style="34" customWidth="1"/>
    <col min="2585" max="2585" width="5.44140625" style="34" customWidth="1"/>
    <col min="2586" max="2586" width="11" style="34"/>
    <col min="2587" max="2587" width="1.77734375" style="34" customWidth="1"/>
    <col min="2588" max="2588" width="5.44140625" style="34" customWidth="1"/>
    <col min="2589" max="2589" width="3.44140625" style="34" customWidth="1"/>
    <col min="2590" max="2590" width="11" style="34"/>
    <col min="2591" max="2591" width="1.77734375" style="34" customWidth="1"/>
    <col min="2592" max="2593" width="5.44140625" style="34" customWidth="1"/>
    <col min="2594" max="2594" width="11" style="34"/>
    <col min="2595" max="2595" width="1.77734375" style="34" customWidth="1"/>
    <col min="2596" max="2596" width="5.44140625" style="34" customWidth="1"/>
    <col min="2597" max="2822" width="11" style="34"/>
    <col min="2823" max="2823" width="3.44140625" style="34" customWidth="1"/>
    <col min="2824" max="2824" width="20.21875" style="34" customWidth="1"/>
    <col min="2825" max="2825" width="0.77734375" style="34" customWidth="1"/>
    <col min="2826" max="2826" width="10.21875" style="34" bestFit="1" customWidth="1"/>
    <col min="2827" max="2827" width="1.21875" style="34" customWidth="1"/>
    <col min="2828" max="2828" width="6.21875" style="34" customWidth="1"/>
    <col min="2829" max="2829" width="9.44140625" style="34" customWidth="1"/>
    <col min="2830" max="2830" width="1.21875" style="34" customWidth="1"/>
    <col min="2831" max="2831" width="5" style="34" customWidth="1"/>
    <col min="2832" max="2832" width="3.44140625" style="34" customWidth="1"/>
    <col min="2833" max="2833" width="12.21875" style="34" customWidth="1"/>
    <col min="2834" max="2834" width="4.44140625" style="34" customWidth="1"/>
    <col min="2835" max="2836" width="11" style="34"/>
    <col min="2837" max="2837" width="9.44140625" style="34" customWidth="1"/>
    <col min="2838" max="2838" width="3.44140625" style="34" customWidth="1"/>
    <col min="2839" max="2839" width="10.44140625" style="34" customWidth="1"/>
    <col min="2840" max="2840" width="8.21875" style="34" customWidth="1"/>
    <col min="2841" max="2841" width="5.44140625" style="34" customWidth="1"/>
    <col min="2842" max="2842" width="11" style="34"/>
    <col min="2843" max="2843" width="1.77734375" style="34" customWidth="1"/>
    <col min="2844" max="2844" width="5.44140625" style="34" customWidth="1"/>
    <col min="2845" max="2845" width="3.44140625" style="34" customWidth="1"/>
    <col min="2846" max="2846" width="11" style="34"/>
    <col min="2847" max="2847" width="1.77734375" style="34" customWidth="1"/>
    <col min="2848" max="2849" width="5.44140625" style="34" customWidth="1"/>
    <col min="2850" max="2850" width="11" style="34"/>
    <col min="2851" max="2851" width="1.77734375" style="34" customWidth="1"/>
    <col min="2852" max="2852" width="5.44140625" style="34" customWidth="1"/>
    <col min="2853" max="3078" width="11" style="34"/>
    <col min="3079" max="3079" width="3.44140625" style="34" customWidth="1"/>
    <col min="3080" max="3080" width="20.21875" style="34" customWidth="1"/>
    <col min="3081" max="3081" width="0.77734375" style="34" customWidth="1"/>
    <col min="3082" max="3082" width="10.21875" style="34" bestFit="1" customWidth="1"/>
    <col min="3083" max="3083" width="1.21875" style="34" customWidth="1"/>
    <col min="3084" max="3084" width="6.21875" style="34" customWidth="1"/>
    <col min="3085" max="3085" width="9.44140625" style="34" customWidth="1"/>
    <col min="3086" max="3086" width="1.21875" style="34" customWidth="1"/>
    <col min="3087" max="3087" width="5" style="34" customWidth="1"/>
    <col min="3088" max="3088" width="3.44140625" style="34" customWidth="1"/>
    <col min="3089" max="3089" width="12.21875" style="34" customWidth="1"/>
    <col min="3090" max="3090" width="4.44140625" style="34" customWidth="1"/>
    <col min="3091" max="3092" width="11" style="34"/>
    <col min="3093" max="3093" width="9.44140625" style="34" customWidth="1"/>
    <col min="3094" max="3094" width="3.44140625" style="34" customWidth="1"/>
    <col min="3095" max="3095" width="10.44140625" style="34" customWidth="1"/>
    <col min="3096" max="3096" width="8.21875" style="34" customWidth="1"/>
    <col min="3097" max="3097" width="5.44140625" style="34" customWidth="1"/>
    <col min="3098" max="3098" width="11" style="34"/>
    <col min="3099" max="3099" width="1.77734375" style="34" customWidth="1"/>
    <col min="3100" max="3100" width="5.44140625" style="34" customWidth="1"/>
    <col min="3101" max="3101" width="3.44140625" style="34" customWidth="1"/>
    <col min="3102" max="3102" width="11" style="34"/>
    <col min="3103" max="3103" width="1.77734375" style="34" customWidth="1"/>
    <col min="3104" max="3105" width="5.44140625" style="34" customWidth="1"/>
    <col min="3106" max="3106" width="11" style="34"/>
    <col min="3107" max="3107" width="1.77734375" style="34" customWidth="1"/>
    <col min="3108" max="3108" width="5.44140625" style="34" customWidth="1"/>
    <col min="3109" max="3334" width="11" style="34"/>
    <col min="3335" max="3335" width="3.44140625" style="34" customWidth="1"/>
    <col min="3336" max="3336" width="20.21875" style="34" customWidth="1"/>
    <col min="3337" max="3337" width="0.77734375" style="34" customWidth="1"/>
    <col min="3338" max="3338" width="10.21875" style="34" bestFit="1" customWidth="1"/>
    <col min="3339" max="3339" width="1.21875" style="34" customWidth="1"/>
    <col min="3340" max="3340" width="6.21875" style="34" customWidth="1"/>
    <col min="3341" max="3341" width="9.44140625" style="34" customWidth="1"/>
    <col min="3342" max="3342" width="1.21875" style="34" customWidth="1"/>
    <col min="3343" max="3343" width="5" style="34" customWidth="1"/>
    <col min="3344" max="3344" width="3.44140625" style="34" customWidth="1"/>
    <col min="3345" max="3345" width="12.21875" style="34" customWidth="1"/>
    <col min="3346" max="3346" width="4.44140625" style="34" customWidth="1"/>
    <col min="3347" max="3348" width="11" style="34"/>
    <col min="3349" max="3349" width="9.44140625" style="34" customWidth="1"/>
    <col min="3350" max="3350" width="3.44140625" style="34" customWidth="1"/>
    <col min="3351" max="3351" width="10.44140625" style="34" customWidth="1"/>
    <col min="3352" max="3352" width="8.21875" style="34" customWidth="1"/>
    <col min="3353" max="3353" width="5.44140625" style="34" customWidth="1"/>
    <col min="3354" max="3354" width="11" style="34"/>
    <col min="3355" max="3355" width="1.77734375" style="34" customWidth="1"/>
    <col min="3356" max="3356" width="5.44140625" style="34" customWidth="1"/>
    <col min="3357" max="3357" width="3.44140625" style="34" customWidth="1"/>
    <col min="3358" max="3358" width="11" style="34"/>
    <col min="3359" max="3359" width="1.77734375" style="34" customWidth="1"/>
    <col min="3360" max="3361" width="5.44140625" style="34" customWidth="1"/>
    <col min="3362" max="3362" width="11" style="34"/>
    <col min="3363" max="3363" width="1.77734375" style="34" customWidth="1"/>
    <col min="3364" max="3364" width="5.44140625" style="34" customWidth="1"/>
    <col min="3365" max="3590" width="11" style="34"/>
    <col min="3591" max="3591" width="3.44140625" style="34" customWidth="1"/>
    <col min="3592" max="3592" width="20.21875" style="34" customWidth="1"/>
    <col min="3593" max="3593" width="0.77734375" style="34" customWidth="1"/>
    <col min="3594" max="3594" width="10.21875" style="34" bestFit="1" customWidth="1"/>
    <col min="3595" max="3595" width="1.21875" style="34" customWidth="1"/>
    <col min="3596" max="3596" width="6.21875" style="34" customWidth="1"/>
    <col min="3597" max="3597" width="9.44140625" style="34" customWidth="1"/>
    <col min="3598" max="3598" width="1.21875" style="34" customWidth="1"/>
    <col min="3599" max="3599" width="5" style="34" customWidth="1"/>
    <col min="3600" max="3600" width="3.44140625" style="34" customWidth="1"/>
    <col min="3601" max="3601" width="12.21875" style="34" customWidth="1"/>
    <col min="3602" max="3602" width="4.44140625" style="34" customWidth="1"/>
    <col min="3603" max="3604" width="11" style="34"/>
    <col min="3605" max="3605" width="9.44140625" style="34" customWidth="1"/>
    <col min="3606" max="3606" width="3.44140625" style="34" customWidth="1"/>
    <col min="3607" max="3607" width="10.44140625" style="34" customWidth="1"/>
    <col min="3608" max="3608" width="8.21875" style="34" customWidth="1"/>
    <col min="3609" max="3609" width="5.44140625" style="34" customWidth="1"/>
    <col min="3610" max="3610" width="11" style="34"/>
    <col min="3611" max="3611" width="1.77734375" style="34" customWidth="1"/>
    <col min="3612" max="3612" width="5.44140625" style="34" customWidth="1"/>
    <col min="3613" max="3613" width="3.44140625" style="34" customWidth="1"/>
    <col min="3614" max="3614" width="11" style="34"/>
    <col min="3615" max="3615" width="1.77734375" style="34" customWidth="1"/>
    <col min="3616" max="3617" width="5.44140625" style="34" customWidth="1"/>
    <col min="3618" max="3618" width="11" style="34"/>
    <col min="3619" max="3619" width="1.77734375" style="34" customWidth="1"/>
    <col min="3620" max="3620" width="5.44140625" style="34" customWidth="1"/>
    <col min="3621" max="3846" width="11" style="34"/>
    <col min="3847" max="3847" width="3.44140625" style="34" customWidth="1"/>
    <col min="3848" max="3848" width="20.21875" style="34" customWidth="1"/>
    <col min="3849" max="3849" width="0.77734375" style="34" customWidth="1"/>
    <col min="3850" max="3850" width="10.21875" style="34" bestFit="1" customWidth="1"/>
    <col min="3851" max="3851" width="1.21875" style="34" customWidth="1"/>
    <col min="3852" max="3852" width="6.21875" style="34" customWidth="1"/>
    <col min="3853" max="3853" width="9.44140625" style="34" customWidth="1"/>
    <col min="3854" max="3854" width="1.21875" style="34" customWidth="1"/>
    <col min="3855" max="3855" width="5" style="34" customWidth="1"/>
    <col min="3856" max="3856" width="3.44140625" style="34" customWidth="1"/>
    <col min="3857" max="3857" width="12.21875" style="34" customWidth="1"/>
    <col min="3858" max="3858" width="4.44140625" style="34" customWidth="1"/>
    <col min="3859" max="3860" width="11" style="34"/>
    <col min="3861" max="3861" width="9.44140625" style="34" customWidth="1"/>
    <col min="3862" max="3862" width="3.44140625" style="34" customWidth="1"/>
    <col min="3863" max="3863" width="10.44140625" style="34" customWidth="1"/>
    <col min="3864" max="3864" width="8.21875" style="34" customWidth="1"/>
    <col min="3865" max="3865" width="5.44140625" style="34" customWidth="1"/>
    <col min="3866" max="3866" width="11" style="34"/>
    <col min="3867" max="3867" width="1.77734375" style="34" customWidth="1"/>
    <col min="3868" max="3868" width="5.44140625" style="34" customWidth="1"/>
    <col min="3869" max="3869" width="3.44140625" style="34" customWidth="1"/>
    <col min="3870" max="3870" width="11" style="34"/>
    <col min="3871" max="3871" width="1.77734375" style="34" customWidth="1"/>
    <col min="3872" max="3873" width="5.44140625" style="34" customWidth="1"/>
    <col min="3874" max="3874" width="11" style="34"/>
    <col min="3875" max="3875" width="1.77734375" style="34" customWidth="1"/>
    <col min="3876" max="3876" width="5.44140625" style="34" customWidth="1"/>
    <col min="3877" max="4102" width="11" style="34"/>
    <col min="4103" max="4103" width="3.44140625" style="34" customWidth="1"/>
    <col min="4104" max="4104" width="20.21875" style="34" customWidth="1"/>
    <col min="4105" max="4105" width="0.77734375" style="34" customWidth="1"/>
    <col min="4106" max="4106" width="10.21875" style="34" bestFit="1" customWidth="1"/>
    <col min="4107" max="4107" width="1.21875" style="34" customWidth="1"/>
    <col min="4108" max="4108" width="6.21875" style="34" customWidth="1"/>
    <col min="4109" max="4109" width="9.44140625" style="34" customWidth="1"/>
    <col min="4110" max="4110" width="1.21875" style="34" customWidth="1"/>
    <col min="4111" max="4111" width="5" style="34" customWidth="1"/>
    <col min="4112" max="4112" width="3.44140625" style="34" customWidth="1"/>
    <col min="4113" max="4113" width="12.21875" style="34" customWidth="1"/>
    <col min="4114" max="4114" width="4.44140625" style="34" customWidth="1"/>
    <col min="4115" max="4116" width="11" style="34"/>
    <col min="4117" max="4117" width="9.44140625" style="34" customWidth="1"/>
    <col min="4118" max="4118" width="3.44140625" style="34" customWidth="1"/>
    <col min="4119" max="4119" width="10.44140625" style="34" customWidth="1"/>
    <col min="4120" max="4120" width="8.21875" style="34" customWidth="1"/>
    <col min="4121" max="4121" width="5.44140625" style="34" customWidth="1"/>
    <col min="4122" max="4122" width="11" style="34"/>
    <col min="4123" max="4123" width="1.77734375" style="34" customWidth="1"/>
    <col min="4124" max="4124" width="5.44140625" style="34" customWidth="1"/>
    <col min="4125" max="4125" width="3.44140625" style="34" customWidth="1"/>
    <col min="4126" max="4126" width="11" style="34"/>
    <col min="4127" max="4127" width="1.77734375" style="34" customWidth="1"/>
    <col min="4128" max="4129" width="5.44140625" style="34" customWidth="1"/>
    <col min="4130" max="4130" width="11" style="34"/>
    <col min="4131" max="4131" width="1.77734375" style="34" customWidth="1"/>
    <col min="4132" max="4132" width="5.44140625" style="34" customWidth="1"/>
    <col min="4133" max="4358" width="11" style="34"/>
    <col min="4359" max="4359" width="3.44140625" style="34" customWidth="1"/>
    <col min="4360" max="4360" width="20.21875" style="34" customWidth="1"/>
    <col min="4361" max="4361" width="0.77734375" style="34" customWidth="1"/>
    <col min="4362" max="4362" width="10.21875" style="34" bestFit="1" customWidth="1"/>
    <col min="4363" max="4363" width="1.21875" style="34" customWidth="1"/>
    <col min="4364" max="4364" width="6.21875" style="34" customWidth="1"/>
    <col min="4365" max="4365" width="9.44140625" style="34" customWidth="1"/>
    <col min="4366" max="4366" width="1.21875" style="34" customWidth="1"/>
    <col min="4367" max="4367" width="5" style="34" customWidth="1"/>
    <col min="4368" max="4368" width="3.44140625" style="34" customWidth="1"/>
    <col min="4369" max="4369" width="12.21875" style="34" customWidth="1"/>
    <col min="4370" max="4370" width="4.44140625" style="34" customWidth="1"/>
    <col min="4371" max="4372" width="11" style="34"/>
    <col min="4373" max="4373" width="9.44140625" style="34" customWidth="1"/>
    <col min="4374" max="4374" width="3.44140625" style="34" customWidth="1"/>
    <col min="4375" max="4375" width="10.44140625" style="34" customWidth="1"/>
    <col min="4376" max="4376" width="8.21875" style="34" customWidth="1"/>
    <col min="4377" max="4377" width="5.44140625" style="34" customWidth="1"/>
    <col min="4378" max="4378" width="11" style="34"/>
    <col min="4379" max="4379" width="1.77734375" style="34" customWidth="1"/>
    <col min="4380" max="4380" width="5.44140625" style="34" customWidth="1"/>
    <col min="4381" max="4381" width="3.44140625" style="34" customWidth="1"/>
    <col min="4382" max="4382" width="11" style="34"/>
    <col min="4383" max="4383" width="1.77734375" style="34" customWidth="1"/>
    <col min="4384" max="4385" width="5.44140625" style="34" customWidth="1"/>
    <col min="4386" max="4386" width="11" style="34"/>
    <col min="4387" max="4387" width="1.77734375" style="34" customWidth="1"/>
    <col min="4388" max="4388" width="5.44140625" style="34" customWidth="1"/>
    <col min="4389" max="4614" width="11" style="34"/>
    <col min="4615" max="4615" width="3.44140625" style="34" customWidth="1"/>
    <col min="4616" max="4616" width="20.21875" style="34" customWidth="1"/>
    <col min="4617" max="4617" width="0.77734375" style="34" customWidth="1"/>
    <col min="4618" max="4618" width="10.21875" style="34" bestFit="1" customWidth="1"/>
    <col min="4619" max="4619" width="1.21875" style="34" customWidth="1"/>
    <col min="4620" max="4620" width="6.21875" style="34" customWidth="1"/>
    <col min="4621" max="4621" width="9.44140625" style="34" customWidth="1"/>
    <col min="4622" max="4622" width="1.21875" style="34" customWidth="1"/>
    <col min="4623" max="4623" width="5" style="34" customWidth="1"/>
    <col min="4624" max="4624" width="3.44140625" style="34" customWidth="1"/>
    <col min="4625" max="4625" width="12.21875" style="34" customWidth="1"/>
    <col min="4626" max="4626" width="4.44140625" style="34" customWidth="1"/>
    <col min="4627" max="4628" width="11" style="34"/>
    <col min="4629" max="4629" width="9.44140625" style="34" customWidth="1"/>
    <col min="4630" max="4630" width="3.44140625" style="34" customWidth="1"/>
    <col min="4631" max="4631" width="10.44140625" style="34" customWidth="1"/>
    <col min="4632" max="4632" width="8.21875" style="34" customWidth="1"/>
    <col min="4633" max="4633" width="5.44140625" style="34" customWidth="1"/>
    <col min="4634" max="4634" width="11" style="34"/>
    <col min="4635" max="4635" width="1.77734375" style="34" customWidth="1"/>
    <col min="4636" max="4636" width="5.44140625" style="34" customWidth="1"/>
    <col min="4637" max="4637" width="3.44140625" style="34" customWidth="1"/>
    <col min="4638" max="4638" width="11" style="34"/>
    <col min="4639" max="4639" width="1.77734375" style="34" customWidth="1"/>
    <col min="4640" max="4641" width="5.44140625" style="34" customWidth="1"/>
    <col min="4642" max="4642" width="11" style="34"/>
    <col min="4643" max="4643" width="1.77734375" style="34" customWidth="1"/>
    <col min="4644" max="4644" width="5.44140625" style="34" customWidth="1"/>
    <col min="4645" max="4870" width="11" style="34"/>
    <col min="4871" max="4871" width="3.44140625" style="34" customWidth="1"/>
    <col min="4872" max="4872" width="20.21875" style="34" customWidth="1"/>
    <col min="4873" max="4873" width="0.77734375" style="34" customWidth="1"/>
    <col min="4874" max="4874" width="10.21875" style="34" bestFit="1" customWidth="1"/>
    <col min="4875" max="4875" width="1.21875" style="34" customWidth="1"/>
    <col min="4876" max="4876" width="6.21875" style="34" customWidth="1"/>
    <col min="4877" max="4877" width="9.44140625" style="34" customWidth="1"/>
    <col min="4878" max="4878" width="1.21875" style="34" customWidth="1"/>
    <col min="4879" max="4879" width="5" style="34" customWidth="1"/>
    <col min="4880" max="4880" width="3.44140625" style="34" customWidth="1"/>
    <col min="4881" max="4881" width="12.21875" style="34" customWidth="1"/>
    <col min="4882" max="4882" width="4.44140625" style="34" customWidth="1"/>
    <col min="4883" max="4884" width="11" style="34"/>
    <col min="4885" max="4885" width="9.44140625" style="34" customWidth="1"/>
    <col min="4886" max="4886" width="3.44140625" style="34" customWidth="1"/>
    <col min="4887" max="4887" width="10.44140625" style="34" customWidth="1"/>
    <col min="4888" max="4888" width="8.21875" style="34" customWidth="1"/>
    <col min="4889" max="4889" width="5.44140625" style="34" customWidth="1"/>
    <col min="4890" max="4890" width="11" style="34"/>
    <col min="4891" max="4891" width="1.77734375" style="34" customWidth="1"/>
    <col min="4892" max="4892" width="5.44140625" style="34" customWidth="1"/>
    <col min="4893" max="4893" width="3.44140625" style="34" customWidth="1"/>
    <col min="4894" max="4894" width="11" style="34"/>
    <col min="4895" max="4895" width="1.77734375" style="34" customWidth="1"/>
    <col min="4896" max="4897" width="5.44140625" style="34" customWidth="1"/>
    <col min="4898" max="4898" width="11" style="34"/>
    <col min="4899" max="4899" width="1.77734375" style="34" customWidth="1"/>
    <col min="4900" max="4900" width="5.44140625" style="34" customWidth="1"/>
    <col min="4901" max="5126" width="11" style="34"/>
    <col min="5127" max="5127" width="3.44140625" style="34" customWidth="1"/>
    <col min="5128" max="5128" width="20.21875" style="34" customWidth="1"/>
    <col min="5129" max="5129" width="0.77734375" style="34" customWidth="1"/>
    <col min="5130" max="5130" width="10.21875" style="34" bestFit="1" customWidth="1"/>
    <col min="5131" max="5131" width="1.21875" style="34" customWidth="1"/>
    <col min="5132" max="5132" width="6.21875" style="34" customWidth="1"/>
    <col min="5133" max="5133" width="9.44140625" style="34" customWidth="1"/>
    <col min="5134" max="5134" width="1.21875" style="34" customWidth="1"/>
    <col min="5135" max="5135" width="5" style="34" customWidth="1"/>
    <col min="5136" max="5136" width="3.44140625" style="34" customWidth="1"/>
    <col min="5137" max="5137" width="12.21875" style="34" customWidth="1"/>
    <col min="5138" max="5138" width="4.44140625" style="34" customWidth="1"/>
    <col min="5139" max="5140" width="11" style="34"/>
    <col min="5141" max="5141" width="9.44140625" style="34" customWidth="1"/>
    <col min="5142" max="5142" width="3.44140625" style="34" customWidth="1"/>
    <col min="5143" max="5143" width="10.44140625" style="34" customWidth="1"/>
    <col min="5144" max="5144" width="8.21875" style="34" customWidth="1"/>
    <col min="5145" max="5145" width="5.44140625" style="34" customWidth="1"/>
    <col min="5146" max="5146" width="11" style="34"/>
    <col min="5147" max="5147" width="1.77734375" style="34" customWidth="1"/>
    <col min="5148" max="5148" width="5.44140625" style="34" customWidth="1"/>
    <col min="5149" max="5149" width="3.44140625" style="34" customWidth="1"/>
    <col min="5150" max="5150" width="11" style="34"/>
    <col min="5151" max="5151" width="1.77734375" style="34" customWidth="1"/>
    <col min="5152" max="5153" width="5.44140625" style="34" customWidth="1"/>
    <col min="5154" max="5154" width="11" style="34"/>
    <col min="5155" max="5155" width="1.77734375" style="34" customWidth="1"/>
    <col min="5156" max="5156" width="5.44140625" style="34" customWidth="1"/>
    <col min="5157" max="5382" width="11" style="34"/>
    <col min="5383" max="5383" width="3.44140625" style="34" customWidth="1"/>
    <col min="5384" max="5384" width="20.21875" style="34" customWidth="1"/>
    <col min="5385" max="5385" width="0.77734375" style="34" customWidth="1"/>
    <col min="5386" max="5386" width="10.21875" style="34" bestFit="1" customWidth="1"/>
    <col min="5387" max="5387" width="1.21875" style="34" customWidth="1"/>
    <col min="5388" max="5388" width="6.21875" style="34" customWidth="1"/>
    <col min="5389" max="5389" width="9.44140625" style="34" customWidth="1"/>
    <col min="5390" max="5390" width="1.21875" style="34" customWidth="1"/>
    <col min="5391" max="5391" width="5" style="34" customWidth="1"/>
    <col min="5392" max="5392" width="3.44140625" style="34" customWidth="1"/>
    <col min="5393" max="5393" width="12.21875" style="34" customWidth="1"/>
    <col min="5394" max="5394" width="4.44140625" style="34" customWidth="1"/>
    <col min="5395" max="5396" width="11" style="34"/>
    <col min="5397" max="5397" width="9.44140625" style="34" customWidth="1"/>
    <col min="5398" max="5398" width="3.44140625" style="34" customWidth="1"/>
    <col min="5399" max="5399" width="10.44140625" style="34" customWidth="1"/>
    <col min="5400" max="5400" width="8.21875" style="34" customWidth="1"/>
    <col min="5401" max="5401" width="5.44140625" style="34" customWidth="1"/>
    <col min="5402" max="5402" width="11" style="34"/>
    <col min="5403" max="5403" width="1.77734375" style="34" customWidth="1"/>
    <col min="5404" max="5404" width="5.44140625" style="34" customWidth="1"/>
    <col min="5405" max="5405" width="3.44140625" style="34" customWidth="1"/>
    <col min="5406" max="5406" width="11" style="34"/>
    <col min="5407" max="5407" width="1.77734375" style="34" customWidth="1"/>
    <col min="5408" max="5409" width="5.44140625" style="34" customWidth="1"/>
    <col min="5410" max="5410" width="11" style="34"/>
    <col min="5411" max="5411" width="1.77734375" style="34" customWidth="1"/>
    <col min="5412" max="5412" width="5.44140625" style="34" customWidth="1"/>
    <col min="5413" max="5638" width="11" style="34"/>
    <col min="5639" max="5639" width="3.44140625" style="34" customWidth="1"/>
    <col min="5640" max="5640" width="20.21875" style="34" customWidth="1"/>
    <col min="5641" max="5641" width="0.77734375" style="34" customWidth="1"/>
    <col min="5642" max="5642" width="10.21875" style="34" bestFit="1" customWidth="1"/>
    <col min="5643" max="5643" width="1.21875" style="34" customWidth="1"/>
    <col min="5644" max="5644" width="6.21875" style="34" customWidth="1"/>
    <col min="5645" max="5645" width="9.44140625" style="34" customWidth="1"/>
    <col min="5646" max="5646" width="1.21875" style="34" customWidth="1"/>
    <col min="5647" max="5647" width="5" style="34" customWidth="1"/>
    <col min="5648" max="5648" width="3.44140625" style="34" customWidth="1"/>
    <col min="5649" max="5649" width="12.21875" style="34" customWidth="1"/>
    <col min="5650" max="5650" width="4.44140625" style="34" customWidth="1"/>
    <col min="5651" max="5652" width="11" style="34"/>
    <col min="5653" max="5653" width="9.44140625" style="34" customWidth="1"/>
    <col min="5654" max="5654" width="3.44140625" style="34" customWidth="1"/>
    <col min="5655" max="5655" width="10.44140625" style="34" customWidth="1"/>
    <col min="5656" max="5656" width="8.21875" style="34" customWidth="1"/>
    <col min="5657" max="5657" width="5.44140625" style="34" customWidth="1"/>
    <col min="5658" max="5658" width="11" style="34"/>
    <col min="5659" max="5659" width="1.77734375" style="34" customWidth="1"/>
    <col min="5660" max="5660" width="5.44140625" style="34" customWidth="1"/>
    <col min="5661" max="5661" width="3.44140625" style="34" customWidth="1"/>
    <col min="5662" max="5662" width="11" style="34"/>
    <col min="5663" max="5663" width="1.77734375" style="34" customWidth="1"/>
    <col min="5664" max="5665" width="5.44140625" style="34" customWidth="1"/>
    <col min="5666" max="5666" width="11" style="34"/>
    <col min="5667" max="5667" width="1.77734375" style="34" customWidth="1"/>
    <col min="5668" max="5668" width="5.44140625" style="34" customWidth="1"/>
    <col min="5669" max="5894" width="11" style="34"/>
    <col min="5895" max="5895" width="3.44140625" style="34" customWidth="1"/>
    <col min="5896" max="5896" width="20.21875" style="34" customWidth="1"/>
    <col min="5897" max="5897" width="0.77734375" style="34" customWidth="1"/>
    <col min="5898" max="5898" width="10.21875" style="34" bestFit="1" customWidth="1"/>
    <col min="5899" max="5899" width="1.21875" style="34" customWidth="1"/>
    <col min="5900" max="5900" width="6.21875" style="34" customWidth="1"/>
    <col min="5901" max="5901" width="9.44140625" style="34" customWidth="1"/>
    <col min="5902" max="5902" width="1.21875" style="34" customWidth="1"/>
    <col min="5903" max="5903" width="5" style="34" customWidth="1"/>
    <col min="5904" max="5904" width="3.44140625" style="34" customWidth="1"/>
    <col min="5905" max="5905" width="12.21875" style="34" customWidth="1"/>
    <col min="5906" max="5906" width="4.44140625" style="34" customWidth="1"/>
    <col min="5907" max="5908" width="11" style="34"/>
    <col min="5909" max="5909" width="9.44140625" style="34" customWidth="1"/>
    <col min="5910" max="5910" width="3.44140625" style="34" customWidth="1"/>
    <col min="5911" max="5911" width="10.44140625" style="34" customWidth="1"/>
    <col min="5912" max="5912" width="8.21875" style="34" customWidth="1"/>
    <col min="5913" max="5913" width="5.44140625" style="34" customWidth="1"/>
    <col min="5914" max="5914" width="11" style="34"/>
    <col min="5915" max="5915" width="1.77734375" style="34" customWidth="1"/>
    <col min="5916" max="5916" width="5.44140625" style="34" customWidth="1"/>
    <col min="5917" max="5917" width="3.44140625" style="34" customWidth="1"/>
    <col min="5918" max="5918" width="11" style="34"/>
    <col min="5919" max="5919" width="1.77734375" style="34" customWidth="1"/>
    <col min="5920" max="5921" width="5.44140625" style="34" customWidth="1"/>
    <col min="5922" max="5922" width="11" style="34"/>
    <col min="5923" max="5923" width="1.77734375" style="34" customWidth="1"/>
    <col min="5924" max="5924" width="5.44140625" style="34" customWidth="1"/>
    <col min="5925" max="6150" width="11" style="34"/>
    <col min="6151" max="6151" width="3.44140625" style="34" customWidth="1"/>
    <col min="6152" max="6152" width="20.21875" style="34" customWidth="1"/>
    <col min="6153" max="6153" width="0.77734375" style="34" customWidth="1"/>
    <col min="6154" max="6154" width="10.21875" style="34" bestFit="1" customWidth="1"/>
    <col min="6155" max="6155" width="1.21875" style="34" customWidth="1"/>
    <col min="6156" max="6156" width="6.21875" style="34" customWidth="1"/>
    <col min="6157" max="6157" width="9.44140625" style="34" customWidth="1"/>
    <col min="6158" max="6158" width="1.21875" style="34" customWidth="1"/>
    <col min="6159" max="6159" width="5" style="34" customWidth="1"/>
    <col min="6160" max="6160" width="3.44140625" style="34" customWidth="1"/>
    <col min="6161" max="6161" width="12.21875" style="34" customWidth="1"/>
    <col min="6162" max="6162" width="4.44140625" style="34" customWidth="1"/>
    <col min="6163" max="6164" width="11" style="34"/>
    <col min="6165" max="6165" width="9.44140625" style="34" customWidth="1"/>
    <col min="6166" max="6166" width="3.44140625" style="34" customWidth="1"/>
    <col min="6167" max="6167" width="10.44140625" style="34" customWidth="1"/>
    <col min="6168" max="6168" width="8.21875" style="34" customWidth="1"/>
    <col min="6169" max="6169" width="5.44140625" style="34" customWidth="1"/>
    <col min="6170" max="6170" width="11" style="34"/>
    <col min="6171" max="6171" width="1.77734375" style="34" customWidth="1"/>
    <col min="6172" max="6172" width="5.44140625" style="34" customWidth="1"/>
    <col min="6173" max="6173" width="3.44140625" style="34" customWidth="1"/>
    <col min="6174" max="6174" width="11" style="34"/>
    <col min="6175" max="6175" width="1.77734375" style="34" customWidth="1"/>
    <col min="6176" max="6177" width="5.44140625" style="34" customWidth="1"/>
    <col min="6178" max="6178" width="11" style="34"/>
    <col min="6179" max="6179" width="1.77734375" style="34" customWidth="1"/>
    <col min="6180" max="6180" width="5.44140625" style="34" customWidth="1"/>
    <col min="6181" max="6406" width="11" style="34"/>
    <col min="6407" max="6407" width="3.44140625" style="34" customWidth="1"/>
    <col min="6408" max="6408" width="20.21875" style="34" customWidth="1"/>
    <col min="6409" max="6409" width="0.77734375" style="34" customWidth="1"/>
    <col min="6410" max="6410" width="10.21875" style="34" bestFit="1" customWidth="1"/>
    <col min="6411" max="6411" width="1.21875" style="34" customWidth="1"/>
    <col min="6412" max="6412" width="6.21875" style="34" customWidth="1"/>
    <col min="6413" max="6413" width="9.44140625" style="34" customWidth="1"/>
    <col min="6414" max="6414" width="1.21875" style="34" customWidth="1"/>
    <col min="6415" max="6415" width="5" style="34" customWidth="1"/>
    <col min="6416" max="6416" width="3.44140625" style="34" customWidth="1"/>
    <col min="6417" max="6417" width="12.21875" style="34" customWidth="1"/>
    <col min="6418" max="6418" width="4.44140625" style="34" customWidth="1"/>
    <col min="6419" max="6420" width="11" style="34"/>
    <col min="6421" max="6421" width="9.44140625" style="34" customWidth="1"/>
    <col min="6422" max="6422" width="3.44140625" style="34" customWidth="1"/>
    <col min="6423" max="6423" width="10.44140625" style="34" customWidth="1"/>
    <col min="6424" max="6424" width="8.21875" style="34" customWidth="1"/>
    <col min="6425" max="6425" width="5.44140625" style="34" customWidth="1"/>
    <col min="6426" max="6426" width="11" style="34"/>
    <col min="6427" max="6427" width="1.77734375" style="34" customWidth="1"/>
    <col min="6428" max="6428" width="5.44140625" style="34" customWidth="1"/>
    <col min="6429" max="6429" width="3.44140625" style="34" customWidth="1"/>
    <col min="6430" max="6430" width="11" style="34"/>
    <col min="6431" max="6431" width="1.77734375" style="34" customWidth="1"/>
    <col min="6432" max="6433" width="5.44140625" style="34" customWidth="1"/>
    <col min="6434" max="6434" width="11" style="34"/>
    <col min="6435" max="6435" width="1.77734375" style="34" customWidth="1"/>
    <col min="6436" max="6436" width="5.44140625" style="34" customWidth="1"/>
    <col min="6437" max="6662" width="11" style="34"/>
    <col min="6663" max="6663" width="3.44140625" style="34" customWidth="1"/>
    <col min="6664" max="6664" width="20.21875" style="34" customWidth="1"/>
    <col min="6665" max="6665" width="0.77734375" style="34" customWidth="1"/>
    <col min="6666" max="6666" width="10.21875" style="34" bestFit="1" customWidth="1"/>
    <col min="6667" max="6667" width="1.21875" style="34" customWidth="1"/>
    <col min="6668" max="6668" width="6.21875" style="34" customWidth="1"/>
    <col min="6669" max="6669" width="9.44140625" style="34" customWidth="1"/>
    <col min="6670" max="6670" width="1.21875" style="34" customWidth="1"/>
    <col min="6671" max="6671" width="5" style="34" customWidth="1"/>
    <col min="6672" max="6672" width="3.44140625" style="34" customWidth="1"/>
    <col min="6673" max="6673" width="12.21875" style="34" customWidth="1"/>
    <col min="6674" max="6674" width="4.44140625" style="34" customWidth="1"/>
    <col min="6675" max="6676" width="11" style="34"/>
    <col min="6677" max="6677" width="9.44140625" style="34" customWidth="1"/>
    <col min="6678" max="6678" width="3.44140625" style="34" customWidth="1"/>
    <col min="6679" max="6679" width="10.44140625" style="34" customWidth="1"/>
    <col min="6680" max="6680" width="8.21875" style="34" customWidth="1"/>
    <col min="6681" max="6681" width="5.44140625" style="34" customWidth="1"/>
    <col min="6682" max="6682" width="11" style="34"/>
    <col min="6683" max="6683" width="1.77734375" style="34" customWidth="1"/>
    <col min="6684" max="6684" width="5.44140625" style="34" customWidth="1"/>
    <col min="6685" max="6685" width="3.44140625" style="34" customWidth="1"/>
    <col min="6686" max="6686" width="11" style="34"/>
    <col min="6687" max="6687" width="1.77734375" style="34" customWidth="1"/>
    <col min="6688" max="6689" width="5.44140625" style="34" customWidth="1"/>
    <col min="6690" max="6690" width="11" style="34"/>
    <col min="6691" max="6691" width="1.77734375" style="34" customWidth="1"/>
    <col min="6692" max="6692" width="5.44140625" style="34" customWidth="1"/>
    <col min="6693" max="6918" width="11" style="34"/>
    <col min="6919" max="6919" width="3.44140625" style="34" customWidth="1"/>
    <col min="6920" max="6920" width="20.21875" style="34" customWidth="1"/>
    <col min="6921" max="6921" width="0.77734375" style="34" customWidth="1"/>
    <col min="6922" max="6922" width="10.21875" style="34" bestFit="1" customWidth="1"/>
    <col min="6923" max="6923" width="1.21875" style="34" customWidth="1"/>
    <col min="6924" max="6924" width="6.21875" style="34" customWidth="1"/>
    <col min="6925" max="6925" width="9.44140625" style="34" customWidth="1"/>
    <col min="6926" max="6926" width="1.21875" style="34" customWidth="1"/>
    <col min="6927" max="6927" width="5" style="34" customWidth="1"/>
    <col min="6928" max="6928" width="3.44140625" style="34" customWidth="1"/>
    <col min="6929" max="6929" width="12.21875" style="34" customWidth="1"/>
    <col min="6930" max="6930" width="4.44140625" style="34" customWidth="1"/>
    <col min="6931" max="6932" width="11" style="34"/>
    <col min="6933" max="6933" width="9.44140625" style="34" customWidth="1"/>
    <col min="6934" max="6934" width="3.44140625" style="34" customWidth="1"/>
    <col min="6935" max="6935" width="10.44140625" style="34" customWidth="1"/>
    <col min="6936" max="6936" width="8.21875" style="34" customWidth="1"/>
    <col min="6937" max="6937" width="5.44140625" style="34" customWidth="1"/>
    <col min="6938" max="6938" width="11" style="34"/>
    <col min="6939" max="6939" width="1.77734375" style="34" customWidth="1"/>
    <col min="6940" max="6940" width="5.44140625" style="34" customWidth="1"/>
    <col min="6941" max="6941" width="3.44140625" style="34" customWidth="1"/>
    <col min="6942" max="6942" width="11" style="34"/>
    <col min="6943" max="6943" width="1.77734375" style="34" customWidth="1"/>
    <col min="6944" max="6945" width="5.44140625" style="34" customWidth="1"/>
    <col min="6946" max="6946" width="11" style="34"/>
    <col min="6947" max="6947" width="1.77734375" style="34" customWidth="1"/>
    <col min="6948" max="6948" width="5.44140625" style="34" customWidth="1"/>
    <col min="6949" max="7174" width="11" style="34"/>
    <col min="7175" max="7175" width="3.44140625" style="34" customWidth="1"/>
    <col min="7176" max="7176" width="20.21875" style="34" customWidth="1"/>
    <col min="7177" max="7177" width="0.77734375" style="34" customWidth="1"/>
    <col min="7178" max="7178" width="10.21875" style="34" bestFit="1" customWidth="1"/>
    <col min="7179" max="7179" width="1.21875" style="34" customWidth="1"/>
    <col min="7180" max="7180" width="6.21875" style="34" customWidth="1"/>
    <col min="7181" max="7181" width="9.44140625" style="34" customWidth="1"/>
    <col min="7182" max="7182" width="1.21875" style="34" customWidth="1"/>
    <col min="7183" max="7183" width="5" style="34" customWidth="1"/>
    <col min="7184" max="7184" width="3.44140625" style="34" customWidth="1"/>
    <col min="7185" max="7185" width="12.21875" style="34" customWidth="1"/>
    <col min="7186" max="7186" width="4.44140625" style="34" customWidth="1"/>
    <col min="7187" max="7188" width="11" style="34"/>
    <col min="7189" max="7189" width="9.44140625" style="34" customWidth="1"/>
    <col min="7190" max="7190" width="3.44140625" style="34" customWidth="1"/>
    <col min="7191" max="7191" width="10.44140625" style="34" customWidth="1"/>
    <col min="7192" max="7192" width="8.21875" style="34" customWidth="1"/>
    <col min="7193" max="7193" width="5.44140625" style="34" customWidth="1"/>
    <col min="7194" max="7194" width="11" style="34"/>
    <col min="7195" max="7195" width="1.77734375" style="34" customWidth="1"/>
    <col min="7196" max="7196" width="5.44140625" style="34" customWidth="1"/>
    <col min="7197" max="7197" width="3.44140625" style="34" customWidth="1"/>
    <col min="7198" max="7198" width="11" style="34"/>
    <col min="7199" max="7199" width="1.77734375" style="34" customWidth="1"/>
    <col min="7200" max="7201" width="5.44140625" style="34" customWidth="1"/>
    <col min="7202" max="7202" width="11" style="34"/>
    <col min="7203" max="7203" width="1.77734375" style="34" customWidth="1"/>
    <col min="7204" max="7204" width="5.44140625" style="34" customWidth="1"/>
    <col min="7205" max="7430" width="11" style="34"/>
    <col min="7431" max="7431" width="3.44140625" style="34" customWidth="1"/>
    <col min="7432" max="7432" width="20.21875" style="34" customWidth="1"/>
    <col min="7433" max="7433" width="0.77734375" style="34" customWidth="1"/>
    <col min="7434" max="7434" width="10.21875" style="34" bestFit="1" customWidth="1"/>
    <col min="7435" max="7435" width="1.21875" style="34" customWidth="1"/>
    <col min="7436" max="7436" width="6.21875" style="34" customWidth="1"/>
    <col min="7437" max="7437" width="9.44140625" style="34" customWidth="1"/>
    <col min="7438" max="7438" width="1.21875" style="34" customWidth="1"/>
    <col min="7439" max="7439" width="5" style="34" customWidth="1"/>
    <col min="7440" max="7440" width="3.44140625" style="34" customWidth="1"/>
    <col min="7441" max="7441" width="12.21875" style="34" customWidth="1"/>
    <col min="7442" max="7442" width="4.44140625" style="34" customWidth="1"/>
    <col min="7443" max="7444" width="11" style="34"/>
    <col min="7445" max="7445" width="9.44140625" style="34" customWidth="1"/>
    <col min="7446" max="7446" width="3.44140625" style="34" customWidth="1"/>
    <col min="7447" max="7447" width="10.44140625" style="34" customWidth="1"/>
    <col min="7448" max="7448" width="8.21875" style="34" customWidth="1"/>
    <col min="7449" max="7449" width="5.44140625" style="34" customWidth="1"/>
    <col min="7450" max="7450" width="11" style="34"/>
    <col min="7451" max="7451" width="1.77734375" style="34" customWidth="1"/>
    <col min="7452" max="7452" width="5.44140625" style="34" customWidth="1"/>
    <col min="7453" max="7453" width="3.44140625" style="34" customWidth="1"/>
    <col min="7454" max="7454" width="11" style="34"/>
    <col min="7455" max="7455" width="1.77734375" style="34" customWidth="1"/>
    <col min="7456" max="7457" width="5.44140625" style="34" customWidth="1"/>
    <col min="7458" max="7458" width="11" style="34"/>
    <col min="7459" max="7459" width="1.77734375" style="34" customWidth="1"/>
    <col min="7460" max="7460" width="5.44140625" style="34" customWidth="1"/>
    <col min="7461" max="7686" width="11" style="34"/>
    <col min="7687" max="7687" width="3.44140625" style="34" customWidth="1"/>
    <col min="7688" max="7688" width="20.21875" style="34" customWidth="1"/>
    <col min="7689" max="7689" width="0.77734375" style="34" customWidth="1"/>
    <col min="7690" max="7690" width="10.21875" style="34" bestFit="1" customWidth="1"/>
    <col min="7691" max="7691" width="1.21875" style="34" customWidth="1"/>
    <col min="7692" max="7692" width="6.21875" style="34" customWidth="1"/>
    <col min="7693" max="7693" width="9.44140625" style="34" customWidth="1"/>
    <col min="7694" max="7694" width="1.21875" style="34" customWidth="1"/>
    <col min="7695" max="7695" width="5" style="34" customWidth="1"/>
    <col min="7696" max="7696" width="3.44140625" style="34" customWidth="1"/>
    <col min="7697" max="7697" width="12.21875" style="34" customWidth="1"/>
    <col min="7698" max="7698" width="4.44140625" style="34" customWidth="1"/>
    <col min="7699" max="7700" width="11" style="34"/>
    <col min="7701" max="7701" width="9.44140625" style="34" customWidth="1"/>
    <col min="7702" max="7702" width="3.44140625" style="34" customWidth="1"/>
    <col min="7703" max="7703" width="10.44140625" style="34" customWidth="1"/>
    <col min="7704" max="7704" width="8.21875" style="34" customWidth="1"/>
    <col min="7705" max="7705" width="5.44140625" style="34" customWidth="1"/>
    <col min="7706" max="7706" width="11" style="34"/>
    <col min="7707" max="7707" width="1.77734375" style="34" customWidth="1"/>
    <col min="7708" max="7708" width="5.44140625" style="34" customWidth="1"/>
    <col min="7709" max="7709" width="3.44140625" style="34" customWidth="1"/>
    <col min="7710" max="7710" width="11" style="34"/>
    <col min="7711" max="7711" width="1.77734375" style="34" customWidth="1"/>
    <col min="7712" max="7713" width="5.44140625" style="34" customWidth="1"/>
    <col min="7714" max="7714" width="11" style="34"/>
    <col min="7715" max="7715" width="1.77734375" style="34" customWidth="1"/>
    <col min="7716" max="7716" width="5.44140625" style="34" customWidth="1"/>
    <col min="7717" max="7942" width="11" style="34"/>
    <col min="7943" max="7943" width="3.44140625" style="34" customWidth="1"/>
    <col min="7944" max="7944" width="20.21875" style="34" customWidth="1"/>
    <col min="7945" max="7945" width="0.77734375" style="34" customWidth="1"/>
    <col min="7946" max="7946" width="10.21875" style="34" bestFit="1" customWidth="1"/>
    <col min="7947" max="7947" width="1.21875" style="34" customWidth="1"/>
    <col min="7948" max="7948" width="6.21875" style="34" customWidth="1"/>
    <col min="7949" max="7949" width="9.44140625" style="34" customWidth="1"/>
    <col min="7950" max="7950" width="1.21875" style="34" customWidth="1"/>
    <col min="7951" max="7951" width="5" style="34" customWidth="1"/>
    <col min="7952" max="7952" width="3.44140625" style="34" customWidth="1"/>
    <col min="7953" max="7953" width="12.21875" style="34" customWidth="1"/>
    <col min="7954" max="7954" width="4.44140625" style="34" customWidth="1"/>
    <col min="7955" max="7956" width="11" style="34"/>
    <col min="7957" max="7957" width="9.44140625" style="34" customWidth="1"/>
    <col min="7958" max="7958" width="3.44140625" style="34" customWidth="1"/>
    <col min="7959" max="7959" width="10.44140625" style="34" customWidth="1"/>
    <col min="7960" max="7960" width="8.21875" style="34" customWidth="1"/>
    <col min="7961" max="7961" width="5.44140625" style="34" customWidth="1"/>
    <col min="7962" max="7962" width="11" style="34"/>
    <col min="7963" max="7963" width="1.77734375" style="34" customWidth="1"/>
    <col min="7964" max="7964" width="5.44140625" style="34" customWidth="1"/>
    <col min="7965" max="7965" width="3.44140625" style="34" customWidth="1"/>
    <col min="7966" max="7966" width="11" style="34"/>
    <col min="7967" max="7967" width="1.77734375" style="34" customWidth="1"/>
    <col min="7968" max="7969" width="5.44140625" style="34" customWidth="1"/>
    <col min="7970" max="7970" width="11" style="34"/>
    <col min="7971" max="7971" width="1.77734375" style="34" customWidth="1"/>
    <col min="7972" max="7972" width="5.44140625" style="34" customWidth="1"/>
    <col min="7973" max="8198" width="11" style="34"/>
    <col min="8199" max="8199" width="3.44140625" style="34" customWidth="1"/>
    <col min="8200" max="8200" width="20.21875" style="34" customWidth="1"/>
    <col min="8201" max="8201" width="0.77734375" style="34" customWidth="1"/>
    <col min="8202" max="8202" width="10.21875" style="34" bestFit="1" customWidth="1"/>
    <col min="8203" max="8203" width="1.21875" style="34" customWidth="1"/>
    <col min="8204" max="8204" width="6.21875" style="34" customWidth="1"/>
    <col min="8205" max="8205" width="9.44140625" style="34" customWidth="1"/>
    <col min="8206" max="8206" width="1.21875" style="34" customWidth="1"/>
    <col min="8207" max="8207" width="5" style="34" customWidth="1"/>
    <col min="8208" max="8208" width="3.44140625" style="34" customWidth="1"/>
    <col min="8209" max="8209" width="12.21875" style="34" customWidth="1"/>
    <col min="8210" max="8210" width="4.44140625" style="34" customWidth="1"/>
    <col min="8211" max="8212" width="11" style="34"/>
    <col min="8213" max="8213" width="9.44140625" style="34" customWidth="1"/>
    <col min="8214" max="8214" width="3.44140625" style="34" customWidth="1"/>
    <col min="8215" max="8215" width="10.44140625" style="34" customWidth="1"/>
    <col min="8216" max="8216" width="8.21875" style="34" customWidth="1"/>
    <col min="8217" max="8217" width="5.44140625" style="34" customWidth="1"/>
    <col min="8218" max="8218" width="11" style="34"/>
    <col min="8219" max="8219" width="1.77734375" style="34" customWidth="1"/>
    <col min="8220" max="8220" width="5.44140625" style="34" customWidth="1"/>
    <col min="8221" max="8221" width="3.44140625" style="34" customWidth="1"/>
    <col min="8222" max="8222" width="11" style="34"/>
    <col min="8223" max="8223" width="1.77734375" style="34" customWidth="1"/>
    <col min="8224" max="8225" width="5.44140625" style="34" customWidth="1"/>
    <col min="8226" max="8226" width="11" style="34"/>
    <col min="8227" max="8227" width="1.77734375" style="34" customWidth="1"/>
    <col min="8228" max="8228" width="5.44140625" style="34" customWidth="1"/>
    <col min="8229" max="8454" width="11" style="34"/>
    <col min="8455" max="8455" width="3.44140625" style="34" customWidth="1"/>
    <col min="8456" max="8456" width="20.21875" style="34" customWidth="1"/>
    <col min="8457" max="8457" width="0.77734375" style="34" customWidth="1"/>
    <col min="8458" max="8458" width="10.21875" style="34" bestFit="1" customWidth="1"/>
    <col min="8459" max="8459" width="1.21875" style="34" customWidth="1"/>
    <col min="8460" max="8460" width="6.21875" style="34" customWidth="1"/>
    <col min="8461" max="8461" width="9.44140625" style="34" customWidth="1"/>
    <col min="8462" max="8462" width="1.21875" style="34" customWidth="1"/>
    <col min="8463" max="8463" width="5" style="34" customWidth="1"/>
    <col min="8464" max="8464" width="3.44140625" style="34" customWidth="1"/>
    <col min="8465" max="8465" width="12.21875" style="34" customWidth="1"/>
    <col min="8466" max="8466" width="4.44140625" style="34" customWidth="1"/>
    <col min="8467" max="8468" width="11" style="34"/>
    <col min="8469" max="8469" width="9.44140625" style="34" customWidth="1"/>
    <col min="8470" max="8470" width="3.44140625" style="34" customWidth="1"/>
    <col min="8471" max="8471" width="10.44140625" style="34" customWidth="1"/>
    <col min="8472" max="8472" width="8.21875" style="34" customWidth="1"/>
    <col min="8473" max="8473" width="5.44140625" style="34" customWidth="1"/>
    <col min="8474" max="8474" width="11" style="34"/>
    <col min="8475" max="8475" width="1.77734375" style="34" customWidth="1"/>
    <col min="8476" max="8476" width="5.44140625" style="34" customWidth="1"/>
    <col min="8477" max="8477" width="3.44140625" style="34" customWidth="1"/>
    <col min="8478" max="8478" width="11" style="34"/>
    <col min="8479" max="8479" width="1.77734375" style="34" customWidth="1"/>
    <col min="8480" max="8481" width="5.44140625" style="34" customWidth="1"/>
    <col min="8482" max="8482" width="11" style="34"/>
    <col min="8483" max="8483" width="1.77734375" style="34" customWidth="1"/>
    <col min="8484" max="8484" width="5.44140625" style="34" customWidth="1"/>
    <col min="8485" max="8710" width="11" style="34"/>
    <col min="8711" max="8711" width="3.44140625" style="34" customWidth="1"/>
    <col min="8712" max="8712" width="20.21875" style="34" customWidth="1"/>
    <col min="8713" max="8713" width="0.77734375" style="34" customWidth="1"/>
    <col min="8714" max="8714" width="10.21875" style="34" bestFit="1" customWidth="1"/>
    <col min="8715" max="8715" width="1.21875" style="34" customWidth="1"/>
    <col min="8716" max="8716" width="6.21875" style="34" customWidth="1"/>
    <col min="8717" max="8717" width="9.44140625" style="34" customWidth="1"/>
    <col min="8718" max="8718" width="1.21875" style="34" customWidth="1"/>
    <col min="8719" max="8719" width="5" style="34" customWidth="1"/>
    <col min="8720" max="8720" width="3.44140625" style="34" customWidth="1"/>
    <col min="8721" max="8721" width="12.21875" style="34" customWidth="1"/>
    <col min="8722" max="8722" width="4.44140625" style="34" customWidth="1"/>
    <col min="8723" max="8724" width="11" style="34"/>
    <col min="8725" max="8725" width="9.44140625" style="34" customWidth="1"/>
    <col min="8726" max="8726" width="3.44140625" style="34" customWidth="1"/>
    <col min="8727" max="8727" width="10.44140625" style="34" customWidth="1"/>
    <col min="8728" max="8728" width="8.21875" style="34" customWidth="1"/>
    <col min="8729" max="8729" width="5.44140625" style="34" customWidth="1"/>
    <col min="8730" max="8730" width="11" style="34"/>
    <col min="8731" max="8731" width="1.77734375" style="34" customWidth="1"/>
    <col min="8732" max="8732" width="5.44140625" style="34" customWidth="1"/>
    <col min="8733" max="8733" width="3.44140625" style="34" customWidth="1"/>
    <col min="8734" max="8734" width="11" style="34"/>
    <col min="8735" max="8735" width="1.77734375" style="34" customWidth="1"/>
    <col min="8736" max="8737" width="5.44140625" style="34" customWidth="1"/>
    <col min="8738" max="8738" width="11" style="34"/>
    <col min="8739" max="8739" width="1.77734375" style="34" customWidth="1"/>
    <col min="8740" max="8740" width="5.44140625" style="34" customWidth="1"/>
    <col min="8741" max="8966" width="11" style="34"/>
    <col min="8967" max="8967" width="3.44140625" style="34" customWidth="1"/>
    <col min="8968" max="8968" width="20.21875" style="34" customWidth="1"/>
    <col min="8969" max="8969" width="0.77734375" style="34" customWidth="1"/>
    <col min="8970" max="8970" width="10.21875" style="34" bestFit="1" customWidth="1"/>
    <col min="8971" max="8971" width="1.21875" style="34" customWidth="1"/>
    <col min="8972" max="8972" width="6.21875" style="34" customWidth="1"/>
    <col min="8973" max="8973" width="9.44140625" style="34" customWidth="1"/>
    <col min="8974" max="8974" width="1.21875" style="34" customWidth="1"/>
    <col min="8975" max="8975" width="5" style="34" customWidth="1"/>
    <col min="8976" max="8976" width="3.44140625" style="34" customWidth="1"/>
    <col min="8977" max="8977" width="12.21875" style="34" customWidth="1"/>
    <col min="8978" max="8978" width="4.44140625" style="34" customWidth="1"/>
    <col min="8979" max="8980" width="11" style="34"/>
    <col min="8981" max="8981" width="9.44140625" style="34" customWidth="1"/>
    <col min="8982" max="8982" width="3.44140625" style="34" customWidth="1"/>
    <col min="8983" max="8983" width="10.44140625" style="34" customWidth="1"/>
    <col min="8984" max="8984" width="8.21875" style="34" customWidth="1"/>
    <col min="8985" max="8985" width="5.44140625" style="34" customWidth="1"/>
    <col min="8986" max="8986" width="11" style="34"/>
    <col min="8987" max="8987" width="1.77734375" style="34" customWidth="1"/>
    <col min="8988" max="8988" width="5.44140625" style="34" customWidth="1"/>
    <col min="8989" max="8989" width="3.44140625" style="34" customWidth="1"/>
    <col min="8990" max="8990" width="11" style="34"/>
    <col min="8991" max="8991" width="1.77734375" style="34" customWidth="1"/>
    <col min="8992" max="8993" width="5.44140625" style="34" customWidth="1"/>
    <col min="8994" max="8994" width="11" style="34"/>
    <col min="8995" max="8995" width="1.77734375" style="34" customWidth="1"/>
    <col min="8996" max="8996" width="5.44140625" style="34" customWidth="1"/>
    <col min="8997" max="9222" width="11" style="34"/>
    <col min="9223" max="9223" width="3.44140625" style="34" customWidth="1"/>
    <col min="9224" max="9224" width="20.21875" style="34" customWidth="1"/>
    <col min="9225" max="9225" width="0.77734375" style="34" customWidth="1"/>
    <col min="9226" max="9226" width="10.21875" style="34" bestFit="1" customWidth="1"/>
    <col min="9227" max="9227" width="1.21875" style="34" customWidth="1"/>
    <col min="9228" max="9228" width="6.21875" style="34" customWidth="1"/>
    <col min="9229" max="9229" width="9.44140625" style="34" customWidth="1"/>
    <col min="9230" max="9230" width="1.21875" style="34" customWidth="1"/>
    <col min="9231" max="9231" width="5" style="34" customWidth="1"/>
    <col min="9232" max="9232" width="3.44140625" style="34" customWidth="1"/>
    <col min="9233" max="9233" width="12.21875" style="34" customWidth="1"/>
    <col min="9234" max="9234" width="4.44140625" style="34" customWidth="1"/>
    <col min="9235" max="9236" width="11" style="34"/>
    <col min="9237" max="9237" width="9.44140625" style="34" customWidth="1"/>
    <col min="9238" max="9238" width="3.44140625" style="34" customWidth="1"/>
    <col min="9239" max="9239" width="10.44140625" style="34" customWidth="1"/>
    <col min="9240" max="9240" width="8.21875" style="34" customWidth="1"/>
    <col min="9241" max="9241" width="5.44140625" style="34" customWidth="1"/>
    <col min="9242" max="9242" width="11" style="34"/>
    <col min="9243" max="9243" width="1.77734375" style="34" customWidth="1"/>
    <col min="9244" max="9244" width="5.44140625" style="34" customWidth="1"/>
    <col min="9245" max="9245" width="3.44140625" style="34" customWidth="1"/>
    <col min="9246" max="9246" width="11" style="34"/>
    <col min="9247" max="9247" width="1.77734375" style="34" customWidth="1"/>
    <col min="9248" max="9249" width="5.44140625" style="34" customWidth="1"/>
    <col min="9250" max="9250" width="11" style="34"/>
    <col min="9251" max="9251" width="1.77734375" style="34" customWidth="1"/>
    <col min="9252" max="9252" width="5.44140625" style="34" customWidth="1"/>
    <col min="9253" max="9478" width="11" style="34"/>
    <col min="9479" max="9479" width="3.44140625" style="34" customWidth="1"/>
    <col min="9480" max="9480" width="20.21875" style="34" customWidth="1"/>
    <col min="9481" max="9481" width="0.77734375" style="34" customWidth="1"/>
    <col min="9482" max="9482" width="10.21875" style="34" bestFit="1" customWidth="1"/>
    <col min="9483" max="9483" width="1.21875" style="34" customWidth="1"/>
    <col min="9484" max="9484" width="6.21875" style="34" customWidth="1"/>
    <col min="9485" max="9485" width="9.44140625" style="34" customWidth="1"/>
    <col min="9486" max="9486" width="1.21875" style="34" customWidth="1"/>
    <col min="9487" max="9487" width="5" style="34" customWidth="1"/>
    <col min="9488" max="9488" width="3.44140625" style="34" customWidth="1"/>
    <col min="9489" max="9489" width="12.21875" style="34" customWidth="1"/>
    <col min="9490" max="9490" width="4.44140625" style="34" customWidth="1"/>
    <col min="9491" max="9492" width="11" style="34"/>
    <col min="9493" max="9493" width="9.44140625" style="34" customWidth="1"/>
    <col min="9494" max="9494" width="3.44140625" style="34" customWidth="1"/>
    <col min="9495" max="9495" width="10.44140625" style="34" customWidth="1"/>
    <col min="9496" max="9496" width="8.21875" style="34" customWidth="1"/>
    <col min="9497" max="9497" width="5.44140625" style="34" customWidth="1"/>
    <col min="9498" max="9498" width="11" style="34"/>
    <col min="9499" max="9499" width="1.77734375" style="34" customWidth="1"/>
    <col min="9500" max="9500" width="5.44140625" style="34" customWidth="1"/>
    <col min="9501" max="9501" width="3.44140625" style="34" customWidth="1"/>
    <col min="9502" max="9502" width="11" style="34"/>
    <col min="9503" max="9503" width="1.77734375" style="34" customWidth="1"/>
    <col min="9504" max="9505" width="5.44140625" style="34" customWidth="1"/>
    <col min="9506" max="9506" width="11" style="34"/>
    <col min="9507" max="9507" width="1.77734375" style="34" customWidth="1"/>
    <col min="9508" max="9508" width="5.44140625" style="34" customWidth="1"/>
    <col min="9509" max="9734" width="11" style="34"/>
    <col min="9735" max="9735" width="3.44140625" style="34" customWidth="1"/>
    <col min="9736" max="9736" width="20.21875" style="34" customWidth="1"/>
    <col min="9737" max="9737" width="0.77734375" style="34" customWidth="1"/>
    <col min="9738" max="9738" width="10.21875" style="34" bestFit="1" customWidth="1"/>
    <col min="9739" max="9739" width="1.21875" style="34" customWidth="1"/>
    <col min="9740" max="9740" width="6.21875" style="34" customWidth="1"/>
    <col min="9741" max="9741" width="9.44140625" style="34" customWidth="1"/>
    <col min="9742" max="9742" width="1.21875" style="34" customWidth="1"/>
    <col min="9743" max="9743" width="5" style="34" customWidth="1"/>
    <col min="9744" max="9744" width="3.44140625" style="34" customWidth="1"/>
    <col min="9745" max="9745" width="12.21875" style="34" customWidth="1"/>
    <col min="9746" max="9746" width="4.44140625" style="34" customWidth="1"/>
    <col min="9747" max="9748" width="11" style="34"/>
    <col min="9749" max="9749" width="9.44140625" style="34" customWidth="1"/>
    <col min="9750" max="9750" width="3.44140625" style="34" customWidth="1"/>
    <col min="9751" max="9751" width="10.44140625" style="34" customWidth="1"/>
    <col min="9752" max="9752" width="8.21875" style="34" customWidth="1"/>
    <col min="9753" max="9753" width="5.44140625" style="34" customWidth="1"/>
    <col min="9754" max="9754" width="11" style="34"/>
    <col min="9755" max="9755" width="1.77734375" style="34" customWidth="1"/>
    <col min="9756" max="9756" width="5.44140625" style="34" customWidth="1"/>
    <col min="9757" max="9757" width="3.44140625" style="34" customWidth="1"/>
    <col min="9758" max="9758" width="11" style="34"/>
    <col min="9759" max="9759" width="1.77734375" style="34" customWidth="1"/>
    <col min="9760" max="9761" width="5.44140625" style="34" customWidth="1"/>
    <col min="9762" max="9762" width="11" style="34"/>
    <col min="9763" max="9763" width="1.77734375" style="34" customWidth="1"/>
    <col min="9764" max="9764" width="5.44140625" style="34" customWidth="1"/>
    <col min="9765" max="9990" width="11" style="34"/>
    <col min="9991" max="9991" width="3.44140625" style="34" customWidth="1"/>
    <col min="9992" max="9992" width="20.21875" style="34" customWidth="1"/>
    <col min="9993" max="9993" width="0.77734375" style="34" customWidth="1"/>
    <col min="9994" max="9994" width="10.21875" style="34" bestFit="1" customWidth="1"/>
    <col min="9995" max="9995" width="1.21875" style="34" customWidth="1"/>
    <col min="9996" max="9996" width="6.21875" style="34" customWidth="1"/>
    <col min="9997" max="9997" width="9.44140625" style="34" customWidth="1"/>
    <col min="9998" max="9998" width="1.21875" style="34" customWidth="1"/>
    <col min="9999" max="9999" width="5" style="34" customWidth="1"/>
    <col min="10000" max="10000" width="3.44140625" style="34" customWidth="1"/>
    <col min="10001" max="10001" width="12.21875" style="34" customWidth="1"/>
    <col min="10002" max="10002" width="4.44140625" style="34" customWidth="1"/>
    <col min="10003" max="10004" width="11" style="34"/>
    <col min="10005" max="10005" width="9.44140625" style="34" customWidth="1"/>
    <col min="10006" max="10006" width="3.44140625" style="34" customWidth="1"/>
    <col min="10007" max="10007" width="10.44140625" style="34" customWidth="1"/>
    <col min="10008" max="10008" width="8.21875" style="34" customWidth="1"/>
    <col min="10009" max="10009" width="5.44140625" style="34" customWidth="1"/>
    <col min="10010" max="10010" width="11" style="34"/>
    <col min="10011" max="10011" width="1.77734375" style="34" customWidth="1"/>
    <col min="10012" max="10012" width="5.44140625" style="34" customWidth="1"/>
    <col min="10013" max="10013" width="3.44140625" style="34" customWidth="1"/>
    <col min="10014" max="10014" width="11" style="34"/>
    <col min="10015" max="10015" width="1.77734375" style="34" customWidth="1"/>
    <col min="10016" max="10017" width="5.44140625" style="34" customWidth="1"/>
    <col min="10018" max="10018" width="11" style="34"/>
    <col min="10019" max="10019" width="1.77734375" style="34" customWidth="1"/>
    <col min="10020" max="10020" width="5.44140625" style="34" customWidth="1"/>
    <col min="10021" max="10246" width="11" style="34"/>
    <col min="10247" max="10247" width="3.44140625" style="34" customWidth="1"/>
    <col min="10248" max="10248" width="20.21875" style="34" customWidth="1"/>
    <col min="10249" max="10249" width="0.77734375" style="34" customWidth="1"/>
    <col min="10250" max="10250" width="10.21875" style="34" bestFit="1" customWidth="1"/>
    <col min="10251" max="10251" width="1.21875" style="34" customWidth="1"/>
    <col min="10252" max="10252" width="6.21875" style="34" customWidth="1"/>
    <col min="10253" max="10253" width="9.44140625" style="34" customWidth="1"/>
    <col min="10254" max="10254" width="1.21875" style="34" customWidth="1"/>
    <col min="10255" max="10255" width="5" style="34" customWidth="1"/>
    <col min="10256" max="10256" width="3.44140625" style="34" customWidth="1"/>
    <col min="10257" max="10257" width="12.21875" style="34" customWidth="1"/>
    <col min="10258" max="10258" width="4.44140625" style="34" customWidth="1"/>
    <col min="10259" max="10260" width="11" style="34"/>
    <col min="10261" max="10261" width="9.44140625" style="34" customWidth="1"/>
    <col min="10262" max="10262" width="3.44140625" style="34" customWidth="1"/>
    <col min="10263" max="10263" width="10.44140625" style="34" customWidth="1"/>
    <col min="10264" max="10264" width="8.21875" style="34" customWidth="1"/>
    <col min="10265" max="10265" width="5.44140625" style="34" customWidth="1"/>
    <col min="10266" max="10266" width="11" style="34"/>
    <col min="10267" max="10267" width="1.77734375" style="34" customWidth="1"/>
    <col min="10268" max="10268" width="5.44140625" style="34" customWidth="1"/>
    <col min="10269" max="10269" width="3.44140625" style="34" customWidth="1"/>
    <col min="10270" max="10270" width="11" style="34"/>
    <col min="10271" max="10271" width="1.77734375" style="34" customWidth="1"/>
    <col min="10272" max="10273" width="5.44140625" style="34" customWidth="1"/>
    <col min="10274" max="10274" width="11" style="34"/>
    <col min="10275" max="10275" width="1.77734375" style="34" customWidth="1"/>
    <col min="10276" max="10276" width="5.44140625" style="34" customWidth="1"/>
    <col min="10277" max="10502" width="11" style="34"/>
    <col min="10503" max="10503" width="3.44140625" style="34" customWidth="1"/>
    <col min="10504" max="10504" width="20.21875" style="34" customWidth="1"/>
    <col min="10505" max="10505" width="0.77734375" style="34" customWidth="1"/>
    <col min="10506" max="10506" width="10.21875" style="34" bestFit="1" customWidth="1"/>
    <col min="10507" max="10507" width="1.21875" style="34" customWidth="1"/>
    <col min="10508" max="10508" width="6.21875" style="34" customWidth="1"/>
    <col min="10509" max="10509" width="9.44140625" style="34" customWidth="1"/>
    <col min="10510" max="10510" width="1.21875" style="34" customWidth="1"/>
    <col min="10511" max="10511" width="5" style="34" customWidth="1"/>
    <col min="10512" max="10512" width="3.44140625" style="34" customWidth="1"/>
    <col min="10513" max="10513" width="12.21875" style="34" customWidth="1"/>
    <col min="10514" max="10514" width="4.44140625" style="34" customWidth="1"/>
    <col min="10515" max="10516" width="11" style="34"/>
    <col min="10517" max="10517" width="9.44140625" style="34" customWidth="1"/>
    <col min="10518" max="10518" width="3.44140625" style="34" customWidth="1"/>
    <col min="10519" max="10519" width="10.44140625" style="34" customWidth="1"/>
    <col min="10520" max="10520" width="8.21875" style="34" customWidth="1"/>
    <col min="10521" max="10521" width="5.44140625" style="34" customWidth="1"/>
    <col min="10522" max="10522" width="11" style="34"/>
    <col min="10523" max="10523" width="1.77734375" style="34" customWidth="1"/>
    <col min="10524" max="10524" width="5.44140625" style="34" customWidth="1"/>
    <col min="10525" max="10525" width="3.44140625" style="34" customWidth="1"/>
    <col min="10526" max="10526" width="11" style="34"/>
    <col min="10527" max="10527" width="1.77734375" style="34" customWidth="1"/>
    <col min="10528" max="10529" width="5.44140625" style="34" customWidth="1"/>
    <col min="10530" max="10530" width="11" style="34"/>
    <col min="10531" max="10531" width="1.77734375" style="34" customWidth="1"/>
    <col min="10532" max="10532" width="5.44140625" style="34" customWidth="1"/>
    <col min="10533" max="10758" width="11" style="34"/>
    <col min="10759" max="10759" width="3.44140625" style="34" customWidth="1"/>
    <col min="10760" max="10760" width="20.21875" style="34" customWidth="1"/>
    <col min="10761" max="10761" width="0.77734375" style="34" customWidth="1"/>
    <col min="10762" max="10762" width="10.21875" style="34" bestFit="1" customWidth="1"/>
    <col min="10763" max="10763" width="1.21875" style="34" customWidth="1"/>
    <col min="10764" max="10764" width="6.21875" style="34" customWidth="1"/>
    <col min="10765" max="10765" width="9.44140625" style="34" customWidth="1"/>
    <col min="10766" max="10766" width="1.21875" style="34" customWidth="1"/>
    <col min="10767" max="10767" width="5" style="34" customWidth="1"/>
    <col min="10768" max="10768" width="3.44140625" style="34" customWidth="1"/>
    <col min="10769" max="10769" width="12.21875" style="34" customWidth="1"/>
    <col min="10770" max="10770" width="4.44140625" style="34" customWidth="1"/>
    <col min="10771" max="10772" width="11" style="34"/>
    <col min="10773" max="10773" width="9.44140625" style="34" customWidth="1"/>
    <col min="10774" max="10774" width="3.44140625" style="34" customWidth="1"/>
    <col min="10775" max="10775" width="10.44140625" style="34" customWidth="1"/>
    <col min="10776" max="10776" width="8.21875" style="34" customWidth="1"/>
    <col min="10777" max="10777" width="5.44140625" style="34" customWidth="1"/>
    <col min="10778" max="10778" width="11" style="34"/>
    <col min="10779" max="10779" width="1.77734375" style="34" customWidth="1"/>
    <col min="10780" max="10780" width="5.44140625" style="34" customWidth="1"/>
    <col min="10781" max="10781" width="3.44140625" style="34" customWidth="1"/>
    <col min="10782" max="10782" width="11" style="34"/>
    <col min="10783" max="10783" width="1.77734375" style="34" customWidth="1"/>
    <col min="10784" max="10785" width="5.44140625" style="34" customWidth="1"/>
    <col min="10786" max="10786" width="11" style="34"/>
    <col min="10787" max="10787" width="1.77734375" style="34" customWidth="1"/>
    <col min="10788" max="10788" width="5.44140625" style="34" customWidth="1"/>
    <col min="10789" max="11014" width="11" style="34"/>
    <col min="11015" max="11015" width="3.44140625" style="34" customWidth="1"/>
    <col min="11016" max="11016" width="20.21875" style="34" customWidth="1"/>
    <col min="11017" max="11017" width="0.77734375" style="34" customWidth="1"/>
    <col min="11018" max="11018" width="10.21875" style="34" bestFit="1" customWidth="1"/>
    <col min="11019" max="11019" width="1.21875" style="34" customWidth="1"/>
    <col min="11020" max="11020" width="6.21875" style="34" customWidth="1"/>
    <col min="11021" max="11021" width="9.44140625" style="34" customWidth="1"/>
    <col min="11022" max="11022" width="1.21875" style="34" customWidth="1"/>
    <col min="11023" max="11023" width="5" style="34" customWidth="1"/>
    <col min="11024" max="11024" width="3.44140625" style="34" customWidth="1"/>
    <col min="11025" max="11025" width="12.21875" style="34" customWidth="1"/>
    <col min="11026" max="11026" width="4.44140625" style="34" customWidth="1"/>
    <col min="11027" max="11028" width="11" style="34"/>
    <col min="11029" max="11029" width="9.44140625" style="34" customWidth="1"/>
    <col min="11030" max="11030" width="3.44140625" style="34" customWidth="1"/>
    <col min="11031" max="11031" width="10.44140625" style="34" customWidth="1"/>
    <col min="11032" max="11032" width="8.21875" style="34" customWidth="1"/>
    <col min="11033" max="11033" width="5.44140625" style="34" customWidth="1"/>
    <col min="11034" max="11034" width="11" style="34"/>
    <col min="11035" max="11035" width="1.77734375" style="34" customWidth="1"/>
    <col min="11036" max="11036" width="5.44140625" style="34" customWidth="1"/>
    <col min="11037" max="11037" width="3.44140625" style="34" customWidth="1"/>
    <col min="11038" max="11038" width="11" style="34"/>
    <col min="11039" max="11039" width="1.77734375" style="34" customWidth="1"/>
    <col min="11040" max="11041" width="5.44140625" style="34" customWidth="1"/>
    <col min="11042" max="11042" width="11" style="34"/>
    <col min="11043" max="11043" width="1.77734375" style="34" customWidth="1"/>
    <col min="11044" max="11044" width="5.44140625" style="34" customWidth="1"/>
    <col min="11045" max="11270" width="11" style="34"/>
    <col min="11271" max="11271" width="3.44140625" style="34" customWidth="1"/>
    <col min="11272" max="11272" width="20.21875" style="34" customWidth="1"/>
    <col min="11273" max="11273" width="0.77734375" style="34" customWidth="1"/>
    <col min="11274" max="11274" width="10.21875" style="34" bestFit="1" customWidth="1"/>
    <col min="11275" max="11275" width="1.21875" style="34" customWidth="1"/>
    <col min="11276" max="11276" width="6.21875" style="34" customWidth="1"/>
    <col min="11277" max="11277" width="9.44140625" style="34" customWidth="1"/>
    <col min="11278" max="11278" width="1.21875" style="34" customWidth="1"/>
    <col min="11279" max="11279" width="5" style="34" customWidth="1"/>
    <col min="11280" max="11280" width="3.44140625" style="34" customWidth="1"/>
    <col min="11281" max="11281" width="12.21875" style="34" customWidth="1"/>
    <col min="11282" max="11282" width="4.44140625" style="34" customWidth="1"/>
    <col min="11283" max="11284" width="11" style="34"/>
    <col min="11285" max="11285" width="9.44140625" style="34" customWidth="1"/>
    <col min="11286" max="11286" width="3.44140625" style="34" customWidth="1"/>
    <col min="11287" max="11287" width="10.44140625" style="34" customWidth="1"/>
    <col min="11288" max="11288" width="8.21875" style="34" customWidth="1"/>
    <col min="11289" max="11289" width="5.44140625" style="34" customWidth="1"/>
    <col min="11290" max="11290" width="11" style="34"/>
    <col min="11291" max="11291" width="1.77734375" style="34" customWidth="1"/>
    <col min="11292" max="11292" width="5.44140625" style="34" customWidth="1"/>
    <col min="11293" max="11293" width="3.44140625" style="34" customWidth="1"/>
    <col min="11294" max="11294" width="11" style="34"/>
    <col min="11295" max="11295" width="1.77734375" style="34" customWidth="1"/>
    <col min="11296" max="11297" width="5.44140625" style="34" customWidth="1"/>
    <col min="11298" max="11298" width="11" style="34"/>
    <col min="11299" max="11299" width="1.77734375" style="34" customWidth="1"/>
    <col min="11300" max="11300" width="5.44140625" style="34" customWidth="1"/>
    <col min="11301" max="11526" width="11" style="34"/>
    <col min="11527" max="11527" width="3.44140625" style="34" customWidth="1"/>
    <col min="11528" max="11528" width="20.21875" style="34" customWidth="1"/>
    <col min="11529" max="11529" width="0.77734375" style="34" customWidth="1"/>
    <col min="11530" max="11530" width="10.21875" style="34" bestFit="1" customWidth="1"/>
    <col min="11531" max="11531" width="1.21875" style="34" customWidth="1"/>
    <col min="11532" max="11532" width="6.21875" style="34" customWidth="1"/>
    <col min="11533" max="11533" width="9.44140625" style="34" customWidth="1"/>
    <col min="11534" max="11534" width="1.21875" style="34" customWidth="1"/>
    <col min="11535" max="11535" width="5" style="34" customWidth="1"/>
    <col min="11536" max="11536" width="3.44140625" style="34" customWidth="1"/>
    <col min="11537" max="11537" width="12.21875" style="34" customWidth="1"/>
    <col min="11538" max="11538" width="4.44140625" style="34" customWidth="1"/>
    <col min="11539" max="11540" width="11" style="34"/>
    <col min="11541" max="11541" width="9.44140625" style="34" customWidth="1"/>
    <col min="11542" max="11542" width="3.44140625" style="34" customWidth="1"/>
    <col min="11543" max="11543" width="10.44140625" style="34" customWidth="1"/>
    <col min="11544" max="11544" width="8.21875" style="34" customWidth="1"/>
    <col min="11545" max="11545" width="5.44140625" style="34" customWidth="1"/>
    <col min="11546" max="11546" width="11" style="34"/>
    <col min="11547" max="11547" width="1.77734375" style="34" customWidth="1"/>
    <col min="11548" max="11548" width="5.44140625" style="34" customWidth="1"/>
    <col min="11549" max="11549" width="3.44140625" style="34" customWidth="1"/>
    <col min="11550" max="11550" width="11" style="34"/>
    <col min="11551" max="11551" width="1.77734375" style="34" customWidth="1"/>
    <col min="11552" max="11553" width="5.44140625" style="34" customWidth="1"/>
    <col min="11554" max="11554" width="11" style="34"/>
    <col min="11555" max="11555" width="1.77734375" style="34" customWidth="1"/>
    <col min="11556" max="11556" width="5.44140625" style="34" customWidth="1"/>
    <col min="11557" max="11782" width="11" style="34"/>
    <col min="11783" max="11783" width="3.44140625" style="34" customWidth="1"/>
    <col min="11784" max="11784" width="20.21875" style="34" customWidth="1"/>
    <col min="11785" max="11785" width="0.77734375" style="34" customWidth="1"/>
    <col min="11786" max="11786" width="10.21875" style="34" bestFit="1" customWidth="1"/>
    <col min="11787" max="11787" width="1.21875" style="34" customWidth="1"/>
    <col min="11788" max="11788" width="6.21875" style="34" customWidth="1"/>
    <col min="11789" max="11789" width="9.44140625" style="34" customWidth="1"/>
    <col min="11790" max="11790" width="1.21875" style="34" customWidth="1"/>
    <col min="11791" max="11791" width="5" style="34" customWidth="1"/>
    <col min="11792" max="11792" width="3.44140625" style="34" customWidth="1"/>
    <col min="11793" max="11793" width="12.21875" style="34" customWidth="1"/>
    <col min="11794" max="11794" width="4.44140625" style="34" customWidth="1"/>
    <col min="11795" max="11796" width="11" style="34"/>
    <col min="11797" max="11797" width="9.44140625" style="34" customWidth="1"/>
    <col min="11798" max="11798" width="3.44140625" style="34" customWidth="1"/>
    <col min="11799" max="11799" width="10.44140625" style="34" customWidth="1"/>
    <col min="11800" max="11800" width="8.21875" style="34" customWidth="1"/>
    <col min="11801" max="11801" width="5.44140625" style="34" customWidth="1"/>
    <col min="11802" max="11802" width="11" style="34"/>
    <col min="11803" max="11803" width="1.77734375" style="34" customWidth="1"/>
    <col min="11804" max="11804" width="5.44140625" style="34" customWidth="1"/>
    <col min="11805" max="11805" width="3.44140625" style="34" customWidth="1"/>
    <col min="11806" max="11806" width="11" style="34"/>
    <col min="11807" max="11807" width="1.77734375" style="34" customWidth="1"/>
    <col min="11808" max="11809" width="5.44140625" style="34" customWidth="1"/>
    <col min="11810" max="11810" width="11" style="34"/>
    <col min="11811" max="11811" width="1.77734375" style="34" customWidth="1"/>
    <col min="11812" max="11812" width="5.44140625" style="34" customWidth="1"/>
    <col min="11813" max="12038" width="11" style="34"/>
    <col min="12039" max="12039" width="3.44140625" style="34" customWidth="1"/>
    <col min="12040" max="12040" width="20.21875" style="34" customWidth="1"/>
    <col min="12041" max="12041" width="0.77734375" style="34" customWidth="1"/>
    <col min="12042" max="12042" width="10.21875" style="34" bestFit="1" customWidth="1"/>
    <col min="12043" max="12043" width="1.21875" style="34" customWidth="1"/>
    <col min="12044" max="12044" width="6.21875" style="34" customWidth="1"/>
    <col min="12045" max="12045" width="9.44140625" style="34" customWidth="1"/>
    <col min="12046" max="12046" width="1.21875" style="34" customWidth="1"/>
    <col min="12047" max="12047" width="5" style="34" customWidth="1"/>
    <col min="12048" max="12048" width="3.44140625" style="34" customWidth="1"/>
    <col min="12049" max="12049" width="12.21875" style="34" customWidth="1"/>
    <col min="12050" max="12050" width="4.44140625" style="34" customWidth="1"/>
    <col min="12051" max="12052" width="11" style="34"/>
    <col min="12053" max="12053" width="9.44140625" style="34" customWidth="1"/>
    <col min="12054" max="12054" width="3.44140625" style="34" customWidth="1"/>
    <col min="12055" max="12055" width="10.44140625" style="34" customWidth="1"/>
    <col min="12056" max="12056" width="8.21875" style="34" customWidth="1"/>
    <col min="12057" max="12057" width="5.44140625" style="34" customWidth="1"/>
    <col min="12058" max="12058" width="11" style="34"/>
    <col min="12059" max="12059" width="1.77734375" style="34" customWidth="1"/>
    <col min="12060" max="12060" width="5.44140625" style="34" customWidth="1"/>
    <col min="12061" max="12061" width="3.44140625" style="34" customWidth="1"/>
    <col min="12062" max="12062" width="11" style="34"/>
    <col min="12063" max="12063" width="1.77734375" style="34" customWidth="1"/>
    <col min="12064" max="12065" width="5.44140625" style="34" customWidth="1"/>
    <col min="12066" max="12066" width="11" style="34"/>
    <col min="12067" max="12067" width="1.77734375" style="34" customWidth="1"/>
    <col min="12068" max="12068" width="5.44140625" style="34" customWidth="1"/>
    <col min="12069" max="12294" width="11" style="34"/>
    <col min="12295" max="12295" width="3.44140625" style="34" customWidth="1"/>
    <col min="12296" max="12296" width="20.21875" style="34" customWidth="1"/>
    <col min="12297" max="12297" width="0.77734375" style="34" customWidth="1"/>
    <col min="12298" max="12298" width="10.21875" style="34" bestFit="1" customWidth="1"/>
    <col min="12299" max="12299" width="1.21875" style="34" customWidth="1"/>
    <col min="12300" max="12300" width="6.21875" style="34" customWidth="1"/>
    <col min="12301" max="12301" width="9.44140625" style="34" customWidth="1"/>
    <col min="12302" max="12302" width="1.21875" style="34" customWidth="1"/>
    <col min="12303" max="12303" width="5" style="34" customWidth="1"/>
    <col min="12304" max="12304" width="3.44140625" style="34" customWidth="1"/>
    <col min="12305" max="12305" width="12.21875" style="34" customWidth="1"/>
    <col min="12306" max="12306" width="4.44140625" style="34" customWidth="1"/>
    <col min="12307" max="12308" width="11" style="34"/>
    <col min="12309" max="12309" width="9.44140625" style="34" customWidth="1"/>
    <col min="12310" max="12310" width="3.44140625" style="34" customWidth="1"/>
    <col min="12311" max="12311" width="10.44140625" style="34" customWidth="1"/>
    <col min="12312" max="12312" width="8.21875" style="34" customWidth="1"/>
    <col min="12313" max="12313" width="5.44140625" style="34" customWidth="1"/>
    <col min="12314" max="12314" width="11" style="34"/>
    <col min="12315" max="12315" width="1.77734375" style="34" customWidth="1"/>
    <col min="12316" max="12316" width="5.44140625" style="34" customWidth="1"/>
    <col min="12317" max="12317" width="3.44140625" style="34" customWidth="1"/>
    <col min="12318" max="12318" width="11" style="34"/>
    <col min="12319" max="12319" width="1.77734375" style="34" customWidth="1"/>
    <col min="12320" max="12321" width="5.44140625" style="34" customWidth="1"/>
    <col min="12322" max="12322" width="11" style="34"/>
    <col min="12323" max="12323" width="1.77734375" style="34" customWidth="1"/>
    <col min="12324" max="12324" width="5.44140625" style="34" customWidth="1"/>
    <col min="12325" max="12550" width="11" style="34"/>
    <col min="12551" max="12551" width="3.44140625" style="34" customWidth="1"/>
    <col min="12552" max="12552" width="20.21875" style="34" customWidth="1"/>
    <col min="12553" max="12553" width="0.77734375" style="34" customWidth="1"/>
    <col min="12554" max="12554" width="10.21875" style="34" bestFit="1" customWidth="1"/>
    <col min="12555" max="12555" width="1.21875" style="34" customWidth="1"/>
    <col min="12556" max="12556" width="6.21875" style="34" customWidth="1"/>
    <col min="12557" max="12557" width="9.44140625" style="34" customWidth="1"/>
    <col min="12558" max="12558" width="1.21875" style="34" customWidth="1"/>
    <col min="12559" max="12559" width="5" style="34" customWidth="1"/>
    <col min="12560" max="12560" width="3.44140625" style="34" customWidth="1"/>
    <col min="12561" max="12561" width="12.21875" style="34" customWidth="1"/>
    <col min="12562" max="12562" width="4.44140625" style="34" customWidth="1"/>
    <col min="12563" max="12564" width="11" style="34"/>
    <col min="12565" max="12565" width="9.44140625" style="34" customWidth="1"/>
    <col min="12566" max="12566" width="3.44140625" style="34" customWidth="1"/>
    <col min="12567" max="12567" width="10.44140625" style="34" customWidth="1"/>
    <col min="12568" max="12568" width="8.21875" style="34" customWidth="1"/>
    <col min="12569" max="12569" width="5.44140625" style="34" customWidth="1"/>
    <col min="12570" max="12570" width="11" style="34"/>
    <col min="12571" max="12571" width="1.77734375" style="34" customWidth="1"/>
    <col min="12572" max="12572" width="5.44140625" style="34" customWidth="1"/>
    <col min="12573" max="12573" width="3.44140625" style="34" customWidth="1"/>
    <col min="12574" max="12574" width="11" style="34"/>
    <col min="12575" max="12575" width="1.77734375" style="34" customWidth="1"/>
    <col min="12576" max="12577" width="5.44140625" style="34" customWidth="1"/>
    <col min="12578" max="12578" width="11" style="34"/>
    <col min="12579" max="12579" width="1.77734375" style="34" customWidth="1"/>
    <col min="12580" max="12580" width="5.44140625" style="34" customWidth="1"/>
    <col min="12581" max="12806" width="11" style="34"/>
    <col min="12807" max="12807" width="3.44140625" style="34" customWidth="1"/>
    <col min="12808" max="12808" width="20.21875" style="34" customWidth="1"/>
    <col min="12809" max="12809" width="0.77734375" style="34" customWidth="1"/>
    <col min="12810" max="12810" width="10.21875" style="34" bestFit="1" customWidth="1"/>
    <col min="12811" max="12811" width="1.21875" style="34" customWidth="1"/>
    <col min="12812" max="12812" width="6.21875" style="34" customWidth="1"/>
    <col min="12813" max="12813" width="9.44140625" style="34" customWidth="1"/>
    <col min="12814" max="12814" width="1.21875" style="34" customWidth="1"/>
    <col min="12815" max="12815" width="5" style="34" customWidth="1"/>
    <col min="12816" max="12816" width="3.44140625" style="34" customWidth="1"/>
    <col min="12817" max="12817" width="12.21875" style="34" customWidth="1"/>
    <col min="12818" max="12818" width="4.44140625" style="34" customWidth="1"/>
    <col min="12819" max="12820" width="11" style="34"/>
    <col min="12821" max="12821" width="9.44140625" style="34" customWidth="1"/>
    <col min="12822" max="12822" width="3.44140625" style="34" customWidth="1"/>
    <col min="12823" max="12823" width="10.44140625" style="34" customWidth="1"/>
    <col min="12824" max="12824" width="8.21875" style="34" customWidth="1"/>
    <col min="12825" max="12825" width="5.44140625" style="34" customWidth="1"/>
    <col min="12826" max="12826" width="11" style="34"/>
    <col min="12827" max="12827" width="1.77734375" style="34" customWidth="1"/>
    <col min="12828" max="12828" width="5.44140625" style="34" customWidth="1"/>
    <col min="12829" max="12829" width="3.44140625" style="34" customWidth="1"/>
    <col min="12830" max="12830" width="11" style="34"/>
    <col min="12831" max="12831" width="1.77734375" style="34" customWidth="1"/>
    <col min="12832" max="12833" width="5.44140625" style="34" customWidth="1"/>
    <col min="12834" max="12834" width="11" style="34"/>
    <col min="12835" max="12835" width="1.77734375" style="34" customWidth="1"/>
    <col min="12836" max="12836" width="5.44140625" style="34" customWidth="1"/>
    <col min="12837" max="13062" width="11" style="34"/>
    <col min="13063" max="13063" width="3.44140625" style="34" customWidth="1"/>
    <col min="13064" max="13064" width="20.21875" style="34" customWidth="1"/>
    <col min="13065" max="13065" width="0.77734375" style="34" customWidth="1"/>
    <col min="13066" max="13066" width="10.21875" style="34" bestFit="1" customWidth="1"/>
    <col min="13067" max="13067" width="1.21875" style="34" customWidth="1"/>
    <col min="13068" max="13068" width="6.21875" style="34" customWidth="1"/>
    <col min="13069" max="13069" width="9.44140625" style="34" customWidth="1"/>
    <col min="13070" max="13070" width="1.21875" style="34" customWidth="1"/>
    <col min="13071" max="13071" width="5" style="34" customWidth="1"/>
    <col min="13072" max="13072" width="3.44140625" style="34" customWidth="1"/>
    <col min="13073" max="13073" width="12.21875" style="34" customWidth="1"/>
    <col min="13074" max="13074" width="4.44140625" style="34" customWidth="1"/>
    <col min="13075" max="13076" width="11" style="34"/>
    <col min="13077" max="13077" width="9.44140625" style="34" customWidth="1"/>
    <col min="13078" max="13078" width="3.44140625" style="34" customWidth="1"/>
    <col min="13079" max="13079" width="10.44140625" style="34" customWidth="1"/>
    <col min="13080" max="13080" width="8.21875" style="34" customWidth="1"/>
    <col min="13081" max="13081" width="5.44140625" style="34" customWidth="1"/>
    <col min="13082" max="13082" width="11" style="34"/>
    <col min="13083" max="13083" width="1.77734375" style="34" customWidth="1"/>
    <col min="13084" max="13084" width="5.44140625" style="34" customWidth="1"/>
    <col min="13085" max="13085" width="3.44140625" style="34" customWidth="1"/>
    <col min="13086" max="13086" width="11" style="34"/>
    <col min="13087" max="13087" width="1.77734375" style="34" customWidth="1"/>
    <col min="13088" max="13089" width="5.44140625" style="34" customWidth="1"/>
    <col min="13090" max="13090" width="11" style="34"/>
    <col min="13091" max="13091" width="1.77734375" style="34" customWidth="1"/>
    <col min="13092" max="13092" width="5.44140625" style="34" customWidth="1"/>
    <col min="13093" max="13318" width="11" style="34"/>
    <col min="13319" max="13319" width="3.44140625" style="34" customWidth="1"/>
    <col min="13320" max="13320" width="20.21875" style="34" customWidth="1"/>
    <col min="13321" max="13321" width="0.77734375" style="34" customWidth="1"/>
    <col min="13322" max="13322" width="10.21875" style="34" bestFit="1" customWidth="1"/>
    <col min="13323" max="13323" width="1.21875" style="34" customWidth="1"/>
    <col min="13324" max="13324" width="6.21875" style="34" customWidth="1"/>
    <col min="13325" max="13325" width="9.44140625" style="34" customWidth="1"/>
    <col min="13326" max="13326" width="1.21875" style="34" customWidth="1"/>
    <col min="13327" max="13327" width="5" style="34" customWidth="1"/>
    <col min="13328" max="13328" width="3.44140625" style="34" customWidth="1"/>
    <col min="13329" max="13329" width="12.21875" style="34" customWidth="1"/>
    <col min="13330" max="13330" width="4.44140625" style="34" customWidth="1"/>
    <col min="13331" max="13332" width="11" style="34"/>
    <col min="13333" max="13333" width="9.44140625" style="34" customWidth="1"/>
    <col min="13334" max="13334" width="3.44140625" style="34" customWidth="1"/>
    <col min="13335" max="13335" width="10.44140625" style="34" customWidth="1"/>
    <col min="13336" max="13336" width="8.21875" style="34" customWidth="1"/>
    <col min="13337" max="13337" width="5.44140625" style="34" customWidth="1"/>
    <col min="13338" max="13338" width="11" style="34"/>
    <col min="13339" max="13339" width="1.77734375" style="34" customWidth="1"/>
    <col min="13340" max="13340" width="5.44140625" style="34" customWidth="1"/>
    <col min="13341" max="13341" width="3.44140625" style="34" customWidth="1"/>
    <col min="13342" max="13342" width="11" style="34"/>
    <col min="13343" max="13343" width="1.77734375" style="34" customWidth="1"/>
    <col min="13344" max="13345" width="5.44140625" style="34" customWidth="1"/>
    <col min="13346" max="13346" width="11" style="34"/>
    <col min="13347" max="13347" width="1.77734375" style="34" customWidth="1"/>
    <col min="13348" max="13348" width="5.44140625" style="34" customWidth="1"/>
    <col min="13349" max="13574" width="11" style="34"/>
    <col min="13575" max="13575" width="3.44140625" style="34" customWidth="1"/>
    <col min="13576" max="13576" width="20.21875" style="34" customWidth="1"/>
    <col min="13577" max="13577" width="0.77734375" style="34" customWidth="1"/>
    <col min="13578" max="13578" width="10.21875" style="34" bestFit="1" customWidth="1"/>
    <col min="13579" max="13579" width="1.21875" style="34" customWidth="1"/>
    <col min="13580" max="13580" width="6.21875" style="34" customWidth="1"/>
    <col min="13581" max="13581" width="9.44140625" style="34" customWidth="1"/>
    <col min="13582" max="13582" width="1.21875" style="34" customWidth="1"/>
    <col min="13583" max="13583" width="5" style="34" customWidth="1"/>
    <col min="13584" max="13584" width="3.44140625" style="34" customWidth="1"/>
    <col min="13585" max="13585" width="12.21875" style="34" customWidth="1"/>
    <col min="13586" max="13586" width="4.44140625" style="34" customWidth="1"/>
    <col min="13587" max="13588" width="11" style="34"/>
    <col min="13589" max="13589" width="9.44140625" style="34" customWidth="1"/>
    <col min="13590" max="13590" width="3.44140625" style="34" customWidth="1"/>
    <col min="13591" max="13591" width="10.44140625" style="34" customWidth="1"/>
    <col min="13592" max="13592" width="8.21875" style="34" customWidth="1"/>
    <col min="13593" max="13593" width="5.44140625" style="34" customWidth="1"/>
    <col min="13594" max="13594" width="11" style="34"/>
    <col min="13595" max="13595" width="1.77734375" style="34" customWidth="1"/>
    <col min="13596" max="13596" width="5.44140625" style="34" customWidth="1"/>
    <col min="13597" max="13597" width="3.44140625" style="34" customWidth="1"/>
    <col min="13598" max="13598" width="11" style="34"/>
    <col min="13599" max="13599" width="1.77734375" style="34" customWidth="1"/>
    <col min="13600" max="13601" width="5.44140625" style="34" customWidth="1"/>
    <col min="13602" max="13602" width="11" style="34"/>
    <col min="13603" max="13603" width="1.77734375" style="34" customWidth="1"/>
    <col min="13604" max="13604" width="5.44140625" style="34" customWidth="1"/>
    <col min="13605" max="13830" width="11" style="34"/>
    <col min="13831" max="13831" width="3.44140625" style="34" customWidth="1"/>
    <col min="13832" max="13832" width="20.21875" style="34" customWidth="1"/>
    <col min="13833" max="13833" width="0.77734375" style="34" customWidth="1"/>
    <col min="13834" max="13834" width="10.21875" style="34" bestFit="1" customWidth="1"/>
    <col min="13835" max="13835" width="1.21875" style="34" customWidth="1"/>
    <col min="13836" max="13836" width="6.21875" style="34" customWidth="1"/>
    <col min="13837" max="13837" width="9.44140625" style="34" customWidth="1"/>
    <col min="13838" max="13838" width="1.21875" style="34" customWidth="1"/>
    <col min="13839" max="13839" width="5" style="34" customWidth="1"/>
    <col min="13840" max="13840" width="3.44140625" style="34" customWidth="1"/>
    <col min="13841" max="13841" width="12.21875" style="34" customWidth="1"/>
    <col min="13842" max="13842" width="4.44140625" style="34" customWidth="1"/>
    <col min="13843" max="13844" width="11" style="34"/>
    <col min="13845" max="13845" width="9.44140625" style="34" customWidth="1"/>
    <col min="13846" max="13846" width="3.44140625" style="34" customWidth="1"/>
    <col min="13847" max="13847" width="10.44140625" style="34" customWidth="1"/>
    <col min="13848" max="13848" width="8.21875" style="34" customWidth="1"/>
    <col min="13849" max="13849" width="5.44140625" style="34" customWidth="1"/>
    <col min="13850" max="13850" width="11" style="34"/>
    <col min="13851" max="13851" width="1.77734375" style="34" customWidth="1"/>
    <col min="13852" max="13852" width="5.44140625" style="34" customWidth="1"/>
    <col min="13853" max="13853" width="3.44140625" style="34" customWidth="1"/>
    <col min="13854" max="13854" width="11" style="34"/>
    <col min="13855" max="13855" width="1.77734375" style="34" customWidth="1"/>
    <col min="13856" max="13857" width="5.44140625" style="34" customWidth="1"/>
    <col min="13858" max="13858" width="11" style="34"/>
    <col min="13859" max="13859" width="1.77734375" style="34" customWidth="1"/>
    <col min="13860" max="13860" width="5.44140625" style="34" customWidth="1"/>
    <col min="13861" max="14086" width="11" style="34"/>
    <col min="14087" max="14087" width="3.44140625" style="34" customWidth="1"/>
    <col min="14088" max="14088" width="20.21875" style="34" customWidth="1"/>
    <col min="14089" max="14089" width="0.77734375" style="34" customWidth="1"/>
    <col min="14090" max="14090" width="10.21875" style="34" bestFit="1" customWidth="1"/>
    <col min="14091" max="14091" width="1.21875" style="34" customWidth="1"/>
    <col min="14092" max="14092" width="6.21875" style="34" customWidth="1"/>
    <col min="14093" max="14093" width="9.44140625" style="34" customWidth="1"/>
    <col min="14094" max="14094" width="1.21875" style="34" customWidth="1"/>
    <col min="14095" max="14095" width="5" style="34" customWidth="1"/>
    <col min="14096" max="14096" width="3.44140625" style="34" customWidth="1"/>
    <col min="14097" max="14097" width="12.21875" style="34" customWidth="1"/>
    <col min="14098" max="14098" width="4.44140625" style="34" customWidth="1"/>
    <col min="14099" max="14100" width="11" style="34"/>
    <col min="14101" max="14101" width="9.44140625" style="34" customWidth="1"/>
    <col min="14102" max="14102" width="3.44140625" style="34" customWidth="1"/>
    <col min="14103" max="14103" width="10.44140625" style="34" customWidth="1"/>
    <col min="14104" max="14104" width="8.21875" style="34" customWidth="1"/>
    <col min="14105" max="14105" width="5.44140625" style="34" customWidth="1"/>
    <col min="14106" max="14106" width="11" style="34"/>
    <col min="14107" max="14107" width="1.77734375" style="34" customWidth="1"/>
    <col min="14108" max="14108" width="5.44140625" style="34" customWidth="1"/>
    <col min="14109" max="14109" width="3.44140625" style="34" customWidth="1"/>
    <col min="14110" max="14110" width="11" style="34"/>
    <col min="14111" max="14111" width="1.77734375" style="34" customWidth="1"/>
    <col min="14112" max="14113" width="5.44140625" style="34" customWidth="1"/>
    <col min="14114" max="14114" width="11" style="34"/>
    <col min="14115" max="14115" width="1.77734375" style="34" customWidth="1"/>
    <col min="14116" max="14116" width="5.44140625" style="34" customWidth="1"/>
    <col min="14117" max="14342" width="11" style="34"/>
    <col min="14343" max="14343" width="3.44140625" style="34" customWidth="1"/>
    <col min="14344" max="14344" width="20.21875" style="34" customWidth="1"/>
    <col min="14345" max="14345" width="0.77734375" style="34" customWidth="1"/>
    <col min="14346" max="14346" width="10.21875" style="34" bestFit="1" customWidth="1"/>
    <col min="14347" max="14347" width="1.21875" style="34" customWidth="1"/>
    <col min="14348" max="14348" width="6.21875" style="34" customWidth="1"/>
    <col min="14349" max="14349" width="9.44140625" style="34" customWidth="1"/>
    <col min="14350" max="14350" width="1.21875" style="34" customWidth="1"/>
    <col min="14351" max="14351" width="5" style="34" customWidth="1"/>
    <col min="14352" max="14352" width="3.44140625" style="34" customWidth="1"/>
    <col min="14353" max="14353" width="12.21875" style="34" customWidth="1"/>
    <col min="14354" max="14354" width="4.44140625" style="34" customWidth="1"/>
    <col min="14355" max="14356" width="11" style="34"/>
    <col min="14357" max="14357" width="9.44140625" style="34" customWidth="1"/>
    <col min="14358" max="14358" width="3.44140625" style="34" customWidth="1"/>
    <col min="14359" max="14359" width="10.44140625" style="34" customWidth="1"/>
    <col min="14360" max="14360" width="8.21875" style="34" customWidth="1"/>
    <col min="14361" max="14361" width="5.44140625" style="34" customWidth="1"/>
    <col min="14362" max="14362" width="11" style="34"/>
    <col min="14363" max="14363" width="1.77734375" style="34" customWidth="1"/>
    <col min="14364" max="14364" width="5.44140625" style="34" customWidth="1"/>
    <col min="14365" max="14365" width="3.44140625" style="34" customWidth="1"/>
    <col min="14366" max="14366" width="11" style="34"/>
    <col min="14367" max="14367" width="1.77734375" style="34" customWidth="1"/>
    <col min="14368" max="14369" width="5.44140625" style="34" customWidth="1"/>
    <col min="14370" max="14370" width="11" style="34"/>
    <col min="14371" max="14371" width="1.77734375" style="34" customWidth="1"/>
    <col min="14372" max="14372" width="5.44140625" style="34" customWidth="1"/>
    <col min="14373" max="14598" width="11" style="34"/>
    <col min="14599" max="14599" width="3.44140625" style="34" customWidth="1"/>
    <col min="14600" max="14600" width="20.21875" style="34" customWidth="1"/>
    <col min="14601" max="14601" width="0.77734375" style="34" customWidth="1"/>
    <col min="14602" max="14602" width="10.21875" style="34" bestFit="1" customWidth="1"/>
    <col min="14603" max="14603" width="1.21875" style="34" customWidth="1"/>
    <col min="14604" max="14604" width="6.21875" style="34" customWidth="1"/>
    <col min="14605" max="14605" width="9.44140625" style="34" customWidth="1"/>
    <col min="14606" max="14606" width="1.21875" style="34" customWidth="1"/>
    <col min="14607" max="14607" width="5" style="34" customWidth="1"/>
    <col min="14608" max="14608" width="3.44140625" style="34" customWidth="1"/>
    <col min="14609" max="14609" width="12.21875" style="34" customWidth="1"/>
    <col min="14610" max="14610" width="4.44140625" style="34" customWidth="1"/>
    <col min="14611" max="14612" width="11" style="34"/>
    <col min="14613" max="14613" width="9.44140625" style="34" customWidth="1"/>
    <col min="14614" max="14614" width="3.44140625" style="34" customWidth="1"/>
    <col min="14615" max="14615" width="10.44140625" style="34" customWidth="1"/>
    <col min="14616" max="14616" width="8.21875" style="34" customWidth="1"/>
    <col min="14617" max="14617" width="5.44140625" style="34" customWidth="1"/>
    <col min="14618" max="14618" width="11" style="34"/>
    <col min="14619" max="14619" width="1.77734375" style="34" customWidth="1"/>
    <col min="14620" max="14620" width="5.44140625" style="34" customWidth="1"/>
    <col min="14621" max="14621" width="3.44140625" style="34" customWidth="1"/>
    <col min="14622" max="14622" width="11" style="34"/>
    <col min="14623" max="14623" width="1.77734375" style="34" customWidth="1"/>
    <col min="14624" max="14625" width="5.44140625" style="34" customWidth="1"/>
    <col min="14626" max="14626" width="11" style="34"/>
    <col min="14627" max="14627" width="1.77734375" style="34" customWidth="1"/>
    <col min="14628" max="14628" width="5.44140625" style="34" customWidth="1"/>
    <col min="14629" max="14854" width="11" style="34"/>
    <col min="14855" max="14855" width="3.44140625" style="34" customWidth="1"/>
    <col min="14856" max="14856" width="20.21875" style="34" customWidth="1"/>
    <col min="14857" max="14857" width="0.77734375" style="34" customWidth="1"/>
    <col min="14858" max="14858" width="10.21875" style="34" bestFit="1" customWidth="1"/>
    <col min="14859" max="14859" width="1.21875" style="34" customWidth="1"/>
    <col min="14860" max="14860" width="6.21875" style="34" customWidth="1"/>
    <col min="14861" max="14861" width="9.44140625" style="34" customWidth="1"/>
    <col min="14862" max="14862" width="1.21875" style="34" customWidth="1"/>
    <col min="14863" max="14863" width="5" style="34" customWidth="1"/>
    <col min="14864" max="14864" width="3.44140625" style="34" customWidth="1"/>
    <col min="14865" max="14865" width="12.21875" style="34" customWidth="1"/>
    <col min="14866" max="14866" width="4.44140625" style="34" customWidth="1"/>
    <col min="14867" max="14868" width="11" style="34"/>
    <col min="14869" max="14869" width="9.44140625" style="34" customWidth="1"/>
    <col min="14870" max="14870" width="3.44140625" style="34" customWidth="1"/>
    <col min="14871" max="14871" width="10.44140625" style="34" customWidth="1"/>
    <col min="14872" max="14872" width="8.21875" style="34" customWidth="1"/>
    <col min="14873" max="14873" width="5.44140625" style="34" customWidth="1"/>
    <col min="14874" max="14874" width="11" style="34"/>
    <col min="14875" max="14875" width="1.77734375" style="34" customWidth="1"/>
    <col min="14876" max="14876" width="5.44140625" style="34" customWidth="1"/>
    <col min="14877" max="14877" width="3.44140625" style="34" customWidth="1"/>
    <col min="14878" max="14878" width="11" style="34"/>
    <col min="14879" max="14879" width="1.77734375" style="34" customWidth="1"/>
    <col min="14880" max="14881" width="5.44140625" style="34" customWidth="1"/>
    <col min="14882" max="14882" width="11" style="34"/>
    <col min="14883" max="14883" width="1.77734375" style="34" customWidth="1"/>
    <col min="14884" max="14884" width="5.44140625" style="34" customWidth="1"/>
    <col min="14885" max="15110" width="11" style="34"/>
    <col min="15111" max="15111" width="3.44140625" style="34" customWidth="1"/>
    <col min="15112" max="15112" width="20.21875" style="34" customWidth="1"/>
    <col min="15113" max="15113" width="0.77734375" style="34" customWidth="1"/>
    <col min="15114" max="15114" width="10.21875" style="34" bestFit="1" customWidth="1"/>
    <col min="15115" max="15115" width="1.21875" style="34" customWidth="1"/>
    <col min="15116" max="15116" width="6.21875" style="34" customWidth="1"/>
    <col min="15117" max="15117" width="9.44140625" style="34" customWidth="1"/>
    <col min="15118" max="15118" width="1.21875" style="34" customWidth="1"/>
    <col min="15119" max="15119" width="5" style="34" customWidth="1"/>
    <col min="15120" max="15120" width="3.44140625" style="34" customWidth="1"/>
    <col min="15121" max="15121" width="12.21875" style="34" customWidth="1"/>
    <col min="15122" max="15122" width="4.44140625" style="34" customWidth="1"/>
    <col min="15123" max="15124" width="11" style="34"/>
    <col min="15125" max="15125" width="9.44140625" style="34" customWidth="1"/>
    <col min="15126" max="15126" width="3.44140625" style="34" customWidth="1"/>
    <col min="15127" max="15127" width="10.44140625" style="34" customWidth="1"/>
    <col min="15128" max="15128" width="8.21875" style="34" customWidth="1"/>
    <col min="15129" max="15129" width="5.44140625" style="34" customWidth="1"/>
    <col min="15130" max="15130" width="11" style="34"/>
    <col min="15131" max="15131" width="1.77734375" style="34" customWidth="1"/>
    <col min="15132" max="15132" width="5.44140625" style="34" customWidth="1"/>
    <col min="15133" max="15133" width="3.44140625" style="34" customWidth="1"/>
    <col min="15134" max="15134" width="11" style="34"/>
    <col min="15135" max="15135" width="1.77734375" style="34" customWidth="1"/>
    <col min="15136" max="15137" width="5.44140625" style="34" customWidth="1"/>
    <col min="15138" max="15138" width="11" style="34"/>
    <col min="15139" max="15139" width="1.77734375" style="34" customWidth="1"/>
    <col min="15140" max="15140" width="5.44140625" style="34" customWidth="1"/>
    <col min="15141" max="15366" width="11" style="34"/>
    <col min="15367" max="15367" width="3.44140625" style="34" customWidth="1"/>
    <col min="15368" max="15368" width="20.21875" style="34" customWidth="1"/>
    <col min="15369" max="15369" width="0.77734375" style="34" customWidth="1"/>
    <col min="15370" max="15370" width="10.21875" style="34" bestFit="1" customWidth="1"/>
    <col min="15371" max="15371" width="1.21875" style="34" customWidth="1"/>
    <col min="15372" max="15372" width="6.21875" style="34" customWidth="1"/>
    <col min="15373" max="15373" width="9.44140625" style="34" customWidth="1"/>
    <col min="15374" max="15374" width="1.21875" style="34" customWidth="1"/>
    <col min="15375" max="15375" width="5" style="34" customWidth="1"/>
    <col min="15376" max="15376" width="3.44140625" style="34" customWidth="1"/>
    <col min="15377" max="15377" width="12.21875" style="34" customWidth="1"/>
    <col min="15378" max="15378" width="4.44140625" style="34" customWidth="1"/>
    <col min="15379" max="15380" width="11" style="34"/>
    <col min="15381" max="15381" width="9.44140625" style="34" customWidth="1"/>
    <col min="15382" max="15382" width="3.44140625" style="34" customWidth="1"/>
    <col min="15383" max="15383" width="10.44140625" style="34" customWidth="1"/>
    <col min="15384" max="15384" width="8.21875" style="34" customWidth="1"/>
    <col min="15385" max="15385" width="5.44140625" style="34" customWidth="1"/>
    <col min="15386" max="15386" width="11" style="34"/>
    <col min="15387" max="15387" width="1.77734375" style="34" customWidth="1"/>
    <col min="15388" max="15388" width="5.44140625" style="34" customWidth="1"/>
    <col min="15389" max="15389" width="3.44140625" style="34" customWidth="1"/>
    <col min="15390" max="15390" width="11" style="34"/>
    <col min="15391" max="15391" width="1.77734375" style="34" customWidth="1"/>
    <col min="15392" max="15393" width="5.44140625" style="34" customWidth="1"/>
    <col min="15394" max="15394" width="11" style="34"/>
    <col min="15395" max="15395" width="1.77734375" style="34" customWidth="1"/>
    <col min="15396" max="15396" width="5.44140625" style="34" customWidth="1"/>
    <col min="15397" max="15622" width="11" style="34"/>
    <col min="15623" max="15623" width="3.44140625" style="34" customWidth="1"/>
    <col min="15624" max="15624" width="20.21875" style="34" customWidth="1"/>
    <col min="15625" max="15625" width="0.77734375" style="34" customWidth="1"/>
    <col min="15626" max="15626" width="10.21875" style="34" bestFit="1" customWidth="1"/>
    <col min="15627" max="15627" width="1.21875" style="34" customWidth="1"/>
    <col min="15628" max="15628" width="6.21875" style="34" customWidth="1"/>
    <col min="15629" max="15629" width="9.44140625" style="34" customWidth="1"/>
    <col min="15630" max="15630" width="1.21875" style="34" customWidth="1"/>
    <col min="15631" max="15631" width="5" style="34" customWidth="1"/>
    <col min="15632" max="15632" width="3.44140625" style="34" customWidth="1"/>
    <col min="15633" max="15633" width="12.21875" style="34" customWidth="1"/>
    <col min="15634" max="15634" width="4.44140625" style="34" customWidth="1"/>
    <col min="15635" max="15636" width="11" style="34"/>
    <col min="15637" max="15637" width="9.44140625" style="34" customWidth="1"/>
    <col min="15638" max="15638" width="3.44140625" style="34" customWidth="1"/>
    <col min="15639" max="15639" width="10.44140625" style="34" customWidth="1"/>
    <col min="15640" max="15640" width="8.21875" style="34" customWidth="1"/>
    <col min="15641" max="15641" width="5.44140625" style="34" customWidth="1"/>
    <col min="15642" max="15642" width="11" style="34"/>
    <col min="15643" max="15643" width="1.77734375" style="34" customWidth="1"/>
    <col min="15644" max="15644" width="5.44140625" style="34" customWidth="1"/>
    <col min="15645" max="15645" width="3.44140625" style="34" customWidth="1"/>
    <col min="15646" max="15646" width="11" style="34"/>
    <col min="15647" max="15647" width="1.77734375" style="34" customWidth="1"/>
    <col min="15648" max="15649" width="5.44140625" style="34" customWidth="1"/>
    <col min="15650" max="15650" width="11" style="34"/>
    <col min="15651" max="15651" width="1.77734375" style="34" customWidth="1"/>
    <col min="15652" max="15652" width="5.44140625" style="34" customWidth="1"/>
    <col min="15653" max="15878" width="11" style="34"/>
    <col min="15879" max="15879" width="3.44140625" style="34" customWidth="1"/>
    <col min="15880" max="15880" width="20.21875" style="34" customWidth="1"/>
    <col min="15881" max="15881" width="0.77734375" style="34" customWidth="1"/>
    <col min="15882" max="15882" width="10.21875" style="34" bestFit="1" customWidth="1"/>
    <col min="15883" max="15883" width="1.21875" style="34" customWidth="1"/>
    <col min="15884" max="15884" width="6.21875" style="34" customWidth="1"/>
    <col min="15885" max="15885" width="9.44140625" style="34" customWidth="1"/>
    <col min="15886" max="15886" width="1.21875" style="34" customWidth="1"/>
    <col min="15887" max="15887" width="5" style="34" customWidth="1"/>
    <col min="15888" max="15888" width="3.44140625" style="34" customWidth="1"/>
    <col min="15889" max="15889" width="12.21875" style="34" customWidth="1"/>
    <col min="15890" max="15890" width="4.44140625" style="34" customWidth="1"/>
    <col min="15891" max="15892" width="11" style="34"/>
    <col min="15893" max="15893" width="9.44140625" style="34" customWidth="1"/>
    <col min="15894" max="15894" width="3.44140625" style="34" customWidth="1"/>
    <col min="15895" max="15895" width="10.44140625" style="34" customWidth="1"/>
    <col min="15896" max="15896" width="8.21875" style="34" customWidth="1"/>
    <col min="15897" max="15897" width="5.44140625" style="34" customWidth="1"/>
    <col min="15898" max="15898" width="11" style="34"/>
    <col min="15899" max="15899" width="1.77734375" style="34" customWidth="1"/>
    <col min="15900" max="15900" width="5.44140625" style="34" customWidth="1"/>
    <col min="15901" max="15901" width="3.44140625" style="34" customWidth="1"/>
    <col min="15902" max="15902" width="11" style="34"/>
    <col min="15903" max="15903" width="1.77734375" style="34" customWidth="1"/>
    <col min="15904" max="15905" width="5.44140625" style="34" customWidth="1"/>
    <col min="15906" max="15906" width="11" style="34"/>
    <col min="15907" max="15907" width="1.77734375" style="34" customWidth="1"/>
    <col min="15908" max="15908" width="5.44140625" style="34" customWidth="1"/>
    <col min="15909" max="16134" width="11" style="34"/>
    <col min="16135" max="16135" width="3.44140625" style="34" customWidth="1"/>
    <col min="16136" max="16136" width="20.21875" style="34" customWidth="1"/>
    <col min="16137" max="16137" width="0.77734375" style="34" customWidth="1"/>
    <col min="16138" max="16138" width="10.21875" style="34" bestFit="1" customWidth="1"/>
    <col min="16139" max="16139" width="1.21875" style="34" customWidth="1"/>
    <col min="16140" max="16140" width="6.21875" style="34" customWidth="1"/>
    <col min="16141" max="16141" width="9.44140625" style="34" customWidth="1"/>
    <col min="16142" max="16142" width="1.21875" style="34" customWidth="1"/>
    <col min="16143" max="16143" width="5" style="34" customWidth="1"/>
    <col min="16144" max="16144" width="3.44140625" style="34" customWidth="1"/>
    <col min="16145" max="16145" width="12.21875" style="34" customWidth="1"/>
    <col min="16146" max="16146" width="4.44140625" style="34" customWidth="1"/>
    <col min="16147" max="16148" width="11" style="34"/>
    <col min="16149" max="16149" width="9.44140625" style="34" customWidth="1"/>
    <col min="16150" max="16150" width="3.44140625" style="34" customWidth="1"/>
    <col min="16151" max="16151" width="10.44140625" style="34" customWidth="1"/>
    <col min="16152" max="16152" width="8.21875" style="34" customWidth="1"/>
    <col min="16153" max="16153" width="5.44140625" style="34" customWidth="1"/>
    <col min="16154" max="16154" width="11" style="34"/>
    <col min="16155" max="16155" width="1.77734375" style="34" customWidth="1"/>
    <col min="16156" max="16156" width="5.44140625" style="34" customWidth="1"/>
    <col min="16157" max="16157" width="3.44140625" style="34" customWidth="1"/>
    <col min="16158" max="16158" width="11" style="34"/>
    <col min="16159" max="16159" width="1.77734375" style="34" customWidth="1"/>
    <col min="16160" max="16161" width="5.44140625" style="34" customWidth="1"/>
    <col min="16162" max="16162" width="11" style="34"/>
    <col min="16163" max="16163" width="1.77734375" style="34" customWidth="1"/>
    <col min="16164" max="16164" width="5.44140625" style="34" customWidth="1"/>
    <col min="16165" max="16384" width="11" style="34"/>
  </cols>
  <sheetData>
    <row r="1" spans="1:81" ht="43.05" customHeight="1">
      <c r="A1" s="912" t="s">
        <v>960</v>
      </c>
      <c r="I1" s="4383" t="str">
        <f>IF('2 Unternehmensdaten'!F5="ja","GmbH","")</f>
        <v/>
      </c>
      <c r="J1" s="4384"/>
      <c r="M1" s="1700" t="str">
        <f>IF(A2="","Gewinnaufschlag","Gewinnaufschlag ohne Umsatzerhöhung")</f>
        <v>Gewinnaufschlag</v>
      </c>
      <c r="N1" s="4385">
        <f>IF(BP60&lt;0,0,BP60)</f>
        <v>10.960791757966955</v>
      </c>
      <c r="O1" s="4385"/>
      <c r="P1" s="250" t="s">
        <v>28</v>
      </c>
      <c r="Q1" s="1377"/>
      <c r="R1" s="3418" t="str">
        <f>IF(Start!O20&gt;0,"Bei Solo-Selbstständigen erschein nur ein Gewinnaufschlag, wenn einen Rücklage eingeplant wurde. Sonst steckt der Gewinn in der Privatentnahme",IF(N1=0,AD1,""))</f>
        <v/>
      </c>
      <c r="S1" s="3418"/>
      <c r="T1" s="3418"/>
      <c r="U1" s="3418"/>
      <c r="V1" s="3418"/>
      <c r="W1" s="3418"/>
      <c r="X1" s="3418"/>
      <c r="Y1" s="3418"/>
      <c r="Z1" s="3418"/>
      <c r="AD1" s="4386" t="s">
        <v>1013</v>
      </c>
      <c r="AE1" s="4386"/>
      <c r="AF1" s="4386"/>
      <c r="AG1" s="4386"/>
      <c r="AH1" s="4386"/>
      <c r="AI1" s="4386"/>
      <c r="AJ1" s="4386"/>
      <c r="AK1" s="4386"/>
      <c r="AL1" s="4386"/>
    </row>
    <row r="2" spans="1:81" ht="43.05" customHeight="1">
      <c r="A2" s="4387" t="str">
        <f>IF(SUM('18 Zielumsatz Planungsjahr'!P19,'18 Zielumsatz Planungsjahr'!P20)=0,"","Die Sollumsatzänderung DL oder VK von Seite -18 Zielumsatz Planungsjahr- wird im Gewinnaufschlag berücksichtigt")</f>
        <v/>
      </c>
      <c r="B2" s="4387"/>
      <c r="C2" s="4387"/>
      <c r="D2" s="4387"/>
      <c r="E2" s="4387"/>
      <c r="F2" s="4387"/>
      <c r="G2" s="4387"/>
      <c r="H2" s="4387"/>
      <c r="I2" s="4387"/>
      <c r="J2" s="4387"/>
      <c r="K2" s="1699"/>
      <c r="L2" s="1699"/>
      <c r="M2" s="1700" t="str">
        <f>IF(A2="","","Gewinnaufschlag mit Umsatzerhöhung")</f>
        <v/>
      </c>
      <c r="N2" s="4385" t="str">
        <f>IF(A2="","",IF(AD60&lt;0,0,AD60))</f>
        <v/>
      </c>
      <c r="O2" s="4385"/>
      <c r="P2" s="250" t="str">
        <f>IF(A2="","","%")</f>
        <v/>
      </c>
      <c r="Q2" s="1377"/>
      <c r="R2" s="3418"/>
      <c r="S2" s="3418"/>
      <c r="T2" s="3418"/>
      <c r="U2" s="3418"/>
      <c r="V2" s="3418"/>
      <c r="W2" s="3418"/>
      <c r="X2" s="3418"/>
      <c r="Y2" s="3418"/>
      <c r="Z2" s="3418"/>
      <c r="AM2" s="4387" t="str">
        <f>IF(A2="","","Hier ist zum Vergleich die Errechnung des Gewinnaufschlages ohne die Sollumsatzänderung von Seite -18 Zielumsatz Planungsjahr- dargestellt")</f>
        <v/>
      </c>
      <c r="AN2" s="4387"/>
      <c r="AO2" s="4387"/>
      <c r="AP2" s="4387"/>
      <c r="AQ2" s="4387"/>
      <c r="AR2" s="4387"/>
      <c r="AS2" s="4387"/>
      <c r="AT2" s="4387"/>
      <c r="AU2" s="4387"/>
      <c r="AV2" s="4387"/>
      <c r="AW2" s="4387"/>
      <c r="AX2" s="4387"/>
      <c r="AY2" s="4387"/>
    </row>
    <row r="3" spans="1:81" s="3" customFormat="1" ht="29.55" customHeight="1">
      <c r="A3" s="2"/>
      <c r="B3" s="3318" t="s">
        <v>961</v>
      </c>
      <c r="C3" s="3318"/>
      <c r="D3" s="3318"/>
      <c r="E3" s="3318"/>
      <c r="F3" s="3318"/>
      <c r="G3" s="3318"/>
      <c r="H3" s="3318"/>
      <c r="I3" s="3318"/>
      <c r="J3" s="3318"/>
      <c r="K3" s="3318"/>
      <c r="L3" s="3318"/>
      <c r="M3" s="3318"/>
      <c r="N3" s="3318"/>
      <c r="O3" s="3318"/>
      <c r="P3" s="3318"/>
      <c r="Q3" s="3318"/>
      <c r="R3" s="3318"/>
      <c r="S3" s="3318"/>
      <c r="T3" s="3318"/>
      <c r="U3" s="3318"/>
      <c r="V3" s="3318"/>
      <c r="W3" s="3318"/>
      <c r="AM3" s="2"/>
      <c r="AN3" s="3318" t="s">
        <v>916</v>
      </c>
      <c r="AO3" s="3318"/>
      <c r="AP3" s="3318"/>
      <c r="AQ3" s="3318"/>
      <c r="AR3" s="3318"/>
      <c r="AS3" s="3318"/>
      <c r="AT3" s="3318"/>
      <c r="AU3" s="3318"/>
      <c r="AV3" s="3318"/>
      <c r="AW3" s="3318"/>
      <c r="AX3" s="3318"/>
      <c r="AY3" s="3318"/>
      <c r="AZ3" s="3318"/>
      <c r="BA3" s="3318"/>
      <c r="BB3" s="3318"/>
      <c r="BC3" s="3318"/>
      <c r="BD3" s="3318"/>
      <c r="BE3" s="3318"/>
      <c r="BF3" s="3318"/>
      <c r="BG3" s="3318"/>
      <c r="BH3" s="3318"/>
      <c r="BI3" s="3318"/>
    </row>
    <row r="4" spans="1:81" s="3" customFormat="1" ht="31.5" customHeight="1">
      <c r="A4" s="2"/>
      <c r="B4" s="3318"/>
      <c r="C4" s="3318"/>
      <c r="D4" s="3318"/>
      <c r="E4" s="3318"/>
      <c r="F4" s="3318"/>
      <c r="G4" s="3318"/>
      <c r="H4" s="3318"/>
      <c r="I4" s="3318"/>
      <c r="J4" s="3318"/>
      <c r="K4" s="3318"/>
      <c r="L4" s="3318"/>
      <c r="M4" s="3318"/>
      <c r="N4" s="3318"/>
      <c r="O4" s="3318"/>
      <c r="P4" s="3318"/>
      <c r="Q4" s="3318"/>
      <c r="R4" s="3318"/>
      <c r="S4" s="3318"/>
      <c r="T4" s="3318"/>
      <c r="U4" s="3318"/>
      <c r="V4" s="3318"/>
      <c r="W4" s="3318"/>
      <c r="AM4" s="2"/>
      <c r="AN4" s="3318"/>
      <c r="AO4" s="3318"/>
      <c r="AP4" s="3318"/>
      <c r="AQ4" s="3318"/>
      <c r="AR4" s="3318"/>
      <c r="AS4" s="3318"/>
      <c r="AT4" s="3318"/>
      <c r="AU4" s="3318"/>
      <c r="AV4" s="3318"/>
      <c r="AW4" s="3318"/>
      <c r="AX4" s="3318"/>
      <c r="AY4" s="3318"/>
      <c r="AZ4" s="3318"/>
      <c r="BA4" s="3318"/>
      <c r="BB4" s="3318"/>
      <c r="BC4" s="3318"/>
      <c r="BD4" s="3318"/>
      <c r="BE4" s="3318"/>
      <c r="BF4" s="3318"/>
      <c r="BG4" s="3318"/>
      <c r="BH4" s="3318"/>
      <c r="BI4" s="3318"/>
    </row>
    <row r="5" spans="1:81" s="3" customFormat="1" ht="20.25" customHeight="1">
      <c r="A5" s="2"/>
      <c r="B5" s="3318"/>
      <c r="C5" s="3318"/>
      <c r="D5" s="3318"/>
      <c r="E5" s="3318"/>
      <c r="F5" s="3318"/>
      <c r="G5" s="3318"/>
      <c r="H5" s="3318"/>
      <c r="I5" s="3318"/>
      <c r="J5" s="3318"/>
      <c r="K5" s="3318"/>
      <c r="L5" s="3318"/>
      <c r="M5" s="3318"/>
      <c r="N5" s="3318"/>
      <c r="O5" s="3318"/>
      <c r="P5" s="3318"/>
      <c r="Q5" s="3318"/>
      <c r="R5" s="3318"/>
      <c r="S5" s="3318"/>
      <c r="T5" s="3318"/>
      <c r="U5" s="3318"/>
      <c r="V5" s="3318"/>
      <c r="W5" s="3318"/>
      <c r="AM5" s="2"/>
      <c r="AN5" s="3318"/>
      <c r="AO5" s="3318"/>
      <c r="AP5" s="3318"/>
      <c r="AQ5" s="3318"/>
      <c r="AR5" s="3318"/>
      <c r="AS5" s="3318"/>
      <c r="AT5" s="3318"/>
      <c r="AU5" s="3318"/>
      <c r="AV5" s="3318"/>
      <c r="AW5" s="3318"/>
      <c r="AX5" s="3318"/>
      <c r="AY5" s="3318"/>
      <c r="AZ5" s="3318"/>
      <c r="BA5" s="3318"/>
      <c r="BB5" s="3318"/>
      <c r="BC5" s="3318"/>
      <c r="BD5" s="3318"/>
      <c r="BE5" s="3318"/>
      <c r="BF5" s="3318"/>
      <c r="BG5" s="3318"/>
      <c r="BH5" s="3318"/>
      <c r="BI5" s="3318"/>
    </row>
    <row r="6" spans="1:81" ht="28.5" customHeight="1">
      <c r="B6" s="3318"/>
      <c r="C6" s="3318"/>
      <c r="D6" s="3318"/>
      <c r="E6" s="3318"/>
      <c r="F6" s="3318"/>
      <c r="G6" s="3318"/>
      <c r="H6" s="3318"/>
      <c r="I6" s="3318"/>
      <c r="J6" s="3318"/>
      <c r="K6" s="3318"/>
      <c r="L6" s="3318"/>
      <c r="M6" s="3318"/>
      <c r="N6" s="3318"/>
      <c r="O6" s="3318"/>
      <c r="P6" s="3318"/>
      <c r="Q6" s="3318"/>
      <c r="R6" s="3318"/>
      <c r="S6" s="3318"/>
      <c r="T6" s="3318"/>
      <c r="U6" s="3318"/>
      <c r="V6" s="3318"/>
      <c r="W6" s="3318"/>
      <c r="AN6" s="3318"/>
      <c r="AO6" s="3318"/>
      <c r="AP6" s="3318"/>
      <c r="AQ6" s="3318"/>
      <c r="AR6" s="3318"/>
      <c r="AS6" s="3318"/>
      <c r="AT6" s="3318"/>
      <c r="AU6" s="3318"/>
      <c r="AV6" s="3318"/>
      <c r="AW6" s="3318"/>
      <c r="AX6" s="3318"/>
      <c r="AY6" s="3318"/>
      <c r="AZ6" s="3318"/>
      <c r="BA6" s="3318"/>
      <c r="BB6" s="3318"/>
      <c r="BC6" s="3318"/>
      <c r="BD6" s="3318"/>
      <c r="BE6" s="3318"/>
      <c r="BF6" s="3318"/>
      <c r="BG6" s="3318"/>
      <c r="BH6" s="3318"/>
      <c r="BI6" s="3318"/>
    </row>
    <row r="7" spans="1:81" ht="18" customHeight="1">
      <c r="B7" s="3318"/>
      <c r="C7" s="3318"/>
      <c r="D7" s="3318"/>
      <c r="E7" s="3318"/>
      <c r="F7" s="3318"/>
      <c r="G7" s="3318"/>
      <c r="H7" s="3318"/>
      <c r="I7" s="3318"/>
      <c r="J7" s="3318"/>
      <c r="K7" s="3318"/>
      <c r="L7" s="3318"/>
      <c r="M7" s="3318"/>
      <c r="N7" s="3318"/>
      <c r="O7" s="3318"/>
      <c r="P7" s="3318"/>
      <c r="Q7" s="3318"/>
      <c r="R7" s="3318"/>
      <c r="S7" s="3318"/>
      <c r="T7" s="3318"/>
      <c r="U7" s="3318"/>
      <c r="V7" s="3318"/>
      <c r="W7" s="3318"/>
      <c r="AN7" s="3318"/>
      <c r="AO7" s="3318"/>
      <c r="AP7" s="3318"/>
      <c r="AQ7" s="3318"/>
      <c r="AR7" s="3318"/>
      <c r="AS7" s="3318"/>
      <c r="AT7" s="3318"/>
      <c r="AU7" s="3318"/>
      <c r="AV7" s="3318"/>
      <c r="AW7" s="3318"/>
      <c r="AX7" s="3318"/>
      <c r="AY7" s="3318"/>
      <c r="AZ7" s="3318"/>
      <c r="BA7" s="3318"/>
      <c r="BB7" s="3318"/>
      <c r="BC7" s="3318"/>
      <c r="BD7" s="3318"/>
      <c r="BE7" s="3318"/>
      <c r="BF7" s="3318"/>
      <c r="BG7" s="3318"/>
      <c r="BH7" s="3318"/>
      <c r="BI7" s="3318"/>
      <c r="CC7" s="1379" t="s">
        <v>915</v>
      </c>
    </row>
    <row r="8" spans="1:81" ht="31.05" customHeight="1">
      <c r="B8" s="3318"/>
      <c r="C8" s="3318"/>
      <c r="D8" s="3318"/>
      <c r="E8" s="3318"/>
      <c r="F8" s="3318"/>
      <c r="G8" s="3318"/>
      <c r="H8" s="3318"/>
      <c r="I8" s="3318"/>
      <c r="J8" s="3318"/>
      <c r="K8" s="3318"/>
      <c r="L8" s="3318"/>
      <c r="M8" s="3318"/>
      <c r="N8" s="3318"/>
      <c r="O8" s="3318"/>
      <c r="P8" s="3318"/>
      <c r="Q8" s="3318"/>
      <c r="R8" s="3318"/>
      <c r="S8" s="3318"/>
      <c r="T8" s="3318"/>
      <c r="U8" s="3318"/>
      <c r="V8" s="3318"/>
      <c r="W8" s="3318"/>
      <c r="AN8" s="3318"/>
      <c r="AO8" s="3318"/>
      <c r="AP8" s="3318"/>
      <c r="AQ8" s="3318"/>
      <c r="AR8" s="3318"/>
      <c r="AS8" s="3318"/>
      <c r="AT8" s="3318"/>
      <c r="AU8" s="3318"/>
      <c r="AV8" s="3318"/>
      <c r="AW8" s="3318"/>
      <c r="AX8" s="3318"/>
      <c r="AY8" s="3318"/>
      <c r="AZ8" s="3318"/>
      <c r="BA8" s="3318"/>
      <c r="BB8" s="3318"/>
      <c r="BC8" s="3318"/>
      <c r="BD8" s="3318"/>
      <c r="BE8" s="3318"/>
      <c r="BF8" s="3318"/>
      <c r="BG8" s="3318"/>
      <c r="BH8" s="3318"/>
      <c r="BI8" s="3318"/>
      <c r="CC8" s="1380"/>
    </row>
    <row r="9" spans="1:81" s="3" customFormat="1" ht="30.6" customHeight="1">
      <c r="A9" s="2"/>
      <c r="B9" s="2" t="s">
        <v>894</v>
      </c>
      <c r="C9" s="2"/>
      <c r="D9" s="88">
        <f>D33</f>
        <v>27787.905063418355</v>
      </c>
      <c r="E9" s="2"/>
      <c r="F9" s="2"/>
      <c r="G9" s="2"/>
      <c r="H9" s="2"/>
      <c r="I9" s="2"/>
      <c r="J9" s="2"/>
      <c r="AM9" s="2"/>
      <c r="AN9" s="2" t="s">
        <v>894</v>
      </c>
      <c r="AO9" s="2"/>
      <c r="AP9" s="88">
        <f>AP33</f>
        <v>27787.905063418355</v>
      </c>
      <c r="AQ9" s="2"/>
      <c r="AR9" s="4388" t="str">
        <f>IF(AU10="","Übernahme F10 + F11","")</f>
        <v>Übernahme F10 + F11</v>
      </c>
      <c r="AS9" s="4388"/>
      <c r="AT9" s="2"/>
      <c r="AU9" s="2"/>
      <c r="AV9" s="2"/>
    </row>
    <row r="10" spans="1:81" s="3" customFormat="1" ht="16.05" customHeight="1">
      <c r="A10" s="2"/>
      <c r="B10" s="2" t="s">
        <v>896</v>
      </c>
      <c r="C10" s="2"/>
      <c r="D10" s="88">
        <f>D9*F10</f>
        <v>13893.952531709177</v>
      </c>
      <c r="E10" s="2"/>
      <c r="F10" s="4389">
        <v>0.5</v>
      </c>
      <c r="G10" s="4389"/>
      <c r="H10" s="3552" t="s">
        <v>908</v>
      </c>
      <c r="I10" s="3552"/>
      <c r="J10" s="3552"/>
      <c r="K10" s="3552"/>
      <c r="L10" s="3552"/>
      <c r="M10" s="3552"/>
      <c r="AM10" s="2"/>
      <c r="AN10" s="2" t="s">
        <v>896</v>
      </c>
      <c r="AO10" s="2"/>
      <c r="AP10" s="88">
        <f>AP9*AR10</f>
        <v>13893.952531709177</v>
      </c>
      <c r="AQ10" s="2"/>
      <c r="AR10" s="4390">
        <f>IF(AU10="",F10,AU10)</f>
        <v>0.5</v>
      </c>
      <c r="AS10" s="4390"/>
      <c r="AU10" s="4389"/>
      <c r="AV10" s="4389"/>
      <c r="AW10" s="3552" t="s">
        <v>908</v>
      </c>
      <c r="AX10" s="3552"/>
      <c r="AY10" s="3552"/>
      <c r="AZ10" s="3552"/>
      <c r="BA10" s="3552"/>
      <c r="BB10" s="3552"/>
    </row>
    <row r="11" spans="1:81" s="3" customFormat="1" ht="16.05" customHeight="1">
      <c r="A11" s="2"/>
      <c r="B11" s="2" t="s">
        <v>907</v>
      </c>
      <c r="C11" s="2"/>
      <c r="D11" s="88">
        <f>(D9*F11)</f>
        <v>0</v>
      </c>
      <c r="E11" s="2"/>
      <c r="F11" s="4391"/>
      <c r="G11" s="4391"/>
      <c r="H11" s="3552"/>
      <c r="I11" s="3552"/>
      <c r="J11" s="3552"/>
      <c r="K11" s="3552"/>
      <c r="L11" s="3552"/>
      <c r="M11" s="3552"/>
      <c r="AM11" s="2"/>
      <c r="AN11" s="2" t="s">
        <v>907</v>
      </c>
      <c r="AO11" s="2"/>
      <c r="AP11" s="88">
        <f>AP9*AR11</f>
        <v>0</v>
      </c>
      <c r="AQ11" s="2"/>
      <c r="AR11" s="4390">
        <f>IF(AU11="",F11,AU11)</f>
        <v>0</v>
      </c>
      <c r="AS11" s="4390"/>
      <c r="AU11" s="4391"/>
      <c r="AV11" s="4391"/>
      <c r="AW11" s="3552"/>
      <c r="AX11" s="3552"/>
      <c r="AY11" s="3552"/>
      <c r="AZ11" s="3552"/>
      <c r="BA11" s="3552"/>
      <c r="BB11" s="3552"/>
    </row>
    <row r="12" spans="1:81" s="3" customFormat="1" ht="16.05" customHeight="1">
      <c r="A12" s="2"/>
      <c r="B12" s="2" t="s">
        <v>898</v>
      </c>
      <c r="C12" s="2"/>
      <c r="D12" s="88">
        <f>D9-D10-D11</f>
        <v>13893.952531709177</v>
      </c>
      <c r="E12" s="2"/>
      <c r="F12" s="4392">
        <f>100%-F10-F11</f>
        <v>0.5</v>
      </c>
      <c r="G12" s="4392"/>
      <c r="H12" s="31"/>
      <c r="I12" s="2"/>
      <c r="J12" s="2"/>
      <c r="AM12" s="2"/>
      <c r="AN12" s="2" t="s">
        <v>898</v>
      </c>
      <c r="AO12" s="2"/>
      <c r="AP12" s="88">
        <f>AP9-AP10-AP11</f>
        <v>13893.952531709177</v>
      </c>
      <c r="AQ12" s="2"/>
      <c r="AR12" s="4392">
        <f>100%-AR10-AR11</f>
        <v>0.5</v>
      </c>
      <c r="AS12" s="4392"/>
      <c r="AT12" s="2"/>
      <c r="AU12" s="2"/>
      <c r="AV12" s="2"/>
    </row>
    <row r="13" spans="1:81" s="3" customFormat="1" ht="25.5" customHeight="1">
      <c r="A13" s="2"/>
      <c r="B13" s="3318" t="s">
        <v>917</v>
      </c>
      <c r="C13" s="3318"/>
      <c r="D13" s="3318"/>
      <c r="E13" s="3318"/>
      <c r="F13" s="3318"/>
      <c r="G13" s="3318"/>
      <c r="H13" s="3318"/>
      <c r="I13" s="3318"/>
      <c r="J13" s="3318"/>
      <c r="K13" s="3318"/>
      <c r="L13" s="3318"/>
      <c r="M13" s="3318"/>
      <c r="N13" s="3318"/>
      <c r="O13" s="3318"/>
      <c r="P13" s="3318"/>
      <c r="Q13" s="3318"/>
      <c r="R13" s="3318"/>
      <c r="S13" s="3318"/>
      <c r="T13" s="3318"/>
      <c r="U13" s="3318"/>
      <c r="V13" s="3318"/>
      <c r="W13" s="3318"/>
      <c r="AM13" s="2"/>
      <c r="AN13" s="3318" t="s">
        <v>917</v>
      </c>
      <c r="AO13" s="3318"/>
      <c r="AP13" s="3318"/>
      <c r="AQ13" s="3318"/>
      <c r="AR13" s="3318"/>
      <c r="AS13" s="3318"/>
      <c r="AT13" s="3318"/>
      <c r="AU13" s="3318"/>
      <c r="AV13" s="3318"/>
      <c r="AW13" s="3318"/>
      <c r="AX13" s="3318"/>
      <c r="AY13" s="3318"/>
      <c r="AZ13" s="3318"/>
      <c r="BA13" s="3318"/>
      <c r="BB13" s="3318"/>
      <c r="BC13" s="3318"/>
      <c r="BD13" s="3318"/>
      <c r="BE13" s="3318"/>
      <c r="BF13" s="3318"/>
      <c r="BG13" s="3318"/>
      <c r="BH13" s="3318"/>
      <c r="BI13" s="3318"/>
    </row>
    <row r="14" spans="1:81" s="3" customFormat="1" ht="31.05" customHeight="1">
      <c r="A14" s="2"/>
      <c r="B14" s="3318"/>
      <c r="C14" s="3318"/>
      <c r="D14" s="3318"/>
      <c r="E14" s="3318"/>
      <c r="F14" s="3318"/>
      <c r="G14" s="3318"/>
      <c r="H14" s="3318"/>
      <c r="I14" s="3318"/>
      <c r="J14" s="3318"/>
      <c r="K14" s="3318"/>
      <c r="L14" s="3318"/>
      <c r="M14" s="3318"/>
      <c r="N14" s="3318"/>
      <c r="O14" s="3318"/>
      <c r="P14" s="3318"/>
      <c r="Q14" s="3318"/>
      <c r="R14" s="3318"/>
      <c r="S14" s="3318"/>
      <c r="T14" s="3318"/>
      <c r="U14" s="3318"/>
      <c r="V14" s="3318"/>
      <c r="W14" s="3318"/>
      <c r="AM14" s="2"/>
      <c r="AN14" s="3318"/>
      <c r="AO14" s="3318"/>
      <c r="AP14" s="3318"/>
      <c r="AQ14" s="3318"/>
      <c r="AR14" s="3318"/>
      <c r="AS14" s="3318"/>
      <c r="AT14" s="3318"/>
      <c r="AU14" s="3318"/>
      <c r="AV14" s="3318"/>
      <c r="AW14" s="3318"/>
      <c r="AX14" s="3318"/>
      <c r="AY14" s="3318"/>
      <c r="AZ14" s="3318"/>
      <c r="BA14" s="3318"/>
      <c r="BB14" s="3318"/>
      <c r="BC14" s="3318"/>
      <c r="BD14" s="3318"/>
      <c r="BE14" s="3318"/>
      <c r="BF14" s="3318"/>
      <c r="BG14" s="3318"/>
      <c r="BH14" s="3318"/>
      <c r="BI14" s="3318"/>
    </row>
    <row r="15" spans="1:81" s="3" customFormat="1" ht="26.1" customHeight="1">
      <c r="A15" s="2"/>
      <c r="B15" s="2" t="s">
        <v>895</v>
      </c>
      <c r="C15" s="2"/>
      <c r="D15" s="88">
        <f>D35</f>
        <v>53028.854350558657</v>
      </c>
      <c r="E15" s="2"/>
      <c r="F15" s="2"/>
      <c r="G15" s="2"/>
      <c r="H15" s="2"/>
      <c r="I15" s="2"/>
      <c r="J15" s="2"/>
      <c r="AM15" s="2"/>
      <c r="AN15" s="2" t="s">
        <v>895</v>
      </c>
      <c r="AO15" s="2"/>
      <c r="AP15" s="88">
        <f>AP35</f>
        <v>53028.854350558657</v>
      </c>
      <c r="AQ15" s="2"/>
      <c r="AR15" s="2"/>
      <c r="AS15" s="2"/>
      <c r="AT15" s="2"/>
      <c r="AU15" s="2"/>
      <c r="AV15" s="2"/>
    </row>
    <row r="16" spans="1:81" s="3" customFormat="1" ht="17.55" customHeight="1">
      <c r="A16" s="2"/>
      <c r="B16" s="19" t="s">
        <v>896</v>
      </c>
      <c r="C16" s="19"/>
      <c r="D16" s="1376">
        <f>D10</f>
        <v>13893.952531709177</v>
      </c>
      <c r="E16" s="2"/>
      <c r="F16" s="2"/>
      <c r="G16" s="2"/>
      <c r="H16" s="2"/>
      <c r="I16" s="2"/>
      <c r="J16" s="2"/>
      <c r="AM16" s="2"/>
      <c r="AN16" s="19" t="s">
        <v>896</v>
      </c>
      <c r="AO16" s="19"/>
      <c r="AP16" s="1376">
        <f>AP10</f>
        <v>13893.952531709177</v>
      </c>
      <c r="AQ16" s="2"/>
      <c r="AR16" s="2"/>
      <c r="AS16" s="2"/>
      <c r="AT16" s="2"/>
      <c r="AU16" s="2"/>
      <c r="AV16" s="2"/>
    </row>
    <row r="17" spans="1:71" s="3" customFormat="1" ht="17.55" customHeight="1">
      <c r="A17" s="2"/>
      <c r="B17" s="2" t="s">
        <v>897</v>
      </c>
      <c r="C17" s="2"/>
      <c r="D17" s="88">
        <f>D15-D16</f>
        <v>39134.901818849481</v>
      </c>
      <c r="E17" s="2"/>
      <c r="F17" s="2"/>
      <c r="G17" s="2"/>
      <c r="H17" s="2"/>
      <c r="I17" s="2"/>
      <c r="J17" s="2"/>
      <c r="AM17" s="2"/>
      <c r="AN17" s="2" t="s">
        <v>897</v>
      </c>
      <c r="AO17" s="2"/>
      <c r="AP17" s="88">
        <f>AP15-AP16</f>
        <v>39134.901818849481</v>
      </c>
      <c r="AQ17" s="2"/>
      <c r="AR17" s="2"/>
      <c r="AS17" s="2"/>
      <c r="AT17" s="2"/>
      <c r="AU17" s="2"/>
      <c r="AV17" s="2"/>
    </row>
    <row r="18" spans="1:71" s="3" customFormat="1" ht="15">
      <c r="A18" s="2"/>
      <c r="B18" s="2"/>
      <c r="C18" s="2"/>
      <c r="D18" s="2"/>
      <c r="E18" s="2"/>
      <c r="F18" s="2"/>
      <c r="G18" s="2"/>
      <c r="H18" s="2"/>
      <c r="I18" s="2"/>
      <c r="J18" s="2"/>
      <c r="K18" s="2"/>
      <c r="AG18" s="2"/>
      <c r="AH18" s="2"/>
      <c r="AI18" s="2"/>
      <c r="AJ18" s="2"/>
      <c r="AK18" s="2"/>
      <c r="AL18" s="2"/>
      <c r="AM18" s="2"/>
      <c r="AN18" s="2"/>
      <c r="AO18" s="2"/>
      <c r="AP18" s="2"/>
      <c r="AQ18" s="2"/>
      <c r="AR18" s="2"/>
      <c r="AS18" s="2"/>
      <c r="AT18" s="2"/>
      <c r="AU18" s="2"/>
      <c r="AV18" s="2"/>
      <c r="AW18" s="2"/>
      <c r="BS18" s="2"/>
    </row>
    <row r="19" spans="1:71" s="3" customFormat="1" ht="40.5" customHeight="1">
      <c r="A19" s="2"/>
      <c r="B19" s="3552" t="s">
        <v>909</v>
      </c>
      <c r="C19" s="3552"/>
      <c r="D19" s="3552"/>
      <c r="E19" s="3552"/>
      <c r="F19" s="3552"/>
      <c r="G19" s="3552"/>
      <c r="H19" s="3552"/>
      <c r="I19" s="3552"/>
      <c r="J19" s="3552"/>
      <c r="K19" s="3552"/>
      <c r="L19" s="3552"/>
      <c r="M19" s="3552"/>
      <c r="N19" s="3552"/>
      <c r="O19" s="3552"/>
      <c r="P19" s="3552"/>
      <c r="Q19" s="3552"/>
      <c r="R19" s="3552"/>
      <c r="S19" s="3552"/>
      <c r="T19" s="3552"/>
      <c r="U19" s="3552"/>
      <c r="V19" s="3552"/>
      <c r="W19" s="3552"/>
      <c r="AD19" s="2"/>
      <c r="AE19" s="2"/>
      <c r="AF19" s="2"/>
      <c r="AG19" s="2"/>
      <c r="AH19" s="2"/>
      <c r="AI19" s="2"/>
      <c r="AJ19" s="2"/>
      <c r="AK19" s="2"/>
      <c r="AL19" s="2"/>
      <c r="AM19" s="2"/>
      <c r="AN19" s="3552" t="s">
        <v>909</v>
      </c>
      <c r="AO19" s="3552"/>
      <c r="AP19" s="3552"/>
      <c r="AQ19" s="3552"/>
      <c r="AR19" s="3552"/>
      <c r="AS19" s="3552"/>
      <c r="AT19" s="3552"/>
      <c r="AU19" s="3552"/>
      <c r="AV19" s="3552"/>
      <c r="AW19" s="3552"/>
      <c r="AX19" s="3552"/>
      <c r="AY19" s="3552"/>
      <c r="AZ19" s="3552"/>
      <c r="BA19" s="3552"/>
      <c r="BB19" s="3552"/>
      <c r="BC19" s="3552"/>
      <c r="BD19" s="3552"/>
      <c r="BE19" s="3552"/>
      <c r="BF19" s="3552"/>
      <c r="BG19" s="3552"/>
      <c r="BH19" s="3552"/>
      <c r="BI19" s="3552"/>
      <c r="BP19" s="2"/>
      <c r="BQ19" s="2"/>
      <c r="BR19" s="2"/>
      <c r="BS19" s="2"/>
    </row>
    <row r="20" spans="1:71" s="3" customFormat="1" ht="15.75" customHeight="1">
      <c r="A20" s="2"/>
      <c r="B20" s="2" t="s">
        <v>906</v>
      </c>
      <c r="C20" s="2"/>
      <c r="D20" s="88">
        <f>D58</f>
        <v>59222</v>
      </c>
      <c r="E20" s="2"/>
      <c r="F20" s="2"/>
      <c r="G20" s="2"/>
      <c r="H20" s="2"/>
      <c r="I20" s="2"/>
      <c r="J20" s="2"/>
      <c r="K20" s="2"/>
      <c r="AC20" s="2"/>
      <c r="AD20" s="2"/>
      <c r="AE20" s="2"/>
      <c r="AF20" s="2"/>
      <c r="AG20" s="2"/>
      <c r="AH20" s="2"/>
      <c r="AI20" s="2"/>
      <c r="AJ20" s="2"/>
      <c r="AK20" s="2"/>
      <c r="AL20" s="2"/>
      <c r="AM20" s="2"/>
      <c r="AN20" s="2" t="s">
        <v>906</v>
      </c>
      <c r="AO20" s="2"/>
      <c r="AP20" s="88">
        <f>AP58</f>
        <v>59222</v>
      </c>
      <c r="AQ20" s="2"/>
      <c r="AR20" s="2"/>
      <c r="AS20" s="2"/>
      <c r="AT20" s="2"/>
      <c r="AU20" s="2"/>
      <c r="AV20" s="2"/>
      <c r="AW20" s="2"/>
      <c r="BO20" s="2"/>
      <c r="BP20" s="2"/>
      <c r="BQ20" s="2"/>
      <c r="BR20" s="2"/>
      <c r="BS20" s="2"/>
    </row>
    <row r="21" spans="1:71" s="3" customFormat="1" ht="15.75" customHeight="1">
      <c r="B21" s="19" t="s">
        <v>898</v>
      </c>
      <c r="C21" s="19"/>
      <c r="D21" s="1376">
        <f>D12</f>
        <v>13893.952531709177</v>
      </c>
      <c r="H21" s="2"/>
      <c r="I21" s="2"/>
      <c r="J21" s="2"/>
      <c r="K21" s="2"/>
      <c r="AC21" s="2"/>
      <c r="AD21" s="2"/>
      <c r="AE21" s="2"/>
      <c r="AF21" s="2"/>
      <c r="AG21" s="2"/>
      <c r="AH21" s="2"/>
      <c r="AI21" s="2"/>
      <c r="AJ21" s="2"/>
      <c r="AK21" s="2"/>
      <c r="AL21" s="2"/>
      <c r="AN21" s="19" t="s">
        <v>898</v>
      </c>
      <c r="AO21" s="19"/>
      <c r="AP21" s="1376">
        <f>AP12</f>
        <v>13893.952531709177</v>
      </c>
      <c r="AT21" s="2"/>
      <c r="AU21" s="2"/>
      <c r="AV21" s="2"/>
      <c r="AW21" s="2"/>
      <c r="BO21" s="2"/>
      <c r="BP21" s="2"/>
      <c r="BQ21" s="2"/>
      <c r="BR21" s="2"/>
      <c r="BS21" s="2"/>
    </row>
    <row r="22" spans="1:71" s="3" customFormat="1" ht="15">
      <c r="B22" s="2" t="s">
        <v>899</v>
      </c>
      <c r="D22" s="88">
        <f>IF(D20=0,0,D20-D21)</f>
        <v>45328.047468290824</v>
      </c>
      <c r="K22" s="2"/>
      <c r="AC22" s="2"/>
      <c r="AD22" s="2"/>
      <c r="AE22" s="2"/>
      <c r="AF22" s="2"/>
      <c r="AG22" s="2"/>
      <c r="AH22" s="2"/>
      <c r="AI22" s="2"/>
      <c r="AJ22" s="2"/>
      <c r="AK22" s="2"/>
      <c r="AL22" s="2"/>
      <c r="AN22" s="2" t="s">
        <v>899</v>
      </c>
      <c r="AP22" s="88">
        <f>IF(AP20=0,0,AP20-AP21)</f>
        <v>45328.047468290824</v>
      </c>
      <c r="AW22" s="2"/>
      <c r="BO22" s="2"/>
      <c r="BP22" s="2"/>
      <c r="BQ22" s="2"/>
      <c r="BR22" s="2"/>
      <c r="BS22" s="2"/>
    </row>
    <row r="23" spans="1:71" ht="15">
      <c r="A23" s="3"/>
      <c r="B23" s="3"/>
      <c r="C23" s="3"/>
      <c r="D23" s="3"/>
      <c r="E23" s="3"/>
      <c r="F23" s="3"/>
      <c r="G23" s="3"/>
      <c r="H23" s="3"/>
      <c r="I23" s="3"/>
      <c r="J23" s="3"/>
      <c r="K23" s="13"/>
      <c r="L23" s="3"/>
      <c r="M23" s="3"/>
      <c r="N23" s="3"/>
      <c r="O23" s="3"/>
      <c r="P23" s="3"/>
      <c r="Q23" s="3"/>
      <c r="R23" s="3"/>
      <c r="S23" s="3"/>
      <c r="T23" s="3"/>
      <c r="U23" s="3"/>
      <c r="V23" s="3"/>
      <c r="W23" s="3"/>
      <c r="X23" s="3"/>
      <c r="Y23" s="3"/>
      <c r="Z23" s="3"/>
      <c r="AA23" s="3"/>
      <c r="AB23" s="3"/>
      <c r="AC23" s="13"/>
      <c r="AD23" s="13"/>
      <c r="AE23" s="13"/>
      <c r="AF23" s="13"/>
      <c r="AG23" s="13"/>
      <c r="AH23" s="13"/>
      <c r="AI23" s="13"/>
      <c r="AJ23" s="13"/>
      <c r="AK23" s="13"/>
      <c r="AL23" s="13"/>
      <c r="AM23" s="3"/>
      <c r="AN23" s="3"/>
      <c r="AO23" s="3"/>
      <c r="AP23" s="3"/>
      <c r="AQ23" s="3"/>
      <c r="AR23" s="3"/>
      <c r="AS23" s="3"/>
      <c r="AT23" s="3"/>
      <c r="AU23" s="3"/>
      <c r="AV23" s="3"/>
      <c r="AW23" s="13"/>
      <c r="AX23" s="3"/>
      <c r="AY23" s="3"/>
      <c r="AZ23" s="3"/>
      <c r="BA23" s="3"/>
      <c r="BB23" s="3"/>
      <c r="BC23" s="3"/>
      <c r="BD23" s="3"/>
      <c r="BE23" s="3"/>
      <c r="BF23" s="3"/>
      <c r="BG23" s="3"/>
      <c r="BH23" s="3"/>
      <c r="BI23" s="3"/>
      <c r="BJ23" s="3"/>
      <c r="BK23" s="3"/>
      <c r="BL23" s="3"/>
      <c r="BM23" s="3"/>
      <c r="BN23" s="3"/>
      <c r="BO23" s="13"/>
      <c r="BP23" s="13"/>
      <c r="BQ23" s="13"/>
      <c r="BR23" s="13"/>
      <c r="BS23" s="13"/>
    </row>
    <row r="24" spans="1:71" ht="20.25" customHeight="1">
      <c r="A24" s="3"/>
      <c r="B24" s="3" t="s">
        <v>918</v>
      </c>
      <c r="C24" s="3"/>
      <c r="D24" s="3"/>
      <c r="E24" s="3"/>
      <c r="F24" s="3"/>
      <c r="G24" s="3"/>
      <c r="H24" s="3"/>
      <c r="I24" s="3"/>
      <c r="J24" s="3"/>
      <c r="K24" s="13"/>
      <c r="L24" s="3"/>
      <c r="M24" s="3"/>
      <c r="N24" s="3"/>
      <c r="O24" s="3"/>
      <c r="P24" s="3"/>
      <c r="Q24" s="3"/>
      <c r="R24" s="3"/>
      <c r="S24" s="3"/>
      <c r="T24" s="3"/>
      <c r="U24" s="3"/>
      <c r="V24" s="3"/>
      <c r="W24" s="3"/>
      <c r="X24" s="3"/>
      <c r="Y24" s="3"/>
      <c r="Z24" s="3"/>
      <c r="AA24" s="3"/>
      <c r="AB24" s="3"/>
      <c r="AC24" s="13"/>
      <c r="AD24" s="13"/>
      <c r="AE24" s="13"/>
      <c r="AF24" s="13"/>
      <c r="AG24" s="13"/>
      <c r="AH24" s="13"/>
      <c r="AI24" s="13"/>
      <c r="AJ24" s="13"/>
      <c r="AK24" s="13"/>
      <c r="AL24" s="13"/>
      <c r="AM24" s="3"/>
      <c r="AN24" s="3" t="s">
        <v>918</v>
      </c>
      <c r="AO24" s="3"/>
      <c r="AP24" s="3"/>
      <c r="AQ24" s="3"/>
      <c r="AR24" s="3"/>
      <c r="AS24" s="3"/>
      <c r="AT24" s="3"/>
      <c r="AU24" s="3"/>
      <c r="AV24" s="3"/>
      <c r="AW24" s="13"/>
      <c r="AX24" s="3"/>
      <c r="AY24" s="3"/>
      <c r="AZ24" s="3"/>
      <c r="BA24" s="3"/>
      <c r="BB24" s="3"/>
      <c r="BC24" s="3"/>
      <c r="BD24" s="3"/>
      <c r="BE24" s="3"/>
      <c r="BF24" s="3"/>
      <c r="BG24" s="3"/>
      <c r="BH24" s="3"/>
      <c r="BI24" s="3"/>
      <c r="BJ24" s="3"/>
      <c r="BK24" s="3"/>
      <c r="BL24" s="3"/>
      <c r="BM24" s="3"/>
      <c r="BN24" s="3"/>
      <c r="BO24" s="13"/>
      <c r="BP24" s="13"/>
      <c r="BQ24" s="13"/>
      <c r="BR24" s="13"/>
      <c r="BS24" s="13"/>
    </row>
    <row r="25" spans="1:71" ht="20.25" customHeight="1">
      <c r="A25" s="3"/>
      <c r="B25" s="3"/>
      <c r="C25" s="3"/>
      <c r="D25" s="3"/>
      <c r="E25" s="3"/>
      <c r="F25" s="3"/>
      <c r="G25" s="3"/>
      <c r="H25" s="3"/>
      <c r="I25" s="3"/>
      <c r="J25" s="3"/>
      <c r="K25" s="13"/>
      <c r="L25" s="3"/>
      <c r="M25" s="3"/>
      <c r="N25" s="3"/>
      <c r="O25" s="3"/>
      <c r="P25" s="3"/>
      <c r="Q25" s="3"/>
      <c r="R25" s="3"/>
      <c r="S25" s="3"/>
      <c r="T25" s="3"/>
      <c r="U25" s="3"/>
      <c r="V25" s="3"/>
      <c r="W25" s="3"/>
      <c r="X25" s="3"/>
      <c r="Y25" s="3"/>
      <c r="Z25" s="3"/>
      <c r="AA25" s="3"/>
      <c r="AB25" s="3"/>
      <c r="AC25" s="13"/>
      <c r="AD25" s="13"/>
      <c r="AE25" s="13"/>
      <c r="AF25" s="13"/>
      <c r="AG25" s="13"/>
      <c r="AH25" s="13"/>
      <c r="AI25" s="13"/>
      <c r="AJ25" s="13"/>
      <c r="AK25" s="13"/>
      <c r="AL25" s="13"/>
      <c r="AM25" s="3"/>
      <c r="AN25" s="3"/>
      <c r="AO25" s="3"/>
      <c r="AP25" s="3"/>
      <c r="AQ25" s="3"/>
      <c r="AR25" s="3"/>
      <c r="AS25" s="3"/>
      <c r="AT25" s="3"/>
      <c r="AU25" s="3"/>
      <c r="AV25" s="3"/>
      <c r="AW25" s="13"/>
      <c r="AX25" s="3"/>
      <c r="AY25" s="3"/>
      <c r="AZ25" s="3"/>
      <c r="BA25" s="3"/>
      <c r="BB25" s="3"/>
      <c r="BC25" s="3"/>
      <c r="BD25" s="3"/>
      <c r="BE25" s="3"/>
      <c r="BF25" s="3"/>
      <c r="BG25" s="3"/>
      <c r="BH25" s="3"/>
      <c r="BI25" s="3"/>
      <c r="BJ25" s="3"/>
      <c r="BK25" s="3"/>
      <c r="BL25" s="3"/>
      <c r="BM25" s="3"/>
      <c r="BN25" s="3"/>
      <c r="BO25" s="13"/>
      <c r="BP25" s="13"/>
      <c r="BQ25" s="13"/>
      <c r="BR25" s="13"/>
      <c r="BS25" s="13"/>
    </row>
    <row r="26" spans="1:71" ht="15.6" customHeight="1">
      <c r="A26" s="1" t="s">
        <v>903</v>
      </c>
      <c r="C26" s="30"/>
      <c r="D26" s="3"/>
      <c r="E26" s="2"/>
      <c r="F26" s="31"/>
      <c r="G26" s="13"/>
      <c r="H26" s="13"/>
      <c r="J26" s="3"/>
      <c r="K26" s="13"/>
      <c r="L26" s="1" t="s">
        <v>902</v>
      </c>
      <c r="N26" s="30"/>
      <c r="O26" s="3"/>
      <c r="P26" s="2"/>
      <c r="Q26" s="31"/>
      <c r="R26" s="3"/>
      <c r="S26" s="3"/>
      <c r="T26" s="3"/>
      <c r="U26" s="3"/>
      <c r="V26" s="3"/>
      <c r="W26" s="3"/>
      <c r="X26" s="3"/>
      <c r="Y26" s="3"/>
      <c r="Z26" s="3"/>
      <c r="AA26" s="3"/>
      <c r="AB26" s="3"/>
      <c r="AC26" s="13"/>
      <c r="AD26" s="13"/>
      <c r="AE26" s="13"/>
      <c r="AF26" s="13"/>
      <c r="AG26" s="13"/>
      <c r="AH26" s="13"/>
      <c r="AI26" s="13"/>
      <c r="AJ26" s="13"/>
      <c r="AK26" s="13"/>
      <c r="AL26" s="13"/>
      <c r="AM26" s="3"/>
      <c r="AO26" s="30"/>
      <c r="AP26" s="3"/>
      <c r="AQ26" s="2"/>
      <c r="AR26" s="31"/>
      <c r="AS26" s="13"/>
      <c r="AT26" s="13"/>
      <c r="AV26" s="3"/>
      <c r="AW26" s="13"/>
      <c r="AX26" s="1" t="s">
        <v>902</v>
      </c>
      <c r="AZ26" s="30"/>
      <c r="BA26" s="3"/>
      <c r="BB26" s="2"/>
      <c r="BC26" s="31"/>
      <c r="BD26" s="3"/>
      <c r="BE26" s="3"/>
      <c r="BF26" s="3"/>
      <c r="BG26" s="3"/>
      <c r="BH26" s="3"/>
      <c r="BI26" s="3"/>
      <c r="BJ26" s="3"/>
      <c r="BK26" s="3"/>
      <c r="BL26" s="3"/>
      <c r="BM26" s="3"/>
      <c r="BN26" s="3"/>
      <c r="BO26" s="13"/>
      <c r="BP26" s="13"/>
      <c r="BQ26" s="13"/>
      <c r="BR26" s="13"/>
      <c r="BS26" s="13"/>
    </row>
    <row r="27" spans="1:71" ht="15.6" customHeight="1" thickBot="1">
      <c r="A27" s="177" t="s">
        <v>75</v>
      </c>
      <c r="C27" s="32"/>
      <c r="D27" s="216"/>
      <c r="E27" s="216"/>
      <c r="F27" s="216"/>
      <c r="G27" s="13"/>
      <c r="H27" s="13"/>
      <c r="J27" s="3"/>
      <c r="K27" s="13"/>
      <c r="L27" s="177" t="s">
        <v>75</v>
      </c>
      <c r="N27" s="32"/>
      <c r="O27" s="216"/>
      <c r="P27" s="216"/>
      <c r="Q27" s="216"/>
      <c r="R27" s="3"/>
      <c r="S27" s="3"/>
      <c r="T27" s="3"/>
      <c r="U27" s="3"/>
      <c r="V27" s="3"/>
      <c r="W27" s="486" t="s">
        <v>901</v>
      </c>
      <c r="X27" s="13"/>
      <c r="Y27" s="32"/>
      <c r="Z27" s="13"/>
      <c r="AA27" s="13"/>
      <c r="AB27" s="136"/>
      <c r="AC27" s="13"/>
      <c r="AD27" s="13"/>
      <c r="AE27" s="13"/>
      <c r="AF27" s="13"/>
      <c r="AG27" s="13"/>
      <c r="AH27" s="13"/>
      <c r="AI27" s="13"/>
      <c r="AJ27" s="13"/>
      <c r="AK27" s="13"/>
      <c r="AL27" s="13"/>
      <c r="AM27" s="3"/>
      <c r="AO27" s="32"/>
      <c r="AP27" s="216"/>
      <c r="AQ27" s="216"/>
      <c r="AR27" s="216"/>
      <c r="AS27" s="13"/>
      <c r="AT27" s="13"/>
      <c r="AV27" s="3"/>
      <c r="AW27" s="13"/>
      <c r="AX27" s="177" t="s">
        <v>75</v>
      </c>
      <c r="AZ27" s="32"/>
      <c r="BA27" s="216"/>
      <c r="BB27" s="216"/>
      <c r="BC27" s="216"/>
      <c r="BD27" s="3"/>
      <c r="BE27" s="3"/>
      <c r="BF27" s="3"/>
      <c r="BG27" s="3"/>
      <c r="BH27" s="3"/>
      <c r="BI27" s="486" t="s">
        <v>901</v>
      </c>
      <c r="BJ27" s="13"/>
      <c r="BK27" s="32"/>
      <c r="BL27" s="13"/>
      <c r="BM27" s="13"/>
      <c r="BN27" s="136"/>
      <c r="BO27" s="13"/>
      <c r="BP27" s="13"/>
      <c r="BQ27" s="13"/>
      <c r="BR27" s="13"/>
      <c r="BS27" s="13"/>
    </row>
    <row r="28" spans="1:71" ht="18" customHeight="1" thickBot="1">
      <c r="A28" s="3"/>
      <c r="B28" s="35" t="s">
        <v>910</v>
      </c>
      <c r="C28" s="32"/>
      <c r="D28" s="4105" t="s">
        <v>27</v>
      </c>
      <c r="E28" s="4017"/>
      <c r="F28" s="4018"/>
      <c r="G28" s="13"/>
      <c r="H28" s="13"/>
      <c r="J28" s="3"/>
      <c r="K28" s="13"/>
      <c r="L28" s="3"/>
      <c r="M28" s="1378" t="s">
        <v>911</v>
      </c>
      <c r="N28" s="32"/>
      <c r="O28" s="4105" t="s">
        <v>27</v>
      </c>
      <c r="P28" s="4017"/>
      <c r="Q28" s="4018"/>
      <c r="R28" s="3"/>
      <c r="S28" s="3"/>
      <c r="T28" s="3"/>
      <c r="U28" s="3"/>
      <c r="V28" s="3"/>
      <c r="X28" s="148"/>
      <c r="Y28" s="148"/>
      <c r="Z28" s="148" t="s">
        <v>913</v>
      </c>
      <c r="AA28" s="148"/>
      <c r="AB28" s="431"/>
      <c r="AC28" s="271" t="s">
        <v>912</v>
      </c>
      <c r="AD28" s="431"/>
      <c r="AF28" s="13"/>
      <c r="AG28" s="13"/>
      <c r="AH28" s="13"/>
      <c r="AI28" s="13"/>
      <c r="AJ28" s="13"/>
      <c r="AK28" s="13"/>
      <c r="AL28" s="13"/>
      <c r="AM28" s="3"/>
      <c r="AN28" s="35" t="s">
        <v>25</v>
      </c>
      <c r="AO28" s="32"/>
      <c r="AP28" s="4105" t="s">
        <v>27</v>
      </c>
      <c r="AQ28" s="4017"/>
      <c r="AR28" s="4018"/>
      <c r="AS28" s="13"/>
      <c r="AT28" s="13"/>
      <c r="AV28" s="3"/>
      <c r="AW28" s="13"/>
      <c r="AX28" s="3"/>
      <c r="AY28" s="35" t="s">
        <v>25</v>
      </c>
      <c r="AZ28" s="32"/>
      <c r="BA28" s="4105" t="s">
        <v>27</v>
      </c>
      <c r="BB28" s="4017"/>
      <c r="BC28" s="4018"/>
      <c r="BD28" s="3"/>
      <c r="BE28" s="3"/>
      <c r="BF28" s="3"/>
      <c r="BG28" s="3"/>
      <c r="BH28" s="3"/>
      <c r="BJ28" s="148"/>
      <c r="BK28" s="148"/>
      <c r="BL28" s="148" t="s">
        <v>913</v>
      </c>
      <c r="BM28" s="148"/>
      <c r="BN28" s="431"/>
      <c r="BO28" s="271" t="s">
        <v>912</v>
      </c>
      <c r="BP28" s="431"/>
      <c r="BR28" s="13"/>
      <c r="BS28" s="13"/>
    </row>
    <row r="29" spans="1:71" ht="18" customHeight="1">
      <c r="A29" s="36" t="s">
        <v>19</v>
      </c>
      <c r="B29" s="37"/>
      <c r="C29" s="38"/>
      <c r="D29" s="165" t="s">
        <v>6</v>
      </c>
      <c r="E29" s="39"/>
      <c r="F29" s="230" t="s">
        <v>28</v>
      </c>
      <c r="G29" s="13"/>
      <c r="H29" s="13"/>
      <c r="J29" s="3"/>
      <c r="K29" s="13"/>
      <c r="L29" s="36" t="s">
        <v>19</v>
      </c>
      <c r="M29" s="37"/>
      <c r="N29" s="38"/>
      <c r="O29" s="165" t="s">
        <v>6</v>
      </c>
      <c r="P29" s="39"/>
      <c r="Q29" s="230" t="s">
        <v>28</v>
      </c>
      <c r="R29" s="3"/>
      <c r="S29" s="3"/>
      <c r="T29" s="3"/>
      <c r="U29" s="3"/>
      <c r="V29" s="3"/>
      <c r="W29" s="488"/>
      <c r="X29" s="283" t="str">
        <f>M56</f>
        <v>Cash Flow</v>
      </c>
      <c r="Y29" s="284"/>
      <c r="Z29" s="285">
        <f t="shared" ref="Z29:Z34" si="0">D56</f>
        <v>108282.20000000001</v>
      </c>
      <c r="AA29" s="286"/>
      <c r="AB29" s="490"/>
      <c r="AC29" s="1381">
        <f t="shared" ref="AC29:AC34" si="1">O56</f>
        <v>94388.247468290836</v>
      </c>
      <c r="AD29" s="431"/>
      <c r="AF29" s="13"/>
      <c r="AG29" s="13"/>
      <c r="AH29" s="13"/>
      <c r="AI29" s="13"/>
      <c r="AJ29" s="13"/>
      <c r="AK29" s="13"/>
      <c r="AL29" s="13"/>
      <c r="AM29" s="3"/>
      <c r="AN29" s="37"/>
      <c r="AO29" s="38"/>
      <c r="AP29" s="165" t="s">
        <v>6</v>
      </c>
      <c r="AQ29" s="39"/>
      <c r="AR29" s="230" t="s">
        <v>28</v>
      </c>
      <c r="AS29" s="13"/>
      <c r="AT29" s="13"/>
      <c r="AV29" s="3"/>
      <c r="AW29" s="13"/>
      <c r="AX29" s="36" t="s">
        <v>19</v>
      </c>
      <c r="AY29" s="37"/>
      <c r="AZ29" s="38"/>
      <c r="BA29" s="165" t="s">
        <v>6</v>
      </c>
      <c r="BB29" s="39"/>
      <c r="BC29" s="230" t="s">
        <v>28</v>
      </c>
      <c r="BD29" s="3"/>
      <c r="BE29" s="3"/>
      <c r="BF29" s="3"/>
      <c r="BG29" s="3"/>
      <c r="BH29" s="3"/>
      <c r="BI29" s="488"/>
      <c r="BJ29" s="283" t="str">
        <f>AY56</f>
        <v>Cash Flow</v>
      </c>
      <c r="BK29" s="284"/>
      <c r="BL29" s="285">
        <f t="shared" ref="BL29:BL34" si="2">AP56</f>
        <v>108282.20000000001</v>
      </c>
      <c r="BM29" s="286"/>
      <c r="BN29" s="490"/>
      <c r="BO29" s="1381">
        <f t="shared" ref="BO29:BO34" si="3">BA56</f>
        <v>94388.247468290821</v>
      </c>
      <c r="BP29" s="431"/>
      <c r="BR29" s="13"/>
      <c r="BS29" s="13"/>
    </row>
    <row r="30" spans="1:71" ht="18" customHeight="1">
      <c r="A30" s="41"/>
      <c r="B30" s="42" t="s">
        <v>29</v>
      </c>
      <c r="C30" s="43"/>
      <c r="D30" s="110">
        <f>'18 Zielumsatz Planungsjahr'!Y7</f>
        <v>382612.56515634293</v>
      </c>
      <c r="E30" s="44"/>
      <c r="F30" s="125"/>
      <c r="G30" s="13"/>
      <c r="H30" s="13"/>
      <c r="J30" s="3"/>
      <c r="K30" s="13"/>
      <c r="L30" s="41"/>
      <c r="M30" s="42" t="s">
        <v>29</v>
      </c>
      <c r="N30" s="43"/>
      <c r="O30" s="109"/>
      <c r="P30" s="44"/>
      <c r="Q30" s="125"/>
      <c r="R30" s="13"/>
      <c r="S30" s="3"/>
      <c r="T30" s="3"/>
      <c r="U30" s="3"/>
      <c r="V30" s="3"/>
      <c r="W30" s="46"/>
      <c r="X30" s="124" t="str">
        <f>M57</f>
        <v>Persönliche Entnahmen 
(evtl. Meisterlohn)</v>
      </c>
      <c r="Y30" s="73"/>
      <c r="Z30" s="110">
        <f t="shared" si="0"/>
        <v>30778</v>
      </c>
      <c r="AA30" s="49"/>
      <c r="AB30" s="489"/>
      <c r="AC30" s="489">
        <f t="shared" si="1"/>
        <v>30778</v>
      </c>
      <c r="AD30" s="431"/>
      <c r="AF30" s="13"/>
      <c r="AG30" s="13"/>
      <c r="AH30" s="13"/>
      <c r="AI30" s="13"/>
      <c r="AJ30" s="13"/>
      <c r="AK30" s="13"/>
      <c r="AL30" s="13"/>
      <c r="AM30" s="3"/>
      <c r="AN30" s="42" t="s">
        <v>29</v>
      </c>
      <c r="AO30" s="43"/>
      <c r="AP30" s="110">
        <f>'18 Zielumsatz Planungsjahr'!AS7</f>
        <v>382612.56515634293</v>
      </c>
      <c r="AQ30" s="44"/>
      <c r="AR30" s="125" t="e">
        <f>IF(AP30=0,"",IF(AP30="","",AP30/#REF!*100))</f>
        <v>#REF!</v>
      </c>
      <c r="AS30" s="13"/>
      <c r="AT30" s="13"/>
      <c r="AV30" s="3"/>
      <c r="AW30" s="13"/>
      <c r="AX30" s="41"/>
      <c r="AY30" s="42" t="s">
        <v>29</v>
      </c>
      <c r="AZ30" s="43"/>
      <c r="BA30" s="109"/>
      <c r="BB30" s="44"/>
      <c r="BC30" s="125" t="str">
        <f>IF(BA30=0,"",IF(BA30="","",BA30/AP$75*100))</f>
        <v/>
      </c>
      <c r="BD30" s="13"/>
      <c r="BE30" s="3"/>
      <c r="BF30" s="3"/>
      <c r="BG30" s="3"/>
      <c r="BH30" s="3"/>
      <c r="BI30" s="46"/>
      <c r="BJ30" s="124" t="str">
        <f>AY57</f>
        <v>Persönliche Entnahmen 
(evtl. Meisterlohn)</v>
      </c>
      <c r="BK30" s="73"/>
      <c r="BL30" s="110">
        <f t="shared" si="2"/>
        <v>30778</v>
      </c>
      <c r="BM30" s="49"/>
      <c r="BN30" s="489"/>
      <c r="BO30" s="489">
        <f t="shared" si="3"/>
        <v>30778</v>
      </c>
      <c r="BP30" s="431"/>
      <c r="BR30" s="13"/>
      <c r="BS30" s="13"/>
    </row>
    <row r="31" spans="1:71" ht="18" customHeight="1">
      <c r="A31" s="46"/>
      <c r="B31" s="47" t="s">
        <v>30</v>
      </c>
      <c r="C31" s="48"/>
      <c r="D31" s="110">
        <f>'18 Zielumsatz Planungsjahr'!Y8</f>
        <v>94636.237880797373</v>
      </c>
      <c r="E31" s="49"/>
      <c r="F31" s="125"/>
      <c r="G31" s="13"/>
      <c r="H31" s="13"/>
      <c r="J31" s="3"/>
      <c r="K31" s="13"/>
      <c r="L31" s="46"/>
      <c r="M31" s="47" t="s">
        <v>30</v>
      </c>
      <c r="N31" s="48"/>
      <c r="O31" s="109"/>
      <c r="P31" s="49"/>
      <c r="Q31" s="125"/>
      <c r="R31" s="13"/>
      <c r="S31" s="3"/>
      <c r="T31" s="3"/>
      <c r="U31" s="3"/>
      <c r="V31" s="3"/>
      <c r="W31" s="46"/>
      <c r="X31" s="1375" t="str">
        <f>M58</f>
        <v>Persönliche Entnahmen 
(evtl. Unternehmerlohn Büro))</v>
      </c>
      <c r="Y31" s="73"/>
      <c r="Z31" s="110">
        <f t="shared" si="0"/>
        <v>59222</v>
      </c>
      <c r="AA31" s="49"/>
      <c r="AB31" s="489"/>
      <c r="AC31" s="489">
        <f t="shared" si="1"/>
        <v>45328.047468290824</v>
      </c>
      <c r="AD31" s="431"/>
      <c r="AF31" s="13"/>
      <c r="AG31" s="13"/>
      <c r="AH31" s="13"/>
      <c r="AI31" s="13"/>
      <c r="AJ31" s="13"/>
      <c r="AK31" s="13"/>
      <c r="AL31" s="13"/>
      <c r="AM31" s="3"/>
      <c r="AN31" s="47" t="s">
        <v>30</v>
      </c>
      <c r="AO31" s="48"/>
      <c r="AP31" s="110">
        <f>'18 Zielumsatz Planungsjahr'!AS8</f>
        <v>94636.237880797373</v>
      </c>
      <c r="AQ31" s="49"/>
      <c r="AR31" s="125" t="e">
        <f>IF(AP31=0,"",IF(AP31="","",AP31/#REF!*100))</f>
        <v>#REF!</v>
      </c>
      <c r="AS31" s="13"/>
      <c r="AT31" s="13"/>
      <c r="AV31" s="3"/>
      <c r="AW31" s="13"/>
      <c r="AX31" s="46"/>
      <c r="AY31" s="47" t="s">
        <v>30</v>
      </c>
      <c r="AZ31" s="48"/>
      <c r="BA31" s="109"/>
      <c r="BB31" s="49"/>
      <c r="BC31" s="125" t="str">
        <f>IF(BA31=0,"",IF(BA31="","",BA31/AP$75*100))</f>
        <v/>
      </c>
      <c r="BD31" s="13"/>
      <c r="BE31" s="3"/>
      <c r="BF31" s="3"/>
      <c r="BG31" s="3"/>
      <c r="BH31" s="3"/>
      <c r="BI31" s="46"/>
      <c r="BJ31" s="1375" t="str">
        <f>AY58</f>
        <v>Persönliche Entnahmen 
(evtl. Unternehmerlohn Büro))</v>
      </c>
      <c r="BK31" s="73"/>
      <c r="BL31" s="110">
        <f t="shared" si="2"/>
        <v>59222</v>
      </c>
      <c r="BM31" s="49"/>
      <c r="BN31" s="489"/>
      <c r="BO31" s="489">
        <f t="shared" si="3"/>
        <v>45328.047468290824</v>
      </c>
      <c r="BP31" s="431"/>
      <c r="BR31" s="13"/>
      <c r="BS31" s="13"/>
    </row>
    <row r="32" spans="1:71" ht="18" customHeight="1">
      <c r="A32" s="41"/>
      <c r="B32" s="42" t="s">
        <v>31</v>
      </c>
      <c r="C32" s="43"/>
      <c r="D32" s="110">
        <f>'18 Zielumsatz Planungsjahr'!Y9</f>
        <v>477248.80303714029</v>
      </c>
      <c r="E32" s="44"/>
      <c r="F32" s="125"/>
      <c r="G32" s="13"/>
      <c r="H32" s="13"/>
      <c r="J32" s="3"/>
      <c r="K32" s="13"/>
      <c r="L32" s="41"/>
      <c r="M32" s="42" t="s">
        <v>31</v>
      </c>
      <c r="N32" s="43"/>
      <c r="O32" s="109">
        <f>O34</f>
        <v>477248.80303714029</v>
      </c>
      <c r="P32" s="44"/>
      <c r="Q32" s="125"/>
      <c r="R32" s="13"/>
      <c r="S32" s="3"/>
      <c r="T32" s="3"/>
      <c r="U32" s="3"/>
      <c r="V32" s="3"/>
      <c r="W32" s="46"/>
      <c r="X32" s="171" t="str">
        <f>M59</f>
        <v>Tilgung Geschäft</v>
      </c>
      <c r="Y32" s="73"/>
      <c r="Z32" s="110">
        <f t="shared" si="0"/>
        <v>13282.2</v>
      </c>
      <c r="AA32" s="49"/>
      <c r="AB32" s="489"/>
      <c r="AC32" s="489">
        <f t="shared" si="1"/>
        <v>13282.2</v>
      </c>
      <c r="AD32" s="431"/>
      <c r="AF32" s="13"/>
      <c r="AG32" s="13"/>
      <c r="AH32" s="13"/>
      <c r="AI32" s="13"/>
      <c r="AJ32" s="13"/>
      <c r="AK32" s="13"/>
      <c r="AL32" s="13"/>
      <c r="AM32" s="3"/>
      <c r="AN32" s="42" t="s">
        <v>31</v>
      </c>
      <c r="AO32" s="43"/>
      <c r="AP32" s="110">
        <f>'18 Zielumsatz Planungsjahr'!Y9</f>
        <v>477248.80303714029</v>
      </c>
      <c r="AQ32" s="44"/>
      <c r="AR32" s="125"/>
      <c r="AS32" s="13"/>
      <c r="AT32" s="13"/>
      <c r="AV32" s="3"/>
      <c r="AW32" s="13"/>
      <c r="AX32" s="41"/>
      <c r="AY32" s="42" t="s">
        <v>31</v>
      </c>
      <c r="AZ32" s="43"/>
      <c r="BA32" s="109">
        <f>BA34</f>
        <v>477248.80303714029</v>
      </c>
      <c r="BB32" s="44"/>
      <c r="BC32" s="125"/>
      <c r="BD32" s="13"/>
      <c r="BE32" s="3"/>
      <c r="BF32" s="3"/>
      <c r="BG32" s="3"/>
      <c r="BH32" s="3"/>
      <c r="BI32" s="46"/>
      <c r="BJ32" s="171" t="str">
        <f>AY59</f>
        <v>Tilgung Geschäft</v>
      </c>
      <c r="BK32" s="73"/>
      <c r="BL32" s="110">
        <f t="shared" si="2"/>
        <v>13282.2</v>
      </c>
      <c r="BM32" s="49"/>
      <c r="BN32" s="489"/>
      <c r="BO32" s="489">
        <f t="shared" si="3"/>
        <v>13282.2</v>
      </c>
      <c r="BP32" s="431"/>
      <c r="BR32" s="13"/>
      <c r="BS32" s="13"/>
    </row>
    <row r="33" spans="1:71" ht="18" customHeight="1">
      <c r="A33" s="51"/>
      <c r="B33" s="42" t="s">
        <v>32</v>
      </c>
      <c r="C33" s="52"/>
      <c r="D33" s="110">
        <f>'18 Zielumsatz Planungsjahr'!Y10</f>
        <v>27787.905063418355</v>
      </c>
      <c r="E33" s="44"/>
      <c r="F33" s="125"/>
      <c r="G33" s="13"/>
      <c r="H33" s="13"/>
      <c r="J33" s="3"/>
      <c r="K33" s="13"/>
      <c r="L33" s="51"/>
      <c r="M33" s="42" t="s">
        <v>32</v>
      </c>
      <c r="N33" s="52"/>
      <c r="O33" s="109"/>
      <c r="P33" s="44"/>
      <c r="Q33" s="125"/>
      <c r="R33" s="496" t="str">
        <f>IF(Preiskalkulation!C3="ü","Preiskalkulation geschlossen","")</f>
        <v/>
      </c>
      <c r="S33" s="495"/>
      <c r="T33" s="495"/>
      <c r="U33" s="3"/>
      <c r="V33" s="3"/>
      <c r="W33" s="46"/>
      <c r="X33" s="47" t="str">
        <f>M60</f>
        <v>Einlagen</v>
      </c>
      <c r="Y33" s="73"/>
      <c r="Z33" s="109">
        <f t="shared" si="0"/>
        <v>0</v>
      </c>
      <c r="AA33" s="44"/>
      <c r="AB33" s="489"/>
      <c r="AC33" s="1015">
        <f t="shared" si="1"/>
        <v>0</v>
      </c>
      <c r="AD33" s="431"/>
      <c r="AF33" s="13"/>
      <c r="AG33" s="13"/>
      <c r="AH33" s="13"/>
      <c r="AI33" s="13"/>
      <c r="AJ33" s="13"/>
      <c r="AK33" s="13"/>
      <c r="AL33" s="13"/>
      <c r="AM33" s="3"/>
      <c r="AN33" s="42" t="s">
        <v>32</v>
      </c>
      <c r="AO33" s="52"/>
      <c r="AP33" s="110">
        <f>'18 Zielumsatz Planungsjahr'!Y10</f>
        <v>27787.905063418355</v>
      </c>
      <c r="AQ33" s="44"/>
      <c r="AR33" s="125"/>
      <c r="AS33" s="13"/>
      <c r="AT33" s="13"/>
      <c r="AV33" s="3"/>
      <c r="AW33" s="13"/>
      <c r="AX33" s="51"/>
      <c r="AY33" s="42" t="s">
        <v>32</v>
      </c>
      <c r="AZ33" s="52"/>
      <c r="BA33" s="109"/>
      <c r="BB33" s="44"/>
      <c r="BC33" s="125"/>
      <c r="BD33" s="496" t="str">
        <f>IF(Preiskalkulation!AO3="ü","Preiskalkulation geschlossen","")</f>
        <v/>
      </c>
      <c r="BE33" s="495"/>
      <c r="BF33" s="495"/>
      <c r="BG33" s="3"/>
      <c r="BH33" s="3"/>
      <c r="BI33" s="46"/>
      <c r="BJ33" s="47" t="str">
        <f>AY60</f>
        <v>Einlagen</v>
      </c>
      <c r="BK33" s="73"/>
      <c r="BL33" s="109">
        <f t="shared" si="2"/>
        <v>0</v>
      </c>
      <c r="BM33" s="44"/>
      <c r="BN33" s="489"/>
      <c r="BO33" s="1015">
        <f t="shared" si="3"/>
        <v>0</v>
      </c>
      <c r="BP33" s="431"/>
      <c r="BR33" s="13"/>
      <c r="BS33" s="13"/>
    </row>
    <row r="34" spans="1:71" ht="18" customHeight="1">
      <c r="A34" s="282"/>
      <c r="B34" s="283" t="s">
        <v>33</v>
      </c>
      <c r="C34" s="284"/>
      <c r="D34" s="285">
        <f>D36+D35</f>
        <v>505036.70810055867</v>
      </c>
      <c r="E34" s="286"/>
      <c r="F34" s="288"/>
      <c r="G34" s="13"/>
      <c r="H34" s="13"/>
      <c r="J34" s="3"/>
      <c r="K34" s="13"/>
      <c r="L34" s="282"/>
      <c r="M34" s="283" t="s">
        <v>900</v>
      </c>
      <c r="N34" s="284"/>
      <c r="O34" s="285">
        <f>O36+O35</f>
        <v>477248.80303714029</v>
      </c>
      <c r="P34" s="286"/>
      <c r="Q34" s="288"/>
      <c r="R34" s="13"/>
      <c r="S34" s="3"/>
      <c r="T34" s="3"/>
      <c r="U34" s="3"/>
      <c r="V34" s="3"/>
      <c r="W34" s="488"/>
      <c r="X34" s="491" t="s">
        <v>81</v>
      </c>
      <c r="Y34" s="492"/>
      <c r="Z34" s="487">
        <f t="shared" si="0"/>
        <v>5000.0000000000109</v>
      </c>
      <c r="AA34" s="286"/>
      <c r="AB34" s="490"/>
      <c r="AC34" s="1382">
        <f t="shared" si="1"/>
        <v>5000.0000000000109</v>
      </c>
      <c r="AD34" s="431"/>
      <c r="AF34" s="13"/>
      <c r="AG34" s="13"/>
      <c r="AH34" s="13"/>
      <c r="AI34" s="13"/>
      <c r="AJ34" s="13"/>
      <c r="AK34" s="13"/>
      <c r="AL34" s="13"/>
      <c r="AM34" s="3"/>
      <c r="AN34" s="283" t="s">
        <v>33</v>
      </c>
      <c r="AO34" s="284"/>
      <c r="AP34" s="285">
        <f>AP36+AP35</f>
        <v>505036.70810055867</v>
      </c>
      <c r="AQ34" s="286"/>
      <c r="AR34" s="288"/>
      <c r="AS34" s="13"/>
      <c r="AT34" s="13"/>
      <c r="AV34" s="3"/>
      <c r="AW34" s="13"/>
      <c r="AX34" s="282"/>
      <c r="AY34" s="283" t="s">
        <v>900</v>
      </c>
      <c r="AZ34" s="284"/>
      <c r="BA34" s="285">
        <f>BA36+BA35</f>
        <v>477248.80303714029</v>
      </c>
      <c r="BB34" s="286"/>
      <c r="BC34" s="288"/>
      <c r="BD34" s="13"/>
      <c r="BE34" s="3"/>
      <c r="BF34" s="3"/>
      <c r="BG34" s="3"/>
      <c r="BH34" s="3"/>
      <c r="BI34" s="488"/>
      <c r="BJ34" s="491" t="s">
        <v>81</v>
      </c>
      <c r="BK34" s="492"/>
      <c r="BL34" s="487">
        <f t="shared" si="2"/>
        <v>5000.0000000000109</v>
      </c>
      <c r="BM34" s="286"/>
      <c r="BN34" s="490"/>
      <c r="BO34" s="1382">
        <f t="shared" si="3"/>
        <v>5000</v>
      </c>
      <c r="BP34" s="431"/>
      <c r="BR34" s="13"/>
      <c r="BS34" s="13"/>
    </row>
    <row r="35" spans="1:71" ht="18" customHeight="1">
      <c r="A35" s="51"/>
      <c r="B35" s="47" t="s">
        <v>50</v>
      </c>
      <c r="C35" s="65"/>
      <c r="D35" s="110">
        <f>'18 Zielumsatz Planungsjahr'!Y12</f>
        <v>53028.854350558657</v>
      </c>
      <c r="E35" s="49"/>
      <c r="F35" s="125"/>
      <c r="G35" s="1374" t="s">
        <v>905</v>
      </c>
      <c r="H35" s="13" t="s">
        <v>904</v>
      </c>
      <c r="J35" s="1374" t="s">
        <v>905</v>
      </c>
      <c r="K35" s="13"/>
      <c r="L35" s="51"/>
      <c r="M35" s="47" t="s">
        <v>50</v>
      </c>
      <c r="N35" s="65"/>
      <c r="O35" s="109">
        <f>D17</f>
        <v>39134.901818849481</v>
      </c>
      <c r="P35" s="49"/>
      <c r="Q35" s="125"/>
      <c r="R35" s="4395" t="s">
        <v>371</v>
      </c>
      <c r="S35" s="4396"/>
      <c r="T35" s="4396"/>
      <c r="U35" s="4396"/>
      <c r="V35" s="3"/>
      <c r="W35" s="216"/>
      <c r="X35" s="148"/>
      <c r="Y35" s="148"/>
      <c r="Z35" s="148"/>
      <c r="AA35" s="148"/>
      <c r="AB35" s="148"/>
      <c r="AC35" s="216"/>
      <c r="AD35" s="216"/>
      <c r="AE35" s="216"/>
      <c r="AF35" s="13"/>
      <c r="AG35" s="13"/>
      <c r="AH35" s="13"/>
      <c r="AI35" s="13"/>
      <c r="AJ35" s="13"/>
      <c r="AK35" s="13"/>
      <c r="AL35" s="13"/>
      <c r="AM35" s="3"/>
      <c r="AN35" s="47" t="s">
        <v>50</v>
      </c>
      <c r="AO35" s="65"/>
      <c r="AP35" s="110">
        <f>'18 Zielumsatz Planungsjahr'!Y12</f>
        <v>53028.854350558657</v>
      </c>
      <c r="AQ35" s="49"/>
      <c r="AR35" s="125"/>
      <c r="AS35" s="1374" t="s">
        <v>905</v>
      </c>
      <c r="AT35" s="13" t="s">
        <v>904</v>
      </c>
      <c r="AV35" s="1374" t="s">
        <v>905</v>
      </c>
      <c r="AW35" s="13"/>
      <c r="AX35" s="51"/>
      <c r="AY35" s="47" t="s">
        <v>50</v>
      </c>
      <c r="AZ35" s="65"/>
      <c r="BA35" s="109">
        <f>AP17</f>
        <v>39134.901818849481</v>
      </c>
      <c r="BB35" s="49"/>
      <c r="BC35" s="125"/>
      <c r="BD35" s="4395" t="s">
        <v>371</v>
      </c>
      <c r="BE35" s="4396"/>
      <c r="BF35" s="4396"/>
      <c r="BG35" s="4396"/>
      <c r="BH35" s="3"/>
      <c r="BI35" s="216"/>
      <c r="BJ35" s="148"/>
      <c r="BK35" s="148"/>
      <c r="BL35" s="148"/>
      <c r="BM35" s="148"/>
      <c r="BN35" s="148"/>
      <c r="BO35" s="216"/>
      <c r="BP35" s="216"/>
      <c r="BQ35" s="216"/>
      <c r="BR35" s="13"/>
      <c r="BS35" s="13"/>
    </row>
    <row r="36" spans="1:71" ht="18" customHeight="1">
      <c r="A36" s="282"/>
      <c r="B36" s="283" t="s">
        <v>34</v>
      </c>
      <c r="C36" s="284"/>
      <c r="D36" s="285">
        <f>D38+D37</f>
        <v>452007.85375000001</v>
      </c>
      <c r="E36" s="286"/>
      <c r="F36" s="288"/>
      <c r="G36" s="13"/>
      <c r="H36" s="13"/>
      <c r="J36" s="3"/>
      <c r="K36" s="13"/>
      <c r="L36" s="282"/>
      <c r="M36" s="283" t="s">
        <v>34</v>
      </c>
      <c r="N36" s="284"/>
      <c r="O36" s="285">
        <f>O38+O37</f>
        <v>438113.90121829079</v>
      </c>
      <c r="P36" s="286"/>
      <c r="Q36" s="288"/>
      <c r="R36" s="4395"/>
      <c r="S36" s="4396"/>
      <c r="T36" s="4396"/>
      <c r="U36" s="4396"/>
      <c r="V36" s="3"/>
      <c r="W36" s="486" t="s">
        <v>398</v>
      </c>
      <c r="X36" s="148"/>
      <c r="Y36" s="148"/>
      <c r="Z36" s="148"/>
      <c r="AA36" s="148"/>
      <c r="AB36" s="148"/>
      <c r="AC36" s="148"/>
      <c r="AD36" s="148"/>
      <c r="AE36" s="148"/>
      <c r="AF36" s="13"/>
      <c r="AG36" s="13"/>
      <c r="AH36" s="13"/>
      <c r="AI36" s="13"/>
      <c r="AJ36" s="13"/>
      <c r="AK36" s="13"/>
      <c r="AL36" s="13"/>
      <c r="AM36" s="3"/>
      <c r="AN36" s="283" t="s">
        <v>34</v>
      </c>
      <c r="AO36" s="284"/>
      <c r="AP36" s="285">
        <f>AP38+AP37</f>
        <v>452007.85375000001</v>
      </c>
      <c r="AQ36" s="286"/>
      <c r="AR36" s="288"/>
      <c r="AS36" s="13"/>
      <c r="AT36" s="13"/>
      <c r="AV36" s="3"/>
      <c r="AW36" s="13"/>
      <c r="AX36" s="282"/>
      <c r="AY36" s="283" t="s">
        <v>34</v>
      </c>
      <c r="AZ36" s="284"/>
      <c r="BA36" s="285">
        <f>BA38+BA37</f>
        <v>438113.90121829079</v>
      </c>
      <c r="BB36" s="286"/>
      <c r="BC36" s="288"/>
      <c r="BD36" s="4395"/>
      <c r="BE36" s="4396"/>
      <c r="BF36" s="4396"/>
      <c r="BG36" s="4396"/>
      <c r="BH36" s="3"/>
      <c r="BI36" s="486" t="s">
        <v>398</v>
      </c>
      <c r="BJ36" s="148"/>
      <c r="BK36" s="148"/>
      <c r="BL36" s="148"/>
      <c r="BM36" s="148"/>
      <c r="BN36" s="148"/>
      <c r="BO36" s="148"/>
      <c r="BP36" s="148"/>
      <c r="BQ36" s="148"/>
      <c r="BR36" s="13"/>
      <c r="BS36" s="13"/>
    </row>
    <row r="37" spans="1:71" ht="18" customHeight="1">
      <c r="A37" s="51"/>
      <c r="B37" s="47" t="s">
        <v>35</v>
      </c>
      <c r="C37" s="65"/>
      <c r="D37" s="110">
        <f>'18 Zielumsatz Planungsjahr'!Y14</f>
        <v>211335.49775000001</v>
      </c>
      <c r="E37" s="49"/>
      <c r="F37" s="125"/>
      <c r="G37" s="13"/>
      <c r="H37" s="13"/>
      <c r="J37" s="3"/>
      <c r="K37" s="13"/>
      <c r="L37" s="51"/>
      <c r="M37" s="47" t="s">
        <v>35</v>
      </c>
      <c r="N37" s="65"/>
      <c r="O37" s="109">
        <f>'18 Zielumsatz Planungsjahr'!Y14</f>
        <v>211335.49775000001</v>
      </c>
      <c r="P37" s="49"/>
      <c r="Q37" s="125"/>
      <c r="R37" s="4393">
        <f>IF(Preiskalkulation!C3="ü","geschlossen",O37)</f>
        <v>211335.49775000001</v>
      </c>
      <c r="S37" s="4394"/>
      <c r="T37" s="4394"/>
      <c r="V37" s="3"/>
      <c r="W37" s="34" t="s">
        <v>441</v>
      </c>
      <c r="X37" s="148"/>
      <c r="Y37" s="148"/>
      <c r="Z37" s="148"/>
      <c r="AA37" s="148"/>
      <c r="AB37" s="148"/>
      <c r="AC37" s="148"/>
      <c r="AD37" s="148"/>
      <c r="AE37" s="148"/>
      <c r="AF37" s="13"/>
      <c r="AG37" s="13"/>
      <c r="AH37" s="13"/>
      <c r="AI37" s="13"/>
      <c r="AJ37" s="13"/>
      <c r="AK37" s="13"/>
      <c r="AL37" s="13"/>
      <c r="AM37" s="3"/>
      <c r="AN37" s="47" t="s">
        <v>35</v>
      </c>
      <c r="AO37" s="65"/>
      <c r="AP37" s="110">
        <f>'18 Zielumsatz Planungsjahr'!Y14</f>
        <v>211335.49775000001</v>
      </c>
      <c r="AQ37" s="49"/>
      <c r="AR37" s="125"/>
      <c r="AS37" s="13"/>
      <c r="AT37" s="13"/>
      <c r="AV37" s="3"/>
      <c r="AW37" s="13"/>
      <c r="AX37" s="51"/>
      <c r="AY37" s="47" t="s">
        <v>35</v>
      </c>
      <c r="AZ37" s="65"/>
      <c r="BA37" s="109">
        <f>'18 Zielumsatz Planungsjahr'!Y14</f>
        <v>211335.49775000001</v>
      </c>
      <c r="BB37" s="49"/>
      <c r="BC37" s="125"/>
      <c r="BD37" s="4393">
        <f>IF(Preiskalkulation!AO3="ü","geschlossen",BA37)</f>
        <v>211335.49775000001</v>
      </c>
      <c r="BE37" s="4394"/>
      <c r="BF37" s="4394"/>
      <c r="BH37" s="3"/>
      <c r="BI37" s="34" t="s">
        <v>441</v>
      </c>
      <c r="BJ37" s="148"/>
      <c r="BK37" s="148"/>
      <c r="BL37" s="148"/>
      <c r="BM37" s="148"/>
      <c r="BN37" s="148"/>
      <c r="BO37" s="148"/>
      <c r="BP37" s="148"/>
      <c r="BQ37" s="148"/>
      <c r="BR37" s="13"/>
      <c r="BS37" s="13"/>
    </row>
    <row r="38" spans="1:71" ht="18" customHeight="1" thickBot="1">
      <c r="A38" s="282"/>
      <c r="B38" s="283" t="s">
        <v>7</v>
      </c>
      <c r="C38" s="284"/>
      <c r="D38" s="285">
        <f>D49+D48</f>
        <v>240672.356</v>
      </c>
      <c r="E38" s="286"/>
      <c r="F38" s="288"/>
      <c r="G38" s="13"/>
      <c r="H38" s="13"/>
      <c r="J38" s="3"/>
      <c r="K38" s="13"/>
      <c r="L38" s="282"/>
      <c r="M38" s="283" t="s">
        <v>7</v>
      </c>
      <c r="N38" s="284"/>
      <c r="O38" s="285">
        <f>O49+O48</f>
        <v>226778.40346829081</v>
      </c>
      <c r="P38" s="286"/>
      <c r="Q38" s="288"/>
      <c r="S38" s="34" t="s">
        <v>932</v>
      </c>
      <c r="V38" s="3"/>
      <c r="W38" s="34" t="s">
        <v>442</v>
      </c>
      <c r="X38" s="148"/>
      <c r="Y38" s="148"/>
      <c r="Z38" s="148"/>
      <c r="AA38" s="148"/>
      <c r="AB38" s="148"/>
      <c r="AC38" s="148"/>
      <c r="AD38" s="148"/>
      <c r="AE38" s="148"/>
      <c r="AF38" s="13"/>
      <c r="AG38" s="13"/>
      <c r="AH38" s="13"/>
      <c r="AI38" s="13"/>
      <c r="AJ38" s="13"/>
      <c r="AK38" s="13"/>
      <c r="AL38" s="13"/>
      <c r="AM38" s="3"/>
      <c r="AN38" s="283" t="s">
        <v>7</v>
      </c>
      <c r="AO38" s="284"/>
      <c r="AP38" s="285">
        <f>AP49+AP48</f>
        <v>240672.356</v>
      </c>
      <c r="AQ38" s="286"/>
      <c r="AR38" s="288"/>
      <c r="AS38" s="13"/>
      <c r="AT38" s="13"/>
      <c r="AV38" s="3"/>
      <c r="AW38" s="13"/>
      <c r="AX38" s="282"/>
      <c r="AY38" s="283" t="s">
        <v>7</v>
      </c>
      <c r="AZ38" s="284"/>
      <c r="BA38" s="285">
        <f>BA49+BA48</f>
        <v>226778.40346829081</v>
      </c>
      <c r="BB38" s="286"/>
      <c r="BC38" s="288"/>
      <c r="BH38" s="3"/>
      <c r="BI38" s="34" t="s">
        <v>442</v>
      </c>
      <c r="BJ38" s="148"/>
      <c r="BK38" s="148"/>
      <c r="BL38" s="148"/>
      <c r="BM38" s="148"/>
      <c r="BN38" s="148"/>
      <c r="BO38" s="148"/>
      <c r="BP38" s="148"/>
      <c r="BQ38" s="148"/>
      <c r="BR38" s="13"/>
      <c r="BS38" s="13"/>
    </row>
    <row r="39" spans="1:71" ht="18" customHeight="1">
      <c r="A39" s="46"/>
      <c r="B39" s="68" t="s">
        <v>9</v>
      </c>
      <c r="C39" s="48"/>
      <c r="D39" s="110">
        <f>'18 Zielumsatz Planungsjahr'!Y16</f>
        <v>40064.055999999997</v>
      </c>
      <c r="E39" s="49"/>
      <c r="F39" s="125"/>
      <c r="G39" s="13"/>
      <c r="H39" s="13"/>
      <c r="J39" s="3"/>
      <c r="K39" s="13"/>
      <c r="L39" s="46"/>
      <c r="M39" s="68" t="s">
        <v>9</v>
      </c>
      <c r="N39" s="48"/>
      <c r="O39" s="109">
        <f>'18 Zielumsatz Planungsjahr'!Y16</f>
        <v>40064.055999999997</v>
      </c>
      <c r="P39" s="49"/>
      <c r="Q39" s="125"/>
      <c r="R39" s="13"/>
      <c r="S39" s="3"/>
      <c r="T39" s="3"/>
      <c r="U39" s="3"/>
      <c r="V39" s="3"/>
      <c r="W39" s="34" t="s">
        <v>440</v>
      </c>
      <c r="X39" s="148"/>
      <c r="Y39" s="148"/>
      <c r="Z39" s="148"/>
      <c r="AA39" s="148"/>
      <c r="AB39" s="148"/>
      <c r="AC39" s="148"/>
      <c r="AD39" s="148"/>
      <c r="AE39" s="148"/>
      <c r="AF39" s="13"/>
      <c r="AG39" s="13"/>
      <c r="AH39" s="13"/>
      <c r="AI39" s="13"/>
      <c r="AJ39" s="13"/>
      <c r="AK39" s="13"/>
      <c r="AL39" s="13"/>
      <c r="AM39" s="3"/>
      <c r="AN39" s="68" t="s">
        <v>9</v>
      </c>
      <c r="AO39" s="48"/>
      <c r="AP39" s="110">
        <f>'18 Zielumsatz Planungsjahr'!Y16</f>
        <v>40064.055999999997</v>
      </c>
      <c r="AQ39" s="49"/>
      <c r="AR39" s="125"/>
      <c r="AS39" s="13"/>
      <c r="AT39" s="13"/>
      <c r="AV39" s="3"/>
      <c r="AW39" s="13"/>
      <c r="AX39" s="46"/>
      <c r="AY39" s="68" t="s">
        <v>9</v>
      </c>
      <c r="AZ39" s="48"/>
      <c r="BA39" s="109">
        <f>'18 Zielumsatz Planungsjahr'!Y16</f>
        <v>40064.055999999997</v>
      </c>
      <c r="BB39" s="49"/>
      <c r="BC39" s="125"/>
      <c r="BD39" s="13"/>
      <c r="BE39" s="3"/>
      <c r="BF39" s="3"/>
      <c r="BG39" s="3"/>
      <c r="BH39" s="3"/>
      <c r="BI39" s="34" t="s">
        <v>440</v>
      </c>
      <c r="BJ39" s="148"/>
      <c r="BK39" s="148"/>
      <c r="BL39" s="148"/>
      <c r="BM39" s="148"/>
      <c r="BN39" s="148"/>
      <c r="BO39" s="148"/>
      <c r="BP39" s="148"/>
      <c r="BQ39" s="148"/>
      <c r="BR39" s="13"/>
      <c r="BS39" s="13"/>
    </row>
    <row r="40" spans="1:71" ht="18" customHeight="1">
      <c r="A40" s="46"/>
      <c r="B40" s="70" t="s">
        <v>52</v>
      </c>
      <c r="C40" s="48"/>
      <c r="D40" s="110">
        <f>'18 Zielumsatz Planungsjahr'!Y17</f>
        <v>11626.1</v>
      </c>
      <c r="E40" s="49"/>
      <c r="F40" s="69"/>
      <c r="G40" s="13"/>
      <c r="H40" s="13"/>
      <c r="J40" s="3"/>
      <c r="K40" s="13"/>
      <c r="L40" s="46"/>
      <c r="M40" s="70" t="s">
        <v>52</v>
      </c>
      <c r="N40" s="48"/>
      <c r="O40" s="109">
        <f>'18 Zielumsatz Planungsjahr'!Y17</f>
        <v>11626.1</v>
      </c>
      <c r="P40" s="49"/>
      <c r="Q40" s="69"/>
      <c r="R40" s="13"/>
      <c r="S40" s="3"/>
      <c r="T40" s="3"/>
      <c r="U40" s="3"/>
      <c r="V40" s="3"/>
      <c r="W40" s="34" t="s">
        <v>496</v>
      </c>
      <c r="X40" s="148"/>
      <c r="Y40" s="148"/>
      <c r="Z40" s="148"/>
      <c r="AA40" s="148"/>
      <c r="AB40" s="148"/>
      <c r="AC40" s="148"/>
      <c r="AD40" s="148"/>
      <c r="AE40" s="148"/>
      <c r="AF40" s="13"/>
      <c r="AG40" s="13"/>
      <c r="AH40" s="13"/>
      <c r="AI40" s="13"/>
      <c r="AJ40" s="13"/>
      <c r="AK40" s="13"/>
      <c r="AL40" s="13"/>
      <c r="AM40" s="3"/>
      <c r="AN40" s="70" t="s">
        <v>52</v>
      </c>
      <c r="AO40" s="48"/>
      <c r="AP40" s="110">
        <f>'18 Zielumsatz Planungsjahr'!Y17</f>
        <v>11626.1</v>
      </c>
      <c r="AQ40" s="49"/>
      <c r="AR40" s="69"/>
      <c r="AS40" s="13"/>
      <c r="AT40" s="13"/>
      <c r="AV40" s="3"/>
      <c r="AW40" s="13"/>
      <c r="AX40" s="46"/>
      <c r="AY40" s="70" t="s">
        <v>52</v>
      </c>
      <c r="AZ40" s="48"/>
      <c r="BA40" s="109">
        <f>'18 Zielumsatz Planungsjahr'!Y17</f>
        <v>11626.1</v>
      </c>
      <c r="BB40" s="49"/>
      <c r="BC40" s="69"/>
      <c r="BD40" s="13"/>
      <c r="BE40" s="3"/>
      <c r="BF40" s="3"/>
      <c r="BG40" s="3"/>
      <c r="BH40" s="3"/>
      <c r="BI40" s="34" t="s">
        <v>496</v>
      </c>
      <c r="BJ40" s="148"/>
      <c r="BK40" s="148"/>
      <c r="BL40" s="148"/>
      <c r="BM40" s="148"/>
      <c r="BN40" s="148"/>
      <c r="BO40" s="148"/>
      <c r="BP40" s="148"/>
      <c r="BQ40" s="148"/>
      <c r="BR40" s="13"/>
      <c r="BS40" s="13"/>
    </row>
    <row r="41" spans="1:71" ht="18" customHeight="1">
      <c r="A41" s="46"/>
      <c r="B41" s="70" t="s">
        <v>10</v>
      </c>
      <c r="C41" s="48"/>
      <c r="D41" s="110">
        <f>'18 Zielumsatz Planungsjahr'!Y18</f>
        <v>3100</v>
      </c>
      <c r="E41" s="49"/>
      <c r="F41" s="69"/>
      <c r="G41" s="13"/>
      <c r="H41" s="13"/>
      <c r="J41" s="3"/>
      <c r="K41" s="13"/>
      <c r="L41" s="46"/>
      <c r="M41" s="70" t="s">
        <v>10</v>
      </c>
      <c r="N41" s="48"/>
      <c r="O41" s="109">
        <f>'18 Zielumsatz Planungsjahr'!Y18</f>
        <v>3100</v>
      </c>
      <c r="P41" s="49"/>
      <c r="Q41" s="69"/>
      <c r="R41" s="13"/>
      <c r="S41" s="3"/>
      <c r="T41" s="3"/>
      <c r="U41" s="3"/>
      <c r="V41" s="3"/>
      <c r="W41" s="216" t="s">
        <v>444</v>
      </c>
      <c r="X41" s="148"/>
      <c r="Y41" s="148"/>
      <c r="Z41" s="148"/>
      <c r="AA41" s="148"/>
      <c r="AB41" s="148"/>
      <c r="AC41" s="148"/>
      <c r="AD41" s="148"/>
      <c r="AE41" s="148"/>
      <c r="AF41" s="13"/>
      <c r="AG41" s="13"/>
      <c r="AH41" s="13"/>
      <c r="AI41" s="13"/>
      <c r="AJ41" s="13"/>
      <c r="AK41" s="13"/>
      <c r="AL41" s="13"/>
      <c r="AM41" s="3"/>
      <c r="AN41" s="70" t="s">
        <v>10</v>
      </c>
      <c r="AO41" s="48"/>
      <c r="AP41" s="110">
        <f>'18 Zielumsatz Planungsjahr'!Y18</f>
        <v>3100</v>
      </c>
      <c r="AQ41" s="49"/>
      <c r="AR41" s="69"/>
      <c r="AS41" s="13"/>
      <c r="AT41" s="13"/>
      <c r="AV41" s="3"/>
      <c r="AW41" s="13"/>
      <c r="AX41" s="46"/>
      <c r="AY41" s="70" t="s">
        <v>10</v>
      </c>
      <c r="AZ41" s="48"/>
      <c r="BA41" s="109">
        <f>'18 Zielumsatz Planungsjahr'!Y18</f>
        <v>3100</v>
      </c>
      <c r="BB41" s="49"/>
      <c r="BC41" s="69"/>
      <c r="BD41" s="13"/>
      <c r="BE41" s="3"/>
      <c r="BF41" s="3"/>
      <c r="BG41" s="3"/>
      <c r="BH41" s="3"/>
      <c r="BI41" s="216" t="s">
        <v>444</v>
      </c>
      <c r="BJ41" s="148"/>
      <c r="BK41" s="148"/>
      <c r="BL41" s="148"/>
      <c r="BM41" s="148"/>
      <c r="BN41" s="148"/>
      <c r="BO41" s="148"/>
      <c r="BP41" s="148"/>
      <c r="BQ41" s="148"/>
      <c r="BR41" s="13"/>
      <c r="BS41" s="13"/>
    </row>
    <row r="42" spans="1:71" ht="18" customHeight="1">
      <c r="A42" s="46"/>
      <c r="B42" s="70" t="s">
        <v>11</v>
      </c>
      <c r="C42" s="48"/>
      <c r="D42" s="110">
        <f>'18 Zielumsatz Planungsjahr'!Y19</f>
        <v>7500</v>
      </c>
      <c r="E42" s="49"/>
      <c r="F42" s="69"/>
      <c r="G42" s="13"/>
      <c r="H42" s="13"/>
      <c r="J42" s="3"/>
      <c r="K42" s="13"/>
      <c r="L42" s="46"/>
      <c r="M42" s="70" t="s">
        <v>11</v>
      </c>
      <c r="N42" s="48"/>
      <c r="O42" s="109">
        <f>'18 Zielumsatz Planungsjahr'!Y19</f>
        <v>7500</v>
      </c>
      <c r="P42" s="49"/>
      <c r="Q42" s="69"/>
      <c r="R42" s="13"/>
      <c r="S42" s="3"/>
      <c r="T42" s="3"/>
      <c r="U42" s="3"/>
      <c r="V42" s="3"/>
      <c r="W42" s="216" t="s">
        <v>443</v>
      </c>
      <c r="X42" s="148"/>
      <c r="Y42" s="148"/>
      <c r="Z42" s="148"/>
      <c r="AA42" s="148"/>
      <c r="AB42" s="148"/>
      <c r="AC42" s="148"/>
      <c r="AD42" s="148"/>
      <c r="AE42" s="148"/>
      <c r="AF42" s="13"/>
      <c r="AG42" s="13"/>
      <c r="AH42" s="13"/>
      <c r="AI42" s="13"/>
      <c r="AJ42" s="13"/>
      <c r="AK42" s="13"/>
      <c r="AL42" s="13"/>
      <c r="AM42" s="3"/>
      <c r="AN42" s="70" t="s">
        <v>11</v>
      </c>
      <c r="AO42" s="48"/>
      <c r="AP42" s="110">
        <f>'18 Zielumsatz Planungsjahr'!Y19</f>
        <v>7500</v>
      </c>
      <c r="AQ42" s="49"/>
      <c r="AR42" s="69"/>
      <c r="AS42" s="13"/>
      <c r="AT42" s="13"/>
      <c r="AV42" s="3"/>
      <c r="AW42" s="13"/>
      <c r="AX42" s="46"/>
      <c r="AY42" s="70" t="s">
        <v>11</v>
      </c>
      <c r="AZ42" s="48"/>
      <c r="BA42" s="109">
        <f>'18 Zielumsatz Planungsjahr'!Y19</f>
        <v>7500</v>
      </c>
      <c r="BB42" s="49"/>
      <c r="BC42" s="69"/>
      <c r="BD42" s="13"/>
      <c r="BE42" s="3"/>
      <c r="BF42" s="3"/>
      <c r="BG42" s="3"/>
      <c r="BH42" s="3"/>
      <c r="BI42" s="216" t="s">
        <v>443</v>
      </c>
      <c r="BJ42" s="148"/>
      <c r="BK42" s="148"/>
      <c r="BL42" s="148"/>
      <c r="BM42" s="148"/>
      <c r="BN42" s="148"/>
      <c r="BO42" s="148"/>
      <c r="BP42" s="148"/>
      <c r="BQ42" s="148"/>
      <c r="BR42" s="13"/>
      <c r="BS42" s="13"/>
    </row>
    <row r="43" spans="1:71" ht="18" customHeight="1">
      <c r="A43" s="46"/>
      <c r="B43" s="70" t="s">
        <v>59</v>
      </c>
      <c r="C43" s="48"/>
      <c r="D43" s="110">
        <f>'18 Zielumsatz Planungsjahr'!Y20</f>
        <v>8000</v>
      </c>
      <c r="E43" s="49"/>
      <c r="F43" s="69"/>
      <c r="G43" s="13"/>
      <c r="H43" s="13"/>
      <c r="J43" s="3"/>
      <c r="K43" s="13"/>
      <c r="L43" s="46"/>
      <c r="M43" s="70" t="s">
        <v>59</v>
      </c>
      <c r="N43" s="48"/>
      <c r="O43" s="109">
        <f>'18 Zielumsatz Planungsjahr'!Y20</f>
        <v>8000</v>
      </c>
      <c r="P43" s="49"/>
      <c r="Q43" s="69"/>
      <c r="R43" s="13"/>
      <c r="S43" s="3"/>
      <c r="T43" s="3"/>
      <c r="U43" s="3"/>
      <c r="V43" s="3"/>
      <c r="W43" s="216" t="s">
        <v>399</v>
      </c>
      <c r="X43" s="148"/>
      <c r="Y43" s="148"/>
      <c r="Z43" s="148"/>
      <c r="AA43" s="148"/>
      <c r="AB43" s="148"/>
      <c r="AC43" s="148"/>
      <c r="AD43" s="148"/>
      <c r="AE43" s="148"/>
      <c r="AF43" s="13"/>
      <c r="AG43" s="13"/>
      <c r="AH43" s="13"/>
      <c r="AI43" s="13"/>
      <c r="AJ43" s="13"/>
      <c r="AK43" s="13"/>
      <c r="AL43" s="13"/>
      <c r="AM43" s="3"/>
      <c r="AN43" s="70" t="s">
        <v>59</v>
      </c>
      <c r="AO43" s="48"/>
      <c r="AP43" s="110">
        <f>'18 Zielumsatz Planungsjahr'!Y20</f>
        <v>8000</v>
      </c>
      <c r="AQ43" s="49"/>
      <c r="AR43" s="69"/>
      <c r="AS43" s="13"/>
      <c r="AT43" s="13"/>
      <c r="AV43" s="3"/>
      <c r="AW43" s="13"/>
      <c r="AX43" s="46"/>
      <c r="AY43" s="70" t="s">
        <v>59</v>
      </c>
      <c r="AZ43" s="48"/>
      <c r="BA43" s="109">
        <f>'18 Zielumsatz Planungsjahr'!Y20</f>
        <v>8000</v>
      </c>
      <c r="BB43" s="49"/>
      <c r="BC43" s="69"/>
      <c r="BD43" s="13"/>
      <c r="BE43" s="3"/>
      <c r="BF43" s="3"/>
      <c r="BG43" s="3"/>
      <c r="BH43" s="3"/>
      <c r="BI43" s="216" t="s">
        <v>399</v>
      </c>
      <c r="BJ43" s="148"/>
      <c r="BK43" s="148"/>
      <c r="BL43" s="148"/>
      <c r="BM43" s="148"/>
      <c r="BN43" s="148"/>
      <c r="BO43" s="148"/>
      <c r="BP43" s="148"/>
      <c r="BQ43" s="148"/>
      <c r="BR43" s="13"/>
      <c r="BS43" s="13"/>
    </row>
    <row r="44" spans="1:71" ht="18" customHeight="1">
      <c r="A44" s="46"/>
      <c r="B44" s="70" t="s">
        <v>12</v>
      </c>
      <c r="C44" s="48"/>
      <c r="D44" s="110">
        <f>'18 Zielumsatz Planungsjahr'!Y21</f>
        <v>900</v>
      </c>
      <c r="E44" s="49"/>
      <c r="F44" s="69"/>
      <c r="G44" s="13"/>
      <c r="H44" s="13"/>
      <c r="J44" s="3"/>
      <c r="K44" s="13"/>
      <c r="L44" s="46"/>
      <c r="M44" s="70" t="s">
        <v>12</v>
      </c>
      <c r="N44" s="48"/>
      <c r="O44" s="109">
        <f>'18 Zielumsatz Planungsjahr'!Y21</f>
        <v>900</v>
      </c>
      <c r="P44" s="49"/>
      <c r="Q44" s="69"/>
      <c r="R44" s="13"/>
      <c r="S44" s="3"/>
      <c r="T44" s="3"/>
      <c r="U44" s="3"/>
      <c r="V44" s="3"/>
      <c r="Y44" s="56"/>
      <c r="AB44" s="57"/>
      <c r="AF44" s="13"/>
      <c r="AG44" s="13"/>
      <c r="AH44" s="13"/>
      <c r="AI44" s="13"/>
      <c r="AJ44" s="13"/>
      <c r="AK44" s="13"/>
      <c r="AL44" s="13"/>
      <c r="AM44" s="3"/>
      <c r="AN44" s="70" t="s">
        <v>12</v>
      </c>
      <c r="AO44" s="48"/>
      <c r="AP44" s="110">
        <f>'18 Zielumsatz Planungsjahr'!Y21</f>
        <v>900</v>
      </c>
      <c r="AQ44" s="49"/>
      <c r="AR44" s="69"/>
      <c r="AS44" s="13"/>
      <c r="AT44" s="13"/>
      <c r="AV44" s="3"/>
      <c r="AW44" s="13"/>
      <c r="AX44" s="46"/>
      <c r="AY44" s="70" t="s">
        <v>12</v>
      </c>
      <c r="AZ44" s="48"/>
      <c r="BA44" s="109">
        <f>'18 Zielumsatz Planungsjahr'!Y21</f>
        <v>900</v>
      </c>
      <c r="BB44" s="49"/>
      <c r="BC44" s="69"/>
      <c r="BD44" s="13"/>
      <c r="BE44" s="3"/>
      <c r="BF44" s="3"/>
      <c r="BG44" s="3"/>
      <c r="BH44" s="3"/>
      <c r="BK44" s="56"/>
      <c r="BN44" s="57"/>
      <c r="BR44" s="13"/>
      <c r="BS44" s="13"/>
    </row>
    <row r="45" spans="1:71" ht="18" customHeight="1">
      <c r="A45" s="46"/>
      <c r="B45" s="70" t="s">
        <v>133</v>
      </c>
      <c r="C45" s="48"/>
      <c r="D45" s="110">
        <f>'18 Zielumsatz Planungsjahr'!Y22</f>
        <v>1200</v>
      </c>
      <c r="E45" s="49"/>
      <c r="F45" s="69"/>
      <c r="G45" s="13"/>
      <c r="H45" s="13"/>
      <c r="J45" s="3"/>
      <c r="K45" s="13"/>
      <c r="L45" s="46"/>
      <c r="M45" s="70" t="s">
        <v>133</v>
      </c>
      <c r="N45" s="48"/>
      <c r="O45" s="109">
        <f>'18 Zielumsatz Planungsjahr'!Y22</f>
        <v>1200</v>
      </c>
      <c r="P45" s="49"/>
      <c r="Q45" s="69"/>
      <c r="R45" s="4397" t="s">
        <v>853</v>
      </c>
      <c r="S45" s="4398"/>
      <c r="T45" s="4398"/>
      <c r="U45" s="4398"/>
      <c r="V45" s="3"/>
      <c r="W45" s="486" t="s">
        <v>1055</v>
      </c>
      <c r="X45" s="3"/>
      <c r="Y45" s="3"/>
      <c r="Z45" s="3"/>
      <c r="AA45" s="3"/>
      <c r="AB45" s="3"/>
      <c r="AC45" s="3"/>
      <c r="AD45" s="3"/>
      <c r="AE45" s="3"/>
      <c r="AF45" s="13"/>
      <c r="AG45" s="13"/>
      <c r="AH45" s="13"/>
      <c r="AI45" s="13"/>
      <c r="AJ45" s="13"/>
      <c r="AK45" s="13"/>
      <c r="AL45" s="13"/>
      <c r="AM45" s="3"/>
      <c r="AN45" s="70" t="s">
        <v>133</v>
      </c>
      <c r="AO45" s="48"/>
      <c r="AP45" s="110">
        <f>'18 Zielumsatz Planungsjahr'!Y22</f>
        <v>1200</v>
      </c>
      <c r="AQ45" s="49"/>
      <c r="AR45" s="69"/>
      <c r="AS45" s="13"/>
      <c r="AT45" s="13"/>
      <c r="AV45" s="3"/>
      <c r="AW45" s="13"/>
      <c r="AX45" s="46"/>
      <c r="AY45" s="70" t="s">
        <v>133</v>
      </c>
      <c r="AZ45" s="48"/>
      <c r="BA45" s="109">
        <f>'18 Zielumsatz Planungsjahr'!Y22</f>
        <v>1200</v>
      </c>
      <c r="BB45" s="49"/>
      <c r="BC45" s="69"/>
      <c r="BD45" s="4397" t="s">
        <v>853</v>
      </c>
      <c r="BE45" s="4398"/>
      <c r="BF45" s="4398"/>
      <c r="BG45" s="4398"/>
      <c r="BH45" s="3"/>
      <c r="BI45" s="486" t="s">
        <v>369</v>
      </c>
      <c r="BJ45" s="3"/>
      <c r="BK45" s="3"/>
      <c r="BL45" s="3"/>
      <c r="BM45" s="3"/>
      <c r="BN45" s="3"/>
      <c r="BO45" s="3"/>
      <c r="BP45" s="3"/>
      <c r="BQ45" s="3"/>
      <c r="BR45" s="13"/>
      <c r="BS45" s="13"/>
    </row>
    <row r="46" spans="1:71" ht="18" customHeight="1">
      <c r="A46" s="46"/>
      <c r="B46" s="70" t="s">
        <v>14</v>
      </c>
      <c r="C46" s="48"/>
      <c r="D46" s="110">
        <f>'18 Zielumsatz Planungsjahr'!Y23</f>
        <v>11300</v>
      </c>
      <c r="E46" s="49"/>
      <c r="F46" s="69"/>
      <c r="G46" s="13"/>
      <c r="H46" s="13"/>
      <c r="J46" s="3"/>
      <c r="K46" s="13"/>
      <c r="L46" s="46"/>
      <c r="M46" s="70" t="s">
        <v>14</v>
      </c>
      <c r="N46" s="48"/>
      <c r="O46" s="109">
        <f>'18 Zielumsatz Planungsjahr'!Y23</f>
        <v>11300</v>
      </c>
      <c r="P46" s="49"/>
      <c r="Q46" s="69"/>
      <c r="R46" s="4397"/>
      <c r="S46" s="4398"/>
      <c r="T46" s="4398"/>
      <c r="U46" s="4398"/>
      <c r="W46" s="486" t="s">
        <v>370</v>
      </c>
      <c r="X46" s="3"/>
      <c r="Y46" s="3"/>
      <c r="Z46" s="3"/>
      <c r="AA46" s="3"/>
      <c r="AB46" s="3"/>
      <c r="AC46" s="365" t="s">
        <v>913</v>
      </c>
      <c r="AD46" s="365" t="s">
        <v>912</v>
      </c>
      <c r="AE46" s="3"/>
      <c r="AF46" s="13"/>
      <c r="AH46" s="13"/>
      <c r="AI46" s="13"/>
      <c r="AJ46" s="13"/>
      <c r="AK46" s="13"/>
      <c r="AL46" s="13"/>
      <c r="AM46" s="3"/>
      <c r="AN46" s="70" t="s">
        <v>14</v>
      </c>
      <c r="AO46" s="48"/>
      <c r="AP46" s="110">
        <f>'18 Zielumsatz Planungsjahr'!Y23</f>
        <v>11300</v>
      </c>
      <c r="AQ46" s="49"/>
      <c r="AR46" s="69"/>
      <c r="AS46" s="13"/>
      <c r="AT46" s="13"/>
      <c r="AV46" s="3"/>
      <c r="AW46" s="13"/>
      <c r="AX46" s="46"/>
      <c r="AY46" s="70" t="s">
        <v>14</v>
      </c>
      <c r="AZ46" s="48"/>
      <c r="BA46" s="109">
        <f>'18 Zielumsatz Planungsjahr'!Y23</f>
        <v>11300</v>
      </c>
      <c r="BB46" s="49"/>
      <c r="BC46" s="69"/>
      <c r="BD46" s="4397"/>
      <c r="BE46" s="4398"/>
      <c r="BF46" s="4398"/>
      <c r="BG46" s="4398"/>
      <c r="BI46" s="486" t="s">
        <v>370</v>
      </c>
      <c r="BJ46" s="3"/>
      <c r="BK46" s="3"/>
      <c r="BL46" s="3"/>
      <c r="BM46" s="3"/>
      <c r="BN46" s="3"/>
      <c r="BO46" s="365" t="s">
        <v>913</v>
      </c>
      <c r="BP46" s="365" t="s">
        <v>912</v>
      </c>
      <c r="BQ46" s="3"/>
      <c r="BR46" s="13"/>
      <c r="BS46" s="13"/>
    </row>
    <row r="47" spans="1:71" ht="18" customHeight="1">
      <c r="A47" s="46"/>
      <c r="B47" s="70" t="s">
        <v>15</v>
      </c>
      <c r="C47" s="48"/>
      <c r="D47" s="110">
        <f>'18 Zielumsatz Planungsjahr'!Y24</f>
        <v>60000</v>
      </c>
      <c r="E47" s="49"/>
      <c r="F47" s="69"/>
      <c r="G47" s="13"/>
      <c r="H47" s="13"/>
      <c r="J47" s="3"/>
      <c r="K47" s="13"/>
      <c r="L47" s="46"/>
      <c r="M47" s="70" t="s">
        <v>15</v>
      </c>
      <c r="N47" s="48"/>
      <c r="O47" s="109">
        <f>'18 Zielumsatz Planungsjahr'!Y24</f>
        <v>60000</v>
      </c>
      <c r="P47" s="49"/>
      <c r="Q47" s="69"/>
      <c r="R47" s="4397"/>
      <c r="S47" s="4398"/>
      <c r="T47" s="4398"/>
      <c r="U47" s="4398"/>
      <c r="W47" s="34" t="s">
        <v>35</v>
      </c>
      <c r="X47" s="3"/>
      <c r="Y47" s="3"/>
      <c r="Z47" s="3"/>
      <c r="AA47" s="3"/>
      <c r="AB47" s="3"/>
      <c r="AC47" s="252">
        <f>D37</f>
        <v>211335.49775000001</v>
      </c>
      <c r="AD47" s="252">
        <f>IF(Preiskalkulation!$C$3="ü","geschlossen",O37)</f>
        <v>211335.49775000001</v>
      </c>
      <c r="AE47" s="252"/>
      <c r="AG47" s="2585" t="s">
        <v>126</v>
      </c>
      <c r="AH47" s="13"/>
      <c r="AI47" s="13"/>
      <c r="AJ47" s="13"/>
      <c r="AK47" s="13"/>
      <c r="AL47" s="13"/>
      <c r="AM47" s="3"/>
      <c r="AN47" s="70" t="s">
        <v>15</v>
      </c>
      <c r="AO47" s="48"/>
      <c r="AP47" s="110">
        <f>'18 Zielumsatz Planungsjahr'!Y24</f>
        <v>60000</v>
      </c>
      <c r="AQ47" s="49"/>
      <c r="AR47" s="69"/>
      <c r="AS47" s="13"/>
      <c r="AT47" s="13"/>
      <c r="AV47" s="3"/>
      <c r="AW47" s="13"/>
      <c r="AX47" s="46"/>
      <c r="AY47" s="70" t="s">
        <v>15</v>
      </c>
      <c r="AZ47" s="48"/>
      <c r="BA47" s="109">
        <f>'18 Zielumsatz Planungsjahr'!Y24</f>
        <v>60000</v>
      </c>
      <c r="BB47" s="49"/>
      <c r="BC47" s="69"/>
      <c r="BD47" s="4397"/>
      <c r="BE47" s="4398"/>
      <c r="BF47" s="4398"/>
      <c r="BG47" s="4398"/>
      <c r="BI47" s="34" t="s">
        <v>35</v>
      </c>
      <c r="BJ47" s="3"/>
      <c r="BK47" s="3"/>
      <c r="BL47" s="3"/>
      <c r="BM47" s="3"/>
      <c r="BN47" s="3"/>
      <c r="BO47" s="252">
        <f>BA37</f>
        <v>211335.49775000001</v>
      </c>
      <c r="BP47" s="252">
        <f>IF(Preiskalkulation!$C$3="ü","geschlossen",BA37)</f>
        <v>211335.49775000001</v>
      </c>
      <c r="BR47" s="2585" t="s">
        <v>126</v>
      </c>
      <c r="BS47" s="13"/>
    </row>
    <row r="48" spans="1:71" ht="18" customHeight="1" thickBot="1">
      <c r="A48" s="51"/>
      <c r="B48" s="181" t="s">
        <v>16</v>
      </c>
      <c r="C48" s="71"/>
      <c r="D48" s="109">
        <f>SUM(D39:D47)</f>
        <v>143690.15599999999</v>
      </c>
      <c r="E48" s="44"/>
      <c r="F48" s="66"/>
      <c r="G48" s="13"/>
      <c r="H48" s="13"/>
      <c r="J48" s="3"/>
      <c r="K48" s="13"/>
      <c r="L48" s="51"/>
      <c r="M48" s="181" t="s">
        <v>16</v>
      </c>
      <c r="N48" s="71"/>
      <c r="O48" s="109">
        <f>SUM(O39:O47)</f>
        <v>143690.15599999999</v>
      </c>
      <c r="P48" s="44"/>
      <c r="Q48" s="66"/>
      <c r="R48" s="4393">
        <f>IF(Preiskalkulation!C3="ü","geschlossen",O48+O50-O51)</f>
        <v>143690.15599999999</v>
      </c>
      <c r="S48" s="4394"/>
      <c r="T48" s="4394"/>
      <c r="W48" s="34" t="s">
        <v>332</v>
      </c>
      <c r="X48" s="3"/>
      <c r="Y48" s="3"/>
      <c r="Z48" s="3"/>
      <c r="AA48" s="3"/>
      <c r="AB48" s="3"/>
      <c r="AC48" s="252">
        <f>Z30</f>
        <v>30778</v>
      </c>
      <c r="AD48" s="252">
        <f>O57</f>
        <v>30778</v>
      </c>
      <c r="AE48" s="252"/>
      <c r="AG48" s="2586">
        <f>AC48-AD48</f>
        <v>0</v>
      </c>
      <c r="AH48" s="13"/>
      <c r="AI48" s="13"/>
      <c r="AJ48" s="13"/>
      <c r="AK48" s="13"/>
      <c r="AL48" s="13"/>
      <c r="AM48" s="3"/>
      <c r="AN48" s="181" t="s">
        <v>16</v>
      </c>
      <c r="AO48" s="71"/>
      <c r="AP48" s="109">
        <f>SUM(AP39:AP47)</f>
        <v>143690.15599999999</v>
      </c>
      <c r="AQ48" s="44"/>
      <c r="AR48" s="66"/>
      <c r="AS48" s="13"/>
      <c r="AT48" s="13"/>
      <c r="AV48" s="3"/>
      <c r="AW48" s="13"/>
      <c r="AX48" s="51"/>
      <c r="AY48" s="181" t="s">
        <v>16</v>
      </c>
      <c r="AZ48" s="71"/>
      <c r="BA48" s="109">
        <f>SUM(BA39:BA47)</f>
        <v>143690.15599999999</v>
      </c>
      <c r="BB48" s="44"/>
      <c r="BC48" s="66"/>
      <c r="BD48" s="4393">
        <f>IF(Preiskalkulation!AO3="ü","geschlossen",BA48+BA50-BA51)</f>
        <v>143690.15599999999</v>
      </c>
      <c r="BE48" s="4394"/>
      <c r="BF48" s="4394"/>
      <c r="BI48" s="34" t="s">
        <v>332</v>
      </c>
      <c r="BJ48" s="3"/>
      <c r="BK48" s="3"/>
      <c r="BL48" s="3"/>
      <c r="BM48" s="3"/>
      <c r="BN48" s="3"/>
      <c r="BO48" s="252">
        <f>BL30</f>
        <v>30778</v>
      </c>
      <c r="BP48" s="252">
        <f>BA57</f>
        <v>30778</v>
      </c>
      <c r="BR48" s="2586">
        <f>BN48-BO48</f>
        <v>-30778</v>
      </c>
      <c r="BS48" s="13"/>
    </row>
    <row r="49" spans="1:71" ht="18" customHeight="1">
      <c r="A49" s="54"/>
      <c r="B49" s="72" t="s">
        <v>18</v>
      </c>
      <c r="C49" s="55"/>
      <c r="D49" s="487">
        <f>D53-D51+D50-D52</f>
        <v>96982.200000000012</v>
      </c>
      <c r="E49" s="286" t="str">
        <f>IF(C49="","",C49/#REF!*100)</f>
        <v/>
      </c>
      <c r="F49" s="288"/>
      <c r="G49" s="13"/>
      <c r="H49" s="13"/>
      <c r="J49" s="3"/>
      <c r="K49" s="13"/>
      <c r="L49" s="54"/>
      <c r="M49" s="72" t="s">
        <v>18</v>
      </c>
      <c r="N49" s="55"/>
      <c r="O49" s="487">
        <f>O53-O51+O50-O52</f>
        <v>83088.247468290836</v>
      </c>
      <c r="P49" s="286" t="str">
        <f>IF(N49="","",N49/C$75*100)</f>
        <v/>
      </c>
      <c r="Q49" s="288"/>
      <c r="W49" s="142" t="s">
        <v>401</v>
      </c>
      <c r="X49" s="142"/>
      <c r="Y49" s="519"/>
      <c r="Z49" s="142"/>
      <c r="AA49" s="142"/>
      <c r="AB49" s="520"/>
      <c r="AC49" s="495">
        <f>SUM(AC47:AC48)</f>
        <v>242113.49775000001</v>
      </c>
      <c r="AD49" s="495">
        <f>SUM(AD47:AD48)</f>
        <v>242113.49775000001</v>
      </c>
      <c r="AE49" s="495"/>
      <c r="AG49" s="2586">
        <f>AC49-AD49</f>
        <v>0</v>
      </c>
      <c r="AH49" s="13"/>
      <c r="AI49" s="13"/>
      <c r="AJ49" s="13"/>
      <c r="AK49" s="13"/>
      <c r="AL49" s="13"/>
      <c r="AM49" s="3"/>
      <c r="AN49" s="72" t="s">
        <v>18</v>
      </c>
      <c r="AO49" s="55"/>
      <c r="AP49" s="487">
        <f>AP53-AP51+AP50-AP52</f>
        <v>96982.200000000012</v>
      </c>
      <c r="AQ49" s="286" t="str">
        <f>IF(AO49="","",AO49/#REF!*100)</f>
        <v/>
      </c>
      <c r="AR49" s="288"/>
      <c r="AS49" s="13"/>
      <c r="AT49" s="13"/>
      <c r="AV49" s="3"/>
      <c r="AW49" s="13"/>
      <c r="AX49" s="54"/>
      <c r="AY49" s="72" t="s">
        <v>18</v>
      </c>
      <c r="AZ49" s="55"/>
      <c r="BA49" s="487">
        <f>BA53-BA51+BA50-BA52</f>
        <v>83088.247468290821</v>
      </c>
      <c r="BB49" s="286" t="str">
        <f>IF(AZ49="","",AZ49/AO$75*100)</f>
        <v/>
      </c>
      <c r="BC49" s="288"/>
      <c r="BI49" s="142" t="s">
        <v>401</v>
      </c>
      <c r="BJ49" s="142"/>
      <c r="BK49" s="519"/>
      <c r="BL49" s="142"/>
      <c r="BM49" s="142"/>
      <c r="BN49" s="520"/>
      <c r="BO49" s="495">
        <f>BP49</f>
        <v>242113.49775000001</v>
      </c>
      <c r="BP49" s="495">
        <f>SUM(BP47:BP48)</f>
        <v>242113.49775000001</v>
      </c>
      <c r="BR49" s="2586">
        <f>BN49-BO49</f>
        <v>-242113.49775000001</v>
      </c>
      <c r="BS49" s="13"/>
    </row>
    <row r="50" spans="1:71" ht="18" customHeight="1">
      <c r="A50" s="46"/>
      <c r="B50" s="47" t="s">
        <v>36</v>
      </c>
      <c r="C50" s="73"/>
      <c r="D50" s="110">
        <f>'18 Zielumsatz Planungsjahr'!Y27</f>
        <v>0</v>
      </c>
      <c r="E50" s="49"/>
      <c r="F50" s="69"/>
      <c r="G50" s="13"/>
      <c r="H50" s="13"/>
      <c r="J50" s="3"/>
      <c r="K50" s="13"/>
      <c r="L50" s="46"/>
      <c r="M50" s="47" t="s">
        <v>36</v>
      </c>
      <c r="N50" s="73"/>
      <c r="O50" s="109">
        <f>'18 Zielumsatz Planungsjahr'!Y27</f>
        <v>0</v>
      </c>
      <c r="P50" s="49"/>
      <c r="Q50" s="69"/>
      <c r="R50" s="3"/>
      <c r="S50" s="3"/>
      <c r="T50" s="3"/>
      <c r="U50" s="3"/>
      <c r="Y50" s="56"/>
      <c r="AB50" s="57"/>
      <c r="AC50" s="252"/>
      <c r="AD50" s="252"/>
      <c r="AE50" s="252"/>
      <c r="AG50" s="2586">
        <f>AC50-AD50</f>
        <v>0</v>
      </c>
      <c r="AH50" s="13"/>
      <c r="AI50" s="13"/>
      <c r="AJ50" s="13"/>
      <c r="AK50" s="13"/>
      <c r="AL50" s="13"/>
      <c r="AM50" s="3"/>
      <c r="AN50" s="47" t="s">
        <v>36</v>
      </c>
      <c r="AO50" s="73"/>
      <c r="AP50" s="110">
        <f>'18 Zielumsatz Planungsjahr'!Y27</f>
        <v>0</v>
      </c>
      <c r="AQ50" s="49"/>
      <c r="AR50" s="69"/>
      <c r="AS50" s="13"/>
      <c r="AT50" s="13"/>
      <c r="AV50" s="3"/>
      <c r="AW50" s="13"/>
      <c r="AX50" s="46"/>
      <c r="AY50" s="47" t="s">
        <v>36</v>
      </c>
      <c r="AZ50" s="73"/>
      <c r="BA50" s="109">
        <f>'18 Zielumsatz Planungsjahr'!Y27</f>
        <v>0</v>
      </c>
      <c r="BB50" s="49"/>
      <c r="BC50" s="69"/>
      <c r="BD50" s="3"/>
      <c r="BE50" s="3"/>
      <c r="BF50" s="3"/>
      <c r="BG50" s="3"/>
      <c r="BK50" s="56"/>
      <c r="BN50" s="57"/>
      <c r="BO50" s="252"/>
      <c r="BP50" s="252"/>
      <c r="BR50" s="2586">
        <f>BN50-BO50</f>
        <v>0</v>
      </c>
      <c r="BS50" s="13"/>
    </row>
    <row r="51" spans="1:71" ht="18" customHeight="1">
      <c r="A51" s="46"/>
      <c r="B51" s="47" t="s">
        <v>37</v>
      </c>
      <c r="C51" s="73"/>
      <c r="D51" s="110">
        <f>'18 Zielumsatz Planungsjahr'!Y28</f>
        <v>0</v>
      </c>
      <c r="E51" s="49"/>
      <c r="F51" s="69"/>
      <c r="G51" s="13"/>
      <c r="H51" s="13"/>
      <c r="J51" s="3"/>
      <c r="K51" s="13"/>
      <c r="L51" s="46"/>
      <c r="M51" s="47" t="s">
        <v>37</v>
      </c>
      <c r="N51" s="73"/>
      <c r="O51" s="109">
        <f>'18 Zielumsatz Planungsjahr'!Y28</f>
        <v>0</v>
      </c>
      <c r="P51" s="49"/>
      <c r="Q51" s="69"/>
      <c r="R51" s="3"/>
      <c r="S51" s="3"/>
      <c r="T51" s="3"/>
      <c r="U51" s="3"/>
      <c r="W51" s="34" t="s">
        <v>72</v>
      </c>
      <c r="X51" s="216"/>
      <c r="Y51" s="216"/>
      <c r="Z51" s="216"/>
      <c r="AA51" s="216"/>
      <c r="AB51" s="216"/>
      <c r="AC51" s="252">
        <f>Z32</f>
        <v>13282.2</v>
      </c>
      <c r="AD51" s="521">
        <f>O59</f>
        <v>13282.2</v>
      </c>
      <c r="AE51" s="521"/>
      <c r="AG51" s="2587"/>
      <c r="AH51" s="13"/>
      <c r="AI51" s="13"/>
      <c r="AJ51" s="13"/>
      <c r="AK51" s="13"/>
      <c r="AL51" s="13"/>
      <c r="AM51" s="3"/>
      <c r="AN51" s="47" t="s">
        <v>37</v>
      </c>
      <c r="AO51" s="73"/>
      <c r="AP51" s="110">
        <f>'18 Zielumsatz Planungsjahr'!Y28</f>
        <v>0</v>
      </c>
      <c r="AQ51" s="49"/>
      <c r="AR51" s="69"/>
      <c r="AS51" s="13"/>
      <c r="AT51" s="13"/>
      <c r="AV51" s="3"/>
      <c r="AW51" s="13"/>
      <c r="AX51" s="46"/>
      <c r="AY51" s="47" t="s">
        <v>37</v>
      </c>
      <c r="AZ51" s="73"/>
      <c r="BA51" s="109">
        <f>'18 Zielumsatz Planungsjahr'!Y28</f>
        <v>0</v>
      </c>
      <c r="BB51" s="49"/>
      <c r="BC51" s="69"/>
      <c r="BD51" s="3"/>
      <c r="BE51" s="3"/>
      <c r="BF51" s="3"/>
      <c r="BG51" s="3"/>
      <c r="BI51" s="34" t="s">
        <v>72</v>
      </c>
      <c r="BJ51" s="216"/>
      <c r="BK51" s="216"/>
      <c r="BL51" s="216"/>
      <c r="BM51" s="216"/>
      <c r="BN51" s="216"/>
      <c r="BO51" s="252">
        <f>BL32</f>
        <v>13282.2</v>
      </c>
      <c r="BP51" s="521">
        <f>BA59</f>
        <v>13282.2</v>
      </c>
      <c r="BR51" s="2587"/>
      <c r="BS51" s="13"/>
    </row>
    <row r="52" spans="1:71" ht="18" customHeight="1">
      <c r="A52" s="46"/>
      <c r="B52" s="47" t="s">
        <v>39</v>
      </c>
      <c r="C52" s="73"/>
      <c r="D52" s="110">
        <f>'18 Zielumsatz Planungsjahr'!Y29</f>
        <v>0</v>
      </c>
      <c r="E52" s="44"/>
      <c r="F52" s="66"/>
      <c r="G52" s="13"/>
      <c r="H52" s="13"/>
      <c r="J52" s="3"/>
      <c r="K52" s="13"/>
      <c r="L52" s="46"/>
      <c r="M52" s="47" t="s">
        <v>39</v>
      </c>
      <c r="N52" s="73"/>
      <c r="O52" s="109">
        <f>'18 Zielumsatz Planungsjahr'!Y29</f>
        <v>0</v>
      </c>
      <c r="P52" s="44"/>
      <c r="Q52" s="66"/>
      <c r="R52" s="3"/>
      <c r="S52" s="3"/>
      <c r="T52" s="3"/>
      <c r="U52" s="3"/>
      <c r="W52" s="216" t="s">
        <v>14</v>
      </c>
      <c r="AC52" s="252">
        <f>D54</f>
        <v>11300</v>
      </c>
      <c r="AD52" s="252">
        <f>O46</f>
        <v>11300</v>
      </c>
      <c r="AE52" s="252"/>
      <c r="AG52" s="2586">
        <f>AC52-AD52</f>
        <v>0</v>
      </c>
      <c r="AH52" s="13"/>
      <c r="AI52" s="13"/>
      <c r="AJ52" s="13"/>
      <c r="AK52" s="13"/>
      <c r="AL52" s="13"/>
      <c r="AM52" s="3"/>
      <c r="AN52" s="47" t="s">
        <v>39</v>
      </c>
      <c r="AO52" s="73"/>
      <c r="AP52" s="110">
        <f>'18 Zielumsatz Planungsjahr'!Y29</f>
        <v>0</v>
      </c>
      <c r="AQ52" s="44"/>
      <c r="AR52" s="66"/>
      <c r="AS52" s="13"/>
      <c r="AT52" s="13"/>
      <c r="AV52" s="3"/>
      <c r="AW52" s="13"/>
      <c r="AX52" s="46"/>
      <c r="AY52" s="47" t="s">
        <v>39</v>
      </c>
      <c r="AZ52" s="73"/>
      <c r="BA52" s="109">
        <f>'18 Zielumsatz Planungsjahr'!Y29</f>
        <v>0</v>
      </c>
      <c r="BB52" s="44"/>
      <c r="BC52" s="66"/>
      <c r="BD52" s="3"/>
      <c r="BE52" s="3"/>
      <c r="BF52" s="3"/>
      <c r="BG52" s="3"/>
      <c r="BI52" s="216" t="s">
        <v>14</v>
      </c>
      <c r="BO52" s="252">
        <f>BA54</f>
        <v>11300</v>
      </c>
      <c r="BP52" s="252">
        <f>BA46</f>
        <v>11300</v>
      </c>
      <c r="BR52" s="2586">
        <f>BN52-BO52</f>
        <v>-11300</v>
      </c>
      <c r="BS52" s="13"/>
    </row>
    <row r="53" spans="1:71" ht="18" customHeight="1">
      <c r="A53" s="282"/>
      <c r="B53" s="283" t="s">
        <v>40</v>
      </c>
      <c r="C53" s="284"/>
      <c r="D53" s="487">
        <f>D56-D54</f>
        <v>96982.200000000012</v>
      </c>
      <c r="E53" s="286"/>
      <c r="F53" s="288"/>
      <c r="G53" s="13"/>
      <c r="H53" s="13"/>
      <c r="J53" s="3"/>
      <c r="K53" s="13"/>
      <c r="L53" s="282"/>
      <c r="M53" s="283" t="s">
        <v>40</v>
      </c>
      <c r="N53" s="284"/>
      <c r="O53" s="487">
        <f>O56-O54</f>
        <v>83088.247468290836</v>
      </c>
      <c r="P53" s="286"/>
      <c r="Q53" s="288"/>
      <c r="R53" s="13"/>
      <c r="S53" s="3"/>
      <c r="T53" s="3"/>
      <c r="U53" s="3"/>
      <c r="W53" s="142" t="s">
        <v>400</v>
      </c>
      <c r="X53" s="142"/>
      <c r="Y53" s="142"/>
      <c r="Z53" s="142"/>
      <c r="AA53" s="142"/>
      <c r="AB53" s="142"/>
      <c r="AC53" s="1642">
        <f>AD53</f>
        <v>1982.2000000000007</v>
      </c>
      <c r="AD53" s="495">
        <f>IF(AD51&gt;AD52,AD51-AD52,"Abschreibung ist höher")</f>
        <v>1982.2000000000007</v>
      </c>
      <c r="AE53" s="495"/>
      <c r="AG53" s="2586">
        <f>AC53-AD53</f>
        <v>0</v>
      </c>
      <c r="AH53" s="13"/>
      <c r="AI53" s="13"/>
      <c r="AJ53" s="13"/>
      <c r="AK53" s="13"/>
      <c r="AL53" s="13"/>
      <c r="AM53" s="3"/>
      <c r="AN53" s="283" t="s">
        <v>40</v>
      </c>
      <c r="AO53" s="284"/>
      <c r="AP53" s="487">
        <f>AP56-AP54</f>
        <v>96982.200000000012</v>
      </c>
      <c r="AQ53" s="286"/>
      <c r="AR53" s="288"/>
      <c r="AS53" s="13"/>
      <c r="AT53" s="13"/>
      <c r="AV53" s="3"/>
      <c r="AW53" s="13"/>
      <c r="AX53" s="282"/>
      <c r="AY53" s="283" t="s">
        <v>40</v>
      </c>
      <c r="AZ53" s="284"/>
      <c r="BA53" s="487">
        <f>BA56-BA54-BA55</f>
        <v>83088.247468290821</v>
      </c>
      <c r="BB53" s="286"/>
      <c r="BC53" s="288"/>
      <c r="BD53" s="13"/>
      <c r="BE53" s="3"/>
      <c r="BF53" s="3"/>
      <c r="BG53" s="3"/>
      <c r="BI53" s="142" t="s">
        <v>400</v>
      </c>
      <c r="BJ53" s="142"/>
      <c r="BK53" s="142"/>
      <c r="BL53" s="142"/>
      <c r="BM53" s="142"/>
      <c r="BN53" s="142"/>
      <c r="BO53" s="495">
        <f>BP53</f>
        <v>1982.2000000000007</v>
      </c>
      <c r="BP53" s="495">
        <f>IF(BP51&gt;BP52,BP51-BP52,"Abschreibung ist höher")</f>
        <v>1982.2000000000007</v>
      </c>
      <c r="BR53" s="2586">
        <f>BN53-BO53</f>
        <v>-1982.2000000000007</v>
      </c>
      <c r="BS53" s="13"/>
    </row>
    <row r="54" spans="1:71" ht="18" customHeight="1">
      <c r="A54" s="46"/>
      <c r="B54" s="47" t="s">
        <v>14</v>
      </c>
      <c r="C54" s="73"/>
      <c r="D54" s="110">
        <f>'18 Zielumsatz Planungsjahr'!Y31</f>
        <v>11300</v>
      </c>
      <c r="E54" s="49"/>
      <c r="F54" s="69"/>
      <c r="G54" s="13"/>
      <c r="H54" s="13"/>
      <c r="J54" s="3"/>
      <c r="K54" s="13"/>
      <c r="L54" s="46"/>
      <c r="M54" s="47" t="s">
        <v>14</v>
      </c>
      <c r="N54" s="73"/>
      <c r="O54" s="109">
        <f>'18 Zielumsatz Planungsjahr'!Y31</f>
        <v>11300</v>
      </c>
      <c r="P54" s="49"/>
      <c r="Q54" s="69"/>
      <c r="R54" s="13"/>
      <c r="S54" s="3"/>
      <c r="T54" s="3"/>
      <c r="U54" s="3"/>
      <c r="W54" s="34" t="s">
        <v>402</v>
      </c>
      <c r="Y54" s="56"/>
      <c r="AB54" s="57"/>
      <c r="AC54" s="252">
        <f>D58</f>
        <v>59222</v>
      </c>
      <c r="AD54" s="252">
        <f>O58</f>
        <v>45328.047468290824</v>
      </c>
      <c r="AE54" s="252"/>
      <c r="AG54" s="2587"/>
      <c r="AH54" s="13"/>
      <c r="AI54" s="13"/>
      <c r="AJ54" s="13"/>
      <c r="AK54" s="13"/>
      <c r="AL54" s="13"/>
      <c r="AM54" s="3"/>
      <c r="AN54" s="47" t="s">
        <v>14</v>
      </c>
      <c r="AO54" s="73"/>
      <c r="AP54" s="110">
        <f>'18 Zielumsatz Planungsjahr'!Y31</f>
        <v>11300</v>
      </c>
      <c r="AQ54" s="49"/>
      <c r="AR54" s="69"/>
      <c r="AS54" s="13"/>
      <c r="AT54" s="13"/>
      <c r="AV54" s="3"/>
      <c r="AW54" s="13"/>
      <c r="AX54" s="46"/>
      <c r="AY54" s="47" t="s">
        <v>14</v>
      </c>
      <c r="AZ54" s="73"/>
      <c r="BA54" s="109">
        <f>'18 Zielumsatz Planungsjahr'!Y31</f>
        <v>11300</v>
      </c>
      <c r="BB54" s="49"/>
      <c r="BC54" s="69"/>
      <c r="BD54" s="13"/>
      <c r="BE54" s="3"/>
      <c r="BF54" s="3"/>
      <c r="BG54" s="3"/>
      <c r="BI54" s="34" t="s">
        <v>402</v>
      </c>
      <c r="BK54" s="56"/>
      <c r="BN54" s="57"/>
      <c r="BO54" s="252">
        <f>AP58</f>
        <v>59222</v>
      </c>
      <c r="BP54" s="252">
        <f>BA58</f>
        <v>45328.047468290824</v>
      </c>
      <c r="BR54" s="2587"/>
      <c r="BS54" s="13"/>
    </row>
    <row r="55" spans="1:71" ht="18" customHeight="1">
      <c r="A55" s="51"/>
      <c r="B55" s="42"/>
      <c r="C55" s="71"/>
      <c r="D55" s="109"/>
      <c r="E55" s="44"/>
      <c r="F55" s="66"/>
      <c r="G55" s="13"/>
      <c r="H55" s="13"/>
      <c r="J55" s="3"/>
      <c r="K55" s="13"/>
      <c r="L55" s="51"/>
      <c r="M55" s="1497"/>
      <c r="N55" s="71"/>
      <c r="O55" s="1498"/>
      <c r="P55" s="44"/>
      <c r="Q55" s="66"/>
      <c r="R55" s="13"/>
      <c r="S55" s="927"/>
      <c r="T55" s="3"/>
      <c r="U55" s="3"/>
      <c r="W55" s="34" t="s">
        <v>795</v>
      </c>
      <c r="Y55" s="56"/>
      <c r="AB55" s="57"/>
      <c r="AC55" s="252">
        <f>D61</f>
        <v>5000.0000000000109</v>
      </c>
      <c r="AD55" s="252">
        <f>IF(O61&lt;0,0,O61)</f>
        <v>5000.0000000000109</v>
      </c>
      <c r="AE55" s="252"/>
      <c r="AG55" s="2586">
        <f>AC55-AD55</f>
        <v>0</v>
      </c>
      <c r="AH55" s="13"/>
      <c r="AI55" s="13"/>
      <c r="AJ55" s="13"/>
      <c r="AK55" s="13"/>
      <c r="AL55" s="13"/>
      <c r="AM55" s="3"/>
      <c r="AN55" s="42"/>
      <c r="AO55" s="71"/>
      <c r="AP55" s="109"/>
      <c r="AQ55" s="44"/>
      <c r="AR55" s="66"/>
      <c r="AS55" s="13"/>
      <c r="AT55" s="13"/>
      <c r="AV55" s="3"/>
      <c r="AW55" s="13"/>
      <c r="AX55" s="51"/>
      <c r="AY55" s="42"/>
      <c r="AZ55" s="71"/>
      <c r="BA55" s="1498"/>
      <c r="BB55" s="44"/>
      <c r="BC55" s="66"/>
      <c r="BD55" s="13"/>
      <c r="BF55" s="3"/>
      <c r="BG55" s="3"/>
      <c r="BI55" s="34" t="s">
        <v>795</v>
      </c>
      <c r="BK55" s="56"/>
      <c r="BN55" s="57"/>
      <c r="BO55" s="252">
        <f>AP61</f>
        <v>5000.0000000000109</v>
      </c>
      <c r="BP55" s="252">
        <f>IF(BA61&lt;0,0,BA61)</f>
        <v>5000</v>
      </c>
      <c r="BR55" s="2586">
        <f>BN55-BO55</f>
        <v>-5000.0000000000109</v>
      </c>
      <c r="BS55" s="13"/>
    </row>
    <row r="56" spans="1:71" ht="18" customHeight="1">
      <c r="A56" s="282"/>
      <c r="B56" s="283" t="s">
        <v>42</v>
      </c>
      <c r="C56" s="284"/>
      <c r="D56" s="487">
        <f>D61-D60+D59+D58+D57</f>
        <v>108282.20000000001</v>
      </c>
      <c r="E56" s="286"/>
      <c r="F56" s="288"/>
      <c r="G56" s="13"/>
      <c r="H56" s="13"/>
      <c r="J56" s="3"/>
      <c r="K56" s="13"/>
      <c r="L56" s="282"/>
      <c r="M56" s="283" t="s">
        <v>42</v>
      </c>
      <c r="N56" s="284"/>
      <c r="O56" s="487">
        <f>O61-O60+O59+O58+O57</f>
        <v>94388.247468290836</v>
      </c>
      <c r="P56" s="286"/>
      <c r="Q56" s="288"/>
      <c r="R56" s="1302"/>
      <c r="S56" s="2471"/>
      <c r="T56" s="2471"/>
      <c r="U56" s="2471"/>
      <c r="W56" s="142" t="s">
        <v>403</v>
      </c>
      <c r="X56" s="142"/>
      <c r="Y56" s="519"/>
      <c r="Z56" s="142"/>
      <c r="AA56" s="142"/>
      <c r="AB56" s="520"/>
      <c r="AC56" s="495">
        <f>SUM(AC53:AC55)</f>
        <v>66204.200000000012</v>
      </c>
      <c r="AD56" s="495">
        <f>SUM(AD53:AD55)</f>
        <v>52310.247468290836</v>
      </c>
      <c r="AE56" s="495"/>
      <c r="AG56" s="2586">
        <f>AC56-AD56</f>
        <v>13893.952531709176</v>
      </c>
      <c r="AH56" s="13"/>
      <c r="AI56" s="13"/>
      <c r="AJ56" s="13"/>
      <c r="AK56" s="13"/>
      <c r="AL56" s="13"/>
      <c r="AM56" s="3"/>
      <c r="AN56" s="283" t="s">
        <v>42</v>
      </c>
      <c r="AO56" s="284"/>
      <c r="AP56" s="487">
        <f>AP61-AP60+AP59+AP58+AP57</f>
        <v>108282.20000000001</v>
      </c>
      <c r="AQ56" s="286"/>
      <c r="AR56" s="288"/>
      <c r="AS56" s="13"/>
      <c r="AT56" s="13"/>
      <c r="AV56" s="3"/>
      <c r="AW56" s="13"/>
      <c r="AX56" s="282"/>
      <c r="AY56" s="283" t="s">
        <v>42</v>
      </c>
      <c r="AZ56" s="284"/>
      <c r="BA56" s="487">
        <f>BA61-BA60+BA59+BA58+BA57</f>
        <v>94388.247468290821</v>
      </c>
      <c r="BB56" s="286"/>
      <c r="BC56" s="288"/>
      <c r="BD56" s="1302"/>
      <c r="BE56" s="2471"/>
      <c r="BF56" s="2471"/>
      <c r="BG56" s="2471"/>
      <c r="BI56" s="142" t="s">
        <v>403</v>
      </c>
      <c r="BJ56" s="142"/>
      <c r="BK56" s="519"/>
      <c r="BL56" s="142"/>
      <c r="BM56" s="142"/>
      <c r="BN56" s="520"/>
      <c r="BO56" s="495">
        <f>SUM(BO53:BO55)</f>
        <v>66204.200000000012</v>
      </c>
      <c r="BP56" s="495">
        <f>SUM(BP53:BP55)</f>
        <v>52310.247468290821</v>
      </c>
      <c r="BR56" s="2586">
        <f>BN56-BO56</f>
        <v>-66204.200000000012</v>
      </c>
      <c r="BS56" s="13"/>
    </row>
    <row r="57" spans="1:71" ht="18" customHeight="1">
      <c r="A57" s="46"/>
      <c r="B57" s="104" t="s">
        <v>90</v>
      </c>
      <c r="C57" s="73"/>
      <c r="D57" s="110">
        <f>'18 Zielumsatz Planungsjahr'!Y34</f>
        <v>30778</v>
      </c>
      <c r="E57" s="49"/>
      <c r="F57" s="125"/>
      <c r="G57" s="13"/>
      <c r="H57" s="13"/>
      <c r="J57" s="3"/>
      <c r="K57" s="13"/>
      <c r="L57" s="46"/>
      <c r="M57" s="104" t="s">
        <v>90</v>
      </c>
      <c r="N57" s="73"/>
      <c r="O57" s="109">
        <f>'18 Zielumsatz Planungsjahr'!Y34</f>
        <v>30778</v>
      </c>
      <c r="P57" s="49"/>
      <c r="Q57" s="125"/>
      <c r="R57" s="1302"/>
      <c r="S57" s="2471"/>
      <c r="T57" s="2471"/>
      <c r="U57" s="2471"/>
      <c r="W57" s="34" t="s">
        <v>872</v>
      </c>
      <c r="X57" s="3"/>
      <c r="Y57" s="3"/>
      <c r="Z57" s="3"/>
      <c r="AA57" s="3"/>
      <c r="AB57" s="3"/>
      <c r="AC57" s="252">
        <f>D32</f>
        <v>477248.80303714029</v>
      </c>
      <c r="AD57" s="252">
        <f>O32</f>
        <v>477248.80303714029</v>
      </c>
      <c r="AE57" s="252"/>
      <c r="AG57" s="2586">
        <f>AC57-AD57</f>
        <v>0</v>
      </c>
      <c r="AH57" s="13"/>
      <c r="AI57" s="13"/>
      <c r="AJ57" s="13"/>
      <c r="AK57" s="13"/>
      <c r="AL57" s="13"/>
      <c r="AM57" s="3"/>
      <c r="AN57" s="104" t="s">
        <v>90</v>
      </c>
      <c r="AO57" s="73"/>
      <c r="AP57" s="110">
        <f>'18 Zielumsatz Planungsjahr'!Y34</f>
        <v>30778</v>
      </c>
      <c r="AQ57" s="49"/>
      <c r="AR57" s="125"/>
      <c r="AS57" s="13"/>
      <c r="AT57" s="13"/>
      <c r="AV57" s="3"/>
      <c r="AW57" s="13"/>
      <c r="AX57" s="46"/>
      <c r="AY57" s="104" t="s">
        <v>90</v>
      </c>
      <c r="AZ57" s="73"/>
      <c r="BA57" s="109">
        <f>'18 Zielumsatz Planungsjahr'!Y34</f>
        <v>30778</v>
      </c>
      <c r="BB57" s="49"/>
      <c r="BC57" s="125"/>
      <c r="BD57" s="1302"/>
      <c r="BE57" s="2471"/>
      <c r="BF57" s="2471"/>
      <c r="BG57" s="2471"/>
      <c r="BI57" s="34" t="s">
        <v>872</v>
      </c>
      <c r="BJ57" s="3"/>
      <c r="BK57" s="3"/>
      <c r="BL57" s="3"/>
      <c r="BM57" s="3"/>
      <c r="BN57" s="3"/>
      <c r="BO57" s="252">
        <f>AP32</f>
        <v>477248.80303714029</v>
      </c>
      <c r="BP57" s="252">
        <f>BA32</f>
        <v>477248.80303714029</v>
      </c>
      <c r="BR57" s="2586">
        <f>BN57-BO57</f>
        <v>-477248.80303714029</v>
      </c>
      <c r="BS57" s="13"/>
    </row>
    <row r="58" spans="1:71" ht="18" customHeight="1">
      <c r="A58" s="46"/>
      <c r="B58" s="124" t="s">
        <v>95</v>
      </c>
      <c r="C58" s="73"/>
      <c r="D58" s="110">
        <f>'18 Zielumsatz Planungsjahr'!Y35</f>
        <v>59222</v>
      </c>
      <c r="E58" s="49"/>
      <c r="F58" s="125"/>
      <c r="G58" s="1374" t="s">
        <v>905</v>
      </c>
      <c r="H58" s="13" t="s">
        <v>904</v>
      </c>
      <c r="J58" s="1374" t="s">
        <v>905</v>
      </c>
      <c r="K58" s="13"/>
      <c r="L58" s="46"/>
      <c r="M58" s="124" t="s">
        <v>95</v>
      </c>
      <c r="N58" s="73"/>
      <c r="O58" s="110">
        <f>D22</f>
        <v>45328.047468290824</v>
      </c>
      <c r="P58" s="49"/>
      <c r="Q58" s="1833" t="str">
        <f>IF(D58=O58,"","!")</f>
        <v>!</v>
      </c>
      <c r="R58" s="1302"/>
      <c r="S58" s="2471"/>
      <c r="T58" s="2471"/>
      <c r="U58" s="2471"/>
      <c r="W58" s="34" t="s">
        <v>882</v>
      </c>
      <c r="X58" s="3"/>
      <c r="Y58" s="3"/>
      <c r="Z58" s="3"/>
      <c r="AA58" s="3"/>
      <c r="AB58" s="3"/>
      <c r="AC58" s="522">
        <f>IF(Preiskalkulation!$C$3="ü","geschlossen",AC56/AC57*100)</f>
        <v>13.872051554385543</v>
      </c>
      <c r="AD58" s="522">
        <f>IF(Preiskalkulation!$C$3="ü","geschlossen",AD56/AD57*100)</f>
        <v>10.960791757966959</v>
      </c>
      <c r="AE58" s="522"/>
      <c r="AG58" s="2586">
        <f>AC58-AD58</f>
        <v>2.9112597964185838</v>
      </c>
      <c r="AH58" s="13"/>
      <c r="AI58" s="13"/>
      <c r="AJ58" s="13"/>
      <c r="AK58" s="13"/>
      <c r="AL58" s="13"/>
      <c r="AM58" s="3"/>
      <c r="AN58" s="124" t="s">
        <v>95</v>
      </c>
      <c r="AO58" s="73"/>
      <c r="AP58" s="110">
        <f>'18 Zielumsatz Planungsjahr'!Y35</f>
        <v>59222</v>
      </c>
      <c r="AQ58" s="49"/>
      <c r="AR58" s="125"/>
      <c r="AS58" s="1374" t="s">
        <v>905</v>
      </c>
      <c r="AT58" s="13" t="s">
        <v>904</v>
      </c>
      <c r="AV58" s="1374" t="s">
        <v>905</v>
      </c>
      <c r="AW58" s="13"/>
      <c r="AX58" s="46"/>
      <c r="AY58" s="124" t="s">
        <v>95</v>
      </c>
      <c r="AZ58" s="73"/>
      <c r="BA58" s="109">
        <f>D22</f>
        <v>45328.047468290824</v>
      </c>
      <c r="BB58" s="49"/>
      <c r="BC58" s="1833" t="str">
        <f>IF(AP58=BA58,"","!")</f>
        <v>!</v>
      </c>
      <c r="BD58" s="1302"/>
      <c r="BE58" s="2471"/>
      <c r="BF58" s="2471"/>
      <c r="BG58" s="2471"/>
      <c r="BI58" s="34" t="s">
        <v>882</v>
      </c>
      <c r="BJ58" s="3"/>
      <c r="BK58" s="3"/>
      <c r="BL58" s="3"/>
      <c r="BM58" s="3"/>
      <c r="BN58" s="3"/>
      <c r="BO58" s="522">
        <f>IF(Preiskalkulation!$C$3="ü","geschlossen",BO56/BO57*100)</f>
        <v>13.872051554385543</v>
      </c>
      <c r="BP58" s="522">
        <f>IF(Preiskalkulation!$C$3="ü","geschlossen",BP56/BP57*100)</f>
        <v>10.960791757966955</v>
      </c>
      <c r="BR58" s="2586">
        <f>BN58-BO58</f>
        <v>-13.872051554385543</v>
      </c>
      <c r="BS58" s="13"/>
    </row>
    <row r="59" spans="1:71" ht="18" customHeight="1">
      <c r="A59" s="46"/>
      <c r="B59" s="171" t="s">
        <v>111</v>
      </c>
      <c r="C59" s="73"/>
      <c r="D59" s="110">
        <f>'18 Zielumsatz Planungsjahr'!Y36</f>
        <v>13282.2</v>
      </c>
      <c r="E59" s="49"/>
      <c r="F59" s="125"/>
      <c r="G59" s="13"/>
      <c r="H59" s="13"/>
      <c r="J59" s="3"/>
      <c r="K59" s="13"/>
      <c r="L59" s="46"/>
      <c r="M59" s="171" t="s">
        <v>111</v>
      </c>
      <c r="N59" s="73"/>
      <c r="O59" s="109">
        <f>'18 Zielumsatz Planungsjahr'!Y36</f>
        <v>13282.2</v>
      </c>
      <c r="P59" s="49"/>
      <c r="Q59" s="125"/>
      <c r="R59" s="1302"/>
      <c r="S59" s="2471"/>
      <c r="T59" s="2471"/>
      <c r="U59" s="2471"/>
      <c r="X59" s="3"/>
      <c r="Y59" s="3"/>
      <c r="Z59" s="3"/>
      <c r="AA59" s="3"/>
      <c r="AB59" s="3"/>
      <c r="AD59" s="152"/>
      <c r="AE59" s="152"/>
      <c r="AF59" s="2586"/>
      <c r="AH59" s="13"/>
      <c r="AI59" s="13"/>
      <c r="AJ59" s="13"/>
      <c r="AK59" s="13"/>
      <c r="AL59" s="13"/>
      <c r="AM59" s="3"/>
      <c r="AN59" s="171" t="s">
        <v>111</v>
      </c>
      <c r="AO59" s="73"/>
      <c r="AP59" s="110">
        <f>'18 Zielumsatz Planungsjahr'!Y36</f>
        <v>13282.2</v>
      </c>
      <c r="AQ59" s="49"/>
      <c r="AR59" s="125"/>
      <c r="AS59" s="13"/>
      <c r="AT59" s="13"/>
      <c r="AV59" s="3"/>
      <c r="AW59" s="13"/>
      <c r="AX59" s="46"/>
      <c r="AY59" s="171" t="s">
        <v>111</v>
      </c>
      <c r="AZ59" s="73"/>
      <c r="BA59" s="109">
        <f>'18 Zielumsatz Planungsjahr'!Y36</f>
        <v>13282.2</v>
      </c>
      <c r="BB59" s="49"/>
      <c r="BC59" s="125"/>
      <c r="BD59" s="1302"/>
      <c r="BE59" s="2471"/>
      <c r="BF59" s="2471"/>
      <c r="BG59" s="2471"/>
      <c r="BJ59" s="3"/>
      <c r="BK59" s="3"/>
      <c r="BL59" s="3"/>
      <c r="BM59" s="3"/>
      <c r="BN59" s="3"/>
      <c r="BP59" s="152"/>
      <c r="BR59" s="2586">
        <f>BN59-BO59</f>
        <v>0</v>
      </c>
      <c r="BS59" s="13"/>
    </row>
    <row r="60" spans="1:71" ht="18" customHeight="1">
      <c r="A60" s="51"/>
      <c r="B60" s="42" t="s">
        <v>43</v>
      </c>
      <c r="C60" s="71"/>
      <c r="D60" s="109">
        <f>'18 Zielumsatz Planungsjahr'!Y37</f>
        <v>0</v>
      </c>
      <c r="E60" s="44"/>
      <c r="F60" s="75"/>
      <c r="G60" s="13"/>
      <c r="H60" s="13"/>
      <c r="J60" s="3"/>
      <c r="K60" s="13"/>
      <c r="L60" s="51"/>
      <c r="M60" s="42" t="s">
        <v>43</v>
      </c>
      <c r="N60" s="71"/>
      <c r="O60" s="109">
        <f>'18 Zielumsatz Planungsjahr'!Y37</f>
        <v>0</v>
      </c>
      <c r="P60" s="44"/>
      <c r="Q60" s="75"/>
      <c r="R60" s="1302"/>
      <c r="S60" s="2471"/>
      <c r="T60" s="2471"/>
      <c r="U60" s="2471"/>
      <c r="W60" s="142" t="s">
        <v>359</v>
      </c>
      <c r="X60" s="3"/>
      <c r="Y60" s="3"/>
      <c r="Z60" s="3"/>
      <c r="AA60" s="3"/>
      <c r="AB60" s="3"/>
      <c r="AD60" s="493">
        <f>AD58</f>
        <v>10.960791757966959</v>
      </c>
      <c r="AE60" s="493" t="s">
        <v>28</v>
      </c>
      <c r="AF60" s="13"/>
      <c r="AH60" s="13"/>
      <c r="AI60" s="13"/>
      <c r="AJ60" s="13"/>
      <c r="AK60" s="13"/>
      <c r="AL60" s="13"/>
      <c r="AM60" s="3"/>
      <c r="AN60" s="42" t="s">
        <v>43</v>
      </c>
      <c r="AO60" s="71"/>
      <c r="AP60" s="110">
        <f>'18 Zielumsatz Planungsjahr'!Y37</f>
        <v>0</v>
      </c>
      <c r="AQ60" s="44"/>
      <c r="AR60" s="75"/>
      <c r="AS60" s="13"/>
      <c r="AT60" s="13"/>
      <c r="AV60" s="3"/>
      <c r="AW60" s="13"/>
      <c r="AX60" s="51"/>
      <c r="AY60" s="42" t="s">
        <v>43</v>
      </c>
      <c r="AZ60" s="71"/>
      <c r="BA60" s="109">
        <f>'18 Zielumsatz Planungsjahr'!Y37</f>
        <v>0</v>
      </c>
      <c r="BB60" s="44"/>
      <c r="BC60" s="75"/>
      <c r="BD60" s="1302"/>
      <c r="BE60" s="2471"/>
      <c r="BF60" s="2471"/>
      <c r="BG60" s="2471"/>
      <c r="BI60" s="142" t="s">
        <v>359</v>
      </c>
      <c r="BJ60" s="3"/>
      <c r="BK60" s="3"/>
      <c r="BL60" s="3"/>
      <c r="BM60" s="3"/>
      <c r="BN60" s="3"/>
      <c r="BO60" s="522"/>
      <c r="BP60" s="493">
        <f>IF(BP58&lt;0,0,BP58)</f>
        <v>10.960791757966955</v>
      </c>
      <c r="BQ60" s="493" t="s">
        <v>28</v>
      </c>
      <c r="BR60" s="13"/>
      <c r="BS60" s="13"/>
    </row>
    <row r="61" spans="1:71" ht="18" customHeight="1">
      <c r="A61" s="290"/>
      <c r="B61" s="300" t="s">
        <v>773</v>
      </c>
      <c r="C61" s="301"/>
      <c r="D61" s="487">
        <f>'18 Zielumsatz Planungsjahr'!Y38</f>
        <v>5000.0000000000109</v>
      </c>
      <c r="E61" s="286"/>
      <c r="F61" s="288"/>
      <c r="G61" s="13"/>
      <c r="H61" s="13"/>
      <c r="J61" s="3"/>
      <c r="L61" s="290"/>
      <c r="M61" s="300" t="s">
        <v>773</v>
      </c>
      <c r="N61" s="301"/>
      <c r="O61" s="487">
        <f>IF(I1="",'18 Zielumsatz Planungsjahr'!Y38,'18 Zielumsatz Planungsjahr'!Y38-O63)</f>
        <v>5000.0000000000109</v>
      </c>
      <c r="P61" s="286"/>
      <c r="Q61" s="288"/>
      <c r="R61" s="1302"/>
      <c r="S61" s="2471"/>
      <c r="T61" s="2471"/>
      <c r="U61" s="2471"/>
      <c r="X61" s="3"/>
      <c r="AD61" s="34" t="s">
        <v>914</v>
      </c>
      <c r="AF61" s="13"/>
      <c r="AM61" s="3"/>
      <c r="AN61" s="300" t="s">
        <v>773</v>
      </c>
      <c r="AO61" s="301"/>
      <c r="AP61" s="487">
        <f>'18 Zielumsatz Planungsjahr'!Y38</f>
        <v>5000.0000000000109</v>
      </c>
      <c r="AQ61" s="286"/>
      <c r="AR61" s="288"/>
      <c r="AS61" s="13"/>
      <c r="AT61" s="13"/>
      <c r="AV61" s="3"/>
      <c r="AX61" s="290"/>
      <c r="AY61" s="300" t="s">
        <v>773</v>
      </c>
      <c r="AZ61" s="301"/>
      <c r="BA61" s="487">
        <f>IF(I1="",'18 Zielumsatz Planungsjahr'!G38,'18 Zielumsatz Planungsjahr'!Y38-BA63)</f>
        <v>5000</v>
      </c>
      <c r="BB61" s="286"/>
      <c r="BC61" s="288"/>
      <c r="BD61" s="1302"/>
      <c r="BE61" s="2471"/>
      <c r="BF61" s="2471"/>
      <c r="BG61" s="2471"/>
      <c r="BJ61" s="3"/>
      <c r="BP61" s="34" t="s">
        <v>914</v>
      </c>
      <c r="BR61" s="13"/>
    </row>
    <row r="62" spans="1:71" ht="18" customHeight="1">
      <c r="A62" s="306"/>
      <c r="B62" s="307"/>
      <c r="C62" s="308"/>
      <c r="D62" s="311" t="str">
        <f>IF(D61&gt;0,"Überdeckung",IF(D61&lt;0,"Unterdeckung",""))</f>
        <v>Überdeckung</v>
      </c>
      <c r="E62" s="310"/>
      <c r="F62" s="312"/>
      <c r="G62" s="13"/>
      <c r="H62" s="13"/>
      <c r="J62" s="3"/>
      <c r="L62" s="306"/>
      <c r="M62" s="307"/>
      <c r="N62" s="308"/>
      <c r="O62" s="311" t="str">
        <f>IF(O61&gt;0,"Überdeckung",IF(O61&lt;0,"Unterdeckung",""))</f>
        <v>Überdeckung</v>
      </c>
      <c r="P62" s="310"/>
      <c r="Q62" s="312"/>
      <c r="R62" s="1302"/>
      <c r="S62" s="2471"/>
      <c r="T62" s="2471"/>
      <c r="U62" s="2471"/>
      <c r="W62" s="142" t="str">
        <f>IF('18 Zielumsatz Planungsjahr'!P19="","","Der Gewinnaufschlag hat sich durch die Sollumsatzerhöhung DL erhöht")</f>
        <v/>
      </c>
      <c r="X62" s="142"/>
      <c r="Y62" s="519"/>
      <c r="Z62" s="142"/>
      <c r="AA62" s="142"/>
      <c r="AB62" s="2472"/>
      <c r="AC62" s="142"/>
      <c r="AD62" s="142"/>
      <c r="AE62" s="142"/>
      <c r="AM62" s="3"/>
      <c r="AN62" s="307"/>
      <c r="AO62" s="308"/>
      <c r="AP62" s="311" t="str">
        <f>IF(AP61&gt;0,"Überdeckung",IF(AP61&lt;0,"Unterdeckung",""))</f>
        <v>Überdeckung</v>
      </c>
      <c r="AQ62" s="310"/>
      <c r="AR62" s="312"/>
      <c r="AS62" s="13"/>
      <c r="AT62" s="13"/>
      <c r="AV62" s="3"/>
      <c r="AX62" s="306"/>
      <c r="AY62" s="307"/>
      <c r="AZ62" s="308"/>
      <c r="BA62" s="311" t="str">
        <f>IF(BA61&gt;0,"Überdeckung",IF(BA61&lt;0,"Unterdeckung",""))</f>
        <v>Überdeckung</v>
      </c>
      <c r="BB62" s="310"/>
      <c r="BC62" s="312"/>
      <c r="BD62" s="1302"/>
      <c r="BE62" s="2471"/>
      <c r="BF62" s="2471"/>
      <c r="BG62" s="2471"/>
      <c r="BI62" s="142"/>
      <c r="BJ62" s="142"/>
      <c r="BK62" s="519"/>
      <c r="BL62" s="142"/>
      <c r="BM62" s="142"/>
      <c r="BN62" s="2472"/>
      <c r="BO62" s="142"/>
      <c r="BP62" s="142"/>
      <c r="BQ62" s="142"/>
    </row>
    <row r="63" spans="1:71" ht="15.6" customHeight="1">
      <c r="A63" s="13"/>
      <c r="B63" s="13"/>
      <c r="C63" s="13"/>
      <c r="D63" s="13"/>
      <c r="E63" s="13"/>
      <c r="F63" s="13"/>
      <c r="G63" s="13"/>
      <c r="H63" s="13"/>
      <c r="J63" s="3"/>
      <c r="M63" s="1499" t="str">
        <f>IF(I1="","","Deckungsbeitrag VK")</f>
        <v/>
      </c>
      <c r="N63" s="73"/>
      <c r="O63" s="1500" t="str">
        <f>IF(I1="","",D12)</f>
        <v/>
      </c>
      <c r="P63" s="49"/>
      <c r="Q63" s="69"/>
      <c r="R63" s="13"/>
      <c r="S63" s="927" t="str">
        <f>IF(I1="","",I1)</f>
        <v/>
      </c>
      <c r="W63" s="1306"/>
      <c r="X63" s="142"/>
      <c r="Y63" s="142"/>
      <c r="Z63" s="142"/>
      <c r="AA63" s="142"/>
      <c r="AB63" s="142" t="str">
        <f>IF('18 Zielumsatz Planungsjahr'!P19="","","von")</f>
        <v/>
      </c>
      <c r="AC63" s="1307">
        <f>BP60</f>
        <v>10.960791757966955</v>
      </c>
      <c r="AD63" s="1307"/>
      <c r="AE63" s="1307"/>
      <c r="AM63" s="3"/>
      <c r="AN63" s="13"/>
      <c r="AO63" s="13"/>
      <c r="AP63" s="13"/>
      <c r="AQ63" s="13"/>
      <c r="AR63" s="13"/>
      <c r="AS63" s="13"/>
      <c r="AT63" s="13"/>
      <c r="AV63" s="3"/>
      <c r="AY63" s="1499" t="str">
        <f>IF(I1="","","Deckungsbeitrag VK")</f>
        <v/>
      </c>
      <c r="AZ63" s="73"/>
      <c r="BA63" s="1500" t="str">
        <f>IF(I1="","",AP12)</f>
        <v/>
      </c>
      <c r="BB63" s="49"/>
      <c r="BC63" s="69"/>
      <c r="BD63" s="927" t="str">
        <f>IF(I1="","",I1)</f>
        <v/>
      </c>
      <c r="BI63" s="1306"/>
      <c r="BJ63" s="142"/>
      <c r="BK63" s="142"/>
      <c r="BL63" s="142"/>
      <c r="BM63" s="142"/>
      <c r="BN63" s="142"/>
      <c r="BO63" s="1307"/>
      <c r="BP63" s="1307"/>
      <c r="BQ63" s="1307"/>
    </row>
    <row r="64" spans="1:71" ht="15.6" customHeight="1">
      <c r="A64" s="13"/>
      <c r="B64" s="13"/>
      <c r="C64" s="13"/>
      <c r="D64" s="13"/>
      <c r="E64" s="13"/>
      <c r="F64" s="13"/>
      <c r="G64" s="13"/>
      <c r="H64" s="13"/>
      <c r="J64" s="3"/>
      <c r="W64" s="1306"/>
      <c r="X64" s="142"/>
      <c r="Y64" s="142"/>
      <c r="Z64" s="142"/>
      <c r="AA64" s="142"/>
      <c r="AB64" s="142" t="str">
        <f>IF('18 Zielumsatz Planungsjahr'!P19="","","auf ")</f>
        <v/>
      </c>
      <c r="AC64" s="1307" t="str">
        <f>IF('18 Zielumsatz Planungsjahr'!P19="","",AD60)</f>
        <v/>
      </c>
      <c r="AD64" s="1307"/>
      <c r="AE64" s="1307"/>
      <c r="AM64" s="3"/>
      <c r="AN64" s="13"/>
      <c r="AO64" s="13"/>
      <c r="AP64" s="13"/>
      <c r="AQ64" s="13"/>
      <c r="AR64" s="13"/>
      <c r="AS64" s="13"/>
      <c r="AT64" s="13"/>
      <c r="AV64" s="3"/>
      <c r="BI64" s="1306"/>
      <c r="BJ64" s="142"/>
      <c r="BK64" s="142"/>
      <c r="BL64" s="142"/>
      <c r="BM64" s="142"/>
      <c r="BN64" s="142"/>
      <c r="BO64" s="1307"/>
      <c r="BP64" s="1307"/>
      <c r="BQ64" s="1307"/>
    </row>
    <row r="65" spans="1:70" ht="34.5" customHeight="1">
      <c r="C65" s="34"/>
      <c r="F65" s="34"/>
      <c r="I65" s="34"/>
      <c r="J65" s="34"/>
      <c r="AO65" s="34"/>
      <c r="AR65" s="34"/>
      <c r="AU65" s="34"/>
      <c r="AV65" s="34"/>
      <c r="AZ65" s="34"/>
      <c r="BC65" s="34"/>
    </row>
    <row r="66" spans="1:70">
      <c r="C66" s="34"/>
      <c r="F66" s="34"/>
      <c r="I66" s="34"/>
      <c r="AO66" s="34"/>
      <c r="AR66" s="34"/>
      <c r="AU66" s="34"/>
      <c r="AV66" s="34"/>
      <c r="AZ66" s="34"/>
      <c r="BC66" s="34"/>
    </row>
    <row r="67" spans="1:70" s="3" customFormat="1" ht="15">
      <c r="A67" s="34"/>
      <c r="B67" s="34"/>
      <c r="C67" s="34"/>
      <c r="D67" s="34"/>
      <c r="E67" s="34"/>
      <c r="F67" s="34"/>
      <c r="G67" s="34"/>
      <c r="H67" s="34"/>
      <c r="I67" s="34"/>
      <c r="U67" s="13"/>
      <c r="V67" s="13"/>
      <c r="W67" s="13"/>
      <c r="X67" s="13"/>
      <c r="Y67" s="13"/>
      <c r="Z67" s="13"/>
      <c r="AA67" s="13"/>
      <c r="AB67" s="13"/>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row>
    <row r="68" spans="1:70" ht="15.75" customHeight="1">
      <c r="C68" s="34"/>
      <c r="F68" s="34"/>
      <c r="I68" s="34"/>
      <c r="J68" s="3"/>
      <c r="K68" s="3"/>
      <c r="N68" s="34"/>
      <c r="Q68" s="34"/>
      <c r="U68" s="431"/>
      <c r="V68" s="431"/>
      <c r="W68" s="431"/>
      <c r="X68" s="431"/>
      <c r="Y68" s="431"/>
      <c r="Z68" s="431"/>
      <c r="AA68" s="431"/>
      <c r="AB68" s="431"/>
      <c r="AC68" s="3"/>
      <c r="AD68" s="3"/>
      <c r="AE68" s="3"/>
      <c r="AF68" s="3"/>
      <c r="AG68" s="3"/>
      <c r="AH68" s="3"/>
      <c r="AI68" s="3"/>
      <c r="AJ68" s="3"/>
      <c r="AK68" s="3"/>
      <c r="AL68" s="3"/>
      <c r="AO68" s="34"/>
      <c r="AR68" s="34"/>
      <c r="AU68" s="34"/>
      <c r="AV68" s="34"/>
      <c r="AZ68" s="34"/>
      <c r="BC68" s="34"/>
    </row>
    <row r="69" spans="1:70" ht="15.75" customHeight="1">
      <c r="C69" s="34"/>
      <c r="F69" s="34"/>
      <c r="I69" s="34"/>
      <c r="J69" s="3"/>
      <c r="K69" s="3"/>
      <c r="N69" s="34"/>
      <c r="Q69" s="34"/>
      <c r="U69" s="431"/>
      <c r="V69" s="431"/>
      <c r="W69" s="431"/>
      <c r="X69" s="431"/>
      <c r="Y69" s="431"/>
      <c r="Z69" s="431"/>
      <c r="AA69" s="431"/>
      <c r="AB69" s="431"/>
      <c r="AC69" s="3"/>
      <c r="AD69" s="3"/>
      <c r="AE69" s="3"/>
      <c r="AF69" s="3"/>
      <c r="AG69" s="3"/>
      <c r="AH69" s="3"/>
      <c r="AI69" s="3"/>
      <c r="AJ69" s="3"/>
      <c r="AK69" s="3"/>
      <c r="AL69" s="3"/>
      <c r="AO69" s="34"/>
      <c r="AR69" s="34"/>
      <c r="AU69" s="34"/>
      <c r="AV69" s="34"/>
      <c r="AZ69" s="34"/>
      <c r="BC69" s="34"/>
    </row>
    <row r="70" spans="1:70" ht="15">
      <c r="C70" s="34"/>
      <c r="F70" s="34"/>
      <c r="I70" s="34"/>
      <c r="J70" s="3"/>
      <c r="K70" s="3"/>
      <c r="N70" s="34"/>
      <c r="Q70" s="34"/>
      <c r="U70" s="431"/>
      <c r="V70" s="431"/>
      <c r="W70" s="431"/>
      <c r="X70" s="431"/>
      <c r="Y70" s="431"/>
      <c r="Z70" s="431"/>
      <c r="AA70" s="431"/>
      <c r="AB70" s="431"/>
      <c r="AC70" s="3"/>
      <c r="AD70" s="3"/>
      <c r="AE70" s="3"/>
      <c r="AF70" s="3"/>
      <c r="AG70" s="3"/>
      <c r="AH70" s="3"/>
      <c r="AI70" s="3"/>
      <c r="AJ70" s="3"/>
      <c r="AK70" s="3"/>
      <c r="AL70" s="3"/>
      <c r="AO70" s="34"/>
      <c r="AR70" s="34"/>
      <c r="AU70" s="34"/>
      <c r="AV70" s="34"/>
      <c r="AZ70" s="34"/>
      <c r="BC70" s="34"/>
    </row>
    <row r="71" spans="1:70" ht="15">
      <c r="C71" s="34"/>
      <c r="F71" s="34"/>
      <c r="I71" s="34"/>
      <c r="J71" s="34"/>
      <c r="K71" s="3"/>
      <c r="N71" s="34"/>
      <c r="Q71" s="34"/>
      <c r="U71" s="431"/>
      <c r="V71" s="431"/>
      <c r="W71" s="431"/>
      <c r="X71" s="431"/>
      <c r="Y71" s="431"/>
      <c r="Z71" s="431"/>
      <c r="AA71" s="431"/>
      <c r="AB71" s="431"/>
      <c r="AC71" s="3"/>
      <c r="AD71" s="3"/>
      <c r="AE71" s="3"/>
      <c r="AF71" s="3"/>
      <c r="AG71" s="3"/>
      <c r="AH71" s="3"/>
      <c r="AI71" s="3"/>
      <c r="AJ71" s="3"/>
      <c r="AK71" s="3"/>
      <c r="AL71" s="3"/>
      <c r="AO71" s="34"/>
      <c r="AR71" s="34"/>
      <c r="AU71" s="34"/>
      <c r="AV71" s="34"/>
      <c r="AZ71" s="34"/>
      <c r="BC71" s="34"/>
    </row>
    <row r="72" spans="1:70" ht="20.25" customHeight="1">
      <c r="C72" s="34"/>
      <c r="F72" s="34"/>
      <c r="I72" s="34"/>
      <c r="J72" s="34"/>
      <c r="K72" s="3"/>
      <c r="N72" s="34"/>
      <c r="Q72" s="34"/>
      <c r="U72" s="431"/>
      <c r="V72" s="431"/>
      <c r="W72" s="431"/>
      <c r="X72" s="431"/>
      <c r="Y72" s="431"/>
      <c r="Z72" s="431"/>
      <c r="AA72" s="431"/>
      <c r="AB72" s="431"/>
      <c r="AC72" s="3"/>
      <c r="AD72" s="3"/>
      <c r="AE72" s="3"/>
      <c r="AF72" s="3"/>
      <c r="AG72" s="3"/>
      <c r="AH72" s="3"/>
      <c r="AI72" s="3"/>
      <c r="AJ72" s="3"/>
      <c r="AK72" s="3"/>
      <c r="AL72" s="3"/>
      <c r="AO72" s="34"/>
      <c r="AR72" s="34"/>
      <c r="AU72" s="34"/>
      <c r="AV72" s="34"/>
      <c r="AZ72" s="34"/>
      <c r="BC72" s="34"/>
    </row>
    <row r="73" spans="1:70" ht="20.25" customHeight="1">
      <c r="C73" s="34"/>
      <c r="F73" s="34"/>
      <c r="I73" s="34"/>
      <c r="J73" s="34"/>
      <c r="K73" s="3"/>
      <c r="N73" s="34"/>
      <c r="Q73" s="34"/>
      <c r="U73" s="431"/>
      <c r="V73" s="431"/>
      <c r="W73" s="431"/>
      <c r="X73" s="431"/>
      <c r="Y73" s="431"/>
      <c r="Z73" s="431"/>
      <c r="AA73" s="431"/>
      <c r="AB73" s="431"/>
      <c r="AC73" s="3"/>
      <c r="AD73" s="3"/>
      <c r="AE73" s="3"/>
      <c r="AF73" s="3"/>
      <c r="AG73" s="3"/>
      <c r="AH73" s="3"/>
      <c r="AI73" s="3"/>
      <c r="AJ73" s="3"/>
      <c r="AK73" s="3"/>
      <c r="AL73" s="3"/>
      <c r="AO73" s="34"/>
      <c r="AR73" s="34"/>
      <c r="AU73" s="34"/>
      <c r="AV73" s="34"/>
      <c r="AZ73" s="34"/>
      <c r="BC73" s="34"/>
    </row>
    <row r="74" spans="1:70" ht="20.25" customHeight="1">
      <c r="C74" s="34"/>
      <c r="F74" s="34"/>
      <c r="I74" s="34"/>
      <c r="J74" s="34"/>
      <c r="K74" s="3"/>
      <c r="N74" s="34"/>
      <c r="Q74" s="34"/>
      <c r="U74" s="431"/>
      <c r="V74" s="431"/>
      <c r="W74" s="431"/>
      <c r="X74" s="431"/>
      <c r="Y74" s="431"/>
      <c r="Z74" s="431"/>
      <c r="AA74" s="431"/>
      <c r="AB74" s="431"/>
      <c r="AC74" s="3"/>
      <c r="AD74" s="3"/>
      <c r="AE74" s="3"/>
      <c r="AF74" s="3"/>
      <c r="AG74" s="3"/>
      <c r="AH74" s="3"/>
      <c r="AI74" s="3"/>
      <c r="AJ74" s="3"/>
      <c r="AK74" s="3"/>
      <c r="AL74" s="3"/>
      <c r="AO74" s="34"/>
      <c r="AR74" s="34"/>
      <c r="AU74" s="34"/>
      <c r="AV74" s="34"/>
      <c r="AZ74" s="34"/>
      <c r="BC74" s="34"/>
    </row>
    <row r="75" spans="1:70" ht="20.25" customHeight="1">
      <c r="C75" s="34"/>
      <c r="F75" s="34"/>
      <c r="I75" s="34"/>
      <c r="J75" s="34"/>
      <c r="K75" s="3"/>
      <c r="N75" s="34"/>
      <c r="Q75" s="34"/>
      <c r="U75" s="216"/>
      <c r="V75" s="216"/>
      <c r="W75" s="216"/>
      <c r="X75" s="216"/>
      <c r="Y75" s="216"/>
      <c r="Z75" s="216"/>
      <c r="AA75" s="216"/>
      <c r="AB75" s="216"/>
      <c r="AC75" s="3"/>
      <c r="AD75" s="3"/>
      <c r="AE75" s="3"/>
      <c r="AF75" s="3"/>
      <c r="AG75" s="3"/>
      <c r="AH75" s="3"/>
      <c r="AI75" s="3"/>
      <c r="AJ75" s="3"/>
      <c r="AK75" s="3"/>
      <c r="AL75" s="3"/>
      <c r="AO75" s="34"/>
      <c r="AR75" s="34"/>
      <c r="AU75" s="34"/>
      <c r="AV75" s="34"/>
      <c r="AZ75" s="34"/>
      <c r="BC75" s="34"/>
    </row>
    <row r="76" spans="1:70" ht="20.25" customHeight="1">
      <c r="C76" s="34"/>
      <c r="F76" s="34"/>
      <c r="I76" s="34"/>
      <c r="J76" s="34"/>
      <c r="K76" s="3"/>
      <c r="N76" s="34"/>
      <c r="Q76" s="34"/>
      <c r="U76" s="148"/>
      <c r="V76" s="148"/>
      <c r="W76" s="148"/>
      <c r="X76" s="148"/>
      <c r="Y76" s="148"/>
      <c r="Z76" s="148"/>
      <c r="AA76" s="148"/>
      <c r="AB76" s="148"/>
      <c r="AC76" s="3"/>
      <c r="AD76" s="3"/>
      <c r="AE76" s="3"/>
      <c r="AF76" s="3"/>
      <c r="AG76" s="3"/>
      <c r="AH76" s="3"/>
      <c r="AI76" s="3"/>
      <c r="AJ76" s="3"/>
      <c r="AK76" s="3"/>
      <c r="AL76" s="3"/>
      <c r="AO76" s="34"/>
      <c r="AR76" s="34"/>
      <c r="AU76" s="34"/>
      <c r="AV76" s="34"/>
      <c r="AZ76" s="34"/>
      <c r="BC76" s="34"/>
    </row>
    <row r="77" spans="1:70" ht="20.25" customHeight="1">
      <c r="C77" s="34"/>
      <c r="F77" s="34"/>
      <c r="I77" s="34"/>
      <c r="J77" s="34"/>
      <c r="K77" s="3"/>
      <c r="N77" s="34"/>
      <c r="Q77" s="34"/>
      <c r="U77" s="148"/>
      <c r="V77" s="148"/>
      <c r="W77" s="148"/>
      <c r="X77" s="148"/>
      <c r="Y77" s="148"/>
      <c r="Z77" s="148"/>
      <c r="AA77" s="148"/>
      <c r="AB77" s="148"/>
      <c r="AC77" s="3"/>
      <c r="AD77" s="3"/>
      <c r="AE77" s="3"/>
      <c r="AF77" s="3"/>
      <c r="AG77" s="3"/>
      <c r="AH77" s="3"/>
      <c r="AI77" s="3"/>
      <c r="AJ77" s="3"/>
      <c r="AK77" s="3"/>
      <c r="AL77" s="3"/>
      <c r="AO77" s="34"/>
      <c r="AR77" s="34"/>
      <c r="AU77" s="34"/>
      <c r="AV77" s="34"/>
      <c r="AZ77" s="34"/>
      <c r="BC77" s="34"/>
    </row>
    <row r="78" spans="1:70" ht="20.25" customHeight="1">
      <c r="C78" s="34"/>
      <c r="F78" s="34"/>
      <c r="I78" s="34"/>
      <c r="J78" s="34"/>
      <c r="K78" s="3"/>
      <c r="N78" s="34"/>
      <c r="Q78" s="34"/>
      <c r="U78" s="148"/>
      <c r="V78" s="148"/>
      <c r="W78" s="148"/>
      <c r="X78" s="148"/>
      <c r="Y78" s="148"/>
      <c r="Z78" s="148"/>
      <c r="AA78" s="148"/>
      <c r="AB78" s="148"/>
      <c r="AC78" s="3"/>
      <c r="AD78" s="3"/>
      <c r="AE78" s="3"/>
      <c r="AF78" s="3"/>
      <c r="AG78" s="3"/>
      <c r="AH78" s="3"/>
      <c r="AI78" s="3"/>
      <c r="AJ78" s="3"/>
      <c r="AK78" s="3"/>
      <c r="AL78" s="3"/>
      <c r="AO78" s="34"/>
      <c r="AR78" s="34"/>
      <c r="AU78" s="34"/>
      <c r="AV78" s="34"/>
      <c r="AZ78" s="34"/>
      <c r="BC78" s="34"/>
    </row>
    <row r="79" spans="1:70" ht="20.25" customHeight="1">
      <c r="C79" s="34"/>
      <c r="F79" s="34"/>
      <c r="I79" s="34"/>
      <c r="J79" s="34"/>
      <c r="K79" s="3"/>
      <c r="N79" s="34"/>
      <c r="Q79" s="34"/>
      <c r="U79" s="148"/>
      <c r="V79" s="148"/>
      <c r="W79" s="148"/>
      <c r="X79" s="148"/>
      <c r="Y79" s="148"/>
      <c r="Z79" s="148"/>
      <c r="AA79" s="148"/>
      <c r="AB79" s="148"/>
      <c r="AC79" s="3"/>
      <c r="AD79" s="3"/>
      <c r="AE79" s="3"/>
      <c r="AF79" s="3"/>
      <c r="AG79" s="3"/>
      <c r="AH79" s="3"/>
      <c r="AI79" s="3"/>
      <c r="AJ79" s="3"/>
      <c r="AK79" s="3"/>
      <c r="AL79" s="3"/>
      <c r="AO79" s="34"/>
      <c r="AR79" s="34"/>
      <c r="AU79" s="34"/>
      <c r="AV79" s="34"/>
      <c r="AZ79" s="34"/>
      <c r="BC79" s="34"/>
    </row>
    <row r="80" spans="1:70" ht="20.25" customHeight="1">
      <c r="C80" s="34"/>
      <c r="F80" s="34"/>
      <c r="I80" s="34"/>
      <c r="J80" s="34"/>
      <c r="K80" s="3"/>
      <c r="N80" s="34"/>
      <c r="Q80" s="34"/>
      <c r="U80" s="148"/>
      <c r="V80" s="148"/>
      <c r="W80" s="148"/>
      <c r="X80" s="148"/>
      <c r="Y80" s="148"/>
      <c r="Z80" s="148"/>
      <c r="AA80" s="148"/>
      <c r="AB80" s="148"/>
      <c r="AC80" s="3"/>
      <c r="AD80" s="3"/>
      <c r="AE80" s="3"/>
      <c r="AF80" s="3"/>
      <c r="AG80" s="3"/>
      <c r="AH80" s="3"/>
      <c r="AI80" s="3"/>
      <c r="AJ80" s="3"/>
      <c r="AK80" s="3"/>
      <c r="AL80" s="3"/>
      <c r="AO80" s="34"/>
      <c r="AR80" s="34"/>
      <c r="AU80" s="34"/>
      <c r="AV80" s="34"/>
      <c r="AZ80" s="34"/>
      <c r="BC80" s="34"/>
    </row>
    <row r="81" spans="3:55" ht="20.25" customHeight="1">
      <c r="C81" s="34"/>
      <c r="F81" s="34"/>
      <c r="I81" s="34"/>
      <c r="J81" s="34"/>
      <c r="K81" s="3"/>
      <c r="N81" s="34"/>
      <c r="Q81" s="34"/>
      <c r="U81" s="148"/>
      <c r="V81" s="148"/>
      <c r="W81" s="148"/>
      <c r="X81" s="148"/>
      <c r="Y81" s="148"/>
      <c r="Z81" s="148"/>
      <c r="AA81" s="148"/>
      <c r="AB81" s="148"/>
      <c r="AC81" s="3"/>
      <c r="AD81" s="3"/>
      <c r="AE81" s="3"/>
      <c r="AF81" s="3"/>
      <c r="AG81" s="3"/>
      <c r="AH81" s="3"/>
      <c r="AI81" s="3"/>
      <c r="AJ81" s="3"/>
      <c r="AK81" s="3"/>
      <c r="AL81" s="3"/>
      <c r="AO81" s="34"/>
      <c r="AR81" s="34"/>
      <c r="AU81" s="34"/>
      <c r="AV81" s="34"/>
      <c r="AZ81" s="34"/>
      <c r="BC81" s="34"/>
    </row>
    <row r="82" spans="3:55" ht="20.25" customHeight="1">
      <c r="C82" s="34"/>
      <c r="F82" s="34"/>
      <c r="I82" s="34"/>
      <c r="J82" s="34"/>
      <c r="K82" s="3"/>
      <c r="N82" s="34"/>
      <c r="Q82" s="34"/>
      <c r="U82" s="148"/>
      <c r="V82" s="148"/>
      <c r="W82" s="148"/>
      <c r="X82" s="148"/>
      <c r="Y82" s="148"/>
      <c r="Z82" s="148"/>
      <c r="AA82" s="148"/>
      <c r="AB82" s="148"/>
      <c r="AC82" s="3"/>
      <c r="AD82" s="3"/>
      <c r="AE82" s="3"/>
      <c r="AF82" s="3"/>
      <c r="AG82" s="3"/>
      <c r="AH82" s="3"/>
      <c r="AI82" s="3"/>
      <c r="AJ82" s="3"/>
      <c r="AK82" s="3"/>
      <c r="AL82" s="3"/>
      <c r="AO82" s="34"/>
      <c r="AR82" s="34"/>
      <c r="AU82" s="34"/>
      <c r="AV82" s="34"/>
      <c r="AZ82" s="34"/>
      <c r="BC82" s="34"/>
    </row>
    <row r="83" spans="3:55" ht="20.25" customHeight="1">
      <c r="C83" s="34"/>
      <c r="F83" s="34"/>
      <c r="I83" s="34"/>
      <c r="J83" s="34"/>
      <c r="K83" s="3"/>
      <c r="N83" s="34"/>
      <c r="Q83" s="34"/>
      <c r="U83" s="148"/>
      <c r="V83" s="148"/>
      <c r="W83" s="148"/>
      <c r="X83" s="148"/>
      <c r="Y83" s="148"/>
      <c r="Z83" s="148"/>
      <c r="AA83" s="148"/>
      <c r="AB83" s="148"/>
      <c r="AC83" s="3"/>
      <c r="AD83" s="3"/>
      <c r="AE83" s="3"/>
      <c r="AF83" s="3"/>
      <c r="AG83" s="3"/>
      <c r="AH83" s="3"/>
      <c r="AI83" s="3"/>
      <c r="AJ83" s="3"/>
      <c r="AK83" s="3"/>
      <c r="AL83" s="3"/>
      <c r="AO83" s="34"/>
      <c r="AR83" s="34"/>
      <c r="AU83" s="34"/>
      <c r="AV83" s="34"/>
      <c r="AZ83" s="34"/>
      <c r="BC83" s="34"/>
    </row>
    <row r="84" spans="3:55" s="34" customFormat="1" ht="20.25" customHeight="1">
      <c r="K84" s="3"/>
      <c r="AE84" s="3"/>
      <c r="AF84" s="3"/>
      <c r="AG84" s="3"/>
      <c r="AH84" s="3"/>
      <c r="AI84" s="3"/>
      <c r="AJ84" s="3"/>
      <c r="AK84" s="3"/>
      <c r="AL84" s="3"/>
    </row>
    <row r="85" spans="3:55" ht="20.25" customHeight="1">
      <c r="C85" s="34"/>
      <c r="F85" s="34"/>
      <c r="I85" s="34"/>
      <c r="J85" s="34"/>
      <c r="K85" s="3"/>
      <c r="N85" s="34"/>
      <c r="Q85" s="34"/>
      <c r="U85" s="3"/>
      <c r="V85" s="3"/>
      <c r="W85" s="3"/>
      <c r="X85" s="3"/>
      <c r="Y85" s="3"/>
      <c r="Z85" s="3"/>
      <c r="AA85" s="3"/>
      <c r="AB85" s="3"/>
      <c r="AE85" s="3"/>
      <c r="AF85" s="3"/>
      <c r="AG85" s="3"/>
      <c r="AH85" s="3"/>
      <c r="AI85" s="3"/>
      <c r="AJ85" s="3"/>
      <c r="AK85" s="3"/>
      <c r="AL85" s="3"/>
      <c r="AO85" s="34"/>
      <c r="AR85" s="34"/>
      <c r="AU85" s="34"/>
      <c r="AV85" s="34"/>
      <c r="AZ85" s="34"/>
      <c r="BC85" s="34"/>
    </row>
    <row r="86" spans="3:55" ht="20.25" customHeight="1">
      <c r="C86" s="34"/>
      <c r="F86" s="34"/>
      <c r="I86" s="34"/>
      <c r="J86" s="34"/>
      <c r="K86" s="3"/>
      <c r="N86" s="34"/>
      <c r="Q86" s="34"/>
      <c r="U86" s="3"/>
      <c r="V86" s="3"/>
      <c r="W86" s="3"/>
      <c r="X86" s="3"/>
      <c r="Y86" s="3"/>
      <c r="Z86" s="3"/>
      <c r="AA86" s="3"/>
      <c r="AB86" s="3"/>
      <c r="AE86" s="3"/>
      <c r="AF86" s="3"/>
      <c r="AG86" s="3"/>
      <c r="AH86" s="3"/>
      <c r="AI86" s="3"/>
      <c r="AJ86" s="3"/>
      <c r="AK86" s="3"/>
      <c r="AL86" s="3"/>
      <c r="AO86" s="34"/>
      <c r="AR86" s="34"/>
      <c r="AU86" s="34"/>
      <c r="AV86" s="34"/>
      <c r="AZ86" s="34"/>
      <c r="BC86" s="34"/>
    </row>
    <row r="87" spans="3:55" ht="20.25" customHeight="1">
      <c r="C87" s="34"/>
      <c r="F87" s="34"/>
      <c r="I87" s="34"/>
      <c r="J87" s="34"/>
      <c r="K87" s="3"/>
      <c r="N87" s="34"/>
      <c r="Q87" s="34"/>
      <c r="U87" s="252"/>
      <c r="V87" s="252"/>
      <c r="W87" s="252"/>
      <c r="X87" s="252"/>
      <c r="Y87" s="252"/>
      <c r="Z87" s="252"/>
      <c r="AA87" s="252"/>
      <c r="AB87" s="252"/>
      <c r="AD87" s="3"/>
      <c r="AE87" s="3"/>
      <c r="AF87" s="3"/>
      <c r="AG87" s="3"/>
      <c r="AH87" s="3"/>
      <c r="AI87" s="3"/>
      <c r="AJ87" s="3"/>
      <c r="AK87" s="3"/>
      <c r="AL87" s="3"/>
      <c r="AO87" s="34"/>
      <c r="AR87" s="34"/>
      <c r="AU87" s="34"/>
      <c r="AV87" s="34"/>
      <c r="AZ87" s="34"/>
      <c r="BC87" s="34"/>
    </row>
    <row r="88" spans="3:55" ht="20.25" customHeight="1">
      <c r="C88" s="34"/>
      <c r="F88" s="34"/>
      <c r="I88" s="34"/>
      <c r="J88" s="34"/>
      <c r="K88" s="3"/>
      <c r="N88" s="34"/>
      <c r="Q88" s="34"/>
      <c r="U88" s="252"/>
      <c r="V88" s="252"/>
      <c r="W88" s="252"/>
      <c r="X88" s="252"/>
      <c r="Y88" s="252"/>
      <c r="Z88" s="252"/>
      <c r="AA88" s="252"/>
      <c r="AB88" s="252"/>
      <c r="AC88" s="3"/>
      <c r="AD88" s="3"/>
      <c r="AE88" s="3"/>
      <c r="AF88" s="3"/>
      <c r="AG88" s="3"/>
      <c r="AH88" s="3"/>
      <c r="AI88" s="3"/>
      <c r="AJ88" s="3"/>
      <c r="AK88" s="3"/>
      <c r="AL88" s="3"/>
      <c r="AO88" s="34"/>
      <c r="AR88" s="34"/>
      <c r="AU88" s="34"/>
      <c r="AV88" s="34"/>
      <c r="AZ88" s="34"/>
      <c r="BC88" s="34"/>
    </row>
    <row r="89" spans="3:55" ht="20.25" customHeight="1">
      <c r="C89" s="34"/>
      <c r="F89" s="34"/>
      <c r="I89" s="34"/>
      <c r="J89" s="34"/>
      <c r="K89" s="3"/>
      <c r="N89" s="34"/>
      <c r="Q89" s="34"/>
      <c r="U89" s="495"/>
      <c r="V89" s="495"/>
      <c r="W89" s="495"/>
      <c r="X89" s="495"/>
      <c r="Y89" s="495"/>
      <c r="Z89" s="495"/>
      <c r="AA89" s="495"/>
      <c r="AB89" s="495"/>
      <c r="AC89" s="3"/>
      <c r="AD89" s="3"/>
      <c r="AE89" s="3"/>
      <c r="AF89" s="3"/>
      <c r="AG89" s="3"/>
      <c r="AH89" s="3"/>
      <c r="AI89" s="3"/>
      <c r="AJ89" s="3"/>
      <c r="AK89" s="3"/>
      <c r="AL89" s="3"/>
      <c r="AO89" s="34"/>
      <c r="AR89" s="34"/>
      <c r="AU89" s="34"/>
      <c r="AV89" s="34"/>
      <c r="AZ89" s="34"/>
      <c r="BC89" s="34"/>
    </row>
    <row r="90" spans="3:55" ht="20.25" customHeight="1">
      <c r="C90" s="34"/>
      <c r="F90" s="34"/>
      <c r="I90" s="34"/>
      <c r="J90" s="34"/>
      <c r="K90" s="3"/>
      <c r="N90" s="34"/>
      <c r="Q90" s="34"/>
      <c r="U90" s="252"/>
      <c r="V90" s="252"/>
      <c r="W90" s="252"/>
      <c r="X90" s="252"/>
      <c r="Y90" s="252"/>
      <c r="Z90" s="252"/>
      <c r="AA90" s="252"/>
      <c r="AB90" s="252"/>
      <c r="AC90" s="3"/>
      <c r="AD90" s="3"/>
      <c r="AE90" s="3"/>
      <c r="AF90" s="3"/>
      <c r="AG90" s="3"/>
      <c r="AH90" s="3"/>
      <c r="AI90" s="3"/>
      <c r="AJ90" s="3"/>
      <c r="AK90" s="3"/>
      <c r="AL90" s="3"/>
      <c r="AO90" s="34"/>
      <c r="AR90" s="34"/>
      <c r="AU90" s="34"/>
      <c r="AV90" s="34"/>
      <c r="AZ90" s="34"/>
      <c r="BC90" s="34"/>
    </row>
    <row r="91" spans="3:55" ht="20.25" customHeight="1">
      <c r="C91" s="34"/>
      <c r="F91" s="34"/>
      <c r="I91" s="34"/>
      <c r="J91" s="34"/>
      <c r="K91" s="3"/>
      <c r="N91" s="34"/>
      <c r="Q91" s="34"/>
      <c r="U91" s="521"/>
      <c r="V91" s="521"/>
      <c r="W91" s="521"/>
      <c r="X91" s="521"/>
      <c r="Y91" s="521"/>
      <c r="Z91" s="521"/>
      <c r="AA91" s="521"/>
      <c r="AB91" s="521"/>
      <c r="AC91" s="3"/>
      <c r="AD91" s="3"/>
      <c r="AE91" s="3"/>
      <c r="AF91" s="3"/>
      <c r="AG91" s="3"/>
      <c r="AH91" s="3"/>
      <c r="AI91" s="3"/>
      <c r="AJ91" s="3"/>
      <c r="AK91" s="3"/>
      <c r="AL91" s="3"/>
      <c r="AO91" s="34"/>
      <c r="AR91" s="34"/>
      <c r="AU91" s="34"/>
      <c r="AV91" s="34"/>
      <c r="AZ91" s="34"/>
      <c r="BC91" s="34"/>
    </row>
    <row r="92" spans="3:55" ht="20.25" customHeight="1">
      <c r="C92" s="34"/>
      <c r="F92" s="34"/>
      <c r="I92" s="34"/>
      <c r="J92" s="34"/>
      <c r="K92" s="3"/>
      <c r="N92" s="34"/>
      <c r="Q92" s="34"/>
      <c r="U92" s="252"/>
      <c r="V92" s="252"/>
      <c r="W92" s="252"/>
      <c r="X92" s="252"/>
      <c r="Y92" s="252"/>
      <c r="Z92" s="252"/>
      <c r="AA92" s="252"/>
      <c r="AB92" s="252"/>
      <c r="AC92" s="3"/>
      <c r="AD92" s="3"/>
      <c r="AE92" s="3"/>
      <c r="AF92" s="3"/>
      <c r="AG92" s="3"/>
      <c r="AH92" s="3"/>
      <c r="AI92" s="3"/>
      <c r="AJ92" s="3"/>
      <c r="AK92" s="3"/>
      <c r="AL92" s="3"/>
      <c r="AO92" s="34"/>
      <c r="AR92" s="34"/>
      <c r="AU92" s="34"/>
      <c r="AV92" s="34"/>
      <c r="AZ92" s="34"/>
      <c r="BC92" s="34"/>
    </row>
    <row r="93" spans="3:55" ht="20.25" customHeight="1">
      <c r="C93" s="34"/>
      <c r="F93" s="34"/>
      <c r="I93" s="34"/>
      <c r="J93" s="34"/>
      <c r="K93" s="3"/>
      <c r="N93" s="34"/>
      <c r="Q93" s="34"/>
      <c r="U93" s="495"/>
      <c r="V93" s="495"/>
      <c r="W93" s="495"/>
      <c r="X93" s="495"/>
      <c r="Y93" s="495"/>
      <c r="Z93" s="495"/>
      <c r="AA93" s="495"/>
      <c r="AB93" s="495"/>
      <c r="AC93" s="3"/>
      <c r="AD93" s="3"/>
      <c r="AE93" s="3"/>
      <c r="AF93" s="3"/>
      <c r="AL93" s="3"/>
      <c r="AO93" s="34"/>
      <c r="AR93" s="34"/>
      <c r="AU93" s="34"/>
      <c r="AV93" s="34"/>
      <c r="AZ93" s="34"/>
      <c r="BC93" s="34"/>
    </row>
    <row r="94" spans="3:55" ht="20.25" customHeight="1">
      <c r="C94" s="34"/>
      <c r="F94" s="34"/>
      <c r="I94" s="34"/>
      <c r="J94" s="34"/>
      <c r="K94" s="3"/>
      <c r="N94" s="34"/>
      <c r="Q94" s="34"/>
      <c r="U94" s="252"/>
      <c r="V94" s="252"/>
      <c r="W94" s="252"/>
      <c r="X94" s="252"/>
      <c r="Y94" s="252"/>
      <c r="Z94" s="252"/>
      <c r="AA94" s="252"/>
      <c r="AB94" s="252"/>
      <c r="AD94" s="3"/>
      <c r="AL94" s="3"/>
      <c r="AO94" s="34"/>
      <c r="AR94" s="34"/>
      <c r="AU94" s="34"/>
      <c r="AV94" s="34"/>
      <c r="AZ94" s="34"/>
      <c r="BC94" s="34"/>
    </row>
    <row r="95" spans="3:55" s="34" customFormat="1" ht="20.25" customHeight="1">
      <c r="K95" s="3"/>
      <c r="U95" s="252"/>
      <c r="V95" s="252"/>
      <c r="W95" s="252"/>
      <c r="X95" s="252"/>
      <c r="Y95" s="252"/>
      <c r="Z95" s="252"/>
      <c r="AA95" s="252"/>
      <c r="AB95" s="252"/>
      <c r="AL95" s="3"/>
    </row>
    <row r="96" spans="3:55" ht="20.25" customHeight="1">
      <c r="C96" s="34"/>
      <c r="F96" s="34"/>
      <c r="I96" s="34"/>
      <c r="J96" s="34"/>
      <c r="K96" s="3"/>
      <c r="N96" s="34"/>
      <c r="Q96" s="34"/>
      <c r="U96" s="495"/>
      <c r="V96" s="495"/>
      <c r="W96" s="495"/>
      <c r="X96" s="495"/>
      <c r="Y96" s="495"/>
      <c r="Z96" s="495"/>
      <c r="AA96" s="495"/>
      <c r="AB96" s="495"/>
      <c r="AC96" s="3"/>
      <c r="AL96" s="3"/>
      <c r="AO96" s="34"/>
      <c r="AR96" s="34"/>
      <c r="AU96" s="34"/>
      <c r="AV96" s="34"/>
      <c r="AZ96" s="34"/>
      <c r="BC96" s="34"/>
    </row>
    <row r="97" spans="3:68" ht="20.25" customHeight="1">
      <c r="C97" s="34"/>
      <c r="F97" s="34"/>
      <c r="I97" s="34"/>
      <c r="J97" s="34"/>
      <c r="K97" s="2471"/>
      <c r="N97" s="34"/>
      <c r="Q97" s="34"/>
      <c r="U97" s="252"/>
      <c r="V97" s="252"/>
      <c r="W97" s="252"/>
      <c r="X97" s="252"/>
      <c r="Y97" s="252"/>
      <c r="Z97" s="252"/>
      <c r="AA97" s="252"/>
      <c r="AB97" s="252"/>
      <c r="AG97" s="3"/>
      <c r="AH97" s="3"/>
      <c r="AI97" s="3"/>
      <c r="AJ97" s="3"/>
      <c r="AK97" s="3"/>
      <c r="AL97" s="3"/>
      <c r="AO97" s="34"/>
      <c r="AR97" s="34"/>
      <c r="AU97" s="34"/>
      <c r="AV97" s="34"/>
      <c r="AZ97" s="34"/>
      <c r="BC97" s="34"/>
    </row>
    <row r="98" spans="3:68" ht="20.25" customHeight="1">
      <c r="C98" s="34"/>
      <c r="F98" s="34"/>
      <c r="I98" s="34"/>
      <c r="J98" s="34"/>
      <c r="K98" s="2471"/>
      <c r="N98" s="34"/>
      <c r="Q98" s="34"/>
      <c r="U98" s="522"/>
      <c r="V98" s="522"/>
      <c r="W98" s="522"/>
      <c r="X98" s="522"/>
      <c r="Y98" s="522"/>
      <c r="Z98" s="522"/>
      <c r="AA98" s="522"/>
      <c r="AB98" s="522"/>
      <c r="AC98" s="3"/>
      <c r="AD98" s="3"/>
      <c r="AE98" s="3"/>
      <c r="AF98" s="3"/>
      <c r="AG98" s="3"/>
      <c r="AH98" s="3"/>
      <c r="AI98" s="3"/>
      <c r="AJ98" s="3"/>
      <c r="AK98" s="3"/>
      <c r="AL98" s="3"/>
      <c r="AO98" s="34"/>
      <c r="AR98" s="34"/>
      <c r="AU98" s="34"/>
      <c r="AV98" s="34"/>
      <c r="AZ98" s="34"/>
      <c r="BC98" s="34"/>
    </row>
    <row r="99" spans="3:68" ht="20.25" customHeight="1">
      <c r="C99" s="34"/>
      <c r="F99" s="34"/>
      <c r="I99" s="34"/>
      <c r="J99" s="34"/>
      <c r="K99" s="2471"/>
      <c r="N99" s="34"/>
      <c r="Q99" s="34"/>
      <c r="U99" s="152"/>
      <c r="V99" s="152"/>
      <c r="W99" s="152"/>
      <c r="X99" s="152"/>
      <c r="Y99" s="152"/>
      <c r="Z99" s="152"/>
      <c r="AA99" s="152"/>
      <c r="AB99" s="152"/>
      <c r="AC99" s="3"/>
      <c r="AD99" s="3"/>
      <c r="AE99" s="3"/>
      <c r="AF99" s="3"/>
      <c r="AG99" s="3"/>
      <c r="AH99" s="3"/>
      <c r="AI99" s="3"/>
      <c r="AJ99" s="3"/>
      <c r="AK99" s="3"/>
      <c r="AL99" s="3"/>
      <c r="AO99" s="34"/>
      <c r="AR99" s="34"/>
      <c r="AU99" s="34"/>
      <c r="AV99" s="34"/>
      <c r="AZ99" s="34"/>
      <c r="BC99" s="34"/>
    </row>
    <row r="100" spans="3:68" ht="20.25" customHeight="1">
      <c r="C100" s="34"/>
      <c r="F100" s="34"/>
      <c r="I100" s="34"/>
      <c r="J100" s="34"/>
      <c r="K100" s="2471"/>
      <c r="N100" s="34"/>
      <c r="Q100" s="34"/>
      <c r="U100" s="493"/>
      <c r="V100" s="493"/>
      <c r="W100" s="493"/>
      <c r="X100" s="493"/>
      <c r="Y100" s="493"/>
      <c r="Z100" s="493"/>
      <c r="AA100" s="493"/>
      <c r="AB100" s="493"/>
      <c r="AC100" s="15" t="s">
        <v>28</v>
      </c>
      <c r="AD100" s="3"/>
      <c r="AE100" s="3"/>
      <c r="AF100" s="3"/>
      <c r="AG100" s="3"/>
      <c r="AH100" s="3"/>
      <c r="AI100" s="3"/>
      <c r="AJ100" s="3"/>
      <c r="AK100" s="3"/>
      <c r="AL100" s="3"/>
      <c r="AO100" s="34"/>
      <c r="AR100" s="34"/>
      <c r="AU100" s="34"/>
      <c r="AV100" s="34"/>
      <c r="AZ100" s="34"/>
      <c r="BC100" s="34"/>
    </row>
    <row r="101" spans="3:68" ht="20.25" customHeight="1">
      <c r="C101" s="34"/>
      <c r="F101" s="34"/>
      <c r="I101" s="34"/>
      <c r="J101" s="34"/>
      <c r="K101" s="2471"/>
      <c r="N101" s="34"/>
      <c r="Q101" s="34"/>
      <c r="AC101" s="3"/>
      <c r="AD101" s="3"/>
      <c r="AE101" s="3"/>
      <c r="AF101" s="3"/>
      <c r="AG101" s="3"/>
      <c r="AH101" s="3"/>
      <c r="AI101" s="3"/>
      <c r="AJ101" s="3"/>
      <c r="AK101" s="3"/>
      <c r="AL101" s="3"/>
      <c r="AO101" s="34"/>
      <c r="AR101" s="34"/>
      <c r="AU101" s="34"/>
      <c r="AV101" s="34"/>
      <c r="AZ101" s="34"/>
      <c r="BC101" s="34"/>
    </row>
    <row r="102" spans="3:68" ht="20.25" customHeight="1">
      <c r="C102" s="34"/>
      <c r="F102" s="34"/>
      <c r="I102" s="34"/>
      <c r="J102" s="34"/>
      <c r="K102" s="2471"/>
      <c r="N102" s="34"/>
      <c r="Q102" s="34"/>
      <c r="U102" s="142"/>
      <c r="V102" s="142"/>
      <c r="W102" s="142"/>
      <c r="X102" s="142"/>
      <c r="Y102" s="142"/>
      <c r="Z102" s="142"/>
      <c r="AA102" s="142"/>
      <c r="AB102" s="142"/>
      <c r="AC102" s="142"/>
      <c r="AD102" s="3"/>
      <c r="AE102" s="3"/>
      <c r="AF102" s="3"/>
      <c r="AG102" s="3"/>
      <c r="AH102" s="3"/>
      <c r="AI102" s="3"/>
      <c r="AJ102" s="3"/>
      <c r="AK102" s="3"/>
      <c r="AL102" s="3"/>
      <c r="AM102" s="290"/>
      <c r="AN102" s="300" t="s">
        <v>773</v>
      </c>
      <c r="AO102" s="301"/>
      <c r="AP102" s="487">
        <f>'18 Zielumsatz Planungsjahr'!Y38</f>
        <v>5000.0000000000109</v>
      </c>
      <c r="AQ102" s="286"/>
      <c r="AR102" s="288" t="e">
        <f>IF(AP102=0,"",IF(AP102="","",AP102/AP$75*100))</f>
        <v>#DIV/0!</v>
      </c>
      <c r="AS102" s="1302"/>
      <c r="AT102" s="2471"/>
      <c r="AU102" s="2471"/>
      <c r="AV102" s="2471"/>
      <c r="AW102" s="2471"/>
      <c r="BF102" s="3"/>
      <c r="BG102" s="3"/>
      <c r="BH102" s="3"/>
      <c r="BI102" s="142"/>
      <c r="BJ102" s="142"/>
      <c r="BK102" s="142"/>
      <c r="BL102" s="142"/>
      <c r="BM102" s="142"/>
      <c r="BN102" s="142"/>
      <c r="BO102" s="142"/>
      <c r="BP102" s="3"/>
    </row>
    <row r="103" spans="3:68" ht="15">
      <c r="C103" s="34"/>
      <c r="F103" s="34"/>
      <c r="I103" s="34"/>
      <c r="J103" s="34"/>
      <c r="K103" s="2471"/>
      <c r="N103" s="34"/>
      <c r="Q103" s="34"/>
      <c r="U103" s="1307"/>
      <c r="V103" s="1307"/>
      <c r="W103" s="1307"/>
      <c r="X103" s="1307"/>
      <c r="Y103" s="1307"/>
      <c r="Z103" s="1307"/>
      <c r="AA103" s="1307"/>
      <c r="AB103" s="1307"/>
      <c r="AC103" s="142" t="str">
        <f>IF('18 Zielumsatz Planungsjahr'!P19="","","%")</f>
        <v/>
      </c>
      <c r="AD103" s="3"/>
      <c r="AE103" s="3"/>
      <c r="AF103" s="3"/>
      <c r="AG103" s="3"/>
      <c r="AH103" s="3"/>
      <c r="AI103" s="3"/>
      <c r="AJ103" s="3"/>
      <c r="AK103" s="3"/>
      <c r="AL103" s="3"/>
      <c r="AM103" s="306"/>
      <c r="AN103" s="307"/>
      <c r="AO103" s="308"/>
      <c r="AP103" s="311" t="str">
        <f>IF(AP102&gt;0,"Überdeckung",IF(AP102&lt;0,"Unterdeckung",""))</f>
        <v>Überdeckung</v>
      </c>
      <c r="AQ103" s="310"/>
      <c r="AR103" s="312"/>
      <c r="AS103" s="1302"/>
      <c r="AT103" s="2471"/>
      <c r="AU103" s="2471"/>
      <c r="AV103" s="2471"/>
      <c r="AW103" s="2471"/>
      <c r="AX103" s="2471"/>
      <c r="AY103" s="3"/>
      <c r="AZ103" s="3"/>
      <c r="BA103" s="3"/>
      <c r="BB103" s="3"/>
      <c r="BC103" s="3"/>
      <c r="BD103" s="3"/>
      <c r="BE103" s="3"/>
      <c r="BF103" s="3"/>
      <c r="BG103" s="3"/>
      <c r="BH103" s="3"/>
      <c r="BI103" s="1307"/>
      <c r="BJ103" s="1307"/>
      <c r="BK103" s="1307"/>
      <c r="BL103" s="1307"/>
      <c r="BM103" s="1307"/>
      <c r="BN103" s="1307"/>
      <c r="BO103" s="142"/>
      <c r="BP103" s="3"/>
    </row>
    <row r="104" spans="3:68" ht="15">
      <c r="C104" s="34"/>
      <c r="F104" s="34"/>
      <c r="I104" s="34"/>
      <c r="J104" s="3"/>
      <c r="K104" s="3"/>
      <c r="N104" s="34"/>
      <c r="Q104" s="34"/>
      <c r="U104" s="1307"/>
      <c r="V104" s="1307"/>
      <c r="W104" s="1307"/>
      <c r="X104" s="1307"/>
      <c r="Y104" s="1307"/>
      <c r="Z104" s="1307"/>
      <c r="AA104" s="1307"/>
      <c r="AB104" s="1307"/>
      <c r="AC104" s="142" t="str">
        <f>IF('18 Zielumsatz Planungsjahr'!P19="","",""%)</f>
        <v/>
      </c>
      <c r="AD104" s="3"/>
      <c r="AE104" s="3"/>
      <c r="AF104" s="3"/>
      <c r="AG104" s="3"/>
      <c r="AH104" s="3"/>
      <c r="AI104" s="3"/>
      <c r="AJ104" s="3"/>
      <c r="AK104" s="3"/>
      <c r="AL104" s="3"/>
      <c r="AM104" s="13"/>
      <c r="AN104" s="13"/>
      <c r="AO104" s="13"/>
      <c r="AP104" s="13"/>
      <c r="AQ104" s="13"/>
      <c r="AR104" s="13"/>
      <c r="AS104" s="13"/>
      <c r="AT104" s="3"/>
      <c r="AU104" s="3"/>
      <c r="AV104" s="3"/>
      <c r="AW104" s="3"/>
      <c r="AX104" s="2471"/>
      <c r="AY104" s="3"/>
      <c r="AZ104" s="3"/>
      <c r="BA104" s="3"/>
      <c r="BB104" s="3"/>
      <c r="BC104" s="3"/>
      <c r="BD104" s="3"/>
      <c r="BE104" s="3"/>
      <c r="BF104" s="3"/>
      <c r="BG104" s="3"/>
      <c r="BH104" s="3"/>
      <c r="BI104" s="1307"/>
      <c r="BJ104" s="1307"/>
      <c r="BK104" s="1307"/>
      <c r="BL104" s="1307"/>
      <c r="BM104" s="1307"/>
      <c r="BN104" s="1307"/>
      <c r="BO104" s="142"/>
      <c r="BP104" s="3"/>
    </row>
    <row r="105" spans="3:68" ht="15">
      <c r="C105" s="34"/>
      <c r="F105" s="34"/>
      <c r="I105" s="34"/>
      <c r="L105" s="2471"/>
      <c r="M105" s="3"/>
      <c r="N105" s="3"/>
      <c r="O105" s="3"/>
      <c r="P105" s="3"/>
      <c r="Q105" s="3"/>
      <c r="R105" s="3"/>
      <c r="S105" s="3"/>
      <c r="T105" s="3"/>
      <c r="U105" s="3"/>
      <c r="V105" s="3"/>
      <c r="W105" s="3"/>
      <c r="X105" s="3"/>
      <c r="Y105" s="3"/>
      <c r="Z105" s="3"/>
      <c r="AA105" s="3"/>
      <c r="AB105" s="3"/>
      <c r="AC105" s="3"/>
      <c r="AD105" s="3"/>
      <c r="AE105" s="3"/>
      <c r="AF105" s="3"/>
      <c r="AM105" s="13"/>
      <c r="AN105" s="13"/>
      <c r="AO105" s="13"/>
      <c r="AP105" s="13"/>
      <c r="AQ105" s="13"/>
      <c r="AR105" s="13"/>
      <c r="AS105" s="13"/>
      <c r="AT105" s="13"/>
      <c r="AX105" s="2471"/>
      <c r="AY105" s="3"/>
      <c r="AZ105" s="3"/>
      <c r="BA105" s="3"/>
      <c r="BB105" s="3"/>
      <c r="BC105" s="3"/>
      <c r="BD105" s="3"/>
      <c r="BE105" s="3"/>
      <c r="BF105" s="3"/>
      <c r="BG105" s="3"/>
      <c r="BH105" s="3"/>
      <c r="BI105" s="3"/>
      <c r="BJ105" s="3"/>
      <c r="BK105" s="3"/>
      <c r="BL105" s="3"/>
      <c r="BM105" s="3"/>
      <c r="BN105" s="3"/>
      <c r="BO105" s="3"/>
      <c r="BP105" s="3"/>
    </row>
    <row r="106" spans="3:68" ht="15">
      <c r="C106" s="34"/>
      <c r="F106" s="34"/>
      <c r="I106" s="34"/>
      <c r="L106" s="3"/>
      <c r="M106" s="3"/>
      <c r="N106" s="3"/>
      <c r="O106" s="3"/>
      <c r="P106" s="3"/>
      <c r="Q106" s="3"/>
      <c r="R106" s="3"/>
      <c r="S106" s="3"/>
      <c r="T106" s="3"/>
      <c r="U106" s="3"/>
      <c r="V106" s="3"/>
      <c r="W106" s="3"/>
      <c r="X106" s="3"/>
      <c r="Y106" s="3"/>
      <c r="Z106" s="3"/>
      <c r="AA106" s="3"/>
      <c r="AB106" s="3"/>
      <c r="AC106" s="3"/>
      <c r="AM106" s="13"/>
      <c r="AN106" s="13"/>
      <c r="AO106" s="13"/>
      <c r="AP106" s="13"/>
      <c r="AQ106" s="13"/>
      <c r="AR106" s="13"/>
      <c r="AS106" s="13"/>
      <c r="AT106" s="13"/>
      <c r="AX106" s="3"/>
      <c r="AY106" s="3"/>
      <c r="AZ106" s="3"/>
      <c r="BA106" s="3"/>
      <c r="BB106" s="3"/>
      <c r="BC106" s="3"/>
      <c r="BD106" s="3"/>
      <c r="BE106" s="3"/>
      <c r="BI106" s="3"/>
      <c r="BJ106" s="3"/>
      <c r="BK106" s="3"/>
      <c r="BL106" s="3"/>
      <c r="BM106" s="3"/>
      <c r="BN106" s="3"/>
      <c r="BO106" s="3"/>
    </row>
    <row r="107" spans="3:68" ht="20.25" customHeight="1">
      <c r="C107" s="34"/>
      <c r="F107" s="34"/>
      <c r="I107" s="34"/>
      <c r="K107" s="3"/>
      <c r="L107" s="3"/>
      <c r="M107" s="3"/>
      <c r="N107" s="3"/>
      <c r="O107" s="3"/>
      <c r="P107" s="3"/>
      <c r="Q107" s="3"/>
      <c r="R107" s="3"/>
      <c r="S107" s="3"/>
      <c r="T107" s="3"/>
      <c r="U107" s="3"/>
      <c r="V107" s="3"/>
      <c r="W107" s="3"/>
      <c r="X107" s="3"/>
      <c r="Y107" s="3"/>
      <c r="Z107" s="3"/>
      <c r="AA107" s="3"/>
      <c r="AB107" s="3"/>
      <c r="AG107" s="3"/>
      <c r="AH107" s="3"/>
      <c r="AI107" s="3"/>
      <c r="AJ107" s="3"/>
      <c r="AK107" s="3"/>
      <c r="AL107" s="3"/>
      <c r="AM107" s="13"/>
      <c r="AN107" s="13"/>
      <c r="AO107" s="13"/>
      <c r="AP107" s="13"/>
      <c r="AQ107" s="13"/>
      <c r="AR107" s="13"/>
      <c r="AS107" s="13"/>
      <c r="AT107" s="13"/>
      <c r="AW107" s="3"/>
      <c r="AX107" s="3"/>
      <c r="AY107" s="3"/>
      <c r="AZ107" s="3"/>
      <c r="BA107" s="3"/>
      <c r="BB107" s="3"/>
      <c r="BC107" s="3"/>
      <c r="BD107" s="3"/>
      <c r="BI107" s="3"/>
      <c r="BJ107" s="3"/>
      <c r="BK107" s="3"/>
      <c r="BL107" s="3"/>
      <c r="BM107" s="3"/>
      <c r="BN107" s="3"/>
    </row>
  </sheetData>
  <sheetProtection algorithmName="SHA-512" hashValue="hbb1dAEM70KL87HW54n/QI9/mjQitf+O31MVq2qz/RC5UqEng7JeXS95IeJhdQHFDrcLnzzcZGyqX7V3mOuqaA==" saltValue="1iHqYdjyPPnNyNtLVenc5w==" spinCount="100000" sheet="1" objects="1" scenarios="1"/>
  <mergeCells count="36">
    <mergeCell ref="BD48:BF48"/>
    <mergeCell ref="R35:U36"/>
    <mergeCell ref="BD35:BG36"/>
    <mergeCell ref="R37:T37"/>
    <mergeCell ref="BD37:BF37"/>
    <mergeCell ref="R45:U47"/>
    <mergeCell ref="BD45:BG47"/>
    <mergeCell ref="D28:F28"/>
    <mergeCell ref="O28:Q28"/>
    <mergeCell ref="AP28:AR28"/>
    <mergeCell ref="BA28:BC28"/>
    <mergeCell ref="R48:T48"/>
    <mergeCell ref="F12:G12"/>
    <mergeCell ref="AR12:AS12"/>
    <mergeCell ref="B13:W14"/>
    <mergeCell ref="AN13:BI14"/>
    <mergeCell ref="B19:W19"/>
    <mergeCell ref="AN19:BI19"/>
    <mergeCell ref="AM2:AY2"/>
    <mergeCell ref="B3:W8"/>
    <mergeCell ref="AN3:BI8"/>
    <mergeCell ref="AR9:AS9"/>
    <mergeCell ref="F10:G10"/>
    <mergeCell ref="H10:M11"/>
    <mergeCell ref="AR10:AS10"/>
    <mergeCell ref="AU10:AV10"/>
    <mergeCell ref="AW10:BB11"/>
    <mergeCell ref="F11:G11"/>
    <mergeCell ref="AR11:AS11"/>
    <mergeCell ref="AU11:AV11"/>
    <mergeCell ref="I1:J1"/>
    <mergeCell ref="N1:O1"/>
    <mergeCell ref="R1:Z2"/>
    <mergeCell ref="AD1:AL1"/>
    <mergeCell ref="A2:J2"/>
    <mergeCell ref="N2:O2"/>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28"/>
  <sheetViews>
    <sheetView showGridLines="0" zoomScale="80" zoomScaleNormal="80" workbookViewId="0">
      <selection activeCell="G10" sqref="G10"/>
    </sheetView>
  </sheetViews>
  <sheetFormatPr baseColWidth="10" defaultColWidth="9.21875" defaultRowHeight="13.2"/>
  <cols>
    <col min="1" max="1" width="5.44140625" style="34" customWidth="1"/>
    <col min="2" max="2" width="39.21875" style="34" customWidth="1"/>
    <col min="3" max="3" width="12.44140625" style="34" customWidth="1"/>
    <col min="4" max="4" width="15.44140625" style="34" customWidth="1"/>
    <col min="5" max="5" width="9.21875" style="34" customWidth="1"/>
    <col min="6" max="6" width="14.21875" style="34" customWidth="1"/>
    <col min="7" max="7" width="11.44140625" style="76" bestFit="1" customWidth="1"/>
    <col min="8" max="8" width="9.21875" style="34" bestFit="1" customWidth="1"/>
    <col min="9" max="9" width="8.77734375" style="34" customWidth="1"/>
    <col min="10" max="11" width="9.21875" style="34"/>
    <col min="12" max="12" width="10.44140625" style="34" customWidth="1"/>
    <col min="13" max="16384" width="9.21875" style="34"/>
  </cols>
  <sheetData>
    <row r="1" spans="1:20" ht="28.5" customHeight="1">
      <c r="B1" s="3672" t="s">
        <v>417</v>
      </c>
      <c r="C1" s="3672"/>
      <c r="D1" s="3672"/>
      <c r="E1" s="3672"/>
      <c r="F1" s="3672"/>
      <c r="G1" s="3672"/>
      <c r="H1" s="3672"/>
      <c r="J1" s="555"/>
      <c r="K1" s="555" t="s">
        <v>54</v>
      </c>
      <c r="L1" s="2473" t="s">
        <v>418</v>
      </c>
      <c r="M1" s="556" t="s">
        <v>419</v>
      </c>
      <c r="N1" s="556" t="s">
        <v>421</v>
      </c>
      <c r="O1" s="556" t="s">
        <v>420</v>
      </c>
      <c r="P1" s="556" t="s">
        <v>422</v>
      </c>
      <c r="Q1" s="556" t="s">
        <v>424</v>
      </c>
      <c r="R1" s="2473" t="s">
        <v>423</v>
      </c>
      <c r="S1" s="4408" t="s">
        <v>930</v>
      </c>
      <c r="T1" s="4408"/>
    </row>
    <row r="2" spans="1:20" ht="28.5" customHeight="1">
      <c r="B2" s="3672"/>
      <c r="C2" s="3672"/>
      <c r="D2" s="3672"/>
      <c r="E2" s="3672"/>
      <c r="F2" s="3672"/>
      <c r="G2" s="3672"/>
      <c r="H2" s="3672"/>
      <c r="J2" s="555" t="str">
        <f>IF(K2="","","Chef")</f>
        <v>Chef</v>
      </c>
      <c r="K2" s="557">
        <f>IF('11 Gesamt PK'!G12=0,"",'11 Gesamt PK'!G12)</f>
        <v>1</v>
      </c>
      <c r="L2" s="558">
        <f>IF(K2="","",'17 Chef-Ums.-Entn. od. GmbHgew.'!B67)</f>
        <v>6000</v>
      </c>
      <c r="M2" s="557">
        <f>IF(K2="","",L2*1.25)</f>
        <v>7500</v>
      </c>
      <c r="N2" s="555">
        <f>IF(K2="","",M2*'4 Eingabe Friseure'!BG7)</f>
        <v>90000</v>
      </c>
      <c r="O2" s="562">
        <f>IF(K2="","",$C$10*K2)</f>
        <v>216</v>
      </c>
      <c r="P2" s="557">
        <f>IF(K2="","",N2/O2)</f>
        <v>416.66666666666669</v>
      </c>
      <c r="Q2" s="557">
        <f>IF(K2="","",P2/$C$13)</f>
        <v>52.083333333333336</v>
      </c>
      <c r="R2" s="1489">
        <f>IF(K2="","",Q2/$C$15)</f>
        <v>0.86805555555555558</v>
      </c>
      <c r="S2" s="1486">
        <f>IF(R2="","",R2/$T$2*1)</f>
        <v>1.2400793650793651</v>
      </c>
      <c r="T2" s="1487">
        <f>G22</f>
        <v>0.7</v>
      </c>
    </row>
    <row r="3" spans="1:20" ht="28.5" customHeight="1">
      <c r="B3" s="3672"/>
      <c r="C3" s="3672"/>
      <c r="D3" s="3672"/>
      <c r="E3" s="3672"/>
      <c r="F3" s="3672"/>
      <c r="G3" s="3672"/>
      <c r="H3" s="3672"/>
      <c r="J3" s="559" t="e">
        <f>IF('2a Chefeingaben'!#REF!="ja","Bei der Planung einer GmbH fehlt hier der organisatorische Lohn des Chefs","Der Minutenpreis des Chefs ist höher, wenn wir mit dir gesamten Privatentnahme rechnen." )</f>
        <v>#REF!</v>
      </c>
      <c r="K3" s="559"/>
      <c r="L3" s="559"/>
      <c r="M3" s="559"/>
      <c r="N3" s="559"/>
      <c r="O3" s="559"/>
      <c r="P3" s="559"/>
      <c r="Q3" s="559"/>
      <c r="R3" s="1490"/>
      <c r="S3" s="1488"/>
      <c r="T3" s="1488"/>
    </row>
    <row r="4" spans="1:20" ht="28.5" customHeight="1">
      <c r="B4" s="3672"/>
      <c r="C4" s="3672"/>
      <c r="D4" s="3672"/>
      <c r="E4" s="3672"/>
      <c r="F4" s="3672"/>
      <c r="G4" s="3672"/>
      <c r="H4" s="3672"/>
      <c r="J4" s="555" t="e">
        <f>IF('2a Chefeingaben'!#REF!="ja","","Bei der Rechnung mit dem Chef-Lohn für die -Arbeit am Kunden- sieht es etwas anders aus." )</f>
        <v>#REF!</v>
      </c>
      <c r="K4" s="555"/>
      <c r="L4" s="555"/>
      <c r="M4" s="555"/>
      <c r="N4" s="555"/>
      <c r="O4" s="555"/>
      <c r="P4" s="555"/>
      <c r="Q4" s="555"/>
      <c r="R4" s="1491"/>
      <c r="S4" s="1488"/>
      <c r="T4" s="1488"/>
    </row>
    <row r="5" spans="1:20" ht="28.5" customHeight="1">
      <c r="B5" s="3343" t="str">
        <f>IF(Start!O20&gt;0,"Personalkosten = Privatentnahme bei Solo-Selbstständigkeit","")</f>
        <v/>
      </c>
      <c r="C5" s="3343"/>
      <c r="D5" s="3343"/>
      <c r="E5" s="3343"/>
      <c r="J5" s="555" t="str">
        <f>IF('17 Chef-Ums.-Entn. od. GmbHgew.'!C43="","",IF(K2="","","Chef"))</f>
        <v>Chef</v>
      </c>
      <c r="K5" s="557">
        <f>IF(J5="","",K2)</f>
        <v>1</v>
      </c>
      <c r="L5" s="558">
        <f>IF(K5="","",'17 Chef-Ums.-Entn. od. GmbHgew.'!B61)</f>
        <v>2051.8666666666668</v>
      </c>
      <c r="M5" s="557">
        <f>IF(K5="","",L5*1.25)</f>
        <v>2564.8333333333335</v>
      </c>
      <c r="N5" s="555">
        <f>IF(K5="","",M5*'4 Eingabe Friseure'!BG7)</f>
        <v>30778</v>
      </c>
      <c r="O5" s="562">
        <f>IF(K5="","",$C$10*K5)</f>
        <v>216</v>
      </c>
      <c r="P5" s="557">
        <f>IF(K5="","",N5/O5)</f>
        <v>142.49074074074073</v>
      </c>
      <c r="Q5" s="557">
        <f>IF(K5="","",P5/$C$13)</f>
        <v>17.811342592592592</v>
      </c>
      <c r="R5" s="1489">
        <f>IF(K5="","",Q5/$C$15)</f>
        <v>0.29685570987654319</v>
      </c>
      <c r="S5" s="1486">
        <f>IF(R5="","",R5/$T$2*1)</f>
        <v>0.42407958553791886</v>
      </c>
      <c r="T5" s="1488"/>
    </row>
    <row r="6" spans="1:20" ht="25.5" customHeight="1">
      <c r="A6" s="216"/>
      <c r="B6" s="481" t="s">
        <v>329</v>
      </c>
      <c r="C6" s="427"/>
      <c r="D6" s="216"/>
      <c r="E6" s="216"/>
      <c r="F6" s="216"/>
      <c r="G6" s="216"/>
      <c r="J6" s="555" t="str">
        <f>IF('4 Eingabe Friseure'!A10="","",'4 Eingabe Friseure'!A10)</f>
        <v>Maria</v>
      </c>
      <c r="K6" s="558">
        <f>IF(J6="","",'4 Eingabe Friseure'!BI10)</f>
        <v>0.98750000000000004</v>
      </c>
      <c r="L6" s="558">
        <f>IF(J6="","",'4 Eingabe Friseure'!E10)</f>
        <v>2765.6359500000003</v>
      </c>
      <c r="M6" s="557">
        <f>IF(J6="","",L6*1.25)</f>
        <v>3457.0449375000003</v>
      </c>
      <c r="N6" s="555">
        <f>IF(J6="","",M6*'4 Eingabe Friseure'!BG10)</f>
        <v>41484.539250000002</v>
      </c>
      <c r="O6" s="562">
        <f>IF(J6="","",$C$10*K6)</f>
        <v>213.3</v>
      </c>
      <c r="P6" s="557">
        <f>IF(J6="","",N6/O6)</f>
        <v>194.48916666666668</v>
      </c>
      <c r="Q6" s="557">
        <f>IF(J6="","",P6/$C$13)</f>
        <v>24.311145833333335</v>
      </c>
      <c r="R6" s="1489">
        <f>IF(J6="","",Q6/$C$15)</f>
        <v>0.40518576388888888</v>
      </c>
      <c r="S6" s="1486">
        <f>IF(R6="","",R6/$T$2*1)</f>
        <v>0.57883680555555561</v>
      </c>
      <c r="T6" s="1488"/>
    </row>
    <row r="7" spans="1:20" ht="24.75" customHeight="1">
      <c r="A7" s="216"/>
      <c r="B7" s="4410" t="s">
        <v>429</v>
      </c>
      <c r="C7" s="4410"/>
      <c r="D7" s="429">
        <f>IF(Preiskalkulation!$C$3="ü","geschlossen",'18 Zielumsatz Planungsjahr'!$G$14)</f>
        <v>211335.49775000001</v>
      </c>
      <c r="E7" s="430" t="s">
        <v>330</v>
      </c>
      <c r="F7" s="431" t="s">
        <v>331</v>
      </c>
      <c r="G7" s="216"/>
      <c r="H7" s="394"/>
      <c r="J7" s="555" t="str">
        <f>IF('4 Eingabe Friseure'!A11="","",'4 Eingabe Friseure'!A11)</f>
        <v>Jutta</v>
      </c>
      <c r="K7" s="558">
        <f>IF(J7="","",'4 Eingabe Friseure'!BI11)</f>
        <v>0.75</v>
      </c>
      <c r="L7" s="558">
        <f>IF(J7="","",'4 Eingabe Friseure'!E11)</f>
        <v>1782.53</v>
      </c>
      <c r="M7" s="557">
        <f>IF(J7="","",L7*1.25)</f>
        <v>2228.1624999999999</v>
      </c>
      <c r="N7" s="555">
        <f>IF(J7="","",M7*'4 Eingabe Friseure'!BG11)</f>
        <v>26737.949999999997</v>
      </c>
      <c r="O7" s="562">
        <f>IF(J7="","",$C$10*K7)</f>
        <v>162</v>
      </c>
      <c r="P7" s="557">
        <f>IF(J7="","",N7/O7)</f>
        <v>165.04907407407404</v>
      </c>
      <c r="Q7" s="557">
        <f>IF(J7="","",P7/$C$13)</f>
        <v>20.631134259259255</v>
      </c>
      <c r="R7" s="1489">
        <f>IF(J7="","",Q7/$C$15)</f>
        <v>0.34385223765432094</v>
      </c>
      <c r="S7" s="1486">
        <f>IF(R7="","",R7/$T$2*1)</f>
        <v>0.49121748236331564</v>
      </c>
      <c r="T7" s="1488"/>
    </row>
    <row r="8" spans="1:20" ht="24.75" customHeight="1">
      <c r="A8" s="216"/>
      <c r="B8" s="430" t="s">
        <v>332</v>
      </c>
      <c r="C8" s="430"/>
      <c r="D8" s="429">
        <f>IF(Preiskalkulation!$C$3="ü","geschlossen",'27 Gewinnaufschlag'!O57)</f>
        <v>30778</v>
      </c>
      <c r="E8" s="430" t="s">
        <v>330</v>
      </c>
      <c r="F8" s="431" t="str">
        <f ca="1">IF(Start!O20&gt;0,"",IF('17 Chef-Ums.-Entn. od. GmbHgew.'!J43="","aus Ihrer Planung",""))</f>
        <v>aus Ihrer Planung</v>
      </c>
      <c r="G8" s="4414" t="str">
        <f ca="1">IF(Start!O20&gt;0,"",IF('17 Chef-Ums.-Entn. od. GmbHgew.'!J43="","","Bitte kontrollieren Sie Seite 17 Zelle G43"))</f>
        <v/>
      </c>
      <c r="H8" s="4414"/>
      <c r="I8" s="2576" t="str">
        <f ca="1">IF(Start!O20&gt;0,"",IF('17 Chef-Ums.-Entn. od. GmbHgew.'!J43="","","!"))</f>
        <v/>
      </c>
      <c r="J8" s="555" t="str">
        <f>IF('4 Eingabe Friseure'!A12="","",'4 Eingabe Friseure'!A12)</f>
        <v>Karina</v>
      </c>
      <c r="K8" s="558">
        <f>IF(J8="","",'4 Eingabe Friseure'!BI12)</f>
        <v>0.65</v>
      </c>
      <c r="L8" s="558">
        <f>IF(J8="","",'4 Eingabe Friseure'!E12)</f>
        <v>1490.5592000000001</v>
      </c>
      <c r="M8" s="557">
        <f>IF(J8="","",L8*1.25)</f>
        <v>1863.1990000000001</v>
      </c>
      <c r="N8" s="555">
        <f>IF(J8="","",M8*'4 Eingabe Friseure'!BG12)</f>
        <v>22358.387999999999</v>
      </c>
      <c r="O8" s="562">
        <f>IF(J8="","",$C$10*K8)</f>
        <v>140.4</v>
      </c>
      <c r="P8" s="557">
        <f>IF(J8="","",N8/O8)</f>
        <v>159.24777777777777</v>
      </c>
      <c r="Q8" s="557">
        <f>IF(J8="","",P8/$C$13)</f>
        <v>19.905972222222221</v>
      </c>
      <c r="R8" s="1489">
        <f>IF(J8="","",Q8/$C$15)</f>
        <v>0.33176620370370369</v>
      </c>
      <c r="S8" s="1486">
        <f>IF(R8="","",R8/$T$2*1)</f>
        <v>0.47395171957671961</v>
      </c>
      <c r="T8" s="1488"/>
    </row>
    <row r="9" spans="1:20" ht="24.75" customHeight="1">
      <c r="A9" s="216"/>
      <c r="B9" s="433"/>
      <c r="C9" s="433" t="s">
        <v>2</v>
      </c>
      <c r="D9" s="434">
        <f ca="1">IF('3 Vorjahr'!AB$2="","Zeit abgelaufen",SUM(D7:D8))</f>
        <v>242113.49775000001</v>
      </c>
      <c r="E9" s="433" t="s">
        <v>330</v>
      </c>
      <c r="F9" s="478"/>
      <c r="G9" s="4414"/>
      <c r="H9" s="4414"/>
      <c r="I9" s="432"/>
      <c r="J9" s="555" t="str">
        <f>IF(K9="","","Azubis")</f>
        <v>Azubis</v>
      </c>
      <c r="K9" s="558">
        <f>IF('6 Eingabe Azubis'!AL4=0,"",'6 Eingabe Azubis'!AL4)</f>
        <v>0.56666666666666665</v>
      </c>
      <c r="L9" s="558"/>
      <c r="M9" s="557"/>
      <c r="N9" s="560">
        <f ca="1">IF(K9="","",'11 Gesamt PK'!F8)</f>
        <v>19144.375</v>
      </c>
      <c r="O9" s="562">
        <f>IF(K9="","",$C$10*K9)</f>
        <v>122.39999999999999</v>
      </c>
      <c r="P9" s="557">
        <f ca="1">IF(K9="","",N9/O9)</f>
        <v>156.40829248366015</v>
      </c>
      <c r="Q9" s="557">
        <f ca="1">IF(K9="","",P9/$C$13)</f>
        <v>19.551036560457518</v>
      </c>
      <c r="R9" s="1489">
        <f ca="1">IF(K9="","",Q9/$C$15)</f>
        <v>0.32585060934095866</v>
      </c>
      <c r="S9" s="1486">
        <f ca="1">IF(R9="","",R9/$T$2*1)</f>
        <v>0.46550087048708383</v>
      </c>
      <c r="T9" s="1488"/>
    </row>
    <row r="10" spans="1:20" ht="24.75" customHeight="1">
      <c r="A10" s="216"/>
      <c r="B10" s="430" t="s">
        <v>333</v>
      </c>
      <c r="C10" s="435">
        <f>IF(Preiskalkulation!$C$3="ü","geschlossen",G10)</f>
        <v>216</v>
      </c>
      <c r="D10" s="430"/>
      <c r="E10" s="436"/>
      <c r="F10" s="478"/>
      <c r="G10" s="1832">
        <f>IF(Start!O20&gt;0,'2 Unternehmensdaten'!K32,IF(G13&gt;3.9,ROUND('2 Unternehmensdaten'!K32,0),0))</f>
        <v>216</v>
      </c>
      <c r="H10" s="4407" t="str">
        <f>IF(G13=4,"Arbeitstage bei 4 Öffnungstagen pro Woche","")</f>
        <v/>
      </c>
      <c r="I10" s="4407"/>
      <c r="J10" s="558"/>
      <c r="K10" s="558"/>
      <c r="L10" s="558"/>
      <c r="M10" s="558"/>
      <c r="N10" s="558"/>
      <c r="O10" s="558"/>
      <c r="P10" s="561"/>
      <c r="Q10" s="561"/>
      <c r="R10" s="561"/>
      <c r="S10" s="1486"/>
      <c r="T10" s="1488"/>
    </row>
    <row r="11" spans="1:20" ht="24.75" customHeight="1">
      <c r="A11" s="216"/>
      <c r="B11" s="430" t="s">
        <v>334</v>
      </c>
      <c r="C11" s="437">
        <f>IF(Start!O20&gt;0,1,IF(Preiskalkulation!$C$3="ü","geschlossen",'11 Gesamt PK'!G14))</f>
        <v>6.0375000000000005</v>
      </c>
      <c r="D11" s="430"/>
      <c r="E11" s="430"/>
      <c r="F11" s="477" t="s">
        <v>331</v>
      </c>
      <c r="G11" s="4413" t="str">
        <f>IF(G10=0,"Es fehlen Angaben auf Seite 2","")</f>
        <v/>
      </c>
      <c r="H11" s="4413"/>
      <c r="I11" s="870"/>
      <c r="J11" s="4409" t="s">
        <v>425</v>
      </c>
      <c r="K11" s="4409"/>
      <c r="L11" s="4409"/>
      <c r="M11" s="4409"/>
      <c r="N11" s="4409"/>
      <c r="O11" s="4409"/>
      <c r="P11" s="4409"/>
      <c r="Q11" s="4409"/>
      <c r="R11" s="4409"/>
      <c r="S11" s="1488"/>
      <c r="T11" s="1488"/>
    </row>
    <row r="12" spans="1:20" ht="24.75" customHeight="1">
      <c r="A12" s="216"/>
      <c r="B12" s="4411" t="s">
        <v>335</v>
      </c>
      <c r="C12" s="4411"/>
      <c r="D12" s="438">
        <f ca="1">IF('3 Vorjahr'!AB$2="","Zeit abgelaufen",D9/C10/C11)</f>
        <v>185.65562284334021</v>
      </c>
      <c r="E12" s="433" t="s">
        <v>330</v>
      </c>
      <c r="F12" s="216"/>
      <c r="G12" s="869"/>
      <c r="H12" s="871"/>
      <c r="I12" s="872"/>
      <c r="J12" s="4409"/>
      <c r="K12" s="4409"/>
      <c r="L12" s="4409"/>
      <c r="M12" s="4409"/>
      <c r="N12" s="4409"/>
      <c r="O12" s="4409"/>
      <c r="P12" s="4409"/>
      <c r="Q12" s="4409"/>
      <c r="R12" s="4409"/>
      <c r="S12" s="1488"/>
      <c r="T12" s="1488"/>
    </row>
    <row r="13" spans="1:20" ht="24.75" customHeight="1">
      <c r="A13" s="216"/>
      <c r="B13" s="430" t="s">
        <v>336</v>
      </c>
      <c r="C13" s="439">
        <f>E13/G13</f>
        <v>8</v>
      </c>
      <c r="D13" s="430"/>
      <c r="E13" s="431">
        <f>IF('2 Unternehmensdaten'!I41&lt;'2 Unternehmensdaten'!G30,'2 Unternehmensdaten'!I41,'2 Unternehmensdaten'!L30)</f>
        <v>40</v>
      </c>
      <c r="F13" s="4412" t="e">
        <f>IF(Start!O20&gt;0,"Std. nach Arbeitszeit",IF('2a Chefeingaben'!#REF!&lt;'2a Chefeingaben'!#REF!,"Std. nach Öffnungszeiten","Std -Woche nach tariflicher Arbeitszeit"))</f>
        <v>#REF!</v>
      </c>
      <c r="G13" s="2889">
        <f>IF('2 Unternehmensdaten'!I35&gt;5,5,'2 Unternehmensdaten'!I35)</f>
        <v>5</v>
      </c>
      <c r="H13" s="751" t="str">
        <f>IF(Start!O20&gt;0,"Tage nach Eingabe","Mitarbeiterarbeitstage pro Woche")</f>
        <v>Mitarbeiterarbeitstage pro Woche</v>
      </c>
      <c r="I13" s="872"/>
      <c r="J13" s="432"/>
      <c r="K13" s="432"/>
    </row>
    <row r="14" spans="1:20" ht="24.75" customHeight="1">
      <c r="A14" s="216"/>
      <c r="B14" s="433" t="s">
        <v>337</v>
      </c>
      <c r="C14" s="433"/>
      <c r="D14" s="438">
        <f ca="1">D12/C13</f>
        <v>23.206952855417526</v>
      </c>
      <c r="E14" s="433" t="s">
        <v>330</v>
      </c>
      <c r="F14" s="4412"/>
      <c r="G14" s="2501" t="str">
        <f>IF(G13=0,"Es fehlen Angaben auf Seite 2","")</f>
        <v/>
      </c>
      <c r="I14" s="507"/>
      <c r="J14" s="507"/>
      <c r="K14" s="507"/>
      <c r="L14" s="507"/>
      <c r="M14" s="507"/>
    </row>
    <row r="15" spans="1:20" ht="24.75" customHeight="1">
      <c r="A15" s="216"/>
      <c r="B15" s="430" t="s">
        <v>338</v>
      </c>
      <c r="C15" s="440">
        <v>60</v>
      </c>
      <c r="D15" s="430"/>
      <c r="E15" s="430"/>
      <c r="F15" s="216"/>
      <c r="G15" s="216"/>
    </row>
    <row r="16" spans="1:20" ht="24.75" customHeight="1">
      <c r="A16" s="216"/>
      <c r="B16" s="433" t="s">
        <v>339</v>
      </c>
      <c r="C16" s="441" t="s">
        <v>340</v>
      </c>
      <c r="D16" s="442">
        <f ca="1">D14/C15</f>
        <v>0.38678254759029213</v>
      </c>
      <c r="E16" s="433" t="s">
        <v>330</v>
      </c>
      <c r="F16" s="216"/>
      <c r="G16" s="216"/>
    </row>
    <row r="17" spans="1:13" ht="24.75" customHeight="1">
      <c r="A17" s="216"/>
      <c r="B17" s="443" t="s">
        <v>365</v>
      </c>
      <c r="C17" s="443"/>
      <c r="D17" s="443"/>
      <c r="E17" s="443"/>
      <c r="F17" s="216"/>
      <c r="G17" s="479">
        <f ca="1">IF(E19="ok",C19,IF(E20="ok",C20,IF(E21="ok",C21,C18)))</f>
        <v>0.55254649655756016</v>
      </c>
    </row>
    <row r="18" spans="1:13" ht="20.25" customHeight="1">
      <c r="A18" s="480" t="str">
        <f>IF(E18="","",1)</f>
        <v/>
      </c>
      <c r="B18" s="1480">
        <v>0.8</v>
      </c>
      <c r="C18" s="483">
        <f ca="1">D$14/((C$15*B18))</f>
        <v>0.48347818448786511</v>
      </c>
      <c r="D18" s="484" t="s">
        <v>330</v>
      </c>
      <c r="E18" s="506"/>
      <c r="F18" s="482" t="str">
        <f>IF(E18="ok","wird übenommen","")</f>
        <v/>
      </c>
      <c r="G18" s="480" t="str">
        <f>IF(E18="ok",B18,"")</f>
        <v/>
      </c>
      <c r="H18" s="4399" t="s">
        <v>928</v>
      </c>
      <c r="I18" s="4400"/>
      <c r="J18" s="4400"/>
      <c r="K18" s="4400"/>
      <c r="L18" s="4400"/>
      <c r="M18" s="4401"/>
    </row>
    <row r="19" spans="1:13" ht="20.25" customHeight="1">
      <c r="A19" s="480" t="str">
        <f>IF(E19="","",1)</f>
        <v/>
      </c>
      <c r="B19" s="1479">
        <v>0.75</v>
      </c>
      <c r="C19" s="483">
        <f ca="1">D$14/((C$15*B19))</f>
        <v>0.51571006345372283</v>
      </c>
      <c r="D19" s="484" t="s">
        <v>330</v>
      </c>
      <c r="E19" s="506"/>
      <c r="F19" s="482" t="str">
        <f>IF(E19="ok","wird übenommen","")</f>
        <v/>
      </c>
      <c r="G19" s="480" t="str">
        <f>IF(E19="ok",B19,"")</f>
        <v/>
      </c>
      <c r="H19" s="4402"/>
      <c r="I19" s="3404"/>
      <c r="J19" s="3404"/>
      <c r="K19" s="3404"/>
      <c r="L19" s="3404"/>
      <c r="M19" s="4403"/>
    </row>
    <row r="20" spans="1:13" ht="20.25" customHeight="1">
      <c r="A20" s="480">
        <f>IF(E20="","",1)</f>
        <v>1</v>
      </c>
      <c r="B20" s="1479">
        <v>0.7</v>
      </c>
      <c r="C20" s="483">
        <f ca="1">D$14/((C$15*B20))</f>
        <v>0.55254649655756016</v>
      </c>
      <c r="D20" s="484" t="s">
        <v>330</v>
      </c>
      <c r="E20" s="506" t="s">
        <v>366</v>
      </c>
      <c r="F20" s="482" t="str">
        <f>IF(E20="ok","wird übenommen","")</f>
        <v>wird übenommen</v>
      </c>
      <c r="G20" s="480">
        <f>IF(E20="ok",B20,"")</f>
        <v>0.7</v>
      </c>
      <c r="H20" s="4402"/>
      <c r="I20" s="3404"/>
      <c r="J20" s="3404"/>
      <c r="K20" s="3404"/>
      <c r="L20" s="3404"/>
      <c r="M20" s="4403"/>
    </row>
    <row r="21" spans="1:13" ht="20.25" customHeight="1">
      <c r="A21" s="480" t="str">
        <f>IF(E21="","",1)</f>
        <v/>
      </c>
      <c r="B21" s="1479">
        <v>0.65</v>
      </c>
      <c r="C21" s="483">
        <f ca="1">D$14/((C$15*B21))</f>
        <v>0.59505007321583403</v>
      </c>
      <c r="D21" s="484" t="s">
        <v>330</v>
      </c>
      <c r="E21" s="506"/>
      <c r="F21" s="482" t="str">
        <f>IF(E21="ok","wird übenommen","")</f>
        <v/>
      </c>
      <c r="G21" s="480" t="str">
        <f>IF(E21="ok",B21,"")</f>
        <v/>
      </c>
      <c r="H21" s="4404"/>
      <c r="I21" s="4405"/>
      <c r="J21" s="4405"/>
      <c r="K21" s="4405"/>
      <c r="L21" s="4405"/>
      <c r="M21" s="4406"/>
    </row>
    <row r="22" spans="1:13">
      <c r="B22" s="142" t="s">
        <v>368</v>
      </c>
      <c r="E22" s="615">
        <f>COUNTIF(E18:E21,"ok")</f>
        <v>1</v>
      </c>
      <c r="G22" s="615">
        <f>MAX(G18:G21)</f>
        <v>0.7</v>
      </c>
    </row>
    <row r="23" spans="1:13" ht="17.25" customHeight="1">
      <c r="E23" s="1188" t="str">
        <f>IF(E22&gt;1,"Bitte nur 1 x ok eingeben","")</f>
        <v/>
      </c>
      <c r="G23" s="34"/>
    </row>
    <row r="24" spans="1:13">
      <c r="G24" s="34"/>
    </row>
    <row r="25" spans="1:13" ht="15" customHeight="1">
      <c r="G25" s="34"/>
    </row>
    <row r="26" spans="1:13" ht="13.5" customHeight="1">
      <c r="G26" s="34"/>
    </row>
    <row r="27" spans="1:13">
      <c r="G27" s="34"/>
    </row>
    <row r="28" spans="1:13">
      <c r="G28" s="34"/>
    </row>
  </sheetData>
  <sheetProtection algorithmName="SHA-512" hashValue="xqxtmHKcDiKo23z1UAbNcjze5nRiHC9qoj4vy0OEHZ7w8YhIV6sOerHhJ+o+pEU8I/SeNjNTWjWlwtPTTw9juQ==" saltValue="XYB2qtRB0Ji1SdHVoTbJxg==" spinCount="100000" sheet="1" objects="1" scenarios="1"/>
  <mergeCells count="11">
    <mergeCell ref="H18:M21"/>
    <mergeCell ref="B5:E5"/>
    <mergeCell ref="H10:I10"/>
    <mergeCell ref="S1:T1"/>
    <mergeCell ref="B1:H4"/>
    <mergeCell ref="J11:R12"/>
    <mergeCell ref="B7:C7"/>
    <mergeCell ref="B12:C12"/>
    <mergeCell ref="F13:F14"/>
    <mergeCell ref="G11:H11"/>
    <mergeCell ref="G8:H9"/>
  </mergeCells>
  <pageMargins left="0.7" right="0.7" top="0.78740157499999996" bottom="0.78740157499999996"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7"/>
  <sheetViews>
    <sheetView showGridLines="0" zoomScale="120" zoomScaleNormal="120" workbookViewId="0">
      <selection activeCell="I2" sqref="I2"/>
    </sheetView>
  </sheetViews>
  <sheetFormatPr baseColWidth="10" defaultColWidth="9.21875" defaultRowHeight="13.2"/>
  <cols>
    <col min="1" max="1" width="5.21875" style="34" customWidth="1"/>
    <col min="2" max="2" width="28.21875" style="34" customWidth="1"/>
    <col min="3" max="3" width="19" style="34" customWidth="1"/>
    <col min="4" max="4" width="10.44140625" style="34" customWidth="1"/>
    <col min="5" max="5" width="7" style="34" customWidth="1"/>
    <col min="6" max="6" width="14.44140625" style="34" customWidth="1"/>
    <col min="7" max="7" width="3.44140625" style="34" customWidth="1"/>
    <col min="8" max="8" width="5.88671875" style="34" customWidth="1"/>
    <col min="9" max="9" width="9.21875" style="34"/>
    <col min="10" max="10" width="9" style="34" customWidth="1"/>
    <col min="11" max="11" width="5.33203125" style="34" customWidth="1"/>
    <col min="12" max="16384" width="9.21875" style="34"/>
  </cols>
  <sheetData>
    <row r="1" spans="1:13" ht="15">
      <c r="A1" s="216"/>
      <c r="B1" s="444" t="s">
        <v>341</v>
      </c>
      <c r="C1" s="148"/>
      <c r="D1" s="148"/>
      <c r="E1" s="148"/>
      <c r="F1" s="148"/>
      <c r="G1" s="216"/>
      <c r="H1" s="445"/>
      <c r="I1" s="2449">
        <f>IF('2 Unternehmensdaten'!F10="x",'2 Unternehmensdaten'!C14,'2 Unternehmensdaten'!C15)</f>
        <v>0.19</v>
      </c>
    </row>
    <row r="2" spans="1:13" ht="15">
      <c r="A2" s="216"/>
      <c r="B2" s="148"/>
      <c r="C2" s="148"/>
      <c r="D2" s="566">
        <f>IF(Preiskalkulation!I23="",0,Preiskalkulation!I23)</f>
        <v>0</v>
      </c>
      <c r="E2" s="148"/>
      <c r="F2" s="431"/>
      <c r="G2" s="216"/>
      <c r="H2" s="445"/>
      <c r="L2" s="2446" t="str">
        <f>IF(K3="","","Von Seite 18")</f>
        <v/>
      </c>
    </row>
    <row r="3" spans="1:13" ht="15">
      <c r="A3" s="216"/>
      <c r="B3" s="4415" t="s">
        <v>342</v>
      </c>
      <c r="C3" s="4415"/>
      <c r="D3" s="446">
        <f>IF(Preiskalkulation!$C$3="ü","geschlossen",IF(D2&gt;0,D2,IF(M3=0,'18 Zielumsatz Planungsjahr'!BK25,K7)))</f>
        <v>143690.15599999999</v>
      </c>
      <c r="E3" s="148" t="s">
        <v>330</v>
      </c>
      <c r="F3" s="431" t="str">
        <f>IF(D2="","aus Ihrer Planung","Ihre Engabe")</f>
        <v>Ihre Engabe</v>
      </c>
      <c r="G3" s="216"/>
      <c r="H3" s="445"/>
      <c r="K3" s="2445" t="str">
        <f>IF(SUM('18 Zielumsatz Planungsjahr'!H$27:'18 Zielumsatz Planungsjahr'!H$29)=0,"",'18 Zielumsatz Planungsjahr'!BK25)</f>
        <v/>
      </c>
      <c r="L3" s="2444" t="str">
        <f>IF(K3="","",'18 Zielumsatz Planungsjahr'!BI25)</f>
        <v/>
      </c>
      <c r="M3" s="615">
        <f>IF(SUM(M4:M6)&gt;0,1,0)</f>
        <v>0</v>
      </c>
    </row>
    <row r="4" spans="1:13" ht="15">
      <c r="A4" s="216"/>
      <c r="B4" s="2474"/>
      <c r="C4" s="2474"/>
      <c r="D4" s="148"/>
      <c r="E4" s="148"/>
      <c r="F4" s="4417" t="str">
        <f>IF(SUM(M4:M6)&gt;0,"Berechnung mit den neutralen Aufwendungen, Erträge und sonstigen Erlöse                    siehe rechts","")</f>
        <v/>
      </c>
      <c r="G4" s="216"/>
      <c r="H4" s="445"/>
      <c r="I4" s="2444" t="str">
        <f>IF(K4="","",IF('18 Zielumsatz Planungsjahr'!J27="nein","Fliesst nicht in die Preiskalkulation ein","Fliesst in die Preiskalkulation ein"))</f>
        <v/>
      </c>
      <c r="K4" s="2445" t="str">
        <f>IF(L4="","",M4)</f>
        <v/>
      </c>
      <c r="L4" s="2444" t="str">
        <f>IF(SUM('18 Zielumsatz Planungsjahr'!H$27:'18 Zielumsatz Planungsjahr'!H$29)&gt;0,'18 Zielumsatz Planungsjahr'!BI27,"")</f>
        <v/>
      </c>
      <c r="M4" s="2447" t="str">
        <f>IF(L4="","",'18 Zielumsatz Planungsjahr'!BK27)</f>
        <v/>
      </c>
    </row>
    <row r="5" spans="1:13" ht="15">
      <c r="A5" s="216"/>
      <c r="B5" s="148" t="s">
        <v>343</v>
      </c>
      <c r="C5" s="447">
        <f>'28 PK pro Minute'!C10</f>
        <v>216</v>
      </c>
      <c r="D5" s="148"/>
      <c r="E5" s="148"/>
      <c r="F5" s="4417"/>
      <c r="G5" s="216"/>
      <c r="H5" s="445"/>
      <c r="I5" s="2444" t="str">
        <f>IF(K5="","",IF('18 Zielumsatz Planungsjahr'!J28="nein","Fliesst nicht in die Preiskalkulation ein","Fliesst in die Preiskalkulation ein"))</f>
        <v/>
      </c>
      <c r="K5" s="2445" t="str">
        <f>IF(L5="","",M5)</f>
        <v/>
      </c>
      <c r="L5" s="2444" t="str">
        <f>IF(SUM('18 Zielumsatz Planungsjahr'!H$27:'18 Zielumsatz Planungsjahr'!H$29)&gt;0,'18 Zielumsatz Planungsjahr'!BI28,"")</f>
        <v/>
      </c>
      <c r="M5" s="2447" t="str">
        <f>IF(L5="","",'18 Zielumsatz Planungsjahr'!BK28)</f>
        <v/>
      </c>
    </row>
    <row r="6" spans="1:13" ht="15">
      <c r="A6" s="216"/>
      <c r="B6" s="148" t="s">
        <v>334</v>
      </c>
      <c r="C6" s="448">
        <f>IF(Preiskalkulation!$C$3="ü","geschlossen",'28 PK pro Minute'!C11)</f>
        <v>6.0375000000000005</v>
      </c>
      <c r="D6" s="148"/>
      <c r="E6" s="449"/>
      <c r="F6" s="449"/>
      <c r="G6" s="216"/>
      <c r="H6" s="445"/>
      <c r="I6" s="2444" t="str">
        <f>IF(K6="","",IF('18 Zielumsatz Planungsjahr'!J29="nein","Fliesst nicht in die Preiskalkulation ein","Fliesst in die Preiskalkulation ein"))</f>
        <v/>
      </c>
      <c r="K6" s="2445" t="str">
        <f>IF(L6="","",M6)</f>
        <v/>
      </c>
      <c r="L6" s="2444" t="str">
        <f>IF(SUM('18 Zielumsatz Planungsjahr'!H$27:'18 Zielumsatz Planungsjahr'!H$29)&gt;0,'18 Zielumsatz Planungsjahr'!BI29,"")</f>
        <v/>
      </c>
      <c r="M6" s="2447" t="str">
        <f>IF(L6="","",'18 Zielumsatz Planungsjahr'!BK29)</f>
        <v/>
      </c>
    </row>
    <row r="7" spans="1:13" ht="15">
      <c r="A7" s="216"/>
      <c r="B7" s="148" t="s">
        <v>344</v>
      </c>
      <c r="C7" s="448">
        <f>IF(Preiskalkulation!$C$3="ü","geschlossen",'28 PK pro Minute'!C13)</f>
        <v>8</v>
      </c>
      <c r="D7" s="148"/>
      <c r="E7" s="449"/>
      <c r="F7" s="449"/>
      <c r="G7" s="216"/>
      <c r="H7" s="445"/>
      <c r="K7" s="2448" t="str">
        <f>IF(SUM(M4:M6)&gt;0,SUM(K3,K4,-K5,-K6),"")</f>
        <v/>
      </c>
      <c r="L7" s="2446"/>
      <c r="M7" s="2446"/>
    </row>
    <row r="8" spans="1:13" ht="15">
      <c r="A8" s="216"/>
      <c r="B8" s="148" t="s">
        <v>345</v>
      </c>
      <c r="C8" s="451">
        <v>60</v>
      </c>
      <c r="D8" s="148"/>
      <c r="E8" s="148"/>
      <c r="F8" s="148"/>
      <c r="G8" s="216"/>
      <c r="H8" s="445"/>
    </row>
    <row r="9" spans="1:13" ht="15">
      <c r="A9" s="216"/>
      <c r="B9" s="148"/>
      <c r="C9" s="451"/>
      <c r="D9" s="148"/>
      <c r="E9" s="148"/>
      <c r="F9" s="148"/>
      <c r="G9" s="216"/>
      <c r="H9" s="445"/>
    </row>
    <row r="10" spans="1:13" ht="15">
      <c r="A10" s="216"/>
      <c r="B10" s="452" t="s">
        <v>341</v>
      </c>
      <c r="C10" s="453" t="s">
        <v>340</v>
      </c>
      <c r="D10" s="454">
        <f ca="1">IF('3 Vorjahr'!AB$2="","Zeit abgelaufen",IF(C6&lt;1,D3/C5/C7/C8,ROUND(D3/C5/C6/C7/C8,2)))</f>
        <v>0.23</v>
      </c>
      <c r="E10" s="148" t="s">
        <v>330</v>
      </c>
      <c r="F10" s="148"/>
      <c r="G10" s="216"/>
      <c r="H10" s="445"/>
    </row>
    <row r="11" spans="1:13" ht="15">
      <c r="A11" s="216"/>
      <c r="B11" s="148"/>
      <c r="C11" s="451"/>
      <c r="D11" s="454"/>
      <c r="E11" s="148"/>
      <c r="F11" s="148"/>
      <c r="G11" s="216"/>
      <c r="H11" s="445"/>
    </row>
    <row r="12" spans="1:13" ht="15" customHeight="1">
      <c r="A12" s="216"/>
      <c r="B12" s="4416" t="s">
        <v>367</v>
      </c>
      <c r="C12" s="4416"/>
      <c r="D12" s="4416"/>
      <c r="E12" s="4416"/>
      <c r="F12" s="216"/>
      <c r="G12" s="479">
        <f ca="1">IF(E14="ok",C14,IF(E15="ok",C15,IF(E16="ok",C16,C13)))</f>
        <v>0.33</v>
      </c>
      <c r="H12" s="445"/>
    </row>
    <row r="13" spans="1:13" ht="15">
      <c r="A13" s="216"/>
      <c r="B13" s="1481">
        <f>'28 PK pro Minute'!B18</f>
        <v>0.8</v>
      </c>
      <c r="C13" s="455">
        <f ca="1">ROUND(D$10/B13,2)</f>
        <v>0.28999999999999998</v>
      </c>
      <c r="D13" s="150" t="s">
        <v>330</v>
      </c>
      <c r="E13" s="1482" t="str">
        <f>IF('28 PK pro Minute'!E18="","",'28 PK pro Minute'!E18)</f>
        <v/>
      </c>
      <c r="F13" s="431" t="str">
        <f>IF(E13="ok","wird übenommen","")</f>
        <v/>
      </c>
      <c r="G13" s="216"/>
      <c r="H13" s="428"/>
      <c r="I13" s="450"/>
    </row>
    <row r="14" spans="1:13" ht="15">
      <c r="A14" s="216"/>
      <c r="B14" s="1481">
        <f>'28 PK pro Minute'!B19</f>
        <v>0.75</v>
      </c>
      <c r="C14" s="455">
        <f ca="1">ROUND(D$10/B14,2)</f>
        <v>0.31</v>
      </c>
      <c r="D14" s="150" t="s">
        <v>330</v>
      </c>
      <c r="E14" s="1482" t="str">
        <f>IF('28 PK pro Minute'!E19="","",'28 PK pro Minute'!E19)</f>
        <v/>
      </c>
      <c r="F14" s="431" t="str">
        <f>IF(E14="ok","wird übenommen","")</f>
        <v/>
      </c>
      <c r="G14" s="216"/>
      <c r="H14" s="445"/>
    </row>
    <row r="15" spans="1:13" ht="15">
      <c r="A15" s="216"/>
      <c r="B15" s="1481">
        <f>'28 PK pro Minute'!B20</f>
        <v>0.7</v>
      </c>
      <c r="C15" s="455">
        <f ca="1">ROUND(D$10/B15,2)</f>
        <v>0.33</v>
      </c>
      <c r="D15" s="150" t="s">
        <v>330</v>
      </c>
      <c r="E15" s="1482" t="str">
        <f>IF('28 PK pro Minute'!E20="","",'28 PK pro Minute'!E20)</f>
        <v>ok</v>
      </c>
      <c r="F15" s="431" t="str">
        <f>IF(E15="ok","wird übenommen","")</f>
        <v>wird übenommen</v>
      </c>
      <c r="G15" s="216"/>
      <c r="H15" s="428"/>
    </row>
    <row r="16" spans="1:13" ht="15">
      <c r="A16" s="216"/>
      <c r="B16" s="1481">
        <f>'28 PK pro Minute'!B21</f>
        <v>0.65</v>
      </c>
      <c r="C16" s="455">
        <f ca="1">ROUND(D$10/B16,2)</f>
        <v>0.35</v>
      </c>
      <c r="D16" s="150" t="s">
        <v>330</v>
      </c>
      <c r="E16" s="1482" t="str">
        <f>IF('28 PK pro Minute'!E21="","",'28 PK pro Minute'!E21)</f>
        <v/>
      </c>
      <c r="F16" s="431" t="str">
        <f>IF(E16="ok","wird übenommen","")</f>
        <v/>
      </c>
      <c r="G16" s="216"/>
      <c r="H16" s="445"/>
    </row>
    <row r="17" spans="8:8">
      <c r="H17" s="428"/>
    </row>
  </sheetData>
  <sheetProtection algorithmName="SHA-512" hashValue="3+v7pop889YrJP/SpWdtVHjuOVWeJCgUDsJtW8w/0EtZ8evg4Q38v2w0KLgrHY+l+Pmnxcntg+eQBd4USIWARw==" saltValue="LX9B6FOGg0Qpbp9In4Vw3Q==" spinCount="100000" sheet="1" objects="1" scenarios="1"/>
  <mergeCells count="3">
    <mergeCell ref="B3:C3"/>
    <mergeCell ref="B12:E12"/>
    <mergeCell ref="F4:F5"/>
  </mergeCell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41"/>
  <sheetViews>
    <sheetView showGridLines="0" zoomScaleNormal="100" workbookViewId="0">
      <selection activeCell="J1" sqref="J1"/>
    </sheetView>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0.44140625" style="34" bestFit="1" customWidth="1"/>
    <col min="6" max="6" width="13.2187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8.21875" style="34" customWidth="1"/>
    <col min="17" max="16384" width="9.21875" style="34"/>
  </cols>
  <sheetData>
    <row r="1" spans="1:18" ht="33" customHeight="1">
      <c r="A1" s="1242" t="s">
        <v>1010</v>
      </c>
      <c r="G1" s="1324"/>
    </row>
    <row r="2" spans="1:18" ht="18" customHeight="1">
      <c r="A2" s="4420" t="s">
        <v>346</v>
      </c>
      <c r="B2" s="4421"/>
      <c r="C2" s="4421"/>
      <c r="D2" s="4421"/>
      <c r="E2" s="4418" t="s">
        <v>347</v>
      </c>
      <c r="F2" s="4419"/>
      <c r="G2" s="485" t="s">
        <v>348</v>
      </c>
      <c r="I2" s="1308"/>
      <c r="J2" s="1325" t="s">
        <v>864</v>
      </c>
      <c r="K2" s="1310"/>
      <c r="L2" s="619"/>
    </row>
    <row r="3" spans="1:18" ht="18" customHeight="1">
      <c r="A3" s="4422"/>
      <c r="B3" s="4423"/>
      <c r="C3" s="4423"/>
      <c r="D3" s="4423"/>
      <c r="E3" s="475">
        <f>I7</f>
        <v>1.5</v>
      </c>
      <c r="F3" s="456" t="s">
        <v>330</v>
      </c>
      <c r="G3" s="457">
        <f ca="1">IF(N28="",E3/E13,E3/F13)</f>
        <v>4.7739822395299315E-2</v>
      </c>
      <c r="I3" s="1311">
        <v>1.5</v>
      </c>
      <c r="J3" s="3788" t="s">
        <v>861</v>
      </c>
      <c r="K3" s="3787"/>
    </row>
    <row r="4" spans="1:18" ht="15" customHeight="1">
      <c r="A4" s="188" t="s">
        <v>349</v>
      </c>
      <c r="B4" s="14"/>
      <c r="C4" s="14"/>
      <c r="D4" s="14"/>
      <c r="E4" s="14"/>
      <c r="F4" s="417"/>
      <c r="G4" s="458"/>
      <c r="H4" s="216"/>
      <c r="I4" s="428"/>
      <c r="J4" s="3788"/>
      <c r="K4" s="3787"/>
    </row>
    <row r="5" spans="1:18" ht="15" customHeight="1">
      <c r="A5" s="459"/>
      <c r="B5" s="460" t="s">
        <v>350</v>
      </c>
      <c r="C5" s="460"/>
      <c r="D5" s="1679" t="s">
        <v>1005</v>
      </c>
      <c r="E5" s="461">
        <f>I9</f>
        <v>30</v>
      </c>
      <c r="F5" s="462" t="s">
        <v>351</v>
      </c>
      <c r="G5" s="458"/>
      <c r="I5" s="1311"/>
      <c r="J5" s="3788" t="s">
        <v>862</v>
      </c>
      <c r="K5" s="3787"/>
    </row>
    <row r="6" spans="1:18" ht="15">
      <c r="A6" s="463" t="s">
        <v>220</v>
      </c>
      <c r="B6" s="595" t="s">
        <v>353</v>
      </c>
      <c r="C6" s="464">
        <f ca="1">IF(J21="",'28 PK pro Minute'!G17,K21)</f>
        <v>0.55254649655756016</v>
      </c>
      <c r="D6" s="1680">
        <f>IF(J21="",J20,J21)</f>
        <v>0.7</v>
      </c>
      <c r="E6" s="465">
        <f ca="1">C6*E5</f>
        <v>16.576394896726804</v>
      </c>
      <c r="F6" s="466" t="str">
        <f>F3</f>
        <v>€</v>
      </c>
      <c r="G6" s="457">
        <f ca="1">IF(N28="",E6/E13,E6/F13)</f>
        <v>0.52756943221605568</v>
      </c>
      <c r="I6" s="428"/>
      <c r="J6" s="3788"/>
      <c r="K6" s="3787"/>
    </row>
    <row r="7" spans="1:18" ht="15">
      <c r="A7" s="467" t="s">
        <v>354</v>
      </c>
      <c r="B7" s="468"/>
      <c r="C7" s="468"/>
      <c r="D7" s="468"/>
      <c r="E7" s="469">
        <f ca="1">SUM(E6,E3)</f>
        <v>18.076394896726804</v>
      </c>
      <c r="F7" s="470" t="str">
        <f>F6</f>
        <v>€</v>
      </c>
      <c r="G7" s="458"/>
      <c r="I7" s="1312">
        <f>IF(I3="",SUM(I2+I5),SUM(I3,I5))</f>
        <v>1.5</v>
      </c>
      <c r="J7" s="534" t="s">
        <v>849</v>
      </c>
      <c r="K7" s="618"/>
    </row>
    <row r="8" spans="1:18" ht="15">
      <c r="A8" s="187" t="s">
        <v>355</v>
      </c>
      <c r="B8" s="2"/>
      <c r="C8" s="2"/>
      <c r="D8" s="2"/>
      <c r="E8" s="2"/>
      <c r="F8" s="417"/>
      <c r="G8" s="458"/>
    </row>
    <row r="9" spans="1:18" ht="15">
      <c r="A9" s="187"/>
      <c r="B9" s="460" t="s">
        <v>350</v>
      </c>
      <c r="C9" s="460"/>
      <c r="D9" s="1679" t="s">
        <v>1005</v>
      </c>
      <c r="E9" s="14">
        <f>E5</f>
        <v>30</v>
      </c>
      <c r="F9" s="462" t="s">
        <v>351</v>
      </c>
      <c r="G9" s="458"/>
      <c r="I9" s="1313">
        <v>30</v>
      </c>
      <c r="J9" s="1314" t="s">
        <v>352</v>
      </c>
      <c r="K9" s="616"/>
    </row>
    <row r="10" spans="1:18" ht="15">
      <c r="A10" s="463" t="s">
        <v>220</v>
      </c>
      <c r="B10" s="476" t="s">
        <v>356</v>
      </c>
      <c r="C10" s="464">
        <f ca="1">IF(J21="",'29 GK pro Minute'!G12,M21)</f>
        <v>0.33</v>
      </c>
      <c r="D10" s="1680">
        <f>D6</f>
        <v>0.7</v>
      </c>
      <c r="E10" s="465">
        <f ca="1">E9*C10</f>
        <v>9.9</v>
      </c>
      <c r="F10" s="466" t="str">
        <f>F7</f>
        <v>€</v>
      </c>
      <c r="G10" s="457">
        <f ca="1">IF(N28="",E10/E13,E10/F13)</f>
        <v>0.31508282780897551</v>
      </c>
      <c r="I10" s="428"/>
      <c r="J10" s="3788" t="s">
        <v>863</v>
      </c>
      <c r="K10" s="3787"/>
    </row>
    <row r="11" spans="1:18" ht="15">
      <c r="A11" s="467" t="s">
        <v>357</v>
      </c>
      <c r="B11" s="471"/>
      <c r="C11" s="471"/>
      <c r="D11" s="471"/>
      <c r="E11" s="3109">
        <f ca="1">SUM(E7,E10)</f>
        <v>27.976394896726802</v>
      </c>
      <c r="F11" s="3119" t="str">
        <f>IF(N28="","",E11)</f>
        <v/>
      </c>
      <c r="G11" s="457">
        <f ca="1">IF(N$28="",E11/E$13,F11/F$13)</f>
        <v>0.89039208242033041</v>
      </c>
      <c r="I11" s="428"/>
      <c r="J11" s="3788"/>
      <c r="K11" s="3787"/>
    </row>
    <row r="12" spans="1:18" ht="15">
      <c r="A12" s="472" t="s">
        <v>358</v>
      </c>
      <c r="B12" s="151"/>
      <c r="C12" s="473">
        <f>IF(L17="",I14,"")</f>
        <v>0.10960791757966955</v>
      </c>
      <c r="D12" s="3110" t="str">
        <f>IF(L17="","",I14)</f>
        <v/>
      </c>
      <c r="E12" s="474">
        <f ca="1">IF(C12="","",(E11/(100%-C12)*C12))</f>
        <v>3.4439147051727006</v>
      </c>
      <c r="F12" s="3120" t="str">
        <f>IF(N28="","",(F11/(100%-D12)*D12))</f>
        <v/>
      </c>
      <c r="G12" s="457">
        <f ca="1">IF(N$28="",E12/E$13,F12/F$13)</f>
        <v>0.10960791757966955</v>
      </c>
      <c r="I12" s="42"/>
      <c r="J12" s="4438"/>
      <c r="K12" s="4439"/>
    </row>
    <row r="13" spans="1:18" ht="15">
      <c r="A13" s="467" t="s">
        <v>360</v>
      </c>
      <c r="B13" s="471"/>
      <c r="C13" s="471"/>
      <c r="D13" s="471"/>
      <c r="E13" s="469">
        <f ca="1">IF(C12="","",SUM(E11:E12))</f>
        <v>31.420309601899504</v>
      </c>
      <c r="F13" s="3119" t="str">
        <f>IF(N28="","",SUM(F11:F12))</f>
        <v/>
      </c>
      <c r="G13" s="457">
        <f ca="1">SUM(G11:G12)</f>
        <v>1</v>
      </c>
    </row>
    <row r="14" spans="1:18" ht="15">
      <c r="A14" s="472" t="s">
        <v>257</v>
      </c>
      <c r="B14" s="364">
        <f>'29 GK pro Minute'!I1</f>
        <v>0.19</v>
      </c>
      <c r="C14" s="19"/>
      <c r="D14" s="19"/>
      <c r="E14" s="474">
        <f ca="1">IF(C12="","",E13*B14)</f>
        <v>5.9698588243609061</v>
      </c>
      <c r="F14" s="3120" t="str">
        <f>IF(N28="","",F13*B14)</f>
        <v/>
      </c>
      <c r="G14" s="457">
        <f>B14</f>
        <v>0.19</v>
      </c>
      <c r="I14" s="3117">
        <f>IF(I16=0,M16,I16)</f>
        <v>0.10960791757966955</v>
      </c>
      <c r="J14" s="4442" t="str">
        <f>IF(L17="","berechneter Gewinnaufschlag","neu berechneter Gewinnaufschlag")</f>
        <v>berechneter Gewinnaufschlag</v>
      </c>
      <c r="K14" s="4442"/>
      <c r="L14" s="142"/>
      <c r="N14" s="34" t="s">
        <v>471</v>
      </c>
      <c r="O14" s="34" t="s">
        <v>35</v>
      </c>
      <c r="P14" s="34" t="s">
        <v>342</v>
      </c>
      <c r="Q14" s="34" t="s">
        <v>472</v>
      </c>
      <c r="R14" s="34" t="s">
        <v>473</v>
      </c>
    </row>
    <row r="15" spans="1:18" ht="15" customHeight="1">
      <c r="A15" s="3144" t="s">
        <v>1389</v>
      </c>
      <c r="B15" s="1240"/>
      <c r="C15" s="1240"/>
      <c r="D15" s="1240"/>
      <c r="E15" s="1241">
        <f ca="1">IF(C12="","",SUM(E13:E14))</f>
        <v>37.390168426260409</v>
      </c>
      <c r="F15" s="3121" t="str">
        <f>IF(N28="","",SUM(F13:F14))</f>
        <v/>
      </c>
      <c r="G15" s="457">
        <f ca="1">G13+G14</f>
        <v>1.19</v>
      </c>
      <c r="J15" s="3444" t="s">
        <v>850</v>
      </c>
      <c r="K15" s="3444"/>
      <c r="N15" s="1698">
        <f>E3</f>
        <v>1.5</v>
      </c>
      <c r="O15" s="1698">
        <f ca="1">E6</f>
        <v>16.576394896726804</v>
      </c>
      <c r="P15" s="1698">
        <f ca="1">E10</f>
        <v>9.9</v>
      </c>
      <c r="Q15" s="1698">
        <f ca="1">IF(F12="",E12,F12)</f>
        <v>3.4439147051727006</v>
      </c>
      <c r="R15" s="1698">
        <f ca="1">IF(F14="",E14,F14)</f>
        <v>5.9698588243609061</v>
      </c>
    </row>
    <row r="16" spans="1:18" ht="15" customHeight="1" thickBot="1">
      <c r="A16" s="1243"/>
      <c r="B16" s="3114" t="s">
        <v>351</v>
      </c>
      <c r="C16" s="3115">
        <f>E5</f>
        <v>30</v>
      </c>
      <c r="D16" s="3116" t="str">
        <f>IF(C12="","","pro Minute")</f>
        <v>pro Minute</v>
      </c>
      <c r="E16" s="3145">
        <f ca="1">IF(C12="","",E15/C16)</f>
        <v>1.2463389475420137</v>
      </c>
      <c r="F16" s="3122" t="str">
        <f>IF(N28="","",F15/C16)</f>
        <v/>
      </c>
      <c r="G16" s="3111" t="str">
        <f>IF(N28="","","pro Minute")</f>
        <v/>
      </c>
      <c r="I16" s="680"/>
      <c r="J16" s="3444"/>
      <c r="K16" s="3444"/>
      <c r="L16" s="615">
        <f>'27 Gewinnaufschlag'!$BP$60/100</f>
        <v>0.10960791757966955</v>
      </c>
      <c r="M16" s="615">
        <f>IF(L17="",L16,L17)</f>
        <v>0.10960791757966955</v>
      </c>
    </row>
    <row r="17" spans="1:19" ht="16.2" thickBot="1">
      <c r="C17" s="3113"/>
      <c r="D17" s="3113" t="str">
        <f>IF(K21="","","geänderte Auslastung")</f>
        <v/>
      </c>
      <c r="E17" s="3125" t="str">
        <f>IF(J21="","",J21)</f>
        <v/>
      </c>
      <c r="F17" s="2456"/>
      <c r="J17" s="3444"/>
      <c r="K17" s="3444"/>
      <c r="L17" s="615" t="str">
        <f>IF('27 Gewinnaufschlag'!N2="","",'27 Gewinnaufschlag'!AD60/100)</f>
        <v/>
      </c>
      <c r="M17" s="615"/>
      <c r="P17" s="3444" t="s">
        <v>1009</v>
      </c>
      <c r="Q17" s="3444"/>
      <c r="R17" s="3444"/>
    </row>
    <row r="18" spans="1:19" ht="17.25" customHeight="1">
      <c r="A18" s="4426" t="s">
        <v>1391</v>
      </c>
      <c r="B18" s="4427"/>
      <c r="C18" s="4430" t="s">
        <v>1390</v>
      </c>
      <c r="D18" s="4430"/>
      <c r="E18" s="4430"/>
      <c r="F18" s="4430" t="s">
        <v>1386</v>
      </c>
      <c r="G18" s="4434"/>
      <c r="I18" s="3373" t="s">
        <v>1382</v>
      </c>
      <c r="J18" s="3374"/>
      <c r="K18" s="3374"/>
      <c r="L18" s="3374"/>
      <c r="M18" s="4447"/>
      <c r="P18" s="3444"/>
      <c r="Q18" s="3444"/>
      <c r="R18" s="3444"/>
    </row>
    <row r="19" spans="1:19" s="142" customFormat="1" ht="17.25" customHeight="1">
      <c r="A19" s="4428"/>
      <c r="B19" s="4429"/>
      <c r="C19" s="4431"/>
      <c r="D19" s="4431"/>
      <c r="E19" s="4431"/>
      <c r="F19" s="4431"/>
      <c r="G19" s="4432"/>
      <c r="I19" s="428"/>
      <c r="J19" s="34"/>
      <c r="K19" s="365" t="s">
        <v>1006</v>
      </c>
      <c r="L19" s="34"/>
      <c r="M19" s="617" t="s">
        <v>1007</v>
      </c>
      <c r="P19" s="3444"/>
      <c r="Q19" s="3444"/>
      <c r="R19" s="3444"/>
    </row>
    <row r="20" spans="1:19" ht="18" customHeight="1">
      <c r="A20" s="2508"/>
      <c r="B20" s="3127"/>
      <c r="C20" s="3108"/>
      <c r="D20" s="3146">
        <f ca="1">IF(F15="",E15,F15)</f>
        <v>37.390168426260409</v>
      </c>
      <c r="F20" s="3126" t="str">
        <f>IF(B20="","",((D20/B20*100)-100)/100)</f>
        <v/>
      </c>
      <c r="G20" s="610"/>
      <c r="I20" s="428" t="s">
        <v>1005</v>
      </c>
      <c r="J20" s="364">
        <f>'28 PK pro Minute'!G22</f>
        <v>0.7</v>
      </c>
      <c r="K20" s="1677">
        <f ca="1">'28 PK pro Minute'!G17</f>
        <v>0.55254649655756016</v>
      </c>
      <c r="L20" s="76" t="s">
        <v>330</v>
      </c>
      <c r="M20" s="1695">
        <f ca="1">'29 GK pro Minute'!G12</f>
        <v>0.33</v>
      </c>
      <c r="P20" s="1696" t="s">
        <v>851</v>
      </c>
      <c r="Q20" s="767"/>
      <c r="R20" s="222"/>
      <c r="S20" s="1315"/>
    </row>
    <row r="21" spans="1:19" ht="18" customHeight="1">
      <c r="A21" s="4436" t="s">
        <v>1413</v>
      </c>
      <c r="B21" s="1165"/>
      <c r="C21" s="3403"/>
      <c r="D21" s="1165"/>
      <c r="E21" s="1165"/>
      <c r="F21" s="1165"/>
      <c r="G21" s="610"/>
      <c r="I21" s="1320" t="s">
        <v>874</v>
      </c>
      <c r="J21" s="1678"/>
      <c r="K21" s="1677" t="str">
        <f>IF(J21="","",K20/J21*J20)</f>
        <v/>
      </c>
      <c r="L21" s="197" t="s">
        <v>330</v>
      </c>
      <c r="M21" s="1695" t="str">
        <f>IF(J21="","",M20/J21*J20)</f>
        <v/>
      </c>
      <c r="P21" s="4443" t="s">
        <v>860</v>
      </c>
      <c r="Q21" s="4444"/>
      <c r="R21" s="4444"/>
      <c r="S21" s="1316">
        <v>1</v>
      </c>
    </row>
    <row r="22" spans="1:19" ht="18" customHeight="1">
      <c r="A22" s="4436"/>
      <c r="B22" s="4435" t="str">
        <f>IF(B24="","Geben Sie Ihren zukünftigen Preis ein","Mein Preis in Zukunft")</f>
        <v>Geben Sie Ihren zukünftigen Preis ein</v>
      </c>
      <c r="C22" s="3403"/>
      <c r="D22" s="4433" t="s">
        <v>1392</v>
      </c>
      <c r="E22" s="4433"/>
      <c r="F22" s="4431" t="s">
        <v>1387</v>
      </c>
      <c r="G22" s="4432"/>
      <c r="P22" s="4445" t="s">
        <v>856</v>
      </c>
      <c r="Q22" s="4446"/>
      <c r="R22" s="4446"/>
      <c r="S22" s="1317">
        <f>I14</f>
        <v>0.10960791757966955</v>
      </c>
    </row>
    <row r="23" spans="1:19" ht="18" customHeight="1">
      <c r="A23" s="3231"/>
      <c r="B23" s="4435"/>
      <c r="C23" s="1165"/>
      <c r="D23" s="4433"/>
      <c r="E23" s="4433"/>
      <c r="F23" s="4431"/>
      <c r="G23" s="4432"/>
      <c r="I23" s="3941" t="str">
        <f>IF(N28="","",IF(N28&gt;0,N23,IF(N28&lt;0,N25)))</f>
        <v/>
      </c>
      <c r="J23" s="3941"/>
      <c r="K23" s="3941"/>
      <c r="L23" s="3941"/>
      <c r="M23" s="3941"/>
      <c r="N23" s="615" t="s">
        <v>1383</v>
      </c>
      <c r="P23" s="4443" t="s">
        <v>857</v>
      </c>
      <c r="Q23" s="4444"/>
      <c r="R23" s="4444"/>
      <c r="S23" s="1317">
        <f>S21-S22</f>
        <v>0.89039208242033041</v>
      </c>
    </row>
    <row r="24" spans="1:19" ht="14.55" customHeight="1">
      <c r="A24" s="2508"/>
      <c r="B24" s="3127"/>
      <c r="D24" s="3125" t="str">
        <f>IF(B24="","",((B24/D20*100)-100)/100)</f>
        <v/>
      </c>
      <c r="F24" s="3124">
        <f>B20</f>
        <v>0</v>
      </c>
      <c r="G24" s="3224" t="str">
        <f>IF(B20="","",((B24/B20*100)-100)/100)</f>
        <v/>
      </c>
      <c r="I24" s="3941"/>
      <c r="J24" s="3941"/>
      <c r="K24" s="3941"/>
      <c r="L24" s="3941"/>
      <c r="M24" s="3941"/>
      <c r="N24" s="615"/>
      <c r="P24" s="4443"/>
      <c r="Q24" s="4444"/>
      <c r="R24" s="4444"/>
      <c r="S24" s="1318"/>
    </row>
    <row r="25" spans="1:19" ht="18" customHeight="1">
      <c r="A25" s="2508"/>
      <c r="G25" s="610"/>
      <c r="I25" s="3941"/>
      <c r="J25" s="3941"/>
      <c r="K25" s="3941"/>
      <c r="L25" s="3941"/>
      <c r="M25" s="3941"/>
      <c r="N25" s="615" t="s">
        <v>1384</v>
      </c>
      <c r="P25" s="4440" t="s">
        <v>858</v>
      </c>
      <c r="Q25" s="4441"/>
      <c r="R25" s="4441"/>
      <c r="S25" s="1319">
        <f>S23</f>
        <v>0.89039208242033041</v>
      </c>
    </row>
    <row r="26" spans="1:19" ht="24.6" customHeight="1">
      <c r="A26" s="2508"/>
      <c r="C26" s="3143" t="s">
        <v>1388</v>
      </c>
      <c r="D26" s="3129"/>
      <c r="E26" s="3129"/>
      <c r="F26" s="3129"/>
      <c r="G26" s="3225"/>
      <c r="I26" s="3941"/>
      <c r="J26" s="3941"/>
      <c r="K26" s="3941"/>
      <c r="L26" s="3941"/>
      <c r="M26" s="3941"/>
      <c r="P26" s="1320" t="s">
        <v>859</v>
      </c>
      <c r="Q26" s="1321">
        <f>S22</f>
        <v>0.10960791757966955</v>
      </c>
      <c r="R26" s="1322" t="s">
        <v>48</v>
      </c>
      <c r="S26" s="1323">
        <f ca="1">E11/S23*S22</f>
        <v>3.4439147051727006</v>
      </c>
    </row>
    <row r="27" spans="1:19" ht="18" customHeight="1">
      <c r="A27" s="2508"/>
      <c r="C27" s="3131"/>
      <c r="D27" s="4425" t="s">
        <v>1385</v>
      </c>
      <c r="E27" s="4425"/>
      <c r="F27" s="3132">
        <f>B24</f>
        <v>0</v>
      </c>
      <c r="G27" s="3226"/>
      <c r="I27" s="3941"/>
      <c r="J27" s="3941"/>
      <c r="K27" s="3941"/>
      <c r="L27" s="3941"/>
      <c r="M27" s="3941"/>
    </row>
    <row r="28" spans="1:19"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19" ht="18" customHeight="1">
      <c r="A29" s="2508"/>
      <c r="C29" s="3131"/>
      <c r="D29" s="3136" t="str">
        <f>IF(E28&gt;0,"um den neu kalkulierten Umsatz zu erwirtschaften","und der Umsatz blieb gleich")</f>
        <v>um den neu kalkulierten Umsatz zu erwirtschaften</v>
      </c>
      <c r="E29" s="3137"/>
      <c r="F29" s="3138"/>
      <c r="G29" s="3226"/>
    </row>
    <row r="30" spans="1:19" ht="18" customHeight="1" thickBot="1">
      <c r="A30" s="2509"/>
      <c r="B30" s="774"/>
      <c r="C30" s="3227"/>
      <c r="D30" s="3228"/>
      <c r="E30" s="3229"/>
      <c r="F30" s="3229"/>
      <c r="G30" s="3230"/>
    </row>
    <row r="31" spans="1:19" ht="18" customHeight="1">
      <c r="E31" s="3128"/>
    </row>
    <row r="32" spans="1:19" ht="18" customHeight="1">
      <c r="D32" s="3128"/>
      <c r="E32" s="3128"/>
    </row>
    <row r="34" spans="1:25" ht="18" customHeight="1">
      <c r="P34" s="4437" t="s">
        <v>855</v>
      </c>
      <c r="Q34" s="4437"/>
      <c r="R34" s="4437"/>
      <c r="S34" s="4437"/>
      <c r="T34" s="4437"/>
      <c r="U34" s="4437"/>
      <c r="V34" s="4437"/>
      <c r="W34" s="4437"/>
      <c r="X34" s="4437"/>
      <c r="Y34" s="4437"/>
    </row>
    <row r="35" spans="1:25" ht="18" customHeight="1">
      <c r="P35" s="4437"/>
      <c r="Q35" s="4437"/>
      <c r="R35" s="4437"/>
      <c r="S35" s="4437"/>
      <c r="T35" s="4437"/>
      <c r="U35" s="4437"/>
      <c r="V35" s="4437"/>
      <c r="W35" s="4437"/>
      <c r="X35" s="4437"/>
      <c r="Y35" s="4437"/>
    </row>
    <row r="36" spans="1:25" ht="18" customHeight="1">
      <c r="P36" s="4437"/>
      <c r="Q36" s="4437"/>
      <c r="R36" s="4437"/>
      <c r="S36" s="4437"/>
      <c r="T36" s="4437"/>
      <c r="U36" s="4437"/>
      <c r="V36" s="4437"/>
      <c r="W36" s="4437"/>
      <c r="X36" s="4437"/>
      <c r="Y36" s="4437"/>
    </row>
    <row r="37" spans="1:25" ht="18" customHeight="1">
      <c r="B37" s="2588"/>
      <c r="C37" s="2588"/>
      <c r="D37" s="2588"/>
      <c r="E37" s="2588"/>
      <c r="P37" s="615" t="s">
        <v>1008</v>
      </c>
    </row>
    <row r="38" spans="1:25" ht="18" customHeight="1">
      <c r="A38" s="2588"/>
      <c r="B38" s="2588"/>
      <c r="C38" s="2588"/>
      <c r="D38" s="2588"/>
      <c r="E38" s="2588"/>
      <c r="F38" s="2588"/>
      <c r="G38" s="2588"/>
    </row>
    <row r="39" spans="1:25" ht="18" customHeight="1">
      <c r="B39" s="2588"/>
      <c r="C39" s="2588"/>
      <c r="D39" s="2588"/>
      <c r="E39" s="2588"/>
      <c r="F39" s="2588"/>
      <c r="G39" s="2588"/>
    </row>
    <row r="40" spans="1:25" ht="18" customHeight="1">
      <c r="B40" s="619"/>
      <c r="C40" s="619"/>
      <c r="D40" s="619"/>
      <c r="E40" s="619"/>
      <c r="F40" s="619"/>
      <c r="G40" s="619"/>
    </row>
    <row r="41" spans="1:25" ht="18" customHeight="1">
      <c r="B41" s="2588"/>
      <c r="C41" s="2588"/>
      <c r="D41" s="2588"/>
      <c r="E41" s="2588"/>
      <c r="F41" s="2588"/>
      <c r="G41" s="2588"/>
    </row>
  </sheetData>
  <sheetProtection algorithmName="SHA-512" hashValue="viMb5tzZLG7YgCfPZ9h/DAlad1V8OgGQ1bXexod+oUcbTbGoYgT8/AiLHEpMA3uNRcRYRe44iqRhYIKRt1W0nA==" saltValue="8TnmEdZbTNM1XazIUD+qJg==" spinCount="100000" sheet="1" objects="1" scenarios="1"/>
  <mergeCells count="25">
    <mergeCell ref="P34:Y36"/>
    <mergeCell ref="J3:K4"/>
    <mergeCell ref="J5:K6"/>
    <mergeCell ref="J10:K12"/>
    <mergeCell ref="P25:R25"/>
    <mergeCell ref="J14:K14"/>
    <mergeCell ref="P21:R21"/>
    <mergeCell ref="P22:R22"/>
    <mergeCell ref="P23:R24"/>
    <mergeCell ref="P17:R19"/>
    <mergeCell ref="J15:K17"/>
    <mergeCell ref="I18:M18"/>
    <mergeCell ref="I23:M27"/>
    <mergeCell ref="E2:F2"/>
    <mergeCell ref="A2:D3"/>
    <mergeCell ref="I28:M28"/>
    <mergeCell ref="C21:C22"/>
    <mergeCell ref="D27:E27"/>
    <mergeCell ref="A18:B19"/>
    <mergeCell ref="C18:E19"/>
    <mergeCell ref="F22:G23"/>
    <mergeCell ref="D22:E23"/>
    <mergeCell ref="F18:G19"/>
    <mergeCell ref="B22:B23"/>
    <mergeCell ref="A21:A22"/>
  </mergeCells>
  <pageMargins left="0.7" right="0.7" top="0.78740157499999996" bottom="0.78740157499999996" header="0.3" footer="0.3"/>
  <pageSetup paperSize="9" orientation="landscape"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41"/>
  <sheetViews>
    <sheetView showGridLines="0" zoomScaleNormal="100" workbookViewId="0"/>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0.44140625" style="34" bestFit="1" customWidth="1"/>
    <col min="6" max="6" width="10.44140625" style="34" customWidth="1"/>
    <col min="7" max="7" width="10"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8.21875" style="34" customWidth="1"/>
    <col min="17" max="16384" width="9.21875" style="34"/>
  </cols>
  <sheetData>
    <row r="1" spans="1:18" ht="33" customHeight="1">
      <c r="A1" s="1242" t="s">
        <v>1010</v>
      </c>
      <c r="G1" s="1324"/>
    </row>
    <row r="2" spans="1:18" ht="18" customHeight="1">
      <c r="A2" s="4420" t="s">
        <v>346</v>
      </c>
      <c r="B2" s="4421"/>
      <c r="C2" s="4421"/>
      <c r="D2" s="4421"/>
      <c r="E2" s="4418" t="s">
        <v>1011</v>
      </c>
      <c r="F2" s="4419"/>
      <c r="G2" s="485" t="s">
        <v>348</v>
      </c>
      <c r="I2" s="1308"/>
      <c r="J2" s="1325" t="s">
        <v>864</v>
      </c>
      <c r="K2" s="1310"/>
      <c r="L2" s="619"/>
    </row>
    <row r="3" spans="1:18" ht="18" customHeight="1">
      <c r="A3" s="4422"/>
      <c r="B3" s="4423"/>
      <c r="C3" s="4423"/>
      <c r="D3" s="4423"/>
      <c r="E3" s="475">
        <f>I7</f>
        <v>2</v>
      </c>
      <c r="F3" s="456" t="s">
        <v>330</v>
      </c>
      <c r="G3" s="457">
        <f ca="1">IF(N28="",E3/E13,E3/F13)</f>
        <v>3.2405709910887939E-2</v>
      </c>
      <c r="I3" s="1311">
        <v>2</v>
      </c>
      <c r="J3" s="3788" t="s">
        <v>861</v>
      </c>
      <c r="K3" s="3787"/>
    </row>
    <row r="4" spans="1:18" ht="15" customHeight="1">
      <c r="A4" s="188" t="s">
        <v>349</v>
      </c>
      <c r="B4" s="14"/>
      <c r="C4" s="14"/>
      <c r="D4" s="14"/>
      <c r="E4" s="14"/>
      <c r="F4" s="417"/>
      <c r="G4" s="458"/>
      <c r="H4" s="216"/>
      <c r="I4" s="428"/>
      <c r="J4" s="3788"/>
      <c r="K4" s="3787"/>
    </row>
    <row r="5" spans="1:18" ht="15" customHeight="1">
      <c r="A5" s="459"/>
      <c r="B5" s="460" t="s">
        <v>350</v>
      </c>
      <c r="C5" s="460"/>
      <c r="D5" s="1679" t="s">
        <v>1005</v>
      </c>
      <c r="E5" s="461">
        <f>I9</f>
        <v>60</v>
      </c>
      <c r="F5" s="462" t="s">
        <v>351</v>
      </c>
      <c r="G5" s="458"/>
      <c r="I5" s="1311"/>
      <c r="J5" s="3788" t="s">
        <v>862</v>
      </c>
      <c r="K5" s="3787"/>
    </row>
    <row r="6" spans="1:18" ht="15">
      <c r="A6" s="463" t="s">
        <v>220</v>
      </c>
      <c r="B6" s="595" t="s">
        <v>353</v>
      </c>
      <c r="C6" s="464">
        <f ca="1">IF(J23="",'28 PK pro Minute'!G17,K23)</f>
        <v>0.55254649655756016</v>
      </c>
      <c r="D6" s="1680">
        <f>IF(J21="",J20,J21)</f>
        <v>0.7</v>
      </c>
      <c r="E6" s="465">
        <f ca="1">C6*E5</f>
        <v>33.152789793453607</v>
      </c>
      <c r="F6" s="466" t="str">
        <f>F3</f>
        <v>€</v>
      </c>
      <c r="G6" s="457">
        <f ca="1">IF(N28="",E6/E13,E6/F13)</f>
        <v>0.53716984439165194</v>
      </c>
      <c r="I6" s="428"/>
      <c r="J6" s="3788"/>
      <c r="K6" s="3787"/>
    </row>
    <row r="7" spans="1:18" ht="15">
      <c r="A7" s="467" t="s">
        <v>354</v>
      </c>
      <c r="B7" s="468"/>
      <c r="C7" s="468"/>
      <c r="D7" s="468"/>
      <c r="E7" s="469">
        <f ca="1">SUM(E6,E3)</f>
        <v>35.152789793453607</v>
      </c>
      <c r="F7" s="470" t="str">
        <f>F6</f>
        <v>€</v>
      </c>
      <c r="G7" s="458"/>
      <c r="I7" s="1312">
        <f>IF(I3="",SUM(I2+I5),SUM(I3,I5))</f>
        <v>2</v>
      </c>
      <c r="J7" s="534" t="s">
        <v>849</v>
      </c>
      <c r="K7" s="618"/>
    </row>
    <row r="8" spans="1:18" ht="15">
      <c r="A8" s="187" t="s">
        <v>355</v>
      </c>
      <c r="B8" s="2"/>
      <c r="C8" s="2"/>
      <c r="D8" s="2"/>
      <c r="E8" s="2"/>
      <c r="F8" s="417"/>
      <c r="G8" s="458"/>
    </row>
    <row r="9" spans="1:18" ht="15">
      <c r="A9" s="187"/>
      <c r="B9" s="460" t="s">
        <v>350</v>
      </c>
      <c r="C9" s="460"/>
      <c r="D9" s="1679" t="s">
        <v>1005</v>
      </c>
      <c r="E9" s="14">
        <f>E5</f>
        <v>60</v>
      </c>
      <c r="F9" s="462" t="s">
        <v>351</v>
      </c>
      <c r="G9" s="458"/>
      <c r="I9" s="1313">
        <v>60</v>
      </c>
      <c r="J9" s="1314" t="s">
        <v>352</v>
      </c>
      <c r="K9" s="616"/>
    </row>
    <row r="10" spans="1:18" ht="15" customHeight="1">
      <c r="A10" s="463" t="s">
        <v>220</v>
      </c>
      <c r="B10" s="476" t="s">
        <v>356</v>
      </c>
      <c r="C10" s="464">
        <f ca="1">IF(J21="",'29 GK pro Minute'!G12,M21)</f>
        <v>0.33</v>
      </c>
      <c r="D10" s="1680">
        <f>D6</f>
        <v>0.7</v>
      </c>
      <c r="E10" s="465">
        <f ca="1">E9*C10</f>
        <v>19.8</v>
      </c>
      <c r="F10" s="466" t="str">
        <f>F7</f>
        <v>€</v>
      </c>
      <c r="G10" s="457">
        <f ca="1">IF(N28="",E10/E13,E10/F13)</f>
        <v>0.3208165281177906</v>
      </c>
      <c r="I10" s="428"/>
      <c r="J10" s="3788" t="s">
        <v>863</v>
      </c>
      <c r="K10" s="3787"/>
    </row>
    <row r="11" spans="1:18" ht="15">
      <c r="A11" s="467" t="s">
        <v>357</v>
      </c>
      <c r="B11" s="471"/>
      <c r="C11" s="471"/>
      <c r="D11" s="471"/>
      <c r="E11" s="3109">
        <f ca="1">SUM(E7,E10)</f>
        <v>54.952789793453604</v>
      </c>
      <c r="F11" s="3119" t="str">
        <f>IF(N28="","",E11)</f>
        <v/>
      </c>
      <c r="G11" s="457">
        <f ca="1">IF(N$28="",E11/E$13,F11/F$13)</f>
        <v>0.89039208242033041</v>
      </c>
      <c r="I11" s="428"/>
      <c r="J11" s="3788"/>
      <c r="K11" s="3787"/>
    </row>
    <row r="12" spans="1:18" ht="15">
      <c r="A12" s="472" t="s">
        <v>358</v>
      </c>
      <c r="B12" s="151"/>
      <c r="C12" s="473">
        <f>IF(L17="",I14,"")</f>
        <v>0.10960791757966955</v>
      </c>
      <c r="D12" s="3110" t="str">
        <f>IF(L17="","",I14)</f>
        <v/>
      </c>
      <c r="E12" s="474">
        <f ca="1">IF(C12="","",(E11/(100%-C12)*C12))</f>
        <v>6.7647286778212248</v>
      </c>
      <c r="F12" s="3120" t="str">
        <f>IF(N28="","",(F11/(100%-D12)*D12))</f>
        <v/>
      </c>
      <c r="G12" s="457">
        <f ca="1">IF(N$28="",E12/E$13,F12/F$13)</f>
        <v>0.10960791757966955</v>
      </c>
      <c r="I12" s="42"/>
      <c r="J12" s="4438"/>
      <c r="K12" s="4439"/>
    </row>
    <row r="13" spans="1:18" ht="15">
      <c r="A13" s="467" t="s">
        <v>360</v>
      </c>
      <c r="B13" s="471"/>
      <c r="C13" s="471"/>
      <c r="D13" s="471"/>
      <c r="E13" s="469">
        <f ca="1">IF(C12="","",SUM(E11:E12))</f>
        <v>61.717518471274829</v>
      </c>
      <c r="F13" s="3119" t="str">
        <f>IF(N28="","",SUM(F11:F12))</f>
        <v/>
      </c>
      <c r="G13" s="457">
        <f ca="1">SUM(G11:G12)</f>
        <v>1</v>
      </c>
    </row>
    <row r="14" spans="1:18" ht="15">
      <c r="A14" s="472" t="s">
        <v>257</v>
      </c>
      <c r="B14" s="364">
        <f>'29 GK pro Minute'!I1</f>
        <v>0.19</v>
      </c>
      <c r="C14" s="19"/>
      <c r="D14" s="19"/>
      <c r="E14" s="474">
        <f ca="1">IF(C12="","",E13*B14)</f>
        <v>11.726328509542217</v>
      </c>
      <c r="F14" s="3120" t="str">
        <f>IF(N28="","",F13*B14)</f>
        <v/>
      </c>
      <c r="G14" s="457">
        <f>B14</f>
        <v>0.19</v>
      </c>
      <c r="I14" s="3117">
        <f>IF(I16=0,M16,I16)</f>
        <v>0.10960791757966955</v>
      </c>
      <c r="J14" s="4442" t="str">
        <f>IF(L17="","berechneter Gewinnaufschlag","neu berechneter Gewinnaufschlag")</f>
        <v>berechneter Gewinnaufschlag</v>
      </c>
      <c r="K14" s="4442"/>
      <c r="L14" s="142"/>
      <c r="N14" s="34" t="s">
        <v>471</v>
      </c>
      <c r="O14" s="34" t="s">
        <v>35</v>
      </c>
      <c r="P14" s="34" t="s">
        <v>342</v>
      </c>
      <c r="Q14" s="34" t="s">
        <v>472</v>
      </c>
      <c r="R14" s="34" t="s">
        <v>473</v>
      </c>
    </row>
    <row r="15" spans="1:18" ht="15" customHeight="1">
      <c r="A15" s="3144" t="s">
        <v>1389</v>
      </c>
      <c r="B15" s="1240"/>
      <c r="C15" s="1240"/>
      <c r="D15" s="1240"/>
      <c r="E15" s="1241">
        <f ca="1">IF(C12="","",SUM(E13:E14))</f>
        <v>73.443846980817042</v>
      </c>
      <c r="F15" s="3121" t="str">
        <f>IF(N28="","",SUM(F13:F14))</f>
        <v/>
      </c>
      <c r="G15" s="457">
        <f ca="1">G13+G14</f>
        <v>1.19</v>
      </c>
      <c r="J15" s="3444" t="s">
        <v>850</v>
      </c>
      <c r="K15" s="3444"/>
      <c r="N15" s="1698">
        <f>E3</f>
        <v>2</v>
      </c>
      <c r="O15" s="1698">
        <f ca="1">E6</f>
        <v>33.152789793453607</v>
      </c>
      <c r="P15" s="1698">
        <f ca="1">E10</f>
        <v>19.8</v>
      </c>
      <c r="Q15" s="1698">
        <f ca="1">IF(F12="",E12,F12)</f>
        <v>6.7647286778212248</v>
      </c>
      <c r="R15" s="1698">
        <f ca="1">IF(F14="",E14,F14)</f>
        <v>11.726328509542217</v>
      </c>
    </row>
    <row r="16" spans="1:18" ht="15" customHeight="1" thickBot="1">
      <c r="A16" s="1243"/>
      <c r="B16" s="3114" t="s">
        <v>351</v>
      </c>
      <c r="C16" s="3115">
        <f>E5</f>
        <v>60</v>
      </c>
      <c r="D16" s="3116" t="str">
        <f>IF(C12="","","pro Minute")</f>
        <v>pro Minute</v>
      </c>
      <c r="E16" s="3145">
        <f ca="1">IF(C12="","",E15/C16)</f>
        <v>1.2240641163469508</v>
      </c>
      <c r="F16" s="3122" t="str">
        <f>IF(N28="","",F15/C16)</f>
        <v/>
      </c>
      <c r="G16" s="3111" t="str">
        <f>IF(N28="","","pro Minute")</f>
        <v/>
      </c>
      <c r="I16" s="680"/>
      <c r="J16" s="3444"/>
      <c r="K16" s="3444"/>
      <c r="L16" s="615">
        <f>'27 Gewinnaufschlag'!$BP$60/100</f>
        <v>0.10960791757966955</v>
      </c>
      <c r="M16" s="615">
        <f>IF(L17="",L16,L17)</f>
        <v>0.10960791757966955</v>
      </c>
    </row>
    <row r="17" spans="1:19" ht="16.2" thickBot="1">
      <c r="C17" s="3113"/>
      <c r="D17" s="3113" t="str">
        <f>IF(K21="","","geänderte Auslastung")</f>
        <v/>
      </c>
      <c r="E17" s="3125" t="str">
        <f>IF(J21="","",J21)</f>
        <v/>
      </c>
      <c r="F17" s="2456"/>
      <c r="J17" s="3444"/>
      <c r="K17" s="3444"/>
      <c r="L17" s="615" t="str">
        <f>IF('27 Gewinnaufschlag'!N2="","",'27 Gewinnaufschlag'!AD60/100)</f>
        <v/>
      </c>
      <c r="M17" s="615"/>
      <c r="P17" s="3444" t="s">
        <v>1009</v>
      </c>
      <c r="Q17" s="3444"/>
      <c r="R17" s="3444"/>
    </row>
    <row r="18" spans="1:19" ht="17.25" customHeight="1">
      <c r="A18" s="4426" t="s">
        <v>1391</v>
      </c>
      <c r="B18" s="4427"/>
      <c r="C18" s="4430" t="s">
        <v>1390</v>
      </c>
      <c r="D18" s="4430"/>
      <c r="E18" s="4430"/>
      <c r="F18" s="4430" t="s">
        <v>1386</v>
      </c>
      <c r="G18" s="4434"/>
      <c r="I18" s="3373" t="s">
        <v>1382</v>
      </c>
      <c r="J18" s="3374"/>
      <c r="K18" s="3374"/>
      <c r="L18" s="3374"/>
      <c r="M18" s="4447"/>
      <c r="P18" s="3444"/>
      <c r="Q18" s="3444"/>
      <c r="R18" s="3444"/>
    </row>
    <row r="19" spans="1:19" s="142" customFormat="1" ht="17.25" customHeight="1">
      <c r="A19" s="4428"/>
      <c r="B19" s="4429"/>
      <c r="C19" s="4431"/>
      <c r="D19" s="4431"/>
      <c r="E19" s="4431"/>
      <c r="F19" s="4431"/>
      <c r="G19" s="4432"/>
      <c r="I19" s="428"/>
      <c r="J19" s="34"/>
      <c r="K19" s="365" t="s">
        <v>1006</v>
      </c>
      <c r="L19" s="34"/>
      <c r="M19" s="617" t="s">
        <v>1007</v>
      </c>
      <c r="P19" s="3444"/>
      <c r="Q19" s="3444"/>
      <c r="R19" s="3444"/>
    </row>
    <row r="20" spans="1:19" ht="18" customHeight="1">
      <c r="A20" s="2508"/>
      <c r="B20" s="3127"/>
      <c r="C20" s="3108"/>
      <c r="D20" s="3146">
        <f ca="1">IF(F15="",E15,F15)</f>
        <v>73.443846980817042</v>
      </c>
      <c r="F20" s="3126" t="str">
        <f>IF(B20="","",((D20/B20*100)-100)/100)</f>
        <v/>
      </c>
      <c r="G20" s="610"/>
      <c r="I20" s="428" t="s">
        <v>1005</v>
      </c>
      <c r="J20" s="364">
        <f>'28 PK pro Minute'!G22</f>
        <v>0.7</v>
      </c>
      <c r="K20" s="1677">
        <f ca="1">'28 PK pro Minute'!G17</f>
        <v>0.55254649655756016</v>
      </c>
      <c r="L20" s="76" t="s">
        <v>330</v>
      </c>
      <c r="M20" s="1695">
        <f ca="1">'29 GK pro Minute'!G12</f>
        <v>0.33</v>
      </c>
      <c r="P20" s="1696" t="s">
        <v>851</v>
      </c>
      <c r="Q20" s="767"/>
      <c r="R20" s="222"/>
      <c r="S20" s="1315"/>
    </row>
    <row r="21" spans="1:19" ht="18" customHeight="1">
      <c r="A21" s="4436" t="s">
        <v>1413</v>
      </c>
      <c r="B21" s="1165"/>
      <c r="C21" s="3403"/>
      <c r="D21" s="1165"/>
      <c r="E21" s="1165"/>
      <c r="F21" s="1165"/>
      <c r="G21" s="610"/>
      <c r="I21" s="1320" t="s">
        <v>874</v>
      </c>
      <c r="J21" s="1678"/>
      <c r="K21" s="1677" t="str">
        <f>IF(J21="","",K20/J21*J20)</f>
        <v/>
      </c>
      <c r="L21" s="197" t="s">
        <v>330</v>
      </c>
      <c r="M21" s="1695" t="str">
        <f>IF(J21="","",M20/J21*J20)</f>
        <v/>
      </c>
      <c r="P21" s="4443" t="s">
        <v>860</v>
      </c>
      <c r="Q21" s="4444"/>
      <c r="R21" s="4444"/>
      <c r="S21" s="1316">
        <v>1</v>
      </c>
    </row>
    <row r="22" spans="1:19" ht="18" customHeight="1">
      <c r="A22" s="4436"/>
      <c r="B22" s="4435" t="str">
        <f>IF(B24="","Geben Sie Ihren zukünftigen Preis ein","Mein Preis in Zukunft")</f>
        <v>Geben Sie Ihren zukünftigen Preis ein</v>
      </c>
      <c r="C22" s="3403"/>
      <c r="D22" s="4433" t="s">
        <v>1392</v>
      </c>
      <c r="E22" s="4433"/>
      <c r="F22" s="4431" t="s">
        <v>1387</v>
      </c>
      <c r="G22" s="4432"/>
      <c r="P22" s="4445" t="s">
        <v>856</v>
      </c>
      <c r="Q22" s="4446"/>
      <c r="R22" s="4446"/>
      <c r="S22" s="1317">
        <f>I14</f>
        <v>0.10960791757966955</v>
      </c>
    </row>
    <row r="23" spans="1:19" ht="18" customHeight="1">
      <c r="A23" s="3231"/>
      <c r="B23" s="4435"/>
      <c r="C23" s="1165"/>
      <c r="D23" s="4433"/>
      <c r="E23" s="4433"/>
      <c r="F23" s="4431"/>
      <c r="G23" s="4432"/>
      <c r="I23" s="3941" t="str">
        <f>IF(N28="","",IF(N28&gt;0,N23,IF(N28&lt;0,N25)))</f>
        <v/>
      </c>
      <c r="J23" s="3941"/>
      <c r="K23" s="3941"/>
      <c r="L23" s="3941"/>
      <c r="M23" s="3941"/>
      <c r="N23" s="615" t="s">
        <v>1383</v>
      </c>
      <c r="P23" s="4443" t="s">
        <v>857</v>
      </c>
      <c r="Q23" s="4444"/>
      <c r="R23" s="4444"/>
      <c r="S23" s="1317">
        <f>S21-S22</f>
        <v>0.89039208242033041</v>
      </c>
    </row>
    <row r="24" spans="1:19" ht="14.55" customHeight="1">
      <c r="A24" s="2508"/>
      <c r="B24" s="3127"/>
      <c r="D24" s="3125" t="str">
        <f>IF(B24="","",((B24/D20*100)-100)/100)</f>
        <v/>
      </c>
      <c r="F24" s="3124">
        <f>B20</f>
        <v>0</v>
      </c>
      <c r="G24" s="3224" t="str">
        <f>IF(B20="","",((B24/B20*100)-100)/100)</f>
        <v/>
      </c>
      <c r="I24" s="3941"/>
      <c r="J24" s="3941"/>
      <c r="K24" s="3941"/>
      <c r="L24" s="3941"/>
      <c r="M24" s="3941"/>
      <c r="N24" s="615"/>
      <c r="P24" s="4443"/>
      <c r="Q24" s="4444"/>
      <c r="R24" s="4444"/>
      <c r="S24" s="1318"/>
    </row>
    <row r="25" spans="1:19" ht="18" customHeight="1">
      <c r="A25" s="2508"/>
      <c r="G25" s="610"/>
      <c r="I25" s="3941"/>
      <c r="J25" s="3941"/>
      <c r="K25" s="3941"/>
      <c r="L25" s="3941"/>
      <c r="M25" s="3941"/>
      <c r="N25" s="615" t="s">
        <v>1384</v>
      </c>
      <c r="P25" s="4440" t="s">
        <v>858</v>
      </c>
      <c r="Q25" s="4441"/>
      <c r="R25" s="4441"/>
      <c r="S25" s="1319">
        <f>S23</f>
        <v>0.89039208242033041</v>
      </c>
    </row>
    <row r="26" spans="1:19" ht="18" customHeight="1">
      <c r="A26" s="2508"/>
      <c r="C26" s="3143" t="s">
        <v>1388</v>
      </c>
      <c r="D26" s="3129"/>
      <c r="E26" s="3129"/>
      <c r="F26" s="3129"/>
      <c r="G26" s="3225"/>
      <c r="I26" s="3941"/>
      <c r="J26" s="3941"/>
      <c r="K26" s="3941"/>
      <c r="L26" s="3941"/>
      <c r="M26" s="3941"/>
      <c r="P26" s="1320" t="s">
        <v>859</v>
      </c>
      <c r="Q26" s="1321">
        <f>S22</f>
        <v>0.10960791757966955</v>
      </c>
      <c r="R26" s="1322" t="s">
        <v>48</v>
      </c>
      <c r="S26" s="1323">
        <f ca="1">E11/S23*S22</f>
        <v>6.7647286778212248</v>
      </c>
    </row>
    <row r="27" spans="1:19" ht="18" customHeight="1">
      <c r="A27" s="2508"/>
      <c r="C27" s="3131"/>
      <c r="D27" s="4425" t="s">
        <v>1385</v>
      </c>
      <c r="E27" s="4425"/>
      <c r="F27" s="3132">
        <f>B24</f>
        <v>0</v>
      </c>
      <c r="G27" s="3226"/>
      <c r="I27" s="3941"/>
      <c r="J27" s="3941"/>
      <c r="K27" s="3941"/>
      <c r="L27" s="3941"/>
      <c r="M27" s="3941"/>
    </row>
    <row r="28" spans="1:19"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19" ht="18" customHeight="1">
      <c r="A29" s="2508"/>
      <c r="C29" s="3131"/>
      <c r="D29" s="3136" t="str">
        <f>IF(E28&gt;0,"um den neu kalkulierten Umsatz zu erwirtschaften","und der Umsatz blieb gleich")</f>
        <v>um den neu kalkulierten Umsatz zu erwirtschaften</v>
      </c>
      <c r="E29" s="3137"/>
      <c r="F29" s="3138"/>
      <c r="G29" s="3226"/>
    </row>
    <row r="30" spans="1:19" ht="18" customHeight="1" thickBot="1">
      <c r="A30" s="2509"/>
      <c r="B30" s="774"/>
      <c r="C30" s="3227"/>
      <c r="D30" s="3228"/>
      <c r="E30" s="3229"/>
      <c r="F30" s="3229"/>
      <c r="G30" s="3230"/>
    </row>
    <row r="34" spans="1:25" ht="18" customHeight="1">
      <c r="P34" s="4437" t="s">
        <v>855</v>
      </c>
      <c r="Q34" s="4437"/>
      <c r="R34" s="4437"/>
      <c r="S34" s="4437"/>
      <c r="T34" s="4437"/>
      <c r="U34" s="4437"/>
      <c r="V34" s="4437"/>
      <c r="W34" s="4437"/>
      <c r="X34" s="4437"/>
      <c r="Y34" s="4437"/>
    </row>
    <row r="35" spans="1:25" ht="18" customHeight="1">
      <c r="P35" s="4437"/>
      <c r="Q35" s="4437"/>
      <c r="R35" s="4437"/>
      <c r="S35" s="4437"/>
      <c r="T35" s="4437"/>
      <c r="U35" s="4437"/>
      <c r="V35" s="4437"/>
      <c r="W35" s="4437"/>
      <c r="X35" s="4437"/>
      <c r="Y35" s="4437"/>
    </row>
    <row r="36" spans="1:25" ht="18" customHeight="1">
      <c r="P36" s="4437"/>
      <c r="Q36" s="4437"/>
      <c r="R36" s="4437"/>
      <c r="S36" s="4437"/>
      <c r="T36" s="4437"/>
      <c r="U36" s="4437"/>
      <c r="V36" s="4437"/>
      <c r="W36" s="4437"/>
      <c r="X36" s="4437"/>
      <c r="Y36" s="4437"/>
    </row>
    <row r="37" spans="1:25" ht="18" customHeight="1">
      <c r="B37" s="2588"/>
      <c r="C37" s="2588"/>
      <c r="D37" s="2588"/>
      <c r="E37" s="2588"/>
      <c r="F37" s="2588"/>
      <c r="G37" s="2588"/>
      <c r="P37" s="615" t="s">
        <v>1008</v>
      </c>
    </row>
    <row r="38" spans="1:25" ht="18" customHeight="1">
      <c r="A38" s="2588"/>
      <c r="B38" s="2588"/>
      <c r="C38" s="2588"/>
      <c r="D38" s="2588"/>
      <c r="E38" s="2588"/>
      <c r="F38" s="2588"/>
      <c r="G38" s="2588"/>
    </row>
    <row r="39" spans="1:25" ht="18" customHeight="1">
      <c r="A39" s="615" t="s">
        <v>1263</v>
      </c>
      <c r="B39" s="2588"/>
      <c r="C39" s="2588"/>
      <c r="D39" s="2588"/>
      <c r="E39" s="2588"/>
      <c r="F39" s="2588"/>
      <c r="G39" s="2588"/>
    </row>
    <row r="40" spans="1:25" ht="18" customHeight="1">
      <c r="A40" s="615" t="s">
        <v>1264</v>
      </c>
      <c r="B40" s="619"/>
      <c r="C40" s="619"/>
      <c r="D40" s="619"/>
      <c r="E40" s="619"/>
      <c r="F40" s="619"/>
      <c r="G40" s="619"/>
    </row>
    <row r="41" spans="1:25" ht="18" customHeight="1">
      <c r="A41" s="615" t="s">
        <v>1265</v>
      </c>
      <c r="B41" s="2588"/>
      <c r="C41" s="2588"/>
      <c r="D41" s="2588"/>
      <c r="E41" s="2588"/>
      <c r="F41" s="2588"/>
      <c r="G41" s="2588"/>
    </row>
  </sheetData>
  <sheetProtection algorithmName="SHA-512" hashValue="XBjxkSXnTsdjhakd7SBgoD3zK9JSp852LjHsLbHlPIelvDmRf7VCGgDjqDA60/Vrxe2bRtWeBdlFLyeLm9KZlw==" saltValue="e7gVzh7ib0cTbM+9z5yBHQ==" spinCount="100000" sheet="1" objects="1" scenarios="1"/>
  <mergeCells count="25">
    <mergeCell ref="C21:C22"/>
    <mergeCell ref="A21:A22"/>
    <mergeCell ref="B22:B23"/>
    <mergeCell ref="I28:M28"/>
    <mergeCell ref="D22:E23"/>
    <mergeCell ref="F22:G23"/>
    <mergeCell ref="I23:M27"/>
    <mergeCell ref="D27:E27"/>
    <mergeCell ref="J14:K14"/>
    <mergeCell ref="J15:K17"/>
    <mergeCell ref="A18:B19"/>
    <mergeCell ref="C18:E19"/>
    <mergeCell ref="F18:G19"/>
    <mergeCell ref="I18:M18"/>
    <mergeCell ref="A2:D3"/>
    <mergeCell ref="E2:F2"/>
    <mergeCell ref="J3:K4"/>
    <mergeCell ref="J5:K6"/>
    <mergeCell ref="J10:K12"/>
    <mergeCell ref="P34:Y36"/>
    <mergeCell ref="P17:R19"/>
    <mergeCell ref="P21:R21"/>
    <mergeCell ref="P22:R22"/>
    <mergeCell ref="P23:R24"/>
    <mergeCell ref="P25:R25"/>
  </mergeCells>
  <pageMargins left="0.7" right="0.7" top="0.78740157499999996" bottom="0.78740157499999996"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41"/>
  <sheetViews>
    <sheetView showGridLines="0" zoomScaleNormal="100" workbookViewId="0"/>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0.44140625" style="34" bestFit="1" customWidth="1"/>
    <col min="6" max="6" width="10.4414062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8.21875" style="34" customWidth="1"/>
    <col min="17" max="16384" width="9.21875" style="34"/>
  </cols>
  <sheetData>
    <row r="1" spans="1:18" ht="33" customHeight="1">
      <c r="A1" s="1242" t="s">
        <v>1010</v>
      </c>
      <c r="G1" s="1324"/>
    </row>
    <row r="2" spans="1:18" ht="18" customHeight="1">
      <c r="A2" s="4420" t="s">
        <v>346</v>
      </c>
      <c r="B2" s="4421"/>
      <c r="C2" s="4421"/>
      <c r="D2" s="4421"/>
      <c r="E2" s="4418" t="s">
        <v>361</v>
      </c>
      <c r="F2" s="4419"/>
      <c r="G2" s="485" t="s">
        <v>348</v>
      </c>
      <c r="I2" s="1308"/>
      <c r="J2" s="1325" t="s">
        <v>864</v>
      </c>
      <c r="K2" s="1310"/>
      <c r="L2" s="619"/>
    </row>
    <row r="3" spans="1:18" ht="18" customHeight="1">
      <c r="A3" s="4422"/>
      <c r="B3" s="4423"/>
      <c r="C3" s="4423"/>
      <c r="D3" s="4423"/>
      <c r="E3" s="475">
        <f>I7</f>
        <v>1.5</v>
      </c>
      <c r="F3" s="456" t="s">
        <v>330</v>
      </c>
      <c r="G3" s="457">
        <f ca="1">IF(N28="",E3/E13,E3/F13)</f>
        <v>4.7739822395299315E-2</v>
      </c>
      <c r="I3" s="1311">
        <v>1.5</v>
      </c>
      <c r="J3" s="3788" t="s">
        <v>861</v>
      </c>
      <c r="K3" s="3787"/>
    </row>
    <row r="4" spans="1:18" ht="15" customHeight="1">
      <c r="A4" s="188" t="s">
        <v>349</v>
      </c>
      <c r="B4" s="14"/>
      <c r="C4" s="14"/>
      <c r="D4" s="14"/>
      <c r="E4" s="14"/>
      <c r="F4" s="417"/>
      <c r="G4" s="458"/>
      <c r="H4" s="216"/>
      <c r="I4" s="428"/>
      <c r="J4" s="3788"/>
      <c r="K4" s="3787"/>
    </row>
    <row r="5" spans="1:18" ht="15" customHeight="1">
      <c r="A5" s="459"/>
      <c r="B5" s="460" t="s">
        <v>350</v>
      </c>
      <c r="C5" s="460"/>
      <c r="D5" s="1679" t="s">
        <v>1005</v>
      </c>
      <c r="E5" s="461">
        <f>I9</f>
        <v>30</v>
      </c>
      <c r="F5" s="462" t="s">
        <v>351</v>
      </c>
      <c r="G5" s="458"/>
      <c r="I5" s="1311"/>
      <c r="J5" s="3788" t="s">
        <v>862</v>
      </c>
      <c r="K5" s="3787"/>
    </row>
    <row r="6" spans="1:18" ht="15">
      <c r="A6" s="463" t="s">
        <v>220</v>
      </c>
      <c r="B6" s="595" t="s">
        <v>353</v>
      </c>
      <c r="C6" s="464">
        <f ca="1">IF(J23="",'28 PK pro Minute'!G17,K23)</f>
        <v>0.55254649655756016</v>
      </c>
      <c r="D6" s="1680">
        <f>IF(J21="",J20,J21)</f>
        <v>0.7</v>
      </c>
      <c r="E6" s="465">
        <f ca="1">C6*E5</f>
        <v>16.576394896726804</v>
      </c>
      <c r="F6" s="466" t="str">
        <f>F3</f>
        <v>€</v>
      </c>
      <c r="G6" s="457">
        <f ca="1">IF(N28="",E6/E13,E6/F13)</f>
        <v>0.52756943221605568</v>
      </c>
      <c r="I6" s="428"/>
      <c r="J6" s="3788"/>
      <c r="K6" s="3787"/>
    </row>
    <row r="7" spans="1:18" ht="15">
      <c r="A7" s="467" t="s">
        <v>354</v>
      </c>
      <c r="B7" s="468"/>
      <c r="C7" s="468"/>
      <c r="D7" s="468"/>
      <c r="E7" s="469">
        <f ca="1">SUM(E6,E3)</f>
        <v>18.076394896726804</v>
      </c>
      <c r="F7" s="470" t="str">
        <f>F6</f>
        <v>€</v>
      </c>
      <c r="G7" s="458"/>
      <c r="I7" s="1312">
        <f>IF(I3="",SUM(I2+I5),SUM(I3,I5))</f>
        <v>1.5</v>
      </c>
      <c r="J7" s="534" t="s">
        <v>849</v>
      </c>
      <c r="K7" s="618"/>
    </row>
    <row r="8" spans="1:18" ht="15">
      <c r="A8" s="187" t="s">
        <v>355</v>
      </c>
      <c r="B8" s="2"/>
      <c r="C8" s="2"/>
      <c r="D8" s="2"/>
      <c r="E8" s="2"/>
      <c r="F8" s="417"/>
      <c r="G8" s="458"/>
    </row>
    <row r="9" spans="1:18" ht="15">
      <c r="A9" s="187"/>
      <c r="B9" s="460" t="s">
        <v>350</v>
      </c>
      <c r="C9" s="460"/>
      <c r="D9" s="1679" t="s">
        <v>1005</v>
      </c>
      <c r="E9" s="14">
        <f>E5</f>
        <v>30</v>
      </c>
      <c r="F9" s="462" t="s">
        <v>351</v>
      </c>
      <c r="G9" s="458"/>
      <c r="I9" s="1313">
        <v>30</v>
      </c>
      <c r="J9" s="1314" t="s">
        <v>352</v>
      </c>
      <c r="K9" s="616"/>
    </row>
    <row r="10" spans="1:18" ht="15" customHeight="1">
      <c r="A10" s="463" t="s">
        <v>220</v>
      </c>
      <c r="B10" s="476" t="s">
        <v>356</v>
      </c>
      <c r="C10" s="464">
        <f ca="1">IF(J21="",'29 GK pro Minute'!G12,M21)</f>
        <v>0.33</v>
      </c>
      <c r="D10" s="1680">
        <f>D6</f>
        <v>0.7</v>
      </c>
      <c r="E10" s="465">
        <f ca="1">E9*C10</f>
        <v>9.9</v>
      </c>
      <c r="F10" s="466" t="str">
        <f>F7</f>
        <v>€</v>
      </c>
      <c r="G10" s="457">
        <f ca="1">IF(N28="",E10/E13,E10/F13)</f>
        <v>0.31508282780897551</v>
      </c>
      <c r="I10" s="428"/>
      <c r="J10" s="3788" t="s">
        <v>863</v>
      </c>
      <c r="K10" s="3787"/>
    </row>
    <row r="11" spans="1:18" ht="15">
      <c r="A11" s="467" t="s">
        <v>357</v>
      </c>
      <c r="B11" s="471"/>
      <c r="C11" s="471"/>
      <c r="D11" s="471"/>
      <c r="E11" s="3109">
        <f ca="1">SUM(E7,E10)</f>
        <v>27.976394896726802</v>
      </c>
      <c r="F11" s="3119" t="str">
        <f>IF(N28="","",E11)</f>
        <v/>
      </c>
      <c r="G11" s="457">
        <f ca="1">IF(N$28="",E11/E$13,F11/F$13)</f>
        <v>0.89039208242033041</v>
      </c>
      <c r="I11" s="428"/>
      <c r="J11" s="3788"/>
      <c r="K11" s="3787"/>
    </row>
    <row r="12" spans="1:18" ht="15">
      <c r="A12" s="472" t="s">
        <v>358</v>
      </c>
      <c r="B12" s="151"/>
      <c r="C12" s="473">
        <f>IF(L17="",I14,"")</f>
        <v>0.10960791757966955</v>
      </c>
      <c r="D12" s="3110" t="str">
        <f>IF(L17="","",I14)</f>
        <v/>
      </c>
      <c r="E12" s="474">
        <f ca="1">IF(C12="","",(E11/(100%-C12)*C12))</f>
        <v>3.4439147051727006</v>
      </c>
      <c r="F12" s="3120" t="str">
        <f>IF(N28="","",(F11/(100%-D12)*D12))</f>
        <v/>
      </c>
      <c r="G12" s="457">
        <f ca="1">IF(N$28="",E12/E$13,F12/F$13)</f>
        <v>0.10960791757966955</v>
      </c>
      <c r="I12" s="42"/>
      <c r="J12" s="4438"/>
      <c r="K12" s="4439"/>
    </row>
    <row r="13" spans="1:18" ht="15">
      <c r="A13" s="467" t="s">
        <v>360</v>
      </c>
      <c r="B13" s="471"/>
      <c r="C13" s="471"/>
      <c r="D13" s="471"/>
      <c r="E13" s="469">
        <f ca="1">IF(C12="","",SUM(E11:E12))</f>
        <v>31.420309601899504</v>
      </c>
      <c r="F13" s="3119" t="str">
        <f>IF(N28="","",SUM(F11:F12))</f>
        <v/>
      </c>
      <c r="G13" s="457">
        <f ca="1">SUM(G11:G12)</f>
        <v>1</v>
      </c>
    </row>
    <row r="14" spans="1:18" ht="15">
      <c r="A14" s="472" t="s">
        <v>257</v>
      </c>
      <c r="B14" s="364">
        <f>'29 GK pro Minute'!I1</f>
        <v>0.19</v>
      </c>
      <c r="C14" s="19"/>
      <c r="D14" s="19"/>
      <c r="E14" s="474">
        <f ca="1">IF(C12="","",E13*B14)</f>
        <v>5.9698588243609061</v>
      </c>
      <c r="F14" s="3120" t="str">
        <f>IF(N28="","",F13*B14)</f>
        <v/>
      </c>
      <c r="G14" s="457">
        <f>B14</f>
        <v>0.19</v>
      </c>
      <c r="I14" s="3117">
        <f>IF(I16=0,M16,I16)</f>
        <v>0.10960791757966955</v>
      </c>
      <c r="J14" s="4442" t="str">
        <f>IF(L17="","berechneter Gewinnaufschlag","neu berechneter Gewinnaufschlag")</f>
        <v>berechneter Gewinnaufschlag</v>
      </c>
      <c r="K14" s="4442"/>
      <c r="L14" s="142"/>
      <c r="N14" s="34" t="s">
        <v>471</v>
      </c>
      <c r="O14" s="34" t="s">
        <v>35</v>
      </c>
      <c r="P14" s="34" t="s">
        <v>342</v>
      </c>
      <c r="Q14" s="34" t="s">
        <v>472</v>
      </c>
      <c r="R14" s="34" t="s">
        <v>473</v>
      </c>
    </row>
    <row r="15" spans="1:18" ht="15" customHeight="1">
      <c r="A15" s="3144" t="s">
        <v>1389</v>
      </c>
      <c r="B15" s="1240"/>
      <c r="C15" s="1240"/>
      <c r="D15" s="1240"/>
      <c r="E15" s="1241">
        <f ca="1">IF(C12="","",SUM(E13:E14))</f>
        <v>37.390168426260409</v>
      </c>
      <c r="F15" s="3121" t="str">
        <f>IF(N28="","",SUM(F13:F14))</f>
        <v/>
      </c>
      <c r="G15" s="457">
        <f ca="1">G13+G14</f>
        <v>1.19</v>
      </c>
      <c r="J15" s="3444" t="s">
        <v>850</v>
      </c>
      <c r="K15" s="3444"/>
      <c r="N15" s="1698">
        <f>E3</f>
        <v>1.5</v>
      </c>
      <c r="O15" s="1698">
        <f ca="1">E6</f>
        <v>16.576394896726804</v>
      </c>
      <c r="P15" s="1698">
        <f ca="1">E10</f>
        <v>9.9</v>
      </c>
      <c r="Q15" s="1698">
        <f ca="1">IF(F12="",E12,F12)</f>
        <v>3.4439147051727006</v>
      </c>
      <c r="R15" s="1698">
        <f ca="1">IF(F14="",E14,F14)</f>
        <v>5.9698588243609061</v>
      </c>
    </row>
    <row r="16" spans="1:18" ht="15" customHeight="1" thickBot="1">
      <c r="A16" s="1243"/>
      <c r="B16" s="3114" t="s">
        <v>351</v>
      </c>
      <c r="C16" s="3115">
        <f>E5</f>
        <v>30</v>
      </c>
      <c r="D16" s="3116" t="str">
        <f>IF(C12="","","pro Minute")</f>
        <v>pro Minute</v>
      </c>
      <c r="E16" s="3145">
        <f ca="1">IF(C12="","",E15/C16)</f>
        <v>1.2463389475420137</v>
      </c>
      <c r="F16" s="3122" t="str">
        <f>IF(N28="","",F15/C16)</f>
        <v/>
      </c>
      <c r="G16" s="3111" t="str">
        <f>IF(N28="","","pro Minute")</f>
        <v/>
      </c>
      <c r="I16" s="680"/>
      <c r="J16" s="3444"/>
      <c r="K16" s="3444"/>
      <c r="L16" s="615">
        <f>'27 Gewinnaufschlag'!$BP$60/100</f>
        <v>0.10960791757966955</v>
      </c>
      <c r="M16" s="615">
        <f>IF(L17="",L16,L17)</f>
        <v>0.10960791757966955</v>
      </c>
    </row>
    <row r="17" spans="1:19" ht="16.2" thickBot="1">
      <c r="C17" s="3113"/>
      <c r="D17" s="3113" t="str">
        <f>IF(K21="","","geänderte Auslastung")</f>
        <v/>
      </c>
      <c r="E17" s="3125" t="str">
        <f>IF(J21="","",J21)</f>
        <v/>
      </c>
      <c r="F17" s="2456"/>
      <c r="J17" s="3444"/>
      <c r="K17" s="3444"/>
      <c r="L17" s="615" t="str">
        <f>IF('27 Gewinnaufschlag'!N2="","",'27 Gewinnaufschlag'!AD60/100)</f>
        <v/>
      </c>
      <c r="M17" s="615"/>
      <c r="P17" s="3444" t="s">
        <v>1009</v>
      </c>
      <c r="Q17" s="3444"/>
      <c r="R17" s="3444"/>
    </row>
    <row r="18" spans="1:19" ht="17.25" customHeight="1">
      <c r="A18" s="4426" t="s">
        <v>1391</v>
      </c>
      <c r="B18" s="4427"/>
      <c r="C18" s="4430" t="s">
        <v>1390</v>
      </c>
      <c r="D18" s="4430"/>
      <c r="E18" s="4430"/>
      <c r="F18" s="4430" t="s">
        <v>1386</v>
      </c>
      <c r="G18" s="4434"/>
      <c r="I18" s="3373" t="s">
        <v>1382</v>
      </c>
      <c r="J18" s="3374"/>
      <c r="K18" s="3374"/>
      <c r="L18" s="3374"/>
      <c r="M18" s="4447"/>
      <c r="P18" s="3444"/>
      <c r="Q18" s="3444"/>
      <c r="R18" s="3444"/>
    </row>
    <row r="19" spans="1:19" s="142" customFormat="1" ht="17.25" customHeight="1">
      <c r="A19" s="4428"/>
      <c r="B19" s="4429"/>
      <c r="C19" s="4431"/>
      <c r="D19" s="4431"/>
      <c r="E19" s="4431"/>
      <c r="F19" s="4431"/>
      <c r="G19" s="4432"/>
      <c r="I19" s="428"/>
      <c r="J19" s="34"/>
      <c r="K19" s="365" t="s">
        <v>1006</v>
      </c>
      <c r="L19" s="34"/>
      <c r="M19" s="617" t="s">
        <v>1007</v>
      </c>
      <c r="P19" s="3444"/>
      <c r="Q19" s="3444"/>
      <c r="R19" s="3444"/>
    </row>
    <row r="20" spans="1:19" ht="18" customHeight="1">
      <c r="A20" s="2508"/>
      <c r="B20" s="3127"/>
      <c r="C20" s="3108"/>
      <c r="D20" s="3146">
        <f ca="1">IF(F15="",E15,F15)</f>
        <v>37.390168426260409</v>
      </c>
      <c r="F20" s="3126" t="str">
        <f>IF(B20="","",((D20/B20*100)-100)/100)</f>
        <v/>
      </c>
      <c r="G20" s="610"/>
      <c r="I20" s="428" t="s">
        <v>1005</v>
      </c>
      <c r="J20" s="364">
        <f>'28 PK pro Minute'!G22</f>
        <v>0.7</v>
      </c>
      <c r="K20" s="1677">
        <f ca="1">'28 PK pro Minute'!G$17</f>
        <v>0.55254649655756016</v>
      </c>
      <c r="L20" s="76" t="s">
        <v>330</v>
      </c>
      <c r="M20" s="1695">
        <f ca="1">'29 GK pro Minute'!G$12</f>
        <v>0.33</v>
      </c>
      <c r="P20" s="1696" t="s">
        <v>851</v>
      </c>
      <c r="Q20" s="767"/>
      <c r="R20" s="222"/>
      <c r="S20" s="1315"/>
    </row>
    <row r="21" spans="1:19" ht="18" customHeight="1">
      <c r="A21" s="4436" t="s">
        <v>1413</v>
      </c>
      <c r="B21" s="1165"/>
      <c r="C21" s="3403"/>
      <c r="D21" s="1165"/>
      <c r="E21" s="1165"/>
      <c r="F21" s="1165"/>
      <c r="G21" s="610"/>
      <c r="I21" s="1320" t="s">
        <v>874</v>
      </c>
      <c r="J21" s="1678"/>
      <c r="K21" s="1677" t="str">
        <f>IF(J21="","",K20/J21*J20)</f>
        <v/>
      </c>
      <c r="L21" s="197" t="s">
        <v>330</v>
      </c>
      <c r="M21" s="1695" t="str">
        <f>IF(J21="","",M20/J21*J20)</f>
        <v/>
      </c>
      <c r="P21" s="4443" t="s">
        <v>860</v>
      </c>
      <c r="Q21" s="4444"/>
      <c r="R21" s="4444"/>
      <c r="S21" s="1316">
        <v>1</v>
      </c>
    </row>
    <row r="22" spans="1:19" ht="18" customHeight="1">
      <c r="A22" s="4436"/>
      <c r="B22" s="4435" t="str">
        <f>IF(B24="","Geben Sie Ihren zukünftigen Preis ein","Mein Preis in Zukunft")</f>
        <v>Geben Sie Ihren zukünftigen Preis ein</v>
      </c>
      <c r="C22" s="3403"/>
      <c r="D22" s="4433" t="s">
        <v>1392</v>
      </c>
      <c r="E22" s="4433"/>
      <c r="F22" s="4431" t="s">
        <v>1387</v>
      </c>
      <c r="G22" s="4432"/>
      <c r="P22" s="4445" t="s">
        <v>856</v>
      </c>
      <c r="Q22" s="4446"/>
      <c r="R22" s="4446"/>
      <c r="S22" s="1317">
        <f>I14</f>
        <v>0.10960791757966955</v>
      </c>
    </row>
    <row r="23" spans="1:19" ht="18" customHeight="1">
      <c r="A23" s="3231"/>
      <c r="B23" s="4435"/>
      <c r="C23" s="1165"/>
      <c r="D23" s="4433"/>
      <c r="E23" s="4433"/>
      <c r="F23" s="4431"/>
      <c r="G23" s="4432"/>
      <c r="I23" s="3941" t="str">
        <f>IF(N28="","",IF(N28&gt;0,N23,IF(N28&lt;0,N25)))</f>
        <v/>
      </c>
      <c r="J23" s="3941"/>
      <c r="K23" s="3941"/>
      <c r="L23" s="3941"/>
      <c r="M23" s="3941"/>
      <c r="N23" s="615" t="s">
        <v>1383</v>
      </c>
      <c r="P23" s="4443" t="s">
        <v>857</v>
      </c>
      <c r="Q23" s="4444"/>
      <c r="R23" s="4444"/>
      <c r="S23" s="1317">
        <f>S21-S22</f>
        <v>0.89039208242033041</v>
      </c>
    </row>
    <row r="24" spans="1:19" ht="14.55" customHeight="1">
      <c r="A24" s="2508"/>
      <c r="B24" s="3127"/>
      <c r="D24" s="3125" t="str">
        <f>IF(B24="","",((B24/D20*100)-100)/100)</f>
        <v/>
      </c>
      <c r="F24" s="3124">
        <f>B20</f>
        <v>0</v>
      </c>
      <c r="G24" s="3224" t="str">
        <f>IF(B20="","",((B24/B20*100)-100)/100)</f>
        <v/>
      </c>
      <c r="I24" s="3941"/>
      <c r="J24" s="3941"/>
      <c r="K24" s="3941"/>
      <c r="L24" s="3941"/>
      <c r="M24" s="3941"/>
      <c r="N24" s="615"/>
      <c r="P24" s="4443"/>
      <c r="Q24" s="4444"/>
      <c r="R24" s="4444"/>
      <c r="S24" s="1318"/>
    </row>
    <row r="25" spans="1:19" ht="18" customHeight="1">
      <c r="A25" s="2508"/>
      <c r="G25" s="610"/>
      <c r="I25" s="3941"/>
      <c r="J25" s="3941"/>
      <c r="K25" s="3941"/>
      <c r="L25" s="3941"/>
      <c r="M25" s="3941"/>
      <c r="N25" s="615" t="s">
        <v>1384</v>
      </c>
      <c r="P25" s="4440" t="s">
        <v>858</v>
      </c>
      <c r="Q25" s="4441"/>
      <c r="R25" s="4441"/>
      <c r="S25" s="1319">
        <f>S23</f>
        <v>0.89039208242033041</v>
      </c>
    </row>
    <row r="26" spans="1:19" ht="18" customHeight="1">
      <c r="A26" s="2508"/>
      <c r="C26" s="3143" t="s">
        <v>1388</v>
      </c>
      <c r="D26" s="3129"/>
      <c r="E26" s="3129"/>
      <c r="F26" s="3129"/>
      <c r="G26" s="3225"/>
      <c r="I26" s="3941"/>
      <c r="J26" s="3941"/>
      <c r="K26" s="3941"/>
      <c r="L26" s="3941"/>
      <c r="M26" s="3941"/>
      <c r="P26" s="1320" t="s">
        <v>859</v>
      </c>
      <c r="Q26" s="1321">
        <f>S22</f>
        <v>0.10960791757966955</v>
      </c>
      <c r="R26" s="1322" t="s">
        <v>48</v>
      </c>
      <c r="S26" s="1323">
        <f ca="1">E11/S23*S22</f>
        <v>3.4439147051727006</v>
      </c>
    </row>
    <row r="27" spans="1:19" ht="18" customHeight="1">
      <c r="A27" s="2508"/>
      <c r="C27" s="3131"/>
      <c r="D27" s="4425" t="s">
        <v>1385</v>
      </c>
      <c r="E27" s="4425"/>
      <c r="F27" s="3132">
        <f>B24</f>
        <v>0</v>
      </c>
      <c r="G27" s="3226"/>
      <c r="I27" s="3941"/>
      <c r="J27" s="3941"/>
      <c r="K27" s="3941"/>
      <c r="L27" s="3941"/>
      <c r="M27" s="3941"/>
    </row>
    <row r="28" spans="1:19"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19" ht="18" customHeight="1">
      <c r="A29" s="2508"/>
      <c r="C29" s="3131"/>
      <c r="D29" s="3136" t="str">
        <f>IF(E28&gt;0,"um den neu kalkulierten Umsatz zu erwirtschaften","und der Umsatz blieb gleich")</f>
        <v>um den neu kalkulierten Umsatz zu erwirtschaften</v>
      </c>
      <c r="E29" s="3137"/>
      <c r="F29" s="3138"/>
      <c r="G29" s="3226"/>
    </row>
    <row r="30" spans="1:19" ht="18" customHeight="1" thickBot="1">
      <c r="A30" s="2509"/>
      <c r="B30" s="774"/>
      <c r="C30" s="3227"/>
      <c r="D30" s="3228"/>
      <c r="E30" s="3229"/>
      <c r="F30" s="3229"/>
      <c r="G30" s="3230"/>
    </row>
    <row r="34" spans="1:25" ht="18" customHeight="1">
      <c r="P34" s="4437" t="s">
        <v>855</v>
      </c>
      <c r="Q34" s="4437"/>
      <c r="R34" s="4437"/>
      <c r="S34" s="4437"/>
      <c r="T34" s="4437"/>
      <c r="U34" s="4437"/>
      <c r="V34" s="4437"/>
      <c r="W34" s="4437"/>
      <c r="X34" s="4437"/>
      <c r="Y34" s="4437"/>
    </row>
    <row r="35" spans="1:25" ht="18" customHeight="1">
      <c r="P35" s="4437"/>
      <c r="Q35" s="4437"/>
      <c r="R35" s="4437"/>
      <c r="S35" s="4437"/>
      <c r="T35" s="4437"/>
      <c r="U35" s="4437"/>
      <c r="V35" s="4437"/>
      <c r="W35" s="4437"/>
      <c r="X35" s="4437"/>
      <c r="Y35" s="4437"/>
    </row>
    <row r="36" spans="1:25" ht="18" customHeight="1">
      <c r="P36" s="4437"/>
      <c r="Q36" s="4437"/>
      <c r="R36" s="4437"/>
      <c r="S36" s="4437"/>
      <c r="T36" s="4437"/>
      <c r="U36" s="4437"/>
      <c r="V36" s="4437"/>
      <c r="W36" s="4437"/>
      <c r="X36" s="4437"/>
      <c r="Y36" s="4437"/>
    </row>
    <row r="37" spans="1:25" ht="18" customHeight="1">
      <c r="B37" s="2588"/>
      <c r="C37" s="2588"/>
      <c r="D37" s="2588"/>
      <c r="E37" s="2588"/>
      <c r="F37" s="2588"/>
      <c r="G37" s="2588"/>
      <c r="P37" s="615" t="s">
        <v>1008</v>
      </c>
    </row>
    <row r="38" spans="1:25" ht="18" customHeight="1">
      <c r="A38" s="2588"/>
      <c r="B38" s="2588"/>
      <c r="C38" s="2588"/>
      <c r="D38" s="2588"/>
      <c r="E38" s="2588"/>
      <c r="F38" s="2588"/>
      <c r="G38" s="2588"/>
    </row>
    <row r="39" spans="1:25" ht="18" customHeight="1">
      <c r="A39" s="615" t="s">
        <v>1263</v>
      </c>
      <c r="B39" s="2588"/>
      <c r="C39" s="2588"/>
      <c r="D39" s="2588"/>
      <c r="E39" s="2588"/>
      <c r="F39" s="2588"/>
      <c r="G39" s="2588"/>
    </row>
    <row r="40" spans="1:25" ht="18" customHeight="1">
      <c r="A40" s="615" t="s">
        <v>1264</v>
      </c>
      <c r="B40" s="619"/>
      <c r="C40" s="619"/>
      <c r="D40" s="619"/>
      <c r="E40" s="619"/>
      <c r="F40" s="619"/>
      <c r="G40" s="619"/>
    </row>
    <row r="41" spans="1:25" ht="18" customHeight="1">
      <c r="A41" s="615" t="s">
        <v>1265</v>
      </c>
      <c r="B41" s="2588"/>
      <c r="C41" s="2588"/>
      <c r="D41" s="2588"/>
      <c r="E41" s="2588"/>
      <c r="F41" s="2588"/>
      <c r="G41" s="2588"/>
    </row>
  </sheetData>
  <sheetProtection algorithmName="SHA-512" hashValue="uiED9JVnyy0+Vd7HEHouMdPUWb3IN2q9DayojbNualE1j6B7TVXF1aY5HRo89RlDdJUXAWpFsV6itCu+zF5uhQ==" saltValue="+3J2qMjGXilXN20/eCqAhg==" spinCount="100000" sheet="1" objects="1" scenarios="1"/>
  <mergeCells count="25">
    <mergeCell ref="A21:A22"/>
    <mergeCell ref="B22:B23"/>
    <mergeCell ref="F18:G19"/>
    <mergeCell ref="I18:M18"/>
    <mergeCell ref="C21:C22"/>
    <mergeCell ref="D22:E23"/>
    <mergeCell ref="F22:G23"/>
    <mergeCell ref="I23:M27"/>
    <mergeCell ref="D27:E27"/>
    <mergeCell ref="P23:R24"/>
    <mergeCell ref="P25:R25"/>
    <mergeCell ref="P34:Y36"/>
    <mergeCell ref="I28:M28"/>
    <mergeCell ref="A2:D3"/>
    <mergeCell ref="E2:F2"/>
    <mergeCell ref="P17:R19"/>
    <mergeCell ref="P21:R21"/>
    <mergeCell ref="P22:R22"/>
    <mergeCell ref="J3:K4"/>
    <mergeCell ref="J5:K6"/>
    <mergeCell ref="J10:K12"/>
    <mergeCell ref="J14:K14"/>
    <mergeCell ref="J15:K17"/>
    <mergeCell ref="A18:B19"/>
    <mergeCell ref="C18:E19"/>
  </mergeCells>
  <pageMargins left="0.7" right="0.7" top="0.78740157499999996" bottom="0.78740157499999996"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1"/>
  <sheetViews>
    <sheetView showGridLines="0" zoomScaleNormal="100" workbookViewId="0"/>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0.44140625" style="34" bestFit="1" customWidth="1"/>
    <col min="6" max="6" width="12.554687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9.21875" style="34" customWidth="1"/>
    <col min="17" max="16384" width="9.21875" style="34"/>
  </cols>
  <sheetData>
    <row r="1" spans="1:16" ht="33" customHeight="1">
      <c r="A1" s="1242" t="s">
        <v>1010</v>
      </c>
      <c r="G1" s="1324"/>
      <c r="M1" s="4231" t="s">
        <v>846</v>
      </c>
      <c r="N1" s="4231"/>
      <c r="O1" s="4231"/>
      <c r="P1" s="4231"/>
    </row>
    <row r="2" spans="1:16" ht="18" customHeight="1">
      <c r="A2" s="4420" t="s">
        <v>346</v>
      </c>
      <c r="B2" s="4421"/>
      <c r="C2" s="4421"/>
      <c r="D2" s="4421"/>
      <c r="E2" s="4418" t="s">
        <v>1012</v>
      </c>
      <c r="F2" s="4419"/>
      <c r="G2" s="485" t="s">
        <v>348</v>
      </c>
      <c r="I2" s="1308">
        <f>P15</f>
        <v>6.8063333333333338</v>
      </c>
      <c r="J2" s="1309" t="s">
        <v>812</v>
      </c>
      <c r="K2" s="1310"/>
      <c r="L2" s="619"/>
      <c r="M2" s="3444" t="s">
        <v>845</v>
      </c>
      <c r="N2" s="3444"/>
      <c r="O2" s="3444"/>
      <c r="P2" s="3444"/>
    </row>
    <row r="3" spans="1:16" ht="18" customHeight="1">
      <c r="A3" s="4422"/>
      <c r="B3" s="4423"/>
      <c r="C3" s="4423"/>
      <c r="D3" s="4423"/>
      <c r="E3" s="475">
        <f>I7</f>
        <v>6.8063333333333338</v>
      </c>
      <c r="F3" s="456" t="s">
        <v>330</v>
      </c>
      <c r="G3" s="457">
        <f ca="1">IF(N28="",E3/E13,E3/F13)</f>
        <v>0.16077016159794569</v>
      </c>
      <c r="I3" s="1311"/>
      <c r="J3" s="3788" t="s">
        <v>847</v>
      </c>
      <c r="K3" s="3787"/>
      <c r="M3" s="3444"/>
      <c r="N3" s="3444"/>
      <c r="O3" s="3444"/>
      <c r="P3" s="3444"/>
    </row>
    <row r="4" spans="1:16" ht="15" customHeight="1">
      <c r="A4" s="188" t="s">
        <v>349</v>
      </c>
      <c r="B4" s="14"/>
      <c r="C4" s="14"/>
      <c r="D4" s="14"/>
      <c r="E4" s="14"/>
      <c r="F4" s="417"/>
      <c r="G4" s="458"/>
      <c r="H4" s="216"/>
      <c r="I4" s="428"/>
      <c r="J4" s="3788"/>
      <c r="K4" s="3787"/>
      <c r="M4" s="4450"/>
      <c r="N4" s="4450"/>
      <c r="O4" s="4450"/>
      <c r="P4" s="4450"/>
    </row>
    <row r="5" spans="1:16" ht="15" customHeight="1">
      <c r="A5" s="459"/>
      <c r="B5" s="460" t="s">
        <v>350</v>
      </c>
      <c r="C5" s="460"/>
      <c r="D5" s="1679" t="s">
        <v>1005</v>
      </c>
      <c r="E5" s="461">
        <f>I9</f>
        <v>35</v>
      </c>
      <c r="F5" s="462" t="s">
        <v>351</v>
      </c>
      <c r="G5" s="458"/>
      <c r="I5" s="1311"/>
      <c r="J5" s="3788" t="s">
        <v>848</v>
      </c>
      <c r="K5" s="3787"/>
      <c r="M5" s="655" t="s">
        <v>362</v>
      </c>
      <c r="N5" s="656"/>
      <c r="O5" s="656" t="s">
        <v>478</v>
      </c>
      <c r="P5" s="569"/>
    </row>
    <row r="6" spans="1:16" ht="15" customHeight="1">
      <c r="A6" s="463" t="s">
        <v>220</v>
      </c>
      <c r="B6" s="595" t="s">
        <v>353</v>
      </c>
      <c r="C6" s="464">
        <f ca="1">IF(J23="",'28 PK pro Minute'!G17,K23)</f>
        <v>0.55254649655756016</v>
      </c>
      <c r="D6" s="1680">
        <f>D10</f>
        <v>0.7</v>
      </c>
      <c r="E6" s="465">
        <f ca="1">C6*E5</f>
        <v>19.339127379514604</v>
      </c>
      <c r="F6" s="466" t="str">
        <f>F3</f>
        <v>€</v>
      </c>
      <c r="G6" s="457">
        <f ca="1">IF(N28="",E6/E13,E6/F13)</f>
        <v>0.45680316871068399</v>
      </c>
      <c r="I6" s="428"/>
      <c r="J6" s="3788"/>
      <c r="K6" s="3787"/>
      <c r="M6" s="173" t="s">
        <v>476</v>
      </c>
      <c r="N6" s="57" t="s">
        <v>481</v>
      </c>
      <c r="O6" s="36" t="s">
        <v>477</v>
      </c>
      <c r="P6" s="659" t="s">
        <v>330</v>
      </c>
    </row>
    <row r="7" spans="1:16" ht="15">
      <c r="A7" s="467" t="s">
        <v>354</v>
      </c>
      <c r="B7" s="468"/>
      <c r="C7" s="468"/>
      <c r="D7" s="468"/>
      <c r="E7" s="469">
        <f ca="1">SUM(E6,E3)</f>
        <v>26.145460712847939</v>
      </c>
      <c r="F7" s="470" t="str">
        <f>F6</f>
        <v>€</v>
      </c>
      <c r="G7" s="458"/>
      <c r="I7" s="1312">
        <f>IF(I3="",SUM(I2+I5),SUM(I3,I5))</f>
        <v>6.8063333333333338</v>
      </c>
      <c r="J7" s="534" t="s">
        <v>849</v>
      </c>
      <c r="K7" s="618"/>
      <c r="M7" s="654">
        <v>90</v>
      </c>
      <c r="N7" s="509">
        <v>8.9</v>
      </c>
      <c r="O7" s="508">
        <v>60</v>
      </c>
      <c r="P7" s="570">
        <f>IF(M7="",0,N7/M7*O7)</f>
        <v>5.9333333333333336</v>
      </c>
    </row>
    <row r="8" spans="1:16" ht="15" customHeight="1">
      <c r="A8" s="187" t="s">
        <v>355</v>
      </c>
      <c r="B8" s="2"/>
      <c r="C8" s="2"/>
      <c r="D8" s="2"/>
      <c r="E8" s="2"/>
      <c r="F8" s="417"/>
      <c r="G8" s="458"/>
      <c r="M8" s="658" t="s">
        <v>363</v>
      </c>
      <c r="N8" s="657"/>
      <c r="O8" s="656" t="s">
        <v>478</v>
      </c>
      <c r="P8" s="572"/>
    </row>
    <row r="9" spans="1:16" ht="15">
      <c r="A9" s="187"/>
      <c r="B9" s="460" t="s">
        <v>350</v>
      </c>
      <c r="C9" s="460"/>
      <c r="D9" s="1679" t="s">
        <v>1005</v>
      </c>
      <c r="E9" s="14">
        <f>E5</f>
        <v>35</v>
      </c>
      <c r="F9" s="462" t="s">
        <v>351</v>
      </c>
      <c r="G9" s="458"/>
      <c r="I9" s="1313">
        <v>35</v>
      </c>
      <c r="J9" s="1314" t="s">
        <v>352</v>
      </c>
      <c r="K9" s="616"/>
      <c r="M9" s="173" t="s">
        <v>476</v>
      </c>
      <c r="N9" s="657" t="s">
        <v>482</v>
      </c>
      <c r="O9" s="36" t="s">
        <v>477</v>
      </c>
      <c r="P9" s="617"/>
    </row>
    <row r="10" spans="1:16" ht="15" customHeight="1">
      <c r="A10" s="463" t="s">
        <v>220</v>
      </c>
      <c r="B10" s="476" t="s">
        <v>356</v>
      </c>
      <c r="C10" s="464">
        <f ca="1">IF(J21="",'29 GK pro Minute'!G12,M21)</f>
        <v>0.33</v>
      </c>
      <c r="D10" s="1680">
        <f>IF(J21="",J20,J21)</f>
        <v>0.7</v>
      </c>
      <c r="E10" s="465">
        <f ca="1">E9*C10</f>
        <v>11.55</v>
      </c>
      <c r="F10" s="466" t="str">
        <f>F7</f>
        <v>€</v>
      </c>
      <c r="G10" s="457">
        <f ca="1">IF(N28="",E10/E13,E10/F13)</f>
        <v>0.27281875211170081</v>
      </c>
      <c r="I10" s="428"/>
      <c r="J10" s="3788" t="s">
        <v>1151</v>
      </c>
      <c r="K10" s="3787"/>
      <c r="M10" s="654">
        <v>1000</v>
      </c>
      <c r="N10" s="509">
        <v>9.6999999999999993</v>
      </c>
      <c r="O10" s="508">
        <v>90</v>
      </c>
      <c r="P10" s="570">
        <f>IF(M10="",0,N10/M10*O10)</f>
        <v>0.87299999999999989</v>
      </c>
    </row>
    <row r="11" spans="1:16" ht="15">
      <c r="A11" s="467" t="s">
        <v>357</v>
      </c>
      <c r="B11" s="471"/>
      <c r="C11" s="471"/>
      <c r="D11" s="471"/>
      <c r="E11" s="3109">
        <f ca="1">SUM(E7,E10)</f>
        <v>37.69546071284794</v>
      </c>
      <c r="F11" s="3119" t="str">
        <f>IF(N28="","",E11)</f>
        <v/>
      </c>
      <c r="G11" s="457">
        <f ca="1">IF(N$28="",E11/E$13,F11/F$13)</f>
        <v>0.89039208242033052</v>
      </c>
      <c r="I11" s="428"/>
      <c r="J11" s="3788"/>
      <c r="K11" s="3787"/>
      <c r="M11" s="571"/>
      <c r="N11" s="497"/>
      <c r="O11" s="497"/>
      <c r="P11" s="573">
        <f>SUM(P7:P10)</f>
        <v>6.8063333333333338</v>
      </c>
    </row>
    <row r="12" spans="1:16" ht="15">
      <c r="A12" s="472" t="s">
        <v>358</v>
      </c>
      <c r="B12" s="151"/>
      <c r="C12" s="473">
        <f>IF(L17="",I14,"")</f>
        <v>0.10960791757966955</v>
      </c>
      <c r="D12" s="3110" t="str">
        <f>IF(L17="","",I14)</f>
        <v/>
      </c>
      <c r="E12" s="474">
        <f ca="1">IF(C12="","",(E11/(100%-C12)*C12))</f>
        <v>4.6403388265878958</v>
      </c>
      <c r="F12" s="3120" t="str">
        <f>IF(N28="","",(F11/(100%-D12)*D12))</f>
        <v/>
      </c>
      <c r="G12" s="457">
        <f ca="1">IF(N$28="",E12/E$13,F12/F$13)</f>
        <v>0.10960791757966958</v>
      </c>
      <c r="I12" s="42"/>
      <c r="J12" s="4438"/>
      <c r="K12" s="4439"/>
      <c r="M12" s="574"/>
      <c r="N12" s="497" t="s">
        <v>479</v>
      </c>
      <c r="O12" s="497"/>
      <c r="P12" s="570">
        <f>P11*M12</f>
        <v>0</v>
      </c>
    </row>
    <row r="13" spans="1:16" ht="15">
      <c r="A13" s="467" t="s">
        <v>360</v>
      </c>
      <c r="B13" s="471"/>
      <c r="C13" s="471"/>
      <c r="D13" s="471"/>
      <c r="E13" s="469">
        <f ca="1">IF(C12="","",SUM(E11:E12))</f>
        <v>42.335799539435833</v>
      </c>
      <c r="F13" s="3119" t="str">
        <f>IF(N28="","",SUM(F11:F12))</f>
        <v/>
      </c>
      <c r="G13" s="457">
        <f ca="1">SUM(G11:G12)</f>
        <v>1</v>
      </c>
      <c r="M13" s="571"/>
      <c r="N13" s="497"/>
      <c r="O13" s="497"/>
      <c r="P13" s="573">
        <f>P11-P12</f>
        <v>6.8063333333333338</v>
      </c>
    </row>
    <row r="14" spans="1:16" ht="15">
      <c r="A14" s="472" t="s">
        <v>257</v>
      </c>
      <c r="B14" s="364">
        <f>'29 GK pro Minute'!I1</f>
        <v>0.19</v>
      </c>
      <c r="C14" s="19"/>
      <c r="D14" s="19"/>
      <c r="E14" s="474">
        <f ca="1">IF(C12="","",E13*B14)</f>
        <v>8.0438019124928086</v>
      </c>
      <c r="F14" s="3120" t="str">
        <f>IF(N28="","",F13*B14)</f>
        <v/>
      </c>
      <c r="G14" s="457">
        <f>B14</f>
        <v>0.19</v>
      </c>
      <c r="I14" s="3117">
        <f>IF(I16=0,M16,I16)</f>
        <v>0.10960791757966955</v>
      </c>
      <c r="J14" s="4442" t="str">
        <f>IF(L17="","berechneter Gewinnaufschlag","neu berechneter Gewinnaufschlag")</f>
        <v>berechneter Gewinnaufschlag</v>
      </c>
      <c r="K14" s="4442"/>
      <c r="L14" s="142"/>
      <c r="M14" s="574"/>
      <c r="N14" s="497" t="s">
        <v>480</v>
      </c>
      <c r="O14" s="497"/>
      <c r="P14" s="570">
        <f>P13*M14</f>
        <v>0</v>
      </c>
    </row>
    <row r="15" spans="1:16" ht="15" customHeight="1">
      <c r="A15" s="3144" t="s">
        <v>1389</v>
      </c>
      <c r="B15" s="1240"/>
      <c r="C15" s="1240"/>
      <c r="D15" s="1240"/>
      <c r="E15" s="1241">
        <f ca="1">IF(C12="","",SUM(E13:E14))</f>
        <v>50.379601451928643</v>
      </c>
      <c r="F15" s="3121" t="str">
        <f>IF(N28="","",SUM(F13:F14))</f>
        <v/>
      </c>
      <c r="G15" s="457">
        <f ca="1">G13+G14</f>
        <v>1.19</v>
      </c>
      <c r="J15" s="3444" t="s">
        <v>850</v>
      </c>
      <c r="K15" s="3444"/>
      <c r="M15" s="575"/>
      <c r="N15" s="576"/>
      <c r="O15" s="660" t="s">
        <v>330</v>
      </c>
      <c r="P15" s="577">
        <f>P13-P14</f>
        <v>6.8063333333333338</v>
      </c>
    </row>
    <row r="16" spans="1:16" ht="15" customHeight="1" thickBot="1">
      <c r="A16" s="1243"/>
      <c r="B16" s="3114" t="s">
        <v>351</v>
      </c>
      <c r="C16" s="3115">
        <f>E5</f>
        <v>35</v>
      </c>
      <c r="D16" s="3116" t="str">
        <f>IF(C12="","","pro Minute")</f>
        <v>pro Minute</v>
      </c>
      <c r="E16" s="3145">
        <f ca="1">IF(C12="","",E15/C16)</f>
        <v>1.4394171843408183</v>
      </c>
      <c r="F16" s="3122" t="str">
        <f>IF(N28="","",F15/C16)</f>
        <v/>
      </c>
      <c r="G16" s="3111" t="str">
        <f>IF(N28="","","pro Minute")</f>
        <v/>
      </c>
      <c r="I16" s="680"/>
      <c r="J16" s="3444"/>
      <c r="K16" s="3444"/>
      <c r="L16" s="615">
        <f>'27 Gewinnaufschlag'!$BP$60/100</f>
        <v>0.10960791757966955</v>
      </c>
      <c r="M16" s="615">
        <f>IF(L17="",L16,L17)</f>
        <v>0.10960791757966955</v>
      </c>
    </row>
    <row r="17" spans="1:21" ht="16.2" thickBot="1">
      <c r="C17" s="3113"/>
      <c r="D17" s="3113" t="str">
        <f>IF(K21="","","geänderte Auslastung")</f>
        <v/>
      </c>
      <c r="E17" s="3125" t="str">
        <f>IF(J21="","",J21)</f>
        <v/>
      </c>
      <c r="F17" s="2456"/>
      <c r="J17" s="4450"/>
      <c r="K17" s="4450"/>
      <c r="L17" s="615" t="str">
        <f>IF('27 Gewinnaufschlag'!N2="","",'27 Gewinnaufschlag'!AD60/100)</f>
        <v/>
      </c>
      <c r="M17" s="615"/>
    </row>
    <row r="18" spans="1:21" ht="17.25" customHeight="1">
      <c r="A18" s="4426" t="s">
        <v>1391</v>
      </c>
      <c r="B18" s="4427"/>
      <c r="C18" s="4430" t="s">
        <v>1390</v>
      </c>
      <c r="D18" s="4430"/>
      <c r="E18" s="4430"/>
      <c r="F18" s="4430" t="s">
        <v>1386</v>
      </c>
      <c r="G18" s="4434"/>
      <c r="I18" s="3373" t="s">
        <v>1382</v>
      </c>
      <c r="J18" s="3374"/>
      <c r="K18" s="3374"/>
      <c r="L18" s="3374"/>
      <c r="M18" s="4447"/>
    </row>
    <row r="19" spans="1:21" s="142" customFormat="1" ht="17.25" customHeight="1">
      <c r="A19" s="4428"/>
      <c r="B19" s="4429"/>
      <c r="C19" s="4431"/>
      <c r="D19" s="4431"/>
      <c r="E19" s="4431"/>
      <c r="F19" s="4431"/>
      <c r="G19" s="4432"/>
      <c r="I19" s="428"/>
      <c r="J19" s="34"/>
      <c r="K19" s="365" t="s">
        <v>1006</v>
      </c>
      <c r="L19" s="34"/>
      <c r="M19" s="617" t="s">
        <v>1007</v>
      </c>
    </row>
    <row r="20" spans="1:21" ht="18" customHeight="1">
      <c r="A20" s="2508"/>
      <c r="B20" s="3127"/>
      <c r="C20" s="3108"/>
      <c r="D20" s="3146">
        <f ca="1">IF(F15="",E15,F15)</f>
        <v>50.379601451928643</v>
      </c>
      <c r="F20" s="3126" t="str">
        <f>IF(B20="","",((D20/B20*100)-100)/100)</f>
        <v/>
      </c>
      <c r="G20" s="610"/>
      <c r="I20" s="428" t="s">
        <v>1005</v>
      </c>
      <c r="J20" s="364">
        <f>'28 PK pro Minute'!G22</f>
        <v>0.7</v>
      </c>
      <c r="K20" s="1677">
        <f ca="1">'28 PK pro Minute'!G17</f>
        <v>0.55254649655756016</v>
      </c>
      <c r="L20" s="76" t="s">
        <v>330</v>
      </c>
      <c r="M20" s="1695">
        <f ca="1">'29 GK pro Minute'!G12</f>
        <v>0.33</v>
      </c>
    </row>
    <row r="21" spans="1:21" ht="18" customHeight="1">
      <c r="A21" s="4436" t="s">
        <v>1413</v>
      </c>
      <c r="B21" s="1165"/>
      <c r="C21" s="3403"/>
      <c r="D21" s="1165"/>
      <c r="E21" s="1165"/>
      <c r="F21" s="1165"/>
      <c r="G21" s="610"/>
      <c r="I21" s="1320" t="s">
        <v>874</v>
      </c>
      <c r="J21" s="1678"/>
      <c r="K21" s="1677" t="str">
        <f>IF(J21="","",K20/J21*J20)</f>
        <v/>
      </c>
      <c r="L21" s="197" t="s">
        <v>330</v>
      </c>
      <c r="M21" s="1695" t="str">
        <f>IF(J21="","",M20/J21*J20)</f>
        <v/>
      </c>
    </row>
    <row r="22" spans="1:21" ht="18" customHeight="1">
      <c r="A22" s="4436"/>
      <c r="B22" s="4435" t="str">
        <f>IF(B24="","Geben Sie Ihren zukünftigen Preis ein","Mein Preis in Zukunft")</f>
        <v>Geben Sie Ihren zukünftigen Preis ein</v>
      </c>
      <c r="C22" s="3403"/>
      <c r="D22" s="4433" t="s">
        <v>1392</v>
      </c>
      <c r="E22" s="4433"/>
      <c r="F22" s="4431" t="s">
        <v>1387</v>
      </c>
      <c r="G22" s="4432"/>
    </row>
    <row r="23" spans="1:21" ht="18" customHeight="1">
      <c r="A23" s="3231"/>
      <c r="B23" s="4435"/>
      <c r="C23" s="1165"/>
      <c r="D23" s="4433"/>
      <c r="E23" s="4433"/>
      <c r="F23" s="4431"/>
      <c r="G23" s="4432"/>
      <c r="I23" s="3941" t="str">
        <f>IF(N28="","",IF(N28&gt;0,N23,IF(N28&lt;0,N25)))</f>
        <v/>
      </c>
      <c r="J23" s="3941"/>
      <c r="K23" s="3941"/>
      <c r="L23" s="3941"/>
      <c r="M23" s="3941"/>
      <c r="N23" s="615" t="s">
        <v>1383</v>
      </c>
    </row>
    <row r="24" spans="1:21" ht="14.55" customHeight="1">
      <c r="A24" s="2508"/>
      <c r="B24" s="3127"/>
      <c r="D24" s="3125" t="str">
        <f>IF(B24="","",((B24/D20*100)-100)/100)</f>
        <v/>
      </c>
      <c r="F24" s="3124">
        <f>B20</f>
        <v>0</v>
      </c>
      <c r="G24" s="3224" t="str">
        <f>IF(B20="","",((B24/B20*100)-100)/100)</f>
        <v/>
      </c>
      <c r="I24" s="3941"/>
      <c r="J24" s="3941"/>
      <c r="K24" s="3941"/>
      <c r="L24" s="3941"/>
      <c r="M24" s="3941"/>
      <c r="N24" s="615"/>
    </row>
    <row r="25" spans="1:21" ht="18" customHeight="1">
      <c r="A25" s="2508"/>
      <c r="G25" s="610"/>
      <c r="I25" s="3941"/>
      <c r="J25" s="3941"/>
      <c r="K25" s="3941"/>
      <c r="L25" s="3941"/>
      <c r="M25" s="3941"/>
      <c r="N25" s="615" t="s">
        <v>1384</v>
      </c>
      <c r="P25" s="34" t="s">
        <v>471</v>
      </c>
      <c r="Q25" s="34" t="s">
        <v>35</v>
      </c>
      <c r="R25" s="34" t="s">
        <v>342</v>
      </c>
      <c r="S25" s="34" t="s">
        <v>472</v>
      </c>
      <c r="T25" s="34" t="s">
        <v>473</v>
      </c>
    </row>
    <row r="26" spans="1:21" ht="18" customHeight="1">
      <c r="A26" s="2508"/>
      <c r="C26" s="3143" t="s">
        <v>1388</v>
      </c>
      <c r="D26" s="3129"/>
      <c r="E26" s="3129"/>
      <c r="F26" s="3129"/>
      <c r="G26" s="3225"/>
      <c r="I26" s="3941"/>
      <c r="J26" s="3941"/>
      <c r="K26" s="3941"/>
      <c r="L26" s="3941"/>
      <c r="M26" s="3941"/>
      <c r="P26" s="1698">
        <f>E3</f>
        <v>6.8063333333333338</v>
      </c>
      <c r="Q26" s="1698">
        <f ca="1">E6</f>
        <v>19.339127379514604</v>
      </c>
      <c r="R26" s="1698">
        <f ca="1">E10</f>
        <v>11.55</v>
      </c>
      <c r="S26" s="1698">
        <f ca="1">IF(F12="",E12,F12)</f>
        <v>4.6403388265878958</v>
      </c>
      <c r="T26" s="1698">
        <f ca="1">IF(F14="",E14,F14)</f>
        <v>8.0438019124928086</v>
      </c>
    </row>
    <row r="27" spans="1:21" ht="18" customHeight="1">
      <c r="A27" s="2508"/>
      <c r="C27" s="3131"/>
      <c r="D27" s="4425" t="s">
        <v>1385</v>
      </c>
      <c r="E27" s="4425"/>
      <c r="F27" s="3132">
        <f>B24</f>
        <v>0</v>
      </c>
      <c r="G27" s="3226"/>
      <c r="I27" s="3941"/>
      <c r="J27" s="3941"/>
      <c r="K27" s="3941"/>
      <c r="L27" s="3941"/>
      <c r="M27" s="3941"/>
    </row>
    <row r="28" spans="1:21"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21" ht="18" customHeight="1">
      <c r="A29" s="2508"/>
      <c r="C29" s="3131"/>
      <c r="D29" s="3136" t="str">
        <f>IF(E28&gt;0,"um den neu kalkulierten Umsatz zu erwirtschaften","und der Umsatz blieb gleich")</f>
        <v>um den neu kalkulierten Umsatz zu erwirtschaften</v>
      </c>
      <c r="E29" s="3137"/>
      <c r="F29" s="3138"/>
      <c r="G29" s="3226"/>
    </row>
    <row r="30" spans="1:21" ht="18" customHeight="1" thickBot="1">
      <c r="A30" s="2509"/>
      <c r="B30" s="774"/>
      <c r="C30" s="3227"/>
      <c r="D30" s="3228"/>
      <c r="E30" s="3229"/>
      <c r="F30" s="3229"/>
      <c r="G30" s="3230"/>
      <c r="R30" s="3147" t="s">
        <v>851</v>
      </c>
      <c r="S30" s="775"/>
      <c r="T30" s="3148"/>
      <c r="U30" s="3149"/>
    </row>
    <row r="31" spans="1:21" ht="18" customHeight="1">
      <c r="R31" s="4451" t="s">
        <v>860</v>
      </c>
      <c r="S31" s="4452"/>
      <c r="T31" s="4452"/>
      <c r="U31" s="3150">
        <v>1</v>
      </c>
    </row>
    <row r="32" spans="1:21" ht="18" customHeight="1">
      <c r="R32" s="4453" t="s">
        <v>856</v>
      </c>
      <c r="S32" s="4454"/>
      <c r="T32" s="4454"/>
      <c r="U32" s="3151">
        <f>I14</f>
        <v>0.10960791757966955</v>
      </c>
    </row>
    <row r="33" spans="1:25" ht="18" customHeight="1">
      <c r="R33" s="4451" t="s">
        <v>857</v>
      </c>
      <c r="S33" s="4452"/>
      <c r="T33" s="4452"/>
      <c r="U33" s="3151">
        <f>U31-U32</f>
        <v>0.89039208242033041</v>
      </c>
    </row>
    <row r="34" spans="1:25" ht="18" customHeight="1">
      <c r="R34" s="4451"/>
      <c r="S34" s="4452"/>
      <c r="T34" s="4452"/>
      <c r="U34" s="3152"/>
      <c r="V34" s="3112"/>
      <c r="W34" s="3112"/>
      <c r="X34" s="3112"/>
      <c r="Y34" s="3112"/>
    </row>
    <row r="35" spans="1:25" ht="18" customHeight="1">
      <c r="R35" s="4448" t="s">
        <v>858</v>
      </c>
      <c r="S35" s="4449"/>
      <c r="T35" s="4449"/>
      <c r="U35" s="3153">
        <f>U33</f>
        <v>0.89039208242033041</v>
      </c>
      <c r="V35" s="3112"/>
      <c r="W35" s="3112"/>
      <c r="X35" s="3112"/>
      <c r="Y35" s="3112"/>
    </row>
    <row r="36" spans="1:25" ht="18" customHeight="1">
      <c r="R36" s="3154" t="s">
        <v>859</v>
      </c>
      <c r="S36" s="3155">
        <f>U32</f>
        <v>0.10960791757966955</v>
      </c>
      <c r="T36" s="3156" t="s">
        <v>48</v>
      </c>
      <c r="U36" s="3157">
        <f ca="1">E11/U33*U32</f>
        <v>4.6403388265878958</v>
      </c>
      <c r="V36" s="3112"/>
      <c r="W36" s="3112"/>
      <c r="X36" s="3112"/>
      <c r="Y36" s="3112"/>
    </row>
    <row r="37" spans="1:25" ht="18" customHeight="1">
      <c r="B37" s="2588"/>
      <c r="C37" s="2588"/>
      <c r="D37" s="2588"/>
      <c r="E37" s="2588"/>
      <c r="F37" s="2588"/>
      <c r="G37" s="2588"/>
      <c r="P37" s="615" t="s">
        <v>1008</v>
      </c>
    </row>
    <row r="38" spans="1:25" ht="18" customHeight="1">
      <c r="A38" s="2588"/>
      <c r="B38" s="2588"/>
      <c r="C38" s="2588"/>
      <c r="D38" s="2588"/>
      <c r="E38" s="2588"/>
      <c r="F38" s="2588"/>
      <c r="G38" s="2588"/>
    </row>
    <row r="39" spans="1:25" ht="18" customHeight="1">
      <c r="A39" s="615" t="s">
        <v>1263</v>
      </c>
      <c r="B39" s="2588"/>
      <c r="C39" s="2588"/>
      <c r="D39" s="2588"/>
      <c r="E39" s="2588"/>
      <c r="F39" s="2588"/>
      <c r="G39" s="2588"/>
    </row>
    <row r="40" spans="1:25" ht="18" customHeight="1">
      <c r="A40" s="615" t="s">
        <v>1264</v>
      </c>
      <c r="B40" s="619"/>
      <c r="C40" s="619"/>
      <c r="D40" s="619"/>
      <c r="E40" s="619"/>
      <c r="F40" s="619"/>
      <c r="G40" s="619"/>
    </row>
    <row r="41" spans="1:25" ht="18" customHeight="1">
      <c r="A41" s="615" t="s">
        <v>1265</v>
      </c>
      <c r="B41" s="2588"/>
      <c r="C41" s="2588"/>
      <c r="D41" s="2588"/>
      <c r="E41" s="2588"/>
      <c r="F41" s="2588"/>
      <c r="G41" s="2588"/>
    </row>
  </sheetData>
  <sheetProtection algorithmName="SHA-512" hashValue="f4e21/2EGDuSj4ZFh+2BjE093Gepz7tmvxTBPGja5bdNdGfUzFrcx3xJlJmy47cVsGobx/bw7O5s0waWA4vzhg==" saltValue="U6Yiu4gFnUSxEYUZII/1zQ==" spinCount="100000" sheet="1" objects="1" scenarios="1"/>
  <mergeCells count="25">
    <mergeCell ref="A2:D3"/>
    <mergeCell ref="E2:F2"/>
    <mergeCell ref="J3:K4"/>
    <mergeCell ref="J5:K6"/>
    <mergeCell ref="A18:B19"/>
    <mergeCell ref="C18:E19"/>
    <mergeCell ref="F18:G19"/>
    <mergeCell ref="J15:K17"/>
    <mergeCell ref="I18:M18"/>
    <mergeCell ref="J10:K12"/>
    <mergeCell ref="J14:K14"/>
    <mergeCell ref="I28:M28"/>
    <mergeCell ref="R35:T35"/>
    <mergeCell ref="M1:P1"/>
    <mergeCell ref="M2:P4"/>
    <mergeCell ref="I23:M27"/>
    <mergeCell ref="R31:T31"/>
    <mergeCell ref="R32:T32"/>
    <mergeCell ref="R33:T34"/>
    <mergeCell ref="C21:C22"/>
    <mergeCell ref="D22:E23"/>
    <mergeCell ref="F22:G23"/>
    <mergeCell ref="D27:E27"/>
    <mergeCell ref="A21:A22"/>
    <mergeCell ref="B22:B23"/>
  </mergeCells>
  <pageMargins left="0.7" right="0.7" top="0.78740157499999996" bottom="0.78740157499999996"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60"/>
  <sheetViews>
    <sheetView showGridLines="0" zoomScaleNormal="100" workbookViewId="0"/>
  </sheetViews>
  <sheetFormatPr baseColWidth="10" defaultColWidth="9.21875" defaultRowHeight="13.2"/>
  <cols>
    <col min="1" max="1" width="4.5546875" style="34" customWidth="1"/>
    <col min="2" max="3" width="7" style="34" customWidth="1"/>
    <col min="4" max="15" width="7.21875" style="34" customWidth="1"/>
    <col min="16" max="16" width="7.44140625" style="34" customWidth="1"/>
    <col min="17" max="17" width="9.5546875" style="34" customWidth="1"/>
    <col min="18" max="20" width="8" style="34" customWidth="1"/>
    <col min="21" max="22" width="9.21875" style="34"/>
    <col min="23" max="24" width="12" style="34" bestFit="1" customWidth="1"/>
    <col min="25" max="25" width="9.21875" style="34"/>
    <col min="26" max="26" width="12" style="34" bestFit="1" customWidth="1"/>
    <col min="27" max="38" width="9.21875" style="34"/>
    <col min="39" max="39" width="9.5546875" style="34" bestFit="1" customWidth="1"/>
    <col min="40" max="16384" width="9.21875" style="34"/>
  </cols>
  <sheetData>
    <row r="1" spans="1:57" ht="20.25" customHeight="1">
      <c r="A1" s="2891"/>
      <c r="B1" s="3390" t="str">
        <f>IF('2 Unternehmensdaten'!F5="nein","Eingaben für Inhaber/innen","")</f>
        <v>Eingaben für Inhaber/innen</v>
      </c>
      <c r="C1" s="3390"/>
      <c r="D1" s="3390"/>
      <c r="E1" s="3390"/>
      <c r="F1" s="3390"/>
      <c r="G1" s="3390"/>
      <c r="H1" s="3390"/>
      <c r="I1" s="3390"/>
      <c r="J1" s="3390"/>
      <c r="K1" s="3390"/>
      <c r="L1" s="3390"/>
      <c r="M1" s="3390"/>
      <c r="N1" s="3390"/>
      <c r="R1" s="34" t="s">
        <v>446</v>
      </c>
      <c r="T1" s="581">
        <v>45300</v>
      </c>
      <c r="U1" s="578">
        <f ca="1">TODAY()</f>
        <v>44939</v>
      </c>
      <c r="V1" s="579"/>
    </row>
    <row r="2" spans="1:57" ht="15.75" customHeight="1">
      <c r="A2" s="2891"/>
      <c r="B2" s="3390"/>
      <c r="C2" s="3390"/>
      <c r="D2" s="3390"/>
      <c r="E2" s="3390"/>
      <c r="F2" s="3390"/>
      <c r="G2" s="3390"/>
      <c r="H2" s="3390"/>
      <c r="I2" s="3390"/>
      <c r="J2" s="3390"/>
      <c r="K2" s="3390"/>
      <c r="L2" s="3390"/>
      <c r="M2" s="3390"/>
      <c r="N2" s="3390"/>
      <c r="O2" s="3371" t="str">
        <f>IF('2 Unternehmensdaten'!F5="ja","!","")</f>
        <v/>
      </c>
      <c r="U2" s="580">
        <f ca="1">Start!M16</f>
        <v>45300</v>
      </c>
      <c r="V2" s="579" t="str">
        <f ca="1">IF(U2=T1,"ok","falsch")</f>
        <v>ok</v>
      </c>
    </row>
    <row r="3" spans="1:57" ht="24" customHeight="1">
      <c r="A3" s="615"/>
      <c r="C3" s="3370" t="str">
        <f>IF('2 Unternehmensdaten'!F5="ja","Da Sie für eine GmbH planen, brauchen Sie ab hier keine Eingaben für die Chefarbeit machen. Der Chef wird als Mitarbeiter geführt !!","bis drei Personen können Sie hier untereinander eintragen")</f>
        <v>bis drei Personen können Sie hier untereinander eintragen</v>
      </c>
      <c r="D3" s="3370"/>
      <c r="E3" s="3370"/>
      <c r="F3" s="3370"/>
      <c r="G3" s="3370"/>
      <c r="H3" s="3370"/>
      <c r="I3" s="3370"/>
      <c r="J3" s="3370"/>
      <c r="K3" s="3370"/>
      <c r="L3" s="3370"/>
      <c r="M3" s="3370"/>
      <c r="N3" s="3370"/>
      <c r="O3" s="3371"/>
      <c r="Q3" s="615"/>
      <c r="R3" s="615"/>
      <c r="S3" s="615"/>
      <c r="T3" s="615"/>
      <c r="U3" s="831" t="str">
        <f ca="1">IF(T1&gt;U1,"gut","")</f>
        <v>gut</v>
      </c>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row>
    <row r="4" spans="1:57" ht="22.5" customHeight="1">
      <c r="A4" s="615"/>
      <c r="C4" s="3370"/>
      <c r="D4" s="3370"/>
      <c r="E4" s="3370"/>
      <c r="F4" s="3370"/>
      <c r="G4" s="3370"/>
      <c r="H4" s="3370"/>
      <c r="I4" s="3370"/>
      <c r="J4" s="3370"/>
      <c r="K4" s="3370"/>
      <c r="L4" s="3370"/>
      <c r="M4" s="3370"/>
      <c r="N4" s="3370"/>
      <c r="O4" s="3371"/>
      <c r="Q4" s="615"/>
      <c r="R4" s="615"/>
      <c r="S4" s="615"/>
      <c r="AR4" s="615"/>
      <c r="AS4" s="615"/>
      <c r="AT4" s="615"/>
      <c r="AU4" s="615"/>
      <c r="AV4" s="615"/>
      <c r="AW4" s="615"/>
      <c r="AX4" s="615"/>
      <c r="AY4" s="615"/>
      <c r="AZ4" s="615"/>
      <c r="BA4" s="615"/>
      <c r="BB4" s="615"/>
      <c r="BC4" s="615"/>
      <c r="BD4" s="615"/>
      <c r="BE4" s="615"/>
    </row>
    <row r="5" spans="1:57" ht="26.25" customHeight="1">
      <c r="A5" s="615"/>
      <c r="B5" s="3401" t="s">
        <v>1255</v>
      </c>
      <c r="C5" s="3377" t="str">
        <f>'2 Unternehmensdaten'!P8</f>
        <v xml:space="preserve">Linda </v>
      </c>
      <c r="D5" s="3378"/>
      <c r="E5" s="3378"/>
      <c r="F5" s="3379"/>
      <c r="G5" s="1165"/>
      <c r="H5" s="3403" t="str">
        <f>IF('2 Unternehmensdaten'!F6="nein","",IF(SUM('2 Unternehmensdaten'!T13:T14)&lt;1,"Bitte tragen Sie auf der Seite zuvor in Zelle P13 oder Zelle P14 bitte ein   ja  ein!",""))</f>
        <v/>
      </c>
      <c r="I5" s="3403"/>
      <c r="J5" s="3403"/>
      <c r="K5" s="3403"/>
      <c r="L5" s="3403"/>
      <c r="M5" s="3403"/>
      <c r="N5" s="615">
        <f>IF('2 Unternehmensdaten'!K8="",0,1)</f>
        <v>1</v>
      </c>
      <c r="O5" s="2652">
        <f>SUM(N5,O26,O44)</f>
        <v>1</v>
      </c>
      <c r="P5" s="2651" t="str">
        <f>IF(O5=1,"Chef eingegeben",IF(O2=2,"Chefs sind eingegeben","Chefs sind eingegeben"))</f>
        <v>Chef eingegeben</v>
      </c>
      <c r="Q5" s="615"/>
      <c r="R5" s="615"/>
      <c r="S5" s="615"/>
      <c r="T5" s="2894"/>
      <c r="AR5" s="615"/>
      <c r="AS5" s="615"/>
      <c r="AT5" s="615"/>
      <c r="AU5" s="615"/>
      <c r="AV5" s="615"/>
      <c r="AW5" s="615"/>
      <c r="AX5" s="615"/>
      <c r="AY5" s="615"/>
      <c r="AZ5" s="615"/>
      <c r="BA5" s="615"/>
      <c r="BB5" s="615"/>
      <c r="BC5" s="615"/>
      <c r="BD5" s="615"/>
      <c r="BE5" s="615"/>
    </row>
    <row r="6" spans="1:57" ht="27" customHeight="1">
      <c r="A6" s="615"/>
      <c r="B6" s="3401"/>
      <c r="C6" s="2630" t="str">
        <f>IF(Start!O20&gt;0,"Solo-Selbstständige geben bitte Ihre Arbeitszeit am Kunden ein","" )</f>
        <v/>
      </c>
      <c r="D6" s="1188"/>
      <c r="E6" s="1188"/>
      <c r="F6" s="1188"/>
      <c r="G6" s="1188"/>
      <c r="H6" s="1188"/>
      <c r="I6" s="1188"/>
      <c r="M6" s="1188"/>
      <c r="N6" s="1188"/>
      <c r="O6" s="2629">
        <f>Q26</f>
        <v>0</v>
      </c>
      <c r="P6" s="142"/>
      <c r="Q6" s="615"/>
      <c r="R6" s="615"/>
      <c r="S6" s="615"/>
      <c r="T6" s="2894"/>
      <c r="AR6" s="615"/>
      <c r="AS6" s="615"/>
      <c r="AT6" s="615"/>
      <c r="AU6" s="615"/>
      <c r="AV6" s="615"/>
      <c r="AW6" s="615"/>
      <c r="AX6" s="615"/>
      <c r="AY6" s="615"/>
      <c r="AZ6" s="615"/>
      <c r="BA6" s="615"/>
      <c r="BB6" s="615"/>
      <c r="BC6" s="615"/>
      <c r="BD6" s="615"/>
      <c r="BE6" s="615"/>
    </row>
    <row r="7" spans="1:57" ht="20.55" customHeight="1">
      <c r="A7" s="615"/>
      <c r="B7" s="3401"/>
      <c r="C7" s="3" t="s">
        <v>314</v>
      </c>
      <c r="L7" s="1187"/>
      <c r="M7" s="1188"/>
      <c r="N7" s="142"/>
      <c r="P7" s="1644"/>
      <c r="Q7" s="267"/>
      <c r="R7" s="267"/>
      <c r="S7" s="267"/>
      <c r="T7" s="2894"/>
      <c r="AR7" s="615"/>
      <c r="AS7" s="615"/>
      <c r="AT7" s="615"/>
      <c r="AU7" s="615"/>
      <c r="AV7" s="615"/>
      <c r="AW7" s="615"/>
      <c r="AX7" s="615"/>
      <c r="AY7" s="615"/>
      <c r="AZ7" s="615"/>
      <c r="BA7" s="615"/>
      <c r="BB7" s="615"/>
      <c r="BC7" s="615"/>
      <c r="BD7" s="615"/>
      <c r="BE7" s="615"/>
    </row>
    <row r="8" spans="1:57" ht="17.100000000000001" customHeight="1">
      <c r="A8" s="615"/>
      <c r="B8" s="3401"/>
      <c r="C8" s="36" t="s">
        <v>434</v>
      </c>
      <c r="P8" s="615"/>
      <c r="Q8" s="615"/>
      <c r="R8" s="615"/>
      <c r="S8" s="615"/>
      <c r="T8" s="2894"/>
      <c r="AR8" s="615"/>
      <c r="AS8" s="615"/>
      <c r="AT8" s="615"/>
      <c r="AU8" s="615"/>
      <c r="AV8" s="615"/>
      <c r="AW8" s="615"/>
      <c r="AX8" s="615"/>
      <c r="AY8" s="615"/>
      <c r="AZ8" s="615"/>
      <c r="BA8" s="615"/>
      <c r="BB8" s="615"/>
      <c r="BC8" s="615"/>
      <c r="BD8" s="615"/>
      <c r="BE8" s="615"/>
    </row>
    <row r="9" spans="1:57" ht="35.4" customHeight="1">
      <c r="A9" s="615"/>
      <c r="B9" s="3401"/>
      <c r="C9" s="3404" t="s">
        <v>1342</v>
      </c>
      <c r="D9" s="3405"/>
      <c r="E9" s="3405"/>
      <c r="F9" s="3405"/>
      <c r="G9" s="3405"/>
      <c r="H9" s="3405"/>
      <c r="I9" s="3405"/>
      <c r="J9" s="3405"/>
      <c r="K9" s="3405"/>
      <c r="L9" s="3405"/>
      <c r="M9" s="3406"/>
      <c r="N9" s="3388" t="str">
        <f>IF(Start!O20&gt;0," Für Solo-Selbstständige:","")</f>
        <v/>
      </c>
      <c r="O9" s="3389"/>
      <c r="P9" s="3389"/>
      <c r="Q9" s="3174"/>
      <c r="R9" s="3365" t="str">
        <f>IF('2 Unternehmensdaten'!F$6="ja"," Für GbR - Chefs:","")</f>
        <v/>
      </c>
      <c r="S9" s="3365"/>
      <c r="T9" s="3366"/>
      <c r="AR9" s="615"/>
      <c r="AS9" s="615"/>
      <c r="AT9" s="615"/>
      <c r="AU9" s="615"/>
      <c r="AV9" s="615"/>
      <c r="AW9" s="615"/>
      <c r="AX9" s="615"/>
      <c r="AY9" s="615"/>
      <c r="AZ9" s="615"/>
      <c r="BA9" s="615"/>
      <c r="BB9" s="615"/>
      <c r="BC9" s="615"/>
      <c r="BD9" s="615"/>
      <c r="BE9" s="615"/>
    </row>
    <row r="10" spans="1:57" ht="12" customHeight="1">
      <c r="A10" s="615"/>
      <c r="B10" s="3401"/>
      <c r="C10" s="3326" t="str">
        <f>IF(Start!O20&gt;0,"","Wir trennen in Arbeit als Friseur/in am Kunden und Arbeit als Manager/in im Büro.")</f>
        <v>Wir trennen in Arbeit als Friseur/in am Kunden und Arbeit als Manager/in im Büro.</v>
      </c>
      <c r="D10" s="3326"/>
      <c r="E10" s="3326"/>
      <c r="F10" s="3326"/>
      <c r="G10" s="3326"/>
      <c r="H10" s="3326"/>
      <c r="I10" s="3326"/>
      <c r="J10" s="3326"/>
      <c r="K10" s="3326"/>
      <c r="L10" s="3326"/>
      <c r="N10" s="3407" t="str">
        <f>IF(Start!O20&gt;0,"Geben Sie unten bitte Ihre geplanten Urlaubs- und eventuelle Krankheitswochen ein","       Hier nichts eingeben                                      .       ↓       ↓      ↓ ")</f>
        <v xml:space="preserve">       Hier nichts eingeben                                      .       ↓       ↓      ↓ </v>
      </c>
      <c r="O10" s="3367"/>
      <c r="P10" s="3367"/>
      <c r="Q10" s="3367" t="str">
        <f>IF('2 Unternehmensdaten'!F$6="ja","Geben Sie unten bitte Ihre geplanten Urlaubs- und eventuelle Krankheitswochen ein","Hier nichts eingeben                                            .     ↓       ↓      ↓ ")</f>
        <v xml:space="preserve">Hier nichts eingeben                                            .     ↓       ↓      ↓ </v>
      </c>
      <c r="R10" s="3367"/>
      <c r="S10" s="3367"/>
      <c r="T10" s="3368"/>
      <c r="AR10" s="615"/>
      <c r="AS10" s="615"/>
      <c r="AT10" s="615"/>
      <c r="AU10" s="615"/>
      <c r="AV10" s="615"/>
      <c r="AW10" s="615"/>
      <c r="AX10" s="615"/>
      <c r="AY10" s="615"/>
      <c r="AZ10" s="615"/>
      <c r="BA10" s="615"/>
      <c r="BB10" s="615"/>
      <c r="BC10" s="615"/>
      <c r="BD10" s="615"/>
      <c r="BE10" s="615"/>
    </row>
    <row r="11" spans="1:57" ht="26.1" customHeight="1">
      <c r="A11" s="615"/>
      <c r="B11" s="3401"/>
      <c r="C11" s="3372"/>
      <c r="D11" s="3372"/>
      <c r="E11" s="3372"/>
      <c r="F11" s="3372"/>
      <c r="G11" s="3372"/>
      <c r="H11" s="3372"/>
      <c r="I11" s="3372"/>
      <c r="J11" s="3372"/>
      <c r="K11" s="3372"/>
      <c r="L11" s="3372"/>
      <c r="N11" s="3407"/>
      <c r="O11" s="3367"/>
      <c r="P11" s="3367"/>
      <c r="Q11" s="3367"/>
      <c r="R11" s="3367"/>
      <c r="S11" s="3367"/>
      <c r="T11" s="3368"/>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5"/>
      <c r="AV11" s="615"/>
      <c r="AW11" s="615"/>
      <c r="AX11" s="615"/>
      <c r="AY11" s="615"/>
      <c r="AZ11" s="615"/>
      <c r="BA11" s="615"/>
      <c r="BB11" s="615"/>
      <c r="BC11" s="615"/>
      <c r="BD11" s="615"/>
      <c r="BE11" s="615"/>
    </row>
    <row r="12" spans="1:57" ht="22.05" customHeight="1">
      <c r="A12" s="615"/>
      <c r="B12" s="3401"/>
      <c r="C12" s="3373" t="str">
        <f>IF(Start!O20&gt;0,"","Unten sind die möglichen Arbeitsmonate mit 1,0 markiert.")</f>
        <v>Unten sind die möglichen Arbeitsmonate mit 1,0 markiert.</v>
      </c>
      <c r="D12" s="3374"/>
      <c r="E12" s="3374"/>
      <c r="F12" s="3374"/>
      <c r="G12" s="3374"/>
      <c r="H12" s="3374"/>
      <c r="I12" s="3374"/>
      <c r="J12" s="3374"/>
      <c r="K12" s="3374"/>
      <c r="L12" s="3374"/>
      <c r="M12" s="3374"/>
      <c r="N12" s="351"/>
      <c r="O12" s="3353"/>
      <c r="P12" s="3353"/>
      <c r="Q12" s="615"/>
      <c r="R12" s="3353"/>
      <c r="S12" s="3353"/>
      <c r="T12" s="753"/>
      <c r="V12" s="615"/>
      <c r="W12" s="615">
        <f>IF('2 Unternehmensdaten'!$D22=W13,1,2)</f>
        <v>2</v>
      </c>
      <c r="X12" s="615">
        <f>IF('2 Unternehmensdaten'!$D22=X13,1,2)</f>
        <v>2</v>
      </c>
      <c r="Y12" s="615">
        <f>IF('2 Unternehmensdaten'!$D22=Y13,1,2)</f>
        <v>2</v>
      </c>
      <c r="Z12" s="615">
        <f>IF('2 Unternehmensdaten'!$D22=Z13,1,2)</f>
        <v>2</v>
      </c>
      <c r="AA12" s="615">
        <f>IF('2 Unternehmensdaten'!$D22=AA13,1,2)</f>
        <v>2</v>
      </c>
      <c r="AB12" s="615">
        <f>IF('2 Unternehmensdaten'!$D22=AB13,1,2)</f>
        <v>2</v>
      </c>
      <c r="AC12" s="615">
        <f>IF('2 Unternehmensdaten'!$D22=AC13,1,2)</f>
        <v>2</v>
      </c>
      <c r="AD12" s="615">
        <f>IF('2 Unternehmensdaten'!$D22=AD13,1,2)</f>
        <v>2</v>
      </c>
      <c r="AE12" s="615">
        <f>IF('2 Unternehmensdaten'!$D22=AE13,1,2)</f>
        <v>2</v>
      </c>
      <c r="AF12" s="615">
        <f>IF('2 Unternehmensdaten'!$D22=AF13,1,2)</f>
        <v>2</v>
      </c>
      <c r="AG12" s="615">
        <f>IF('2 Unternehmensdaten'!$D22=AG13,1,2)</f>
        <v>2</v>
      </c>
      <c r="AH12" s="615">
        <f>IF('2 Unternehmensdaten'!$D22=AH13,1,2)</f>
        <v>2</v>
      </c>
      <c r="AI12" s="615">
        <f>IF('2 Unternehmensdaten'!$D22=AI13,1,2)</f>
        <v>1</v>
      </c>
      <c r="AJ12" s="615">
        <f>IF('2 Unternehmensdaten'!$D22=AJ13,1,2)</f>
        <v>2</v>
      </c>
      <c r="AK12" s="615">
        <f>IF('2 Unternehmensdaten'!$D22=AK13,1,2)</f>
        <v>2</v>
      </c>
      <c r="AL12" s="615">
        <f>IF('2 Unternehmensdaten'!$D22=AL13,1,2)</f>
        <v>2</v>
      </c>
      <c r="AM12" s="615">
        <f>IF('2 Unternehmensdaten'!$D22=AM13,1,2)</f>
        <v>2</v>
      </c>
      <c r="AN12" s="615">
        <f>IF('2 Unternehmensdaten'!$D22=AN13,1,2)</f>
        <v>2</v>
      </c>
      <c r="AO12" s="615">
        <f>IF('2 Unternehmensdaten'!$D22=AO13,1,2)</f>
        <v>2</v>
      </c>
      <c r="AP12" s="615">
        <f>IF('2 Unternehmensdaten'!$D22=AP13,1,2)</f>
        <v>2</v>
      </c>
      <c r="AQ12" s="615">
        <f>IF('2 Unternehmensdaten'!$D22=AQ13,1,2)</f>
        <v>2</v>
      </c>
      <c r="AR12" s="615">
        <f>IF('2 Unternehmensdaten'!$D22=AR13,1,2)</f>
        <v>2</v>
      </c>
      <c r="AS12" s="615">
        <f>IF('2 Unternehmensdaten'!$D22=AS13,1,2)</f>
        <v>2</v>
      </c>
      <c r="AT12" s="615">
        <f>IF('2 Unternehmensdaten'!$D22=AT13,1,2)</f>
        <v>2</v>
      </c>
      <c r="AU12" s="615"/>
      <c r="AX12" s="615"/>
      <c r="AY12" s="615"/>
      <c r="AZ12" s="615"/>
      <c r="BA12" s="615"/>
      <c r="BB12" s="615"/>
      <c r="BC12" s="615"/>
      <c r="BD12" s="615"/>
      <c r="BE12" s="615"/>
    </row>
    <row r="13" spans="1:57" ht="26.1" customHeight="1">
      <c r="A13" s="615"/>
      <c r="B13" s="3401"/>
      <c r="C13" s="3375"/>
      <c r="D13" s="3326"/>
      <c r="E13" s="3326"/>
      <c r="F13" s="3326"/>
      <c r="G13" s="3326"/>
      <c r="H13" s="3326"/>
      <c r="I13" s="3326"/>
      <c r="J13" s="3326"/>
      <c r="K13" s="3326"/>
      <c r="L13" s="3326"/>
      <c r="M13" s="3326"/>
      <c r="N13" s="1697"/>
      <c r="O13" s="3354"/>
      <c r="P13" s="3354"/>
      <c r="Q13" s="3172"/>
      <c r="R13" s="3354"/>
      <c r="S13" s="3354"/>
      <c r="T13" s="3173"/>
      <c r="U13" s="351"/>
      <c r="V13" s="615"/>
      <c r="W13" s="1265">
        <v>44562</v>
      </c>
      <c r="X13" s="1265">
        <v>44593</v>
      </c>
      <c r="Y13" s="1265">
        <v>44621</v>
      </c>
      <c r="Z13" s="1265">
        <v>44652</v>
      </c>
      <c r="AA13" s="1265">
        <v>44682</v>
      </c>
      <c r="AB13" s="1265">
        <v>44713</v>
      </c>
      <c r="AC13" s="1265">
        <v>44743</v>
      </c>
      <c r="AD13" s="1265">
        <v>44774</v>
      </c>
      <c r="AE13" s="1265">
        <v>44805</v>
      </c>
      <c r="AF13" s="1265">
        <v>44835</v>
      </c>
      <c r="AG13" s="1265">
        <v>44866</v>
      </c>
      <c r="AH13" s="1265">
        <v>44896</v>
      </c>
      <c r="AI13" s="1265">
        <v>44927</v>
      </c>
      <c r="AJ13" s="1265">
        <v>44958</v>
      </c>
      <c r="AK13" s="1265">
        <v>44986</v>
      </c>
      <c r="AL13" s="1265">
        <v>45017</v>
      </c>
      <c r="AM13" s="1265">
        <v>45047</v>
      </c>
      <c r="AN13" s="1265">
        <v>45078</v>
      </c>
      <c r="AO13" s="1265">
        <v>45108</v>
      </c>
      <c r="AP13" s="1265">
        <v>45139</v>
      </c>
      <c r="AQ13" s="1265">
        <v>45170</v>
      </c>
      <c r="AR13" s="1265">
        <v>45200</v>
      </c>
      <c r="AS13" s="1265">
        <v>45231</v>
      </c>
      <c r="AT13" s="1265">
        <v>45261</v>
      </c>
      <c r="AU13" s="615"/>
      <c r="AX13" s="615"/>
      <c r="AY13" s="615"/>
      <c r="AZ13" s="615"/>
      <c r="BA13" s="615"/>
      <c r="BB13" s="615"/>
      <c r="BC13" s="615"/>
      <c r="BD13" s="615"/>
      <c r="BE13" s="615"/>
    </row>
    <row r="14" spans="1:57" ht="25.05" customHeight="1">
      <c r="A14" s="615"/>
      <c r="B14" s="3401"/>
      <c r="C14" s="3375" t="str">
        <f>IF(Start!O20&gt;0,"nichts eingeben",P14)</f>
        <v xml:space="preserve">Wenn Sie nur im Büro und nicht an Kunden arbeiten löschen Sie die 1 aus allen Monaten. Wenn Sie durch Krankheit oder aus einem anderen Grund (z.B. Schwangerschaft, Elternzeit, Lockdown) längere Zeit nicht arbeiten können oder wollen, löschen Sie bitte die 1 aus diesen Monaten.  - - - - Damit ist nicht der normale Urlaub gemeint.                           </v>
      </c>
      <c r="D14" s="3326"/>
      <c r="E14" s="3326"/>
      <c r="F14" s="3326"/>
      <c r="G14" s="3326"/>
      <c r="H14" s="3326"/>
      <c r="I14" s="3326"/>
      <c r="J14" s="3326"/>
      <c r="K14" s="3326"/>
      <c r="L14" s="3326"/>
      <c r="M14" s="3326"/>
      <c r="N14" s="3326"/>
      <c r="O14" s="3376"/>
      <c r="P14" s="3175" t="s">
        <v>1280</v>
      </c>
      <c r="Q14" s="400"/>
      <c r="R14" s="3170" t="s">
        <v>1404</v>
      </c>
      <c r="S14" s="3170">
        <f>(52-R12)/4.33</f>
        <v>12.009237875288683</v>
      </c>
      <c r="T14" s="3176"/>
      <c r="U14" s="3397"/>
      <c r="V14" s="3398"/>
      <c r="W14" s="1265">
        <v>44926</v>
      </c>
      <c r="X14" s="1265">
        <v>44957</v>
      </c>
      <c r="Y14" s="1265">
        <v>44985</v>
      </c>
      <c r="Z14" s="1265">
        <v>45016</v>
      </c>
      <c r="AA14" s="1265">
        <v>45046</v>
      </c>
      <c r="AB14" s="1265">
        <v>45077</v>
      </c>
      <c r="AC14" s="1265">
        <v>45107</v>
      </c>
      <c r="AD14" s="1265">
        <v>45138</v>
      </c>
      <c r="AE14" s="1265">
        <v>45169</v>
      </c>
      <c r="AF14" s="1265">
        <v>45199</v>
      </c>
      <c r="AG14" s="1265">
        <v>45230</v>
      </c>
      <c r="AH14" s="1265">
        <v>45260</v>
      </c>
      <c r="AI14" s="1265">
        <v>45291</v>
      </c>
      <c r="AJ14" s="1265">
        <v>45322</v>
      </c>
      <c r="AK14" s="1265">
        <v>45351</v>
      </c>
      <c r="AL14" s="1265">
        <v>45382</v>
      </c>
      <c r="AM14" s="1265">
        <v>45412</v>
      </c>
      <c r="AN14" s="1265">
        <v>45443</v>
      </c>
      <c r="AO14" s="1265">
        <v>45473</v>
      </c>
      <c r="AP14" s="1265">
        <v>45504</v>
      </c>
      <c r="AQ14" s="1265">
        <v>45535</v>
      </c>
      <c r="AR14" s="1265">
        <v>45565</v>
      </c>
      <c r="AS14" s="1265">
        <v>45596</v>
      </c>
      <c r="AT14" s="1265">
        <v>45626</v>
      </c>
      <c r="AU14" s="615"/>
      <c r="AX14" s="615"/>
      <c r="AY14" s="615"/>
      <c r="AZ14" s="615"/>
      <c r="BA14" s="615"/>
      <c r="BB14" s="615"/>
      <c r="BC14" s="615"/>
      <c r="BD14" s="615"/>
      <c r="BE14" s="615"/>
    </row>
    <row r="15" spans="1:57" s="174" customFormat="1" ht="24.6" customHeight="1">
      <c r="A15" s="615"/>
      <c r="B15" s="3401"/>
      <c r="C15" s="3375"/>
      <c r="D15" s="3326"/>
      <c r="E15" s="3326"/>
      <c r="F15" s="3326"/>
      <c r="G15" s="3326"/>
      <c r="H15" s="3326"/>
      <c r="I15" s="3326"/>
      <c r="J15" s="3326"/>
      <c r="K15" s="3326"/>
      <c r="L15" s="3326"/>
      <c r="M15" s="3326"/>
      <c r="N15" s="3326"/>
      <c r="O15" s="3376"/>
      <c r="P15" s="3268" t="str">
        <f>IF(S15="","","Wenn Sie neben der Arbeit am Kunden auch Arbeitszeiten für Managementaufgaben (Büro, Besorgungen) haben, tragen Sie bitte hier die durchschnittlichen Stunden pro Woche ein")</f>
        <v>Wenn Sie neben der Arbeit am Kunden auch Arbeitszeiten für Managementaufgaben (Büro, Besorgungen) haben, tragen Sie bitte hier die durchschnittlichen Stunden pro Woche ein</v>
      </c>
      <c r="Q15" s="3355"/>
      <c r="R15" s="3355"/>
      <c r="S15" s="3358" t="str">
        <f>IF(C5="","","Wichtige Eingabe")</f>
        <v>Wichtige Eingabe</v>
      </c>
      <c r="T15" s="3359"/>
      <c r="U15" s="34"/>
      <c r="V15" s="1265">
        <f>MAX(W15:AT15)</f>
        <v>45291</v>
      </c>
      <c r="W15" s="1265" t="str">
        <f>IF(W12=1,W14,"")</f>
        <v/>
      </c>
      <c r="X15" s="1266" t="str">
        <f t="shared" ref="X15:AT15" si="0">IF(X12=1,X14,"")</f>
        <v/>
      </c>
      <c r="Y15" s="1266" t="str">
        <f t="shared" si="0"/>
        <v/>
      </c>
      <c r="Z15" s="1266" t="str">
        <f t="shared" si="0"/>
        <v/>
      </c>
      <c r="AA15" s="1265" t="str">
        <f t="shared" si="0"/>
        <v/>
      </c>
      <c r="AB15" s="1266" t="str">
        <f t="shared" si="0"/>
        <v/>
      </c>
      <c r="AC15" s="1266" t="str">
        <f t="shared" si="0"/>
        <v/>
      </c>
      <c r="AD15" s="1266" t="str">
        <f t="shared" si="0"/>
        <v/>
      </c>
      <c r="AE15" s="1266" t="str">
        <f t="shared" si="0"/>
        <v/>
      </c>
      <c r="AF15" s="1266" t="str">
        <f t="shared" si="0"/>
        <v/>
      </c>
      <c r="AG15" s="1266" t="str">
        <f t="shared" si="0"/>
        <v/>
      </c>
      <c r="AH15" s="1266" t="str">
        <f t="shared" si="0"/>
        <v/>
      </c>
      <c r="AI15" s="1265">
        <f t="shared" si="0"/>
        <v>45291</v>
      </c>
      <c r="AJ15" s="1266" t="str">
        <f t="shared" si="0"/>
        <v/>
      </c>
      <c r="AK15" s="1266" t="str">
        <f t="shared" si="0"/>
        <v/>
      </c>
      <c r="AL15" s="1266" t="str">
        <f t="shared" si="0"/>
        <v/>
      </c>
      <c r="AM15" s="1266" t="str">
        <f t="shared" si="0"/>
        <v/>
      </c>
      <c r="AN15" s="1266" t="str">
        <f t="shared" si="0"/>
        <v/>
      </c>
      <c r="AO15" s="1266" t="str">
        <f t="shared" si="0"/>
        <v/>
      </c>
      <c r="AP15" s="1266" t="str">
        <f t="shared" si="0"/>
        <v/>
      </c>
      <c r="AQ15" s="1266" t="str">
        <f t="shared" si="0"/>
        <v/>
      </c>
      <c r="AR15" s="1266" t="str">
        <f t="shared" si="0"/>
        <v/>
      </c>
      <c r="AS15" s="1266" t="str">
        <f t="shared" si="0"/>
        <v/>
      </c>
      <c r="AT15" s="1266" t="str">
        <f t="shared" si="0"/>
        <v/>
      </c>
      <c r="AU15" s="1266"/>
      <c r="AX15" s="1266"/>
      <c r="AY15" s="1266"/>
      <c r="AZ15" s="1266"/>
      <c r="BA15" s="1266"/>
      <c r="BB15" s="1266"/>
      <c r="BC15" s="1266"/>
      <c r="BD15" s="1266"/>
      <c r="BE15" s="1266"/>
    </row>
    <row r="16" spans="1:57" ht="22.5" customHeight="1">
      <c r="A16" s="615"/>
      <c r="B16" s="3401"/>
      <c r="C16" s="1617">
        <f>'4 Eingabe Friseure'!N6</f>
        <v>44927</v>
      </c>
      <c r="D16" s="198">
        <f>'4 Eingabe Friseure'!O6</f>
        <v>44959</v>
      </c>
      <c r="E16" s="198">
        <f t="shared" ref="E16:N16" si="1">D16+32</f>
        <v>44991</v>
      </c>
      <c r="F16" s="198">
        <f t="shared" si="1"/>
        <v>45023</v>
      </c>
      <c r="G16" s="198">
        <f t="shared" si="1"/>
        <v>45055</v>
      </c>
      <c r="H16" s="198">
        <f t="shared" si="1"/>
        <v>45087</v>
      </c>
      <c r="I16" s="198">
        <f t="shared" si="1"/>
        <v>45119</v>
      </c>
      <c r="J16" s="198">
        <f t="shared" si="1"/>
        <v>45151</v>
      </c>
      <c r="K16" s="198">
        <f t="shared" si="1"/>
        <v>45183</v>
      </c>
      <c r="L16" s="198">
        <f t="shared" si="1"/>
        <v>45215</v>
      </c>
      <c r="M16" s="198">
        <f t="shared" si="1"/>
        <v>45247</v>
      </c>
      <c r="N16" s="198">
        <f t="shared" si="1"/>
        <v>45279</v>
      </c>
      <c r="O16" s="1618" t="s">
        <v>315</v>
      </c>
      <c r="P16" s="3268"/>
      <c r="Q16" s="3355"/>
      <c r="R16" s="3355"/>
      <c r="S16" s="3335" t="str">
        <f>IF(S15="",""," ↓ ↓")</f>
        <v xml:space="preserve"> ↓ ↓</v>
      </c>
      <c r="T16" s="3360"/>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615"/>
      <c r="AT16" s="615"/>
      <c r="AU16" s="615"/>
      <c r="AX16" s="615"/>
      <c r="AY16" s="615"/>
      <c r="AZ16" s="615"/>
      <c r="BA16" s="615"/>
      <c r="BB16" s="615"/>
      <c r="BC16" s="615"/>
      <c r="BD16" s="615"/>
      <c r="BE16" s="615"/>
    </row>
    <row r="17" spans="1:57" ht="21.6" customHeight="1">
      <c r="A17" s="615"/>
      <c r="B17" s="3401"/>
      <c r="C17" s="1492">
        <f>IF(Start!O20&gt;0,"",1)</f>
        <v>1</v>
      </c>
      <c r="D17" s="1492">
        <f>C17</f>
        <v>1</v>
      </c>
      <c r="E17" s="1492">
        <f t="shared" ref="E17:N17" si="2">D17</f>
        <v>1</v>
      </c>
      <c r="F17" s="1492">
        <f t="shared" si="2"/>
        <v>1</v>
      </c>
      <c r="G17" s="1492">
        <f t="shared" si="2"/>
        <v>1</v>
      </c>
      <c r="H17" s="1492">
        <f t="shared" si="2"/>
        <v>1</v>
      </c>
      <c r="I17" s="1492">
        <f t="shared" si="2"/>
        <v>1</v>
      </c>
      <c r="J17" s="1492">
        <f t="shared" si="2"/>
        <v>1</v>
      </c>
      <c r="K17" s="1492">
        <f t="shared" si="2"/>
        <v>1</v>
      </c>
      <c r="L17" s="1492">
        <f t="shared" si="2"/>
        <v>1</v>
      </c>
      <c r="M17" s="1492">
        <f t="shared" si="2"/>
        <v>1</v>
      </c>
      <c r="N17" s="1492">
        <f t="shared" si="2"/>
        <v>1</v>
      </c>
      <c r="O17" s="3205">
        <f>IF('2a Chefeingaben'!O12&gt;0,'2 Unternehmensdaten'!K25,SUM(C17:N17))</f>
        <v>12</v>
      </c>
      <c r="P17" s="3268"/>
      <c r="Q17" s="3355"/>
      <c r="R17" s="3355"/>
      <c r="S17" s="3361">
        <v>5</v>
      </c>
      <c r="T17" s="3362"/>
      <c r="V17" s="615"/>
      <c r="W17" s="615"/>
      <c r="X17" s="1576" t="s">
        <v>976</v>
      </c>
      <c r="Y17" s="615">
        <v>5</v>
      </c>
      <c r="Z17" s="615">
        <v>4.33</v>
      </c>
      <c r="AA17" s="615">
        <v>12</v>
      </c>
      <c r="AB17" s="615">
        <f t="shared" ref="AB17:AB25" si="3">Y17*Z17*AA17</f>
        <v>259.79999999999995</v>
      </c>
      <c r="AC17" s="615"/>
      <c r="AD17" s="615"/>
      <c r="AE17" s="615"/>
      <c r="AF17" s="615"/>
      <c r="AG17" s="615"/>
      <c r="AH17" s="615"/>
      <c r="AI17" s="615"/>
      <c r="AJ17" s="615"/>
      <c r="AK17" s="615"/>
      <c r="AL17" s="615"/>
      <c r="AM17" s="615"/>
      <c r="AN17" s="615"/>
      <c r="AO17" s="615"/>
      <c r="AP17" s="615"/>
      <c r="AQ17" s="615"/>
      <c r="AR17" s="615"/>
      <c r="AS17" s="615"/>
      <c r="AT17" s="615"/>
      <c r="AU17" s="615"/>
      <c r="AV17" s="615"/>
      <c r="AW17" s="615"/>
      <c r="AX17" s="615"/>
      <c r="AY17" s="615"/>
      <c r="AZ17" s="615"/>
      <c r="BA17" s="615"/>
      <c r="BB17" s="615"/>
      <c r="BC17" s="615"/>
      <c r="BD17" s="615"/>
      <c r="BE17" s="615"/>
    </row>
    <row r="18" spans="1:57" ht="31.05" customHeight="1">
      <c r="A18" s="615"/>
      <c r="B18" s="3401"/>
      <c r="C18" s="3380" t="s">
        <v>1108</v>
      </c>
      <c r="D18" s="3381"/>
      <c r="E18" s="3381"/>
      <c r="F18" s="3381"/>
      <c r="G18" s="3381"/>
      <c r="H18" s="3381"/>
      <c r="I18" s="3381"/>
      <c r="J18" s="3381"/>
      <c r="K18" s="3381"/>
      <c r="L18" s="3382"/>
      <c r="M18" s="619"/>
      <c r="N18" s="619"/>
      <c r="O18" s="619"/>
      <c r="P18" s="3356"/>
      <c r="Q18" s="3357"/>
      <c r="R18" s="3357"/>
      <c r="S18" s="3363" t="str">
        <f>IF(S15="","hier nichts eingeben","Büro-Stunden 
pro Woche")</f>
        <v>Büro-Stunden 
pro Woche</v>
      </c>
      <c r="T18" s="3364"/>
      <c r="V18" s="615"/>
      <c r="W18" s="615"/>
      <c r="X18" s="1576" t="s">
        <v>977</v>
      </c>
      <c r="Y18" s="615">
        <v>5</v>
      </c>
      <c r="Z18" s="615">
        <v>4.33</v>
      </c>
      <c r="AA18" s="615">
        <v>10</v>
      </c>
      <c r="AB18" s="615">
        <f t="shared" si="3"/>
        <v>216.5</v>
      </c>
      <c r="AC18" s="615">
        <f>ROUND(AB18/AB17*100,2)</f>
        <v>83.33</v>
      </c>
      <c r="AD18" s="615"/>
      <c r="AE18" s="615"/>
      <c r="AF18" s="615"/>
      <c r="AG18" s="615"/>
      <c r="AH18" s="615"/>
      <c r="AI18" s="615"/>
      <c r="AJ18" s="615"/>
      <c r="AK18" s="615"/>
      <c r="AL18" s="615"/>
      <c r="AM18" s="615"/>
      <c r="AN18" s="615"/>
      <c r="AO18" s="615"/>
      <c r="AP18" s="615"/>
      <c r="AQ18" s="615"/>
      <c r="AR18" s="615"/>
      <c r="AS18" s="615"/>
      <c r="AT18" s="615"/>
      <c r="AU18" s="615"/>
      <c r="AV18" s="615"/>
      <c r="AW18" s="615"/>
      <c r="AX18" s="615"/>
      <c r="AY18" s="615"/>
      <c r="AZ18" s="615"/>
      <c r="BA18" s="615"/>
      <c r="BB18" s="615"/>
      <c r="BC18" s="615"/>
      <c r="BD18" s="615"/>
      <c r="BE18" s="615"/>
    </row>
    <row r="19" spans="1:57" ht="25.05" customHeight="1">
      <c r="A19" s="2603"/>
      <c r="B19" s="2599"/>
      <c r="C19" s="2634" t="s">
        <v>168</v>
      </c>
      <c r="D19" s="2634" t="s">
        <v>169</v>
      </c>
      <c r="E19" s="2634" t="s">
        <v>170</v>
      </c>
      <c r="F19" s="2634" t="s">
        <v>171</v>
      </c>
      <c r="G19" s="2634" t="s">
        <v>172</v>
      </c>
      <c r="H19" s="2634" t="s">
        <v>173</v>
      </c>
      <c r="I19" s="380">
        <f>AVERAGE(I20:I23)</f>
        <v>40</v>
      </c>
      <c r="J19" s="3207">
        <f>IF(I19=0,0,SUM(J20:J23)/COUNTIF(J20:J23,"&gt;0"))</f>
        <v>5</v>
      </c>
      <c r="K19" s="615" t="s">
        <v>1036</v>
      </c>
      <c r="L19" s="1537">
        <f>ROUND(J19*4.33*O17,2)</f>
        <v>259.8</v>
      </c>
      <c r="M19" s="615">
        <f>L19</f>
        <v>259.8</v>
      </c>
      <c r="N19" s="1537" t="s">
        <v>987</v>
      </c>
      <c r="O19" s="615"/>
      <c r="P19" s="3208"/>
      <c r="Q19" s="615"/>
      <c r="R19" s="1819"/>
      <c r="S19" s="619"/>
      <c r="T19" s="2896"/>
      <c r="V19" s="615"/>
      <c r="W19" s="615"/>
      <c r="X19" s="1576" t="s">
        <v>976</v>
      </c>
      <c r="Y19" s="615">
        <v>4</v>
      </c>
      <c r="Z19" s="615">
        <v>4.33</v>
      </c>
      <c r="AA19" s="615">
        <v>12</v>
      </c>
      <c r="AB19" s="615">
        <f t="shared" si="3"/>
        <v>207.84</v>
      </c>
      <c r="AC19" s="615"/>
      <c r="AD19" s="615"/>
      <c r="AE19" s="615"/>
      <c r="AF19" s="615"/>
      <c r="AG19" s="615"/>
      <c r="AH19" s="615"/>
      <c r="AI19" s="615"/>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5"/>
    </row>
    <row r="20" spans="1:57" ht="26.55" customHeight="1">
      <c r="A20" s="2604"/>
      <c r="B20" s="2632" t="s">
        <v>1234</v>
      </c>
      <c r="C20" s="1492">
        <v>8</v>
      </c>
      <c r="D20" s="1492"/>
      <c r="E20" s="1492">
        <v>8</v>
      </c>
      <c r="F20" s="1492">
        <v>9</v>
      </c>
      <c r="G20" s="1492">
        <v>9</v>
      </c>
      <c r="H20" s="1492">
        <v>6</v>
      </c>
      <c r="I20" s="1233">
        <f>SUM(C20:H20)</f>
        <v>40</v>
      </c>
      <c r="J20" s="1619">
        <f>COUNTIF(C20:H20,"&gt;0")</f>
        <v>5</v>
      </c>
      <c r="K20" s="1266" t="s">
        <v>1037</v>
      </c>
      <c r="L20" s="3209">
        <f>I19/J19*L19</f>
        <v>2078.4</v>
      </c>
      <c r="M20" s="1643">
        <f>M19/O17*N23</f>
        <v>18.040945000000001</v>
      </c>
      <c r="N20" s="1537" t="s">
        <v>988</v>
      </c>
      <c r="O20" s="615"/>
      <c r="P20" s="615"/>
      <c r="Q20" s="615"/>
      <c r="R20" s="615"/>
      <c r="S20" s="619"/>
      <c r="T20" s="2896"/>
      <c r="V20" s="615"/>
      <c r="W20" s="1796"/>
      <c r="X20" s="1576" t="s">
        <v>977</v>
      </c>
      <c r="Y20" s="615">
        <v>4</v>
      </c>
      <c r="Z20" s="615">
        <v>4.33</v>
      </c>
      <c r="AA20" s="615">
        <v>10</v>
      </c>
      <c r="AB20" s="615">
        <f t="shared" si="3"/>
        <v>173.2</v>
      </c>
      <c r="AC20" s="615">
        <f>ROUND(AB20/AB19*100,2)</f>
        <v>83.33</v>
      </c>
      <c r="AD20" s="615"/>
      <c r="AE20" s="615"/>
      <c r="AF20" s="615"/>
      <c r="AG20" s="615"/>
      <c r="AH20" s="615"/>
      <c r="AI20" s="615"/>
      <c r="AJ20" s="615"/>
      <c r="AK20" s="615"/>
      <c r="AL20" s="615"/>
      <c r="AM20" s="615"/>
      <c r="AN20" s="615"/>
      <c r="AO20" s="615"/>
      <c r="AP20" s="615"/>
      <c r="AQ20" s="615"/>
      <c r="AR20" s="615"/>
      <c r="AS20" s="615"/>
      <c r="AT20" s="615"/>
      <c r="AU20" s="615"/>
      <c r="AV20" s="615"/>
      <c r="AW20" s="615"/>
      <c r="AX20" s="615"/>
      <c r="AY20" s="615"/>
      <c r="AZ20" s="615"/>
      <c r="BA20" s="615"/>
      <c r="BB20" s="615"/>
      <c r="BC20" s="615"/>
      <c r="BD20" s="615"/>
      <c r="BE20" s="615"/>
    </row>
    <row r="21" spans="1:57" ht="26.55" customHeight="1">
      <c r="A21" s="2604"/>
      <c r="B21" s="2632" t="s">
        <v>1235</v>
      </c>
      <c r="C21" s="1492"/>
      <c r="D21" s="1492"/>
      <c r="E21" s="1492"/>
      <c r="F21" s="1492"/>
      <c r="G21" s="1492"/>
      <c r="H21" s="1492"/>
      <c r="I21" s="1233" t="str">
        <f>IF(SUM(C21:H21)=0,"",(SUM(C21:H21)))</f>
        <v/>
      </c>
      <c r="J21" s="1619">
        <f>COUNTIF(C21:H21,"&gt;0")</f>
        <v>0</v>
      </c>
      <c r="K21" s="1266" t="s">
        <v>1041</v>
      </c>
      <c r="L21" s="3209">
        <f>L20*N23</f>
        <v>1731.9307199999998</v>
      </c>
      <c r="M21" s="615"/>
      <c r="N21" s="1819">
        <f>IF(O17=0,0,O17*N23)</f>
        <v>9.9995999999999992</v>
      </c>
      <c r="O21" s="615">
        <f>ROUND(L19/12*(12-O17)*O23,0)</f>
        <v>0</v>
      </c>
      <c r="P21" s="1819">
        <f>O17*M20</f>
        <v>216.49134000000001</v>
      </c>
      <c r="Q21" s="615" t="s">
        <v>1040</v>
      </c>
      <c r="R21" s="615"/>
      <c r="S21" s="619"/>
      <c r="T21" s="2896"/>
      <c r="V21" s="615"/>
      <c r="W21" s="615"/>
      <c r="X21" s="1576"/>
      <c r="Y21" s="615"/>
      <c r="Z21" s="615"/>
      <c r="AA21" s="615"/>
      <c r="AB21" s="615"/>
      <c r="AC21" s="615"/>
      <c r="AD21" s="615"/>
      <c r="AE21" s="615"/>
      <c r="AF21" s="615"/>
      <c r="AG21" s="615"/>
      <c r="AH21" s="615"/>
      <c r="AI21" s="615"/>
      <c r="AJ21" s="615"/>
      <c r="AK21" s="615"/>
      <c r="AL21" s="615"/>
      <c r="AM21" s="615"/>
      <c r="AN21" s="615"/>
      <c r="AO21" s="615"/>
      <c r="AP21" s="615"/>
      <c r="AQ21" s="615"/>
      <c r="AR21" s="615"/>
      <c r="AS21" s="615"/>
      <c r="AT21" s="615"/>
      <c r="AU21" s="615"/>
      <c r="AV21" s="615"/>
      <c r="AW21" s="615"/>
      <c r="AX21" s="615"/>
      <c r="AY21" s="615"/>
      <c r="AZ21" s="615"/>
      <c r="BA21" s="615"/>
      <c r="BB21" s="615"/>
      <c r="BC21" s="615"/>
      <c r="BD21" s="615"/>
      <c r="BE21" s="615"/>
    </row>
    <row r="22" spans="1:57" ht="26.55" customHeight="1">
      <c r="A22" s="2604"/>
      <c r="B22" s="2632" t="s">
        <v>1236</v>
      </c>
      <c r="C22" s="1492"/>
      <c r="D22" s="1492"/>
      <c r="E22" s="1492"/>
      <c r="F22" s="1492"/>
      <c r="G22" s="1492"/>
      <c r="H22" s="1492"/>
      <c r="I22" s="1233" t="str">
        <f>IF(SUM(C22:H22)=0,"",(SUM(C22:H22)))</f>
        <v/>
      </c>
      <c r="J22" s="1619">
        <f>COUNTIF(C22:H22,"&gt;0")</f>
        <v>0</v>
      </c>
      <c r="K22" s="1266"/>
      <c r="L22" s="3209"/>
      <c r="M22" s="1643"/>
      <c r="N22" s="615" t="s">
        <v>1038</v>
      </c>
      <c r="O22" s="615"/>
      <c r="P22" s="615" t="s">
        <v>1039</v>
      </c>
      <c r="Q22" s="615"/>
      <c r="R22" s="3210"/>
      <c r="S22" s="1165"/>
      <c r="T22" s="2940"/>
      <c r="V22" s="615"/>
      <c r="W22" s="615"/>
      <c r="X22" s="1576"/>
      <c r="Y22" s="615"/>
      <c r="Z22" s="615"/>
      <c r="AA22" s="615"/>
      <c r="AB22" s="615"/>
      <c r="AC22" s="615"/>
      <c r="AD22" s="615"/>
      <c r="AE22" s="615"/>
      <c r="AF22" s="615"/>
      <c r="AG22" s="615"/>
      <c r="AH22" s="615"/>
      <c r="AI22" s="615"/>
      <c r="AJ22" s="615"/>
      <c r="AK22" s="615"/>
      <c r="AL22" s="615"/>
      <c r="AM22" s="615"/>
      <c r="AN22" s="615"/>
      <c r="AO22" s="615"/>
      <c r="AP22" s="615"/>
      <c r="AQ22" s="615"/>
      <c r="AR22" s="615"/>
      <c r="AS22" s="615"/>
      <c r="AT22" s="615"/>
      <c r="AU22" s="615"/>
      <c r="AV22" s="615"/>
      <c r="AW22" s="615"/>
      <c r="AX22" s="615"/>
      <c r="AY22" s="615"/>
      <c r="AZ22" s="615"/>
      <c r="BA22" s="615"/>
      <c r="BB22" s="615"/>
      <c r="BC22" s="615"/>
      <c r="BD22" s="615"/>
      <c r="BE22" s="615"/>
    </row>
    <row r="23" spans="1:57" ht="26.55" customHeight="1">
      <c r="A23" s="2604"/>
      <c r="B23" s="2632" t="s">
        <v>1237</v>
      </c>
      <c r="C23" s="1492"/>
      <c r="D23" s="1492"/>
      <c r="E23" s="1492"/>
      <c r="F23" s="1492"/>
      <c r="G23" s="1492"/>
      <c r="H23" s="1492"/>
      <c r="I23" s="1233" t="str">
        <f>IF(SUM(C23:H23)=0,"",(SUM(C23:H23)))</f>
        <v/>
      </c>
      <c r="J23" s="1619">
        <f>COUNTIF(C23:H23,"&gt;0")</f>
        <v>0</v>
      </c>
      <c r="K23" s="1266"/>
      <c r="L23" s="3209"/>
      <c r="M23" s="1643"/>
      <c r="N23" s="3211">
        <f>$AC$20/100</f>
        <v>0.83329999999999993</v>
      </c>
      <c r="O23" s="3211">
        <f>$Z$39/100</f>
        <v>0.96153846153846156</v>
      </c>
      <c r="P23" s="615"/>
      <c r="Q23" s="615"/>
      <c r="R23" s="3212"/>
      <c r="S23" s="3177"/>
      <c r="T23" s="2940"/>
      <c r="V23" s="615"/>
      <c r="W23" s="615"/>
      <c r="X23" s="1576"/>
      <c r="Y23" s="615"/>
      <c r="Z23" s="615"/>
      <c r="AA23" s="615"/>
      <c r="AB23" s="615"/>
      <c r="AC23" s="615"/>
      <c r="AD23" s="615"/>
      <c r="AE23" s="615"/>
      <c r="AF23" s="615"/>
      <c r="AG23" s="615"/>
      <c r="AH23" s="615"/>
      <c r="AI23" s="615"/>
      <c r="AJ23" s="615"/>
      <c r="AK23" s="615"/>
      <c r="AL23" s="615"/>
      <c r="AM23" s="615"/>
      <c r="AN23" s="615"/>
      <c r="AO23" s="615"/>
      <c r="AP23" s="615"/>
      <c r="AQ23" s="615"/>
      <c r="AR23" s="615"/>
      <c r="AS23" s="615"/>
      <c r="AT23" s="615"/>
      <c r="AU23" s="615"/>
      <c r="AV23" s="615"/>
      <c r="AW23" s="615"/>
      <c r="AX23" s="615"/>
      <c r="AY23" s="615"/>
      <c r="AZ23" s="615"/>
      <c r="BA23" s="615"/>
      <c r="BB23" s="615"/>
      <c r="BC23" s="615"/>
      <c r="BD23" s="615"/>
      <c r="BE23" s="615"/>
    </row>
    <row r="24" spans="1:57" ht="47.55" customHeight="1">
      <c r="A24" s="2602"/>
      <c r="B24" s="2600"/>
      <c r="C24" s="3396" t="str">
        <f>IF(I20=0,"","Wenn Sie jede Woche die gleichen Arbeitszeiten haben, tragen Sie nur die 1. Woche ein. Bei unterschiedlichen Wochenarbeitszeiten nutzen Sie bitte die weiteren Wochen.")</f>
        <v>Wenn Sie jede Woche die gleichen Arbeitszeiten haben, tragen Sie nur die 1. Woche ein. Bei unterschiedlichen Wochenarbeitszeiten nutzen Sie bitte die weiteren Wochen.</v>
      </c>
      <c r="D24" s="3396"/>
      <c r="E24" s="3396"/>
      <c r="F24" s="3396"/>
      <c r="G24" s="3396"/>
      <c r="H24" s="3396"/>
      <c r="I24" s="3396"/>
      <c r="J24" s="3399" t="str">
        <f>IF(O5&gt;1,"Ebenso bei den anderen Chefs","")</f>
        <v/>
      </c>
      <c r="K24" s="3399"/>
      <c r="L24" s="2631"/>
      <c r="N24" s="764"/>
      <c r="O24" s="764"/>
      <c r="P24" s="764"/>
      <c r="Q24" s="764"/>
      <c r="T24" s="3178"/>
      <c r="V24" s="615"/>
      <c r="W24" s="615"/>
      <c r="X24" s="1576" t="s">
        <v>976</v>
      </c>
      <c r="Y24" s="615">
        <v>5</v>
      </c>
      <c r="Z24" s="615">
        <v>4.33</v>
      </c>
      <c r="AA24" s="615">
        <v>12</v>
      </c>
      <c r="AB24" s="615">
        <f t="shared" si="3"/>
        <v>259.79999999999995</v>
      </c>
      <c r="AC24" s="615"/>
      <c r="AD24" s="615"/>
      <c r="AE24" s="615"/>
      <c r="AF24" s="615"/>
      <c r="AG24" s="615"/>
      <c r="AH24" s="615"/>
      <c r="AI24" s="615"/>
      <c r="AJ24" s="615"/>
      <c r="AK24" s="615"/>
      <c r="AL24" s="615"/>
      <c r="AM24" s="615"/>
      <c r="AN24" s="615"/>
      <c r="AO24" s="615"/>
      <c r="AP24" s="615"/>
      <c r="AQ24" s="615"/>
      <c r="AR24" s="615"/>
      <c r="AS24" s="615"/>
      <c r="AT24" s="615"/>
      <c r="AU24" s="615"/>
      <c r="AV24" s="615"/>
      <c r="AW24" s="615"/>
      <c r="AX24" s="615"/>
      <c r="AY24" s="615"/>
      <c r="AZ24" s="615"/>
      <c r="BA24" s="615"/>
      <c r="BB24" s="615"/>
      <c r="BC24" s="615"/>
      <c r="BD24" s="615"/>
      <c r="BE24" s="615"/>
    </row>
    <row r="25" spans="1:57" ht="21.45" customHeight="1">
      <c r="A25" s="2602"/>
      <c r="C25" s="1955"/>
      <c r="D25" s="1955"/>
      <c r="E25" s="1955"/>
      <c r="F25" s="1955"/>
      <c r="G25" s="1955"/>
      <c r="H25" s="1955"/>
      <c r="I25" s="1955"/>
      <c r="J25" s="1955"/>
      <c r="K25" s="1772"/>
      <c r="L25" s="1772"/>
      <c r="Q25" s="615"/>
      <c r="R25" s="615"/>
      <c r="S25" s="615"/>
      <c r="T25" s="2894"/>
      <c r="V25" s="615"/>
      <c r="W25" s="615"/>
      <c r="X25" s="1576">
        <v>12</v>
      </c>
      <c r="Y25" s="615">
        <v>5</v>
      </c>
      <c r="Z25" s="615">
        <v>4.33</v>
      </c>
      <c r="AA25" s="615">
        <v>10</v>
      </c>
      <c r="AB25" s="615">
        <f t="shared" si="3"/>
        <v>216.5</v>
      </c>
      <c r="AC25" s="615"/>
      <c r="AD25" s="615"/>
      <c r="AE25" s="615"/>
      <c r="AF25" s="615"/>
      <c r="AG25" s="615"/>
      <c r="AH25" s="615"/>
      <c r="AI25" s="615"/>
      <c r="AJ25" s="615"/>
      <c r="AK25" s="615"/>
      <c r="AL25" s="615"/>
      <c r="AM25" s="615"/>
      <c r="AN25" s="615"/>
      <c r="AO25" s="615"/>
      <c r="AP25" s="615"/>
      <c r="AQ25" s="615"/>
      <c r="AR25" s="615"/>
      <c r="AS25" s="615"/>
      <c r="AT25" s="615"/>
      <c r="AU25" s="615"/>
      <c r="AV25" s="615"/>
      <c r="AW25" s="615"/>
      <c r="AX25" s="615"/>
      <c r="AY25" s="615"/>
      <c r="AZ25" s="615"/>
      <c r="BA25" s="615"/>
      <c r="BB25" s="615"/>
      <c r="BC25" s="615"/>
      <c r="BD25" s="615"/>
      <c r="BE25" s="615"/>
    </row>
    <row r="26" spans="1:57" ht="23.4" customHeight="1">
      <c r="A26" s="645"/>
      <c r="B26" s="3395" t="s">
        <v>1250</v>
      </c>
      <c r="C26" s="3392" t="str">
        <f>'2 Unternehmensdaten'!P9</f>
        <v xml:space="preserve"> </v>
      </c>
      <c r="D26" s="3393"/>
      <c r="E26" s="3393"/>
      <c r="F26" s="3394"/>
      <c r="G26" s="1165"/>
      <c r="H26" s="1165"/>
      <c r="I26" s="1165"/>
      <c r="J26" s="1165"/>
      <c r="K26" s="1165"/>
      <c r="O26" s="615">
        <f>IF('2 Unternehmensdaten'!K9="",0,1)</f>
        <v>0</v>
      </c>
      <c r="P26" s="2652"/>
      <c r="Q26" s="2651"/>
      <c r="R26" s="2651"/>
      <c r="S26" s="2651"/>
      <c r="T26" s="2894"/>
      <c r="V26" s="615"/>
      <c r="W26" s="615"/>
      <c r="X26" s="1576">
        <v>11</v>
      </c>
      <c r="Y26" s="615">
        <v>5</v>
      </c>
      <c r="Z26" s="615">
        <v>4.33</v>
      </c>
      <c r="AA26" s="615">
        <v>11</v>
      </c>
      <c r="AB26" s="1819">
        <f t="shared" ref="AB26:AB32" si="4">Y26*Z26*AA26*AC26/100</f>
        <v>198.37894999999997</v>
      </c>
      <c r="AC26" s="615">
        <v>83.3</v>
      </c>
      <c r="AD26" s="615"/>
      <c r="AE26" s="615"/>
      <c r="AF26" s="615"/>
      <c r="AG26" s="615"/>
      <c r="AH26" s="615"/>
      <c r="AI26" s="615"/>
      <c r="AJ26" s="615"/>
      <c r="AK26" s="615"/>
      <c r="AL26" s="615"/>
      <c r="AM26" s="615"/>
      <c r="AN26" s="615"/>
      <c r="AO26" s="615"/>
      <c r="AP26" s="615"/>
      <c r="AQ26" s="615"/>
      <c r="AR26" s="615"/>
      <c r="AS26" s="615"/>
      <c r="AT26" s="615"/>
      <c r="AU26" s="615"/>
      <c r="AV26" s="615"/>
      <c r="AW26" s="615"/>
      <c r="AX26" s="615"/>
      <c r="AY26" s="615"/>
      <c r="AZ26" s="615"/>
      <c r="BA26" s="615"/>
      <c r="BB26" s="615"/>
      <c r="BC26" s="615"/>
      <c r="BD26" s="615"/>
      <c r="BE26" s="615"/>
    </row>
    <row r="27" spans="1:57" s="406" customFormat="1" ht="23.4" customHeight="1">
      <c r="A27" s="645"/>
      <c r="B27" s="3395"/>
      <c r="C27" s="174"/>
      <c r="D27" s="174"/>
      <c r="E27" s="407"/>
      <c r="F27" s="174"/>
      <c r="G27" s="34"/>
      <c r="K27" s="34"/>
      <c r="L27" s="34"/>
      <c r="M27" s="34"/>
      <c r="N27" s="2893"/>
      <c r="O27" s="2893"/>
      <c r="P27" s="3182"/>
      <c r="Q27" s="3174"/>
      <c r="R27" s="3365" t="str">
        <f>IF(C26="","",IF('2 Unternehmensdaten'!F$6="ja"," Für GbR - Chefs:",""))</f>
        <v/>
      </c>
      <c r="S27" s="3365"/>
      <c r="T27" s="3366"/>
      <c r="V27" s="1645"/>
      <c r="W27" s="1645"/>
      <c r="X27" s="1576">
        <v>10</v>
      </c>
      <c r="Y27" s="615">
        <v>5</v>
      </c>
      <c r="Z27" s="615">
        <v>4.33</v>
      </c>
      <c r="AA27" s="615">
        <f t="shared" ref="AA27:AA32" si="5">X27</f>
        <v>10</v>
      </c>
      <c r="AB27" s="1819">
        <f t="shared" si="4"/>
        <v>180.34450000000001</v>
      </c>
      <c r="AC27" s="615">
        <v>83.3</v>
      </c>
      <c r="AD27" s="1645"/>
      <c r="AE27" s="1645"/>
      <c r="AF27" s="1645"/>
      <c r="AG27" s="1645"/>
      <c r="AH27" s="1645"/>
      <c r="AI27" s="1645"/>
      <c r="AJ27" s="1645"/>
      <c r="AK27" s="1645"/>
      <c r="AL27" s="1645"/>
      <c r="AM27" s="1645"/>
      <c r="AN27" s="1645"/>
      <c r="AO27" s="1645"/>
      <c r="AP27" s="1645"/>
      <c r="AQ27" s="1645"/>
      <c r="AR27" s="1645"/>
      <c r="AS27" s="1645"/>
      <c r="AT27" s="1645"/>
      <c r="AU27" s="1645"/>
      <c r="AV27" s="1645"/>
      <c r="AW27" s="1645"/>
      <c r="AX27" s="1645"/>
      <c r="AY27" s="1645"/>
      <c r="AZ27" s="1645"/>
      <c r="BA27" s="1645"/>
      <c r="BB27" s="1645"/>
      <c r="BC27" s="1645"/>
      <c r="BD27" s="1645"/>
      <c r="BE27" s="1645"/>
    </row>
    <row r="28" spans="1:57" ht="23.4" customHeight="1">
      <c r="A28" s="645"/>
      <c r="B28" s="3395"/>
      <c r="N28" s="2892"/>
      <c r="O28" s="2892"/>
      <c r="P28" s="3171"/>
      <c r="Q28" s="3367" t="str">
        <f>IF(C26="","",IF('2 Unternehmensdaten'!F$6="ja","Geben Sie unten bitte Ihre geplanten Urlaubs- und eventuelle Krankheitswochen ein","Hier nichts eingeben                                            .     ↓       ↓      ↓ "))</f>
        <v xml:space="preserve">Hier nichts eingeben                                            .     ↓       ↓      ↓ </v>
      </c>
      <c r="R28" s="3367"/>
      <c r="S28" s="3367"/>
      <c r="T28" s="3368"/>
      <c r="V28" s="615"/>
      <c r="W28" s="615"/>
      <c r="X28" s="615">
        <v>9</v>
      </c>
      <c r="Y28" s="615">
        <v>5</v>
      </c>
      <c r="Z28" s="615">
        <v>4.33</v>
      </c>
      <c r="AA28" s="615">
        <f t="shared" si="5"/>
        <v>9</v>
      </c>
      <c r="AB28" s="1819">
        <f t="shared" si="4"/>
        <v>162.31004999999999</v>
      </c>
      <c r="AC28" s="615">
        <v>83.3</v>
      </c>
      <c r="AD28" s="615"/>
      <c r="AE28" s="615"/>
      <c r="AF28" s="615"/>
      <c r="AG28" s="615"/>
      <c r="AH28" s="615"/>
      <c r="AI28" s="615"/>
      <c r="AJ28" s="615"/>
      <c r="AK28" s="615"/>
      <c r="AL28" s="615"/>
      <c r="AM28" s="615"/>
      <c r="AN28" s="615"/>
      <c r="AO28" s="615"/>
      <c r="AP28" s="615"/>
      <c r="AQ28" s="615"/>
      <c r="AR28" s="615"/>
      <c r="AS28" s="615"/>
      <c r="AT28" s="615"/>
      <c r="AU28" s="615"/>
      <c r="AV28" s="615"/>
      <c r="AW28" s="615"/>
      <c r="AX28" s="615"/>
      <c r="AY28" s="615"/>
      <c r="AZ28" s="615"/>
      <c r="BA28" s="615"/>
      <c r="BB28" s="615"/>
      <c r="BC28" s="615"/>
      <c r="BD28" s="615"/>
      <c r="BE28" s="615"/>
    </row>
    <row r="29" spans="1:57" ht="23.4" customHeight="1">
      <c r="A29" s="645"/>
      <c r="B29" s="3395"/>
      <c r="C29" s="3" t="s">
        <v>321</v>
      </c>
      <c r="N29" s="2892"/>
      <c r="O29" s="2892"/>
      <c r="P29" s="3171"/>
      <c r="Q29" s="3367"/>
      <c r="R29" s="3367"/>
      <c r="S29" s="3367"/>
      <c r="T29" s="3368"/>
      <c r="V29" s="615"/>
      <c r="W29" s="615"/>
      <c r="X29" s="615">
        <v>8</v>
      </c>
      <c r="Y29" s="615">
        <v>5</v>
      </c>
      <c r="Z29" s="615">
        <v>4.33</v>
      </c>
      <c r="AA29" s="615">
        <f t="shared" si="5"/>
        <v>8</v>
      </c>
      <c r="AB29" s="1819">
        <f t="shared" si="4"/>
        <v>144.27559999999997</v>
      </c>
      <c r="AC29" s="615">
        <v>83.3</v>
      </c>
      <c r="AD29" s="615"/>
      <c r="AE29" s="615"/>
      <c r="AF29" s="615"/>
      <c r="AG29" s="615"/>
      <c r="AH29" s="615"/>
      <c r="AI29" s="615"/>
      <c r="AJ29" s="615"/>
      <c r="AK29" s="615"/>
      <c r="AL29" s="615"/>
      <c r="AM29" s="615"/>
      <c r="AN29" s="615"/>
      <c r="AO29" s="615"/>
      <c r="AP29" s="615"/>
      <c r="AQ29" s="615"/>
      <c r="AR29" s="615"/>
      <c r="AS29" s="615"/>
      <c r="AT29" s="615"/>
      <c r="AU29" s="615"/>
      <c r="AV29" s="615"/>
      <c r="AW29" s="615"/>
      <c r="AX29" s="615"/>
      <c r="AY29" s="615"/>
      <c r="AZ29" s="615"/>
      <c r="BA29" s="615"/>
      <c r="BB29" s="615"/>
      <c r="BC29" s="615"/>
      <c r="BD29" s="615"/>
      <c r="BE29" s="615"/>
    </row>
    <row r="30" spans="1:57" ht="23.4" customHeight="1">
      <c r="A30" s="3391" t="e">
        <f>IF(#REF!="","","!")</f>
        <v>#REF!</v>
      </c>
      <c r="B30" s="3395"/>
      <c r="C30" s="3373" t="str">
        <f>C12</f>
        <v>Unten sind die möglichen Arbeitsmonate mit 1,0 markiert.</v>
      </c>
      <c r="D30" s="3374"/>
      <c r="E30" s="3374"/>
      <c r="F30" s="3374"/>
      <c r="G30" s="3374"/>
      <c r="H30" s="3374"/>
      <c r="I30" s="3374"/>
      <c r="J30" s="3374"/>
      <c r="K30" s="3374"/>
      <c r="L30" s="3374"/>
      <c r="M30" s="3374"/>
      <c r="N30" s="222"/>
      <c r="O30" s="616"/>
      <c r="Q30" s="615"/>
      <c r="R30" s="3353"/>
      <c r="S30" s="3353"/>
      <c r="T30" s="753"/>
      <c r="V30" s="615"/>
      <c r="W30" s="615"/>
      <c r="X30" s="615">
        <v>7</v>
      </c>
      <c r="Y30" s="615">
        <v>5</v>
      </c>
      <c r="Z30" s="615">
        <v>4.33</v>
      </c>
      <c r="AA30" s="615">
        <f t="shared" si="5"/>
        <v>7</v>
      </c>
      <c r="AB30" s="1819">
        <f t="shared" si="4"/>
        <v>126.24114999999998</v>
      </c>
      <c r="AC30" s="615">
        <v>83.3</v>
      </c>
      <c r="AD30" s="615"/>
      <c r="AE30" s="615"/>
      <c r="AF30" s="615"/>
      <c r="AG30" s="615"/>
      <c r="AH30" s="615"/>
      <c r="AI30" s="615"/>
      <c r="AJ30" s="615"/>
      <c r="AK30" s="615"/>
      <c r="AL30" s="615"/>
      <c r="AM30" s="615"/>
      <c r="AN30" s="615"/>
      <c r="AO30" s="615"/>
      <c r="AP30" s="615"/>
      <c r="AQ30" s="615"/>
      <c r="AR30" s="615"/>
      <c r="AS30" s="615"/>
      <c r="AT30" s="615"/>
      <c r="AU30" s="615"/>
      <c r="AV30" s="615"/>
      <c r="AW30" s="615"/>
      <c r="AX30" s="615"/>
      <c r="AY30" s="615"/>
      <c r="AZ30" s="615"/>
      <c r="BA30" s="615"/>
      <c r="BB30" s="615"/>
      <c r="BC30" s="615"/>
      <c r="BD30" s="615"/>
      <c r="BE30" s="615"/>
    </row>
    <row r="31" spans="1:57" ht="23.4" customHeight="1">
      <c r="A31" s="3391"/>
      <c r="B31" s="3395"/>
      <c r="C31" s="3375"/>
      <c r="D31" s="3326"/>
      <c r="E31" s="3326"/>
      <c r="F31" s="3326"/>
      <c r="G31" s="3326"/>
      <c r="H31" s="3326"/>
      <c r="I31" s="3326"/>
      <c r="J31" s="3326"/>
      <c r="K31" s="3326"/>
      <c r="L31" s="3326"/>
      <c r="M31" s="3326"/>
      <c r="O31" s="617"/>
      <c r="Q31" s="3172"/>
      <c r="R31" s="3354"/>
      <c r="S31" s="3354"/>
      <c r="T31" s="3173"/>
      <c r="V31" s="615"/>
      <c r="W31" s="615"/>
      <c r="X31" s="615">
        <v>6</v>
      </c>
      <c r="Y31" s="615">
        <v>5</v>
      </c>
      <c r="Z31" s="615">
        <v>4.33</v>
      </c>
      <c r="AA31" s="615">
        <f t="shared" si="5"/>
        <v>6</v>
      </c>
      <c r="AB31" s="1819">
        <f t="shared" si="4"/>
        <v>108.20669999999998</v>
      </c>
      <c r="AC31" s="615">
        <v>83.3</v>
      </c>
      <c r="AD31" s="615"/>
      <c r="AE31" s="615"/>
      <c r="AF31" s="615"/>
      <c r="AG31" s="615"/>
      <c r="AH31" s="615"/>
      <c r="AI31" s="615"/>
      <c r="AJ31" s="615"/>
      <c r="AK31" s="615"/>
      <c r="AL31" s="615"/>
      <c r="AM31" s="615"/>
      <c r="AN31" s="615"/>
      <c r="AO31" s="615"/>
      <c r="AP31" s="615"/>
      <c r="AQ31" s="615"/>
      <c r="AR31" s="615"/>
      <c r="AS31" s="615"/>
      <c r="AT31" s="615"/>
      <c r="AU31" s="615"/>
      <c r="AV31" s="615"/>
      <c r="AW31" s="615"/>
      <c r="AX31" s="615"/>
      <c r="AY31" s="615"/>
      <c r="AZ31" s="615"/>
      <c r="BA31" s="615"/>
      <c r="BB31" s="615"/>
      <c r="BC31" s="615"/>
      <c r="BD31" s="615"/>
      <c r="BE31" s="615"/>
    </row>
    <row r="32" spans="1:57" ht="23.4" customHeight="1">
      <c r="A32" s="2605" t="e">
        <f>IF(Start!O20&gt;0,'2a Chefeingaben'!I20,IF(#REF!="",39,IF(#REF!&lt;#REF!,#REF!,#REF!)))</f>
        <v>#REF!</v>
      </c>
      <c r="B32" s="3395"/>
      <c r="C32" s="3375" t="str">
        <f>C14</f>
        <v xml:space="preserve">Wenn Sie nur im Büro und nicht an Kunden arbeiten löschen Sie die 1 aus allen Monaten. Wenn Sie durch Krankheit oder aus einem anderen Grund (z.B. Schwangerschaft, Elternzeit, Lockdown) längere Zeit nicht arbeiten können oder wollen, löschen Sie bitte die 1 aus diesen Monaten.  - - - - Damit ist nicht der normale Urlaub gemeint.                           </v>
      </c>
      <c r="D32" s="3326"/>
      <c r="E32" s="3326"/>
      <c r="F32" s="3326"/>
      <c r="G32" s="3326"/>
      <c r="H32" s="3326"/>
      <c r="I32" s="3326"/>
      <c r="J32" s="3326"/>
      <c r="K32" s="3326"/>
      <c r="L32" s="3326"/>
      <c r="M32" s="3326"/>
      <c r="N32" s="3326"/>
      <c r="O32" s="3376"/>
      <c r="P32" s="3175" t="s">
        <v>1280</v>
      </c>
      <c r="Q32" s="400"/>
      <c r="R32" s="3170" t="s">
        <v>1404</v>
      </c>
      <c r="S32" s="3170">
        <f>(52-R30)/4.33</f>
        <v>12.009237875288683</v>
      </c>
      <c r="T32" s="3183"/>
      <c r="V32" s="615"/>
      <c r="W32" s="615"/>
      <c r="X32" s="615">
        <v>5</v>
      </c>
      <c r="Y32" s="615">
        <v>5</v>
      </c>
      <c r="Z32" s="615">
        <v>4.33</v>
      </c>
      <c r="AA32" s="615">
        <f t="shared" si="5"/>
        <v>5</v>
      </c>
      <c r="AB32" s="1819">
        <f t="shared" si="4"/>
        <v>90.172250000000005</v>
      </c>
      <c r="AC32" s="615">
        <v>83.3</v>
      </c>
      <c r="AD32" s="615"/>
      <c r="AE32" s="615"/>
      <c r="AF32" s="615"/>
      <c r="AG32" s="615"/>
      <c r="AH32" s="615"/>
      <c r="AI32" s="615"/>
      <c r="AJ32" s="615"/>
      <c r="AK32" s="615"/>
      <c r="AL32" s="615"/>
      <c r="AM32" s="615"/>
      <c r="AN32" s="615"/>
      <c r="AO32" s="615"/>
      <c r="AP32" s="615"/>
      <c r="AQ32" s="615"/>
      <c r="AR32" s="615"/>
      <c r="AS32" s="615"/>
      <c r="AT32" s="615"/>
      <c r="AU32" s="615"/>
      <c r="AV32" s="615"/>
      <c r="AW32" s="615"/>
      <c r="AX32" s="615"/>
      <c r="AY32" s="615"/>
      <c r="AZ32" s="615"/>
      <c r="BA32" s="615"/>
      <c r="BB32" s="615"/>
      <c r="BC32" s="615"/>
      <c r="BD32" s="615"/>
      <c r="BE32" s="615"/>
    </row>
    <row r="33" spans="1:57" ht="34.200000000000003" customHeight="1">
      <c r="A33" s="615"/>
      <c r="B33" s="3395"/>
      <c r="C33" s="3375"/>
      <c r="D33" s="3326"/>
      <c r="E33" s="3326"/>
      <c r="F33" s="3326"/>
      <c r="G33" s="3326"/>
      <c r="H33" s="3326"/>
      <c r="I33" s="3326"/>
      <c r="J33" s="3326"/>
      <c r="K33" s="3326"/>
      <c r="L33" s="3326"/>
      <c r="M33" s="3326"/>
      <c r="N33" s="3326"/>
      <c r="O33" s="3376"/>
      <c r="P33" s="3268" t="str">
        <f>IF(S33="","","Wenn Sie neben der Arbeit am Kunden auch Arbeitszeiten für Managementaufgaben (Büro, Besorgungen) haben, tragen Sie bitte hier die durchschnittlichen Stunden pro Woche ein")</f>
        <v/>
      </c>
      <c r="Q33" s="3355"/>
      <c r="R33" s="3355"/>
      <c r="S33" s="3358" t="str">
        <f>IF(C26="","",IF('2 Unternehmensdaten'!F$6="ja","Wichtige Eingabe",""))</f>
        <v/>
      </c>
      <c r="T33" s="3359"/>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row>
    <row r="34" spans="1:57" ht="23.4" customHeight="1">
      <c r="A34" s="615"/>
      <c r="B34" s="3395"/>
      <c r="C34" s="1617">
        <f>'4 Eingabe Friseure'!N6</f>
        <v>44927</v>
      </c>
      <c r="D34" s="198">
        <f>'4 Eingabe Friseure'!O6</f>
        <v>44959</v>
      </c>
      <c r="E34" s="198">
        <f>'4 Eingabe Friseure'!P6</f>
        <v>44991</v>
      </c>
      <c r="F34" s="198">
        <f>'4 Eingabe Friseure'!Q6</f>
        <v>45023</v>
      </c>
      <c r="G34" s="198">
        <f>'4 Eingabe Friseure'!R6</f>
        <v>45055</v>
      </c>
      <c r="H34" s="198">
        <f>'4 Eingabe Friseure'!S6</f>
        <v>45087</v>
      </c>
      <c r="I34" s="198">
        <f>'4 Eingabe Friseure'!T6</f>
        <v>45119</v>
      </c>
      <c r="J34" s="198">
        <f>'4 Eingabe Friseure'!U6</f>
        <v>45151</v>
      </c>
      <c r="K34" s="198">
        <f>'4 Eingabe Friseure'!V6</f>
        <v>45183</v>
      </c>
      <c r="L34" s="198">
        <f>'4 Eingabe Friseure'!W6</f>
        <v>45215</v>
      </c>
      <c r="M34" s="198">
        <f>'4 Eingabe Friseure'!X6</f>
        <v>45247</v>
      </c>
      <c r="N34" s="198">
        <f>'4 Eingabe Friseure'!Y6</f>
        <v>45279</v>
      </c>
      <c r="O34" s="1618" t="s">
        <v>315</v>
      </c>
      <c r="P34" s="3268"/>
      <c r="Q34" s="3355"/>
      <c r="R34" s="3355"/>
      <c r="S34" s="3335" t="str">
        <f>IF(S33="",""," ↓ ↓")</f>
        <v/>
      </c>
      <c r="T34" s="3360"/>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row>
    <row r="35" spans="1:57" ht="23.4" customHeight="1">
      <c r="A35" s="645"/>
      <c r="B35" s="3395"/>
      <c r="C35" s="1492">
        <v>1</v>
      </c>
      <c r="D35" s="1492">
        <v>1</v>
      </c>
      <c r="E35" s="1492">
        <v>1</v>
      </c>
      <c r="F35" s="1492">
        <v>1</v>
      </c>
      <c r="G35" s="1492">
        <v>1</v>
      </c>
      <c r="H35" s="1492">
        <v>1</v>
      </c>
      <c r="I35" s="1492">
        <v>1</v>
      </c>
      <c r="J35" s="1492">
        <v>1</v>
      </c>
      <c r="K35" s="1492">
        <v>1</v>
      </c>
      <c r="L35" s="1492">
        <v>1</v>
      </c>
      <c r="M35" s="1492">
        <v>1</v>
      </c>
      <c r="N35" s="1492">
        <v>1</v>
      </c>
      <c r="O35" s="3206">
        <f>IF(C26="",0,IF(O30&gt;0,'2 Unternehmensdaten'!K25,SUM(C35:N35)))</f>
        <v>12</v>
      </c>
      <c r="P35" s="3268"/>
      <c r="Q35" s="3355"/>
      <c r="R35" s="3355"/>
      <c r="S35" s="3361"/>
      <c r="T35" s="3362"/>
      <c r="V35" s="615"/>
      <c r="W35" s="615" t="s">
        <v>971</v>
      </c>
      <c r="X35" s="615">
        <f>'2 Unternehmensdaten'!K25</f>
        <v>12</v>
      </c>
      <c r="Y35" s="615" t="s">
        <v>924</v>
      </c>
      <c r="Z35" s="615">
        <v>52</v>
      </c>
      <c r="AA35" s="615" t="s">
        <v>966</v>
      </c>
      <c r="AB35" s="615"/>
      <c r="AC35" s="615"/>
      <c r="AD35" s="615"/>
      <c r="AE35" s="615"/>
      <c r="AF35" s="615"/>
      <c r="AG35" s="615"/>
      <c r="AH35" s="615"/>
      <c r="AI35" s="615"/>
      <c r="AJ35" s="615"/>
      <c r="AK35" s="615"/>
      <c r="AL35" s="615"/>
      <c r="AM35" s="615"/>
      <c r="AN35" s="615"/>
      <c r="AO35" s="615"/>
      <c r="AP35" s="615"/>
      <c r="AQ35" s="615"/>
      <c r="AR35" s="615"/>
      <c r="AS35" s="615"/>
      <c r="AT35" s="615"/>
      <c r="AU35" s="615"/>
      <c r="AV35" s="615"/>
      <c r="AW35" s="615"/>
      <c r="AX35" s="615"/>
      <c r="AY35" s="615"/>
      <c r="AZ35" s="615"/>
      <c r="BA35" s="615"/>
      <c r="BB35" s="615"/>
      <c r="BC35" s="615"/>
      <c r="BD35" s="615"/>
      <c r="BE35" s="615"/>
    </row>
    <row r="36" spans="1:57" ht="23.4" customHeight="1">
      <c r="A36" s="615"/>
      <c r="B36" s="3395"/>
      <c r="C36" s="3380" t="str">
        <f>C18</f>
        <v>Wie viel Stunden arbeiten Sie pro Tag am Kunden? Büroarbeit zählt hier nicht dazu, nur die Arbeit am Kunden.</v>
      </c>
      <c r="D36" s="3381"/>
      <c r="E36" s="3381"/>
      <c r="F36" s="3381"/>
      <c r="G36" s="3381"/>
      <c r="H36" s="3381"/>
      <c r="I36" s="3381"/>
      <c r="J36" s="3381"/>
      <c r="K36" s="3381"/>
      <c r="L36" s="3382"/>
      <c r="M36" s="3383"/>
      <c r="N36" s="3384"/>
      <c r="O36" s="619"/>
      <c r="P36" s="3356"/>
      <c r="Q36" s="3357"/>
      <c r="R36" s="3357"/>
      <c r="S36" s="3363" t="str">
        <f>IF(S33="","hier nichts eingeben","Büro-Stunden 
pro Woche")</f>
        <v>hier nichts eingeben</v>
      </c>
      <c r="T36" s="3364"/>
      <c r="V36" s="615"/>
      <c r="W36" s="615"/>
      <c r="X36" s="1643">
        <f>Z35/Z36</f>
        <v>4.333333333333333</v>
      </c>
      <c r="Y36" s="615" t="s">
        <v>965</v>
      </c>
      <c r="Z36" s="615">
        <v>12</v>
      </c>
      <c r="AA36" s="615" t="s">
        <v>924</v>
      </c>
      <c r="AB36" s="615"/>
      <c r="AC36" s="615"/>
      <c r="AD36" s="615"/>
      <c r="AE36" s="615"/>
      <c r="AF36" s="615"/>
      <c r="AG36" s="615"/>
      <c r="AH36" s="615"/>
      <c r="AI36" s="615"/>
      <c r="AJ36" s="615"/>
      <c r="AK36" s="615"/>
      <c r="AL36" s="615"/>
      <c r="AM36" s="615"/>
      <c r="AN36" s="615"/>
      <c r="AO36" s="615"/>
      <c r="AP36" s="615"/>
      <c r="AQ36" s="615"/>
      <c r="AR36" s="615"/>
      <c r="AS36" s="615"/>
      <c r="AT36" s="615"/>
      <c r="AU36" s="615"/>
      <c r="AV36" s="615"/>
      <c r="AW36" s="615"/>
      <c r="AX36" s="615"/>
      <c r="AY36" s="615"/>
      <c r="AZ36" s="615"/>
      <c r="BA36" s="615"/>
      <c r="BB36" s="615"/>
      <c r="BC36" s="615"/>
      <c r="BD36" s="615"/>
      <c r="BE36" s="615"/>
    </row>
    <row r="37" spans="1:57" ht="23.4" customHeight="1">
      <c r="A37" s="615"/>
      <c r="B37" s="3395"/>
      <c r="C37" s="2634" t="str">
        <f>C19</f>
        <v>Montag</v>
      </c>
      <c r="D37" s="57" t="str">
        <f>D19</f>
        <v>Dienstag</v>
      </c>
      <c r="E37" s="57" t="str">
        <f>E19</f>
        <v>Mittwoch</v>
      </c>
      <c r="F37" s="2633" t="str">
        <f>F19</f>
        <v>Donnerstag</v>
      </c>
      <c r="G37" s="57" t="str">
        <f>G19</f>
        <v>Freitag</v>
      </c>
      <c r="H37" s="57" t="str">
        <f>H19</f>
        <v>Samstag</v>
      </c>
      <c r="I37" s="380">
        <f>AVERAGE(I38:I41)</f>
        <v>0</v>
      </c>
      <c r="J37" s="3207">
        <f>IF(I37=0,0,SUM(J38:J41)/COUNTIF(J38:J41,"&gt;0"))</f>
        <v>0</v>
      </c>
      <c r="K37" s="615" t="s">
        <v>1036</v>
      </c>
      <c r="L37" s="1537">
        <f>ROUND(J37*4.33*O35,2)</f>
        <v>0</v>
      </c>
      <c r="M37" s="615">
        <f>L37</f>
        <v>0</v>
      </c>
      <c r="N37" s="1537" t="s">
        <v>987</v>
      </c>
      <c r="O37" s="615"/>
      <c r="P37" s="3208"/>
      <c r="Q37" s="615"/>
      <c r="R37" s="615"/>
      <c r="S37" s="615"/>
      <c r="T37" s="2895"/>
      <c r="V37" s="615"/>
      <c r="W37" s="615" t="s">
        <v>967</v>
      </c>
      <c r="X37" s="2897">
        <f>X35*X36</f>
        <v>52</v>
      </c>
      <c r="Y37" s="1645"/>
      <c r="Z37" s="615">
        <f>2/12*'2 Unternehmensdaten'!K25</f>
        <v>2</v>
      </c>
      <c r="AA37" s="1645"/>
      <c r="AB37" s="1645"/>
      <c r="AC37" s="615"/>
      <c r="AD37" s="615"/>
      <c r="AE37" s="615"/>
      <c r="AF37" s="615"/>
      <c r="AG37" s="615"/>
      <c r="AH37" s="615"/>
      <c r="AI37" s="615"/>
      <c r="AJ37" s="615"/>
      <c r="AK37" s="615"/>
      <c r="AL37" s="615"/>
      <c r="AM37" s="615"/>
      <c r="AN37" s="615"/>
      <c r="AO37" s="615"/>
      <c r="AP37" s="615"/>
      <c r="AQ37" s="615"/>
      <c r="AR37" s="615"/>
      <c r="AS37" s="615"/>
      <c r="AT37" s="615"/>
      <c r="AU37" s="615"/>
      <c r="AV37" s="615"/>
      <c r="AW37" s="615"/>
    </row>
    <row r="38" spans="1:57" ht="23.4" customHeight="1">
      <c r="A38" s="615"/>
      <c r="B38" s="3395"/>
      <c r="C38" s="1492"/>
      <c r="D38" s="1492"/>
      <c r="E38" s="1492"/>
      <c r="F38" s="1492"/>
      <c r="G38" s="1492"/>
      <c r="H38" s="1492"/>
      <c r="I38" s="1233">
        <f>SUM(C38:H38)</f>
        <v>0</v>
      </c>
      <c r="J38" s="1619">
        <f>COUNTIF(C38:H38,"&gt;0")</f>
        <v>0</v>
      </c>
      <c r="K38" s="1266" t="s">
        <v>1037</v>
      </c>
      <c r="L38" s="3209" t="e">
        <f>I37/J37*L37</f>
        <v>#DIV/0!</v>
      </c>
      <c r="M38" s="1643">
        <f>M37/O35*N41</f>
        <v>0</v>
      </c>
      <c r="N38" s="1537" t="s">
        <v>988</v>
      </c>
      <c r="O38" s="615"/>
      <c r="P38" s="615"/>
      <c r="Q38" s="615"/>
      <c r="R38" s="615"/>
      <c r="S38" s="615"/>
      <c r="T38" s="2895"/>
      <c r="V38" s="615"/>
      <c r="W38" s="615" t="s">
        <v>968</v>
      </c>
      <c r="X38" s="2897">
        <f>X37*Z39%</f>
        <v>50</v>
      </c>
      <c r="Y38" s="615"/>
      <c r="Z38" s="1819">
        <f>Z37/Z35*100</f>
        <v>3.8461538461538463</v>
      </c>
      <c r="AA38" s="615" t="s">
        <v>28</v>
      </c>
      <c r="AB38" s="615"/>
      <c r="AC38" s="615"/>
      <c r="AD38" s="615"/>
      <c r="AE38" s="615"/>
      <c r="AF38" s="615"/>
      <c r="AG38" s="615"/>
      <c r="AH38" s="615"/>
      <c r="AI38" s="615"/>
      <c r="AJ38" s="615"/>
      <c r="AK38" s="615"/>
      <c r="AL38" s="615"/>
      <c r="AM38" s="615"/>
      <c r="AN38" s="615"/>
      <c r="AO38" s="615"/>
      <c r="AP38" s="615"/>
      <c r="AQ38" s="615"/>
      <c r="AR38" s="615"/>
      <c r="AS38" s="615"/>
      <c r="AT38" s="615"/>
      <c r="AU38" s="615"/>
      <c r="AV38" s="615"/>
      <c r="AW38" s="615"/>
    </row>
    <row r="39" spans="1:57" ht="23.4" customHeight="1">
      <c r="A39" s="615"/>
      <c r="B39" s="3395"/>
      <c r="C39" s="1492"/>
      <c r="D39" s="1492"/>
      <c r="E39" s="1492"/>
      <c r="F39" s="1492"/>
      <c r="G39" s="1492"/>
      <c r="H39" s="1492"/>
      <c r="I39" s="1233" t="str">
        <f>IF(SUM(C39:H39)=0,"",(SUM(C39:H39)))</f>
        <v/>
      </c>
      <c r="J39" s="1619">
        <f>COUNTIF(C39:H39,"&gt;0")</f>
        <v>0</v>
      </c>
      <c r="K39" s="1266" t="s">
        <v>1041</v>
      </c>
      <c r="L39" s="3209" t="e">
        <f>L38*N41</f>
        <v>#DIV/0!</v>
      </c>
      <c r="M39" s="615"/>
      <c r="N39" s="1819">
        <f>IF(O35=0,0,O35*N41)</f>
        <v>9.9995999999999992</v>
      </c>
      <c r="O39" s="615">
        <f>ROUND(L37/12*(12-O35)*O41,0)</f>
        <v>0</v>
      </c>
      <c r="P39" s="1819">
        <f>O35*M38</f>
        <v>0</v>
      </c>
      <c r="Q39" s="615" t="s">
        <v>1040</v>
      </c>
      <c r="R39" s="615" t="s">
        <v>1040</v>
      </c>
      <c r="S39" s="615" t="s">
        <v>1040</v>
      </c>
      <c r="T39" s="2895"/>
      <c r="V39" s="615"/>
      <c r="W39" s="615"/>
      <c r="X39" s="615"/>
      <c r="Y39" s="615"/>
      <c r="Z39" s="1819">
        <f>(100-Z38)</f>
        <v>96.15384615384616</v>
      </c>
      <c r="AA39" s="615" t="s">
        <v>28</v>
      </c>
      <c r="AB39" s="615"/>
      <c r="AC39" s="615"/>
      <c r="AD39" s="615"/>
      <c r="AE39" s="615"/>
      <c r="AF39" s="615"/>
      <c r="AG39" s="615"/>
      <c r="AH39" s="615"/>
      <c r="AI39" s="615"/>
      <c r="AJ39" s="615"/>
      <c r="AK39" s="615"/>
      <c r="AL39" s="615"/>
      <c r="AM39" s="615"/>
      <c r="AN39" s="615"/>
      <c r="AO39" s="615"/>
      <c r="AP39" s="615"/>
      <c r="AQ39" s="615"/>
      <c r="AR39" s="615"/>
      <c r="AS39" s="615"/>
      <c r="AT39" s="615"/>
      <c r="AU39" s="615"/>
      <c r="AV39" s="615"/>
      <c r="AW39" s="615"/>
    </row>
    <row r="40" spans="1:57" ht="23.4" customHeight="1">
      <c r="A40" s="615"/>
      <c r="B40" s="3395"/>
      <c r="C40" s="1492"/>
      <c r="D40" s="1492"/>
      <c r="E40" s="1492"/>
      <c r="F40" s="1492"/>
      <c r="G40" s="1492"/>
      <c r="H40" s="1492"/>
      <c r="I40" s="1233" t="str">
        <f>IF(SUM(C40:H40)=0,"",(SUM(C40:H40)))</f>
        <v/>
      </c>
      <c r="J40" s="1619">
        <f>COUNTIF(C40:H40,"&gt;0")</f>
        <v>0</v>
      </c>
      <c r="K40" s="1266"/>
      <c r="L40" s="3209"/>
      <c r="M40" s="1643"/>
      <c r="N40" s="615" t="s">
        <v>1038</v>
      </c>
      <c r="O40" s="615"/>
      <c r="P40" s="615" t="s">
        <v>1039</v>
      </c>
      <c r="Q40" s="615" t="s">
        <v>1040</v>
      </c>
      <c r="R40" s="615" t="s">
        <v>1040</v>
      </c>
      <c r="S40" s="615" t="s">
        <v>1040</v>
      </c>
      <c r="T40" s="2895"/>
      <c r="V40" s="615"/>
      <c r="W40" s="615" t="s">
        <v>969</v>
      </c>
      <c r="X40" s="2897">
        <f>X38*X42</f>
        <v>300</v>
      </c>
      <c r="Y40" s="615"/>
      <c r="Z40" s="615"/>
      <c r="AA40" s="615"/>
      <c r="AB40" s="615"/>
      <c r="AC40" s="615"/>
      <c r="AD40" s="615"/>
      <c r="AE40" s="615"/>
      <c r="AF40" s="615"/>
      <c r="AG40" s="615"/>
      <c r="AH40" s="615"/>
      <c r="AI40" s="615"/>
      <c r="AJ40" s="615"/>
      <c r="AK40" s="615"/>
      <c r="AL40" s="615"/>
      <c r="AM40" s="615"/>
      <c r="AN40" s="615"/>
      <c r="AO40" s="615"/>
      <c r="AP40" s="615"/>
      <c r="AQ40" s="615"/>
      <c r="AR40" s="615"/>
      <c r="AS40" s="615"/>
      <c r="AT40" s="615"/>
      <c r="AU40" s="615"/>
      <c r="AV40" s="615"/>
      <c r="AW40" s="615"/>
    </row>
    <row r="41" spans="1:57" ht="23.4" customHeight="1">
      <c r="A41" s="615"/>
      <c r="B41" s="280"/>
      <c r="C41" s="1492"/>
      <c r="D41" s="1492"/>
      <c r="E41" s="1492"/>
      <c r="F41" s="1492"/>
      <c r="G41" s="1492"/>
      <c r="H41" s="1492"/>
      <c r="I41" s="1233" t="str">
        <f>IF(SUM(C41:H41)=0,"",(SUM(C41:H41)))</f>
        <v/>
      </c>
      <c r="J41" s="1619">
        <f>COUNTIF(C41:H41,"&gt;0")</f>
        <v>0</v>
      </c>
      <c r="K41" s="1266"/>
      <c r="L41" s="3209"/>
      <c r="M41" s="1643"/>
      <c r="N41" s="3211">
        <f>$AC$20/100</f>
        <v>0.83329999999999993</v>
      </c>
      <c r="O41" s="3211">
        <f>$Z$39/100</f>
        <v>0.96153846153846156</v>
      </c>
      <c r="P41" s="615"/>
      <c r="Q41" s="615" t="s">
        <v>1040</v>
      </c>
      <c r="R41" s="615" t="s">
        <v>1040</v>
      </c>
      <c r="S41" s="615" t="s">
        <v>1040</v>
      </c>
      <c r="T41" s="2895"/>
      <c r="V41" s="615"/>
      <c r="W41" s="615" t="s">
        <v>924</v>
      </c>
      <c r="X41" s="615" t="s">
        <v>979</v>
      </c>
      <c r="Y41" s="615" t="s">
        <v>980</v>
      </c>
      <c r="Z41" s="615"/>
      <c r="AA41" s="615" t="s">
        <v>981</v>
      </c>
      <c r="AB41" s="615" t="s">
        <v>982</v>
      </c>
      <c r="AC41" s="615" t="s">
        <v>983</v>
      </c>
      <c r="AD41" s="615"/>
      <c r="AE41" s="615"/>
      <c r="AF41" s="615"/>
      <c r="AG41" s="615"/>
      <c r="AH41" s="615"/>
      <c r="AI41" s="615"/>
      <c r="AJ41" s="615"/>
      <c r="AK41" s="615"/>
      <c r="AL41" s="615"/>
      <c r="AM41" s="615"/>
      <c r="AN41" s="615"/>
      <c r="AO41" s="615"/>
      <c r="AP41" s="615"/>
      <c r="AQ41" s="615"/>
      <c r="AR41" s="615"/>
      <c r="AS41" s="615"/>
      <c r="AT41" s="615"/>
      <c r="AU41" s="615"/>
      <c r="AV41" s="615"/>
      <c r="AW41" s="615"/>
    </row>
    <row r="42" spans="1:57" ht="46.8" customHeight="1">
      <c r="A42" s="615"/>
      <c r="B42" s="2601"/>
      <c r="C42" s="3402" t="str">
        <f>IF(O5&gt;1,"Eintragung der Arbeitszeiten pro Woche siehe oben","")</f>
        <v/>
      </c>
      <c r="D42" s="3402"/>
      <c r="E42" s="3402"/>
      <c r="F42" s="3402"/>
      <c r="G42" s="3402"/>
      <c r="H42" s="3402"/>
      <c r="I42" s="3402"/>
      <c r="J42" s="3402"/>
      <c r="K42" s="2649"/>
      <c r="L42" s="2650"/>
      <c r="M42" s="615"/>
      <c r="N42" s="1819">
        <f>IF(O38=0,0,O38*N44)</f>
        <v>0</v>
      </c>
      <c r="O42" s="615">
        <f>ROUND(L40/12*(12-O38)*O44,0)</f>
        <v>0</v>
      </c>
      <c r="P42" s="1819">
        <f>O38*M41</f>
        <v>0</v>
      </c>
      <c r="Q42" s="615" t="s">
        <v>1040</v>
      </c>
      <c r="R42" s="615"/>
      <c r="S42" s="615"/>
      <c r="T42" s="2896"/>
      <c r="V42" s="615"/>
      <c r="W42" s="615">
        <f>X35</f>
        <v>12</v>
      </c>
      <c r="X42" s="615">
        <f>'2 Unternehmensdaten'!I35</f>
        <v>6</v>
      </c>
      <c r="Y42" s="1819">
        <f>X42*$X$36*AB42</f>
        <v>25.012</v>
      </c>
      <c r="Z42" s="615" t="s">
        <v>970</v>
      </c>
      <c r="AA42" s="615">
        <f>W42*Y42</f>
        <v>300.14400000000001</v>
      </c>
      <c r="AB42" s="2898">
        <v>0.96199999999999997</v>
      </c>
      <c r="AC42" s="615">
        <f>AA42*AB42</f>
        <v>288.73852799999997</v>
      </c>
      <c r="AD42" s="615"/>
      <c r="AE42" s="615"/>
      <c r="AF42" s="615"/>
      <c r="AG42" s="615"/>
      <c r="AH42" s="615"/>
      <c r="AI42" s="615"/>
      <c r="AJ42" s="615"/>
      <c r="AK42" s="615"/>
      <c r="AL42" s="615"/>
      <c r="AM42" s="615"/>
      <c r="AN42" s="615"/>
      <c r="AO42" s="615"/>
      <c r="AP42" s="615"/>
      <c r="AQ42" s="615"/>
      <c r="AR42" s="615"/>
      <c r="AS42" s="615"/>
      <c r="AT42" s="615"/>
      <c r="AU42" s="615"/>
      <c r="AV42" s="615"/>
      <c r="AW42" s="615"/>
    </row>
    <row r="43" spans="1:57" ht="23.4" customHeight="1">
      <c r="A43" s="615"/>
      <c r="B43" s="615"/>
      <c r="C43" s="1188" t="str">
        <f>IF(I20=0,"Zuerst Chef/in 1 eintragen","")</f>
        <v/>
      </c>
      <c r="T43" s="2894"/>
      <c r="V43" s="615"/>
      <c r="W43" s="615"/>
      <c r="X43" s="615"/>
      <c r="Y43" s="615"/>
      <c r="Z43" s="1819"/>
      <c r="AA43" s="615"/>
      <c r="AB43" s="615"/>
      <c r="AC43" s="615"/>
      <c r="AD43" s="615"/>
      <c r="AE43" s="615"/>
      <c r="AF43" s="615"/>
      <c r="AG43" s="615"/>
      <c r="AH43" s="615"/>
      <c r="AI43" s="615"/>
      <c r="AJ43" s="615"/>
      <c r="AK43" s="615"/>
      <c r="AL43" s="615"/>
      <c r="AM43" s="615"/>
      <c r="AN43" s="615"/>
      <c r="AO43" s="615"/>
      <c r="AP43" s="615"/>
      <c r="AQ43" s="615"/>
      <c r="AR43" s="615"/>
      <c r="AS43" s="615"/>
      <c r="AT43" s="615"/>
      <c r="AU43" s="615"/>
      <c r="AV43" s="615"/>
      <c r="AW43" s="615"/>
    </row>
    <row r="44" spans="1:57" ht="23.4" customHeight="1">
      <c r="A44" s="615"/>
      <c r="B44" s="3400" t="s">
        <v>1284</v>
      </c>
      <c r="C44" s="3385" t="str">
        <f>'2 Unternehmensdaten'!P10</f>
        <v xml:space="preserve"> </v>
      </c>
      <c r="D44" s="3386"/>
      <c r="E44" s="3386"/>
      <c r="F44" s="3387"/>
      <c r="G44" s="1165"/>
      <c r="H44" s="1165"/>
      <c r="I44" s="1165"/>
      <c r="J44" s="1165"/>
      <c r="K44" s="1165"/>
      <c r="O44" s="615">
        <f>IF('2 Unternehmensdaten'!K10="",0,1)</f>
        <v>0</v>
      </c>
      <c r="P44" s="2652"/>
      <c r="Q44" s="2651"/>
      <c r="R44" s="2651"/>
      <c r="S44" s="2651"/>
      <c r="T44" s="2895"/>
      <c r="U44" s="615"/>
      <c r="V44" s="615"/>
      <c r="W44" s="615"/>
      <c r="X44" s="615"/>
      <c r="Y44" s="615"/>
      <c r="Z44" s="615"/>
      <c r="AA44" s="615"/>
      <c r="AB44" s="615"/>
      <c r="AC44" s="615"/>
      <c r="AD44" s="615"/>
      <c r="AE44" s="615"/>
      <c r="AF44" s="615"/>
      <c r="AG44" s="615"/>
      <c r="AH44" s="615"/>
      <c r="AI44" s="615"/>
      <c r="AJ44" s="615"/>
      <c r="AK44" s="615"/>
      <c r="AL44" s="615"/>
      <c r="AM44" s="615"/>
      <c r="AN44" s="615"/>
      <c r="AO44" s="615"/>
      <c r="AP44" s="615"/>
      <c r="AQ44" s="615"/>
      <c r="AR44" s="615"/>
      <c r="AS44" s="615"/>
      <c r="AT44" s="615"/>
      <c r="AU44" s="615"/>
      <c r="AV44" s="615"/>
      <c r="AW44" s="615"/>
    </row>
    <row r="45" spans="1:57" ht="23.4" customHeight="1">
      <c r="A45" s="615"/>
      <c r="B45" s="3400"/>
      <c r="C45" s="174"/>
      <c r="D45" s="174"/>
      <c r="E45" s="407"/>
      <c r="F45" s="174"/>
      <c r="H45" s="406"/>
      <c r="I45" s="406"/>
      <c r="J45" s="406"/>
      <c r="N45" s="2892"/>
      <c r="O45" s="2892"/>
      <c r="P45" s="3182"/>
      <c r="Q45" s="3174"/>
      <c r="R45" s="3365" t="str">
        <f>IF(C44="","",IF('2 Unternehmensdaten'!F$6="ja"," Für GbR - Chefs:",""))</f>
        <v/>
      </c>
      <c r="S45" s="3365"/>
      <c r="T45" s="3366"/>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615"/>
      <c r="AR45" s="615"/>
      <c r="AS45" s="615"/>
      <c r="AT45" s="615"/>
      <c r="AU45" s="615"/>
      <c r="AV45" s="615"/>
      <c r="AW45" s="615"/>
    </row>
    <row r="46" spans="1:57" ht="23.4" customHeight="1">
      <c r="A46" s="2598"/>
      <c r="B46" s="3400"/>
      <c r="N46" s="2892"/>
      <c r="O46" s="2892"/>
      <c r="P46" s="3171"/>
      <c r="Q46" s="3367" t="str">
        <f>IF(C44="","",IF('2 Unternehmensdaten'!F$6="ja","Geben Sie unten bitte Ihre geplanten Urlaubs- und eventuelle Krankheitswochen ein","Hier nichts eingeben                                            .     ↓       ↓      ↓ "))</f>
        <v xml:space="preserve">Hier nichts eingeben                                            .     ↓       ↓      ↓ </v>
      </c>
      <c r="R46" s="3367"/>
      <c r="S46" s="3367"/>
      <c r="T46" s="3368"/>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row>
    <row r="47" spans="1:57" ht="23.4" customHeight="1">
      <c r="A47" s="1645"/>
      <c r="B47" s="3400"/>
      <c r="C47" s="3" t="s">
        <v>321</v>
      </c>
      <c r="P47" s="3171"/>
      <c r="Q47" s="3367"/>
      <c r="R47" s="3367"/>
      <c r="S47" s="3367"/>
      <c r="T47" s="3368"/>
      <c r="U47" s="619"/>
      <c r="V47" s="615"/>
      <c r="W47" s="615"/>
      <c r="X47" s="615"/>
      <c r="Y47" s="615"/>
      <c r="Z47" s="615"/>
      <c r="AA47" s="615"/>
      <c r="AB47" s="615"/>
      <c r="AC47" s="615"/>
      <c r="AD47" s="615"/>
      <c r="AE47" s="615"/>
      <c r="AF47" s="615"/>
      <c r="AG47" s="615"/>
      <c r="AH47" s="615"/>
      <c r="AI47" s="615"/>
      <c r="AJ47" s="615"/>
      <c r="AK47" s="615"/>
      <c r="AL47" s="615"/>
      <c r="AM47" s="615"/>
      <c r="AN47" s="615"/>
      <c r="AO47" s="615"/>
      <c r="AP47" s="615"/>
      <c r="AQ47" s="615"/>
      <c r="AR47" s="615"/>
      <c r="AS47" s="615"/>
      <c r="AT47" s="615"/>
      <c r="AU47" s="615"/>
    </row>
    <row r="48" spans="1:57" ht="23.4" customHeight="1">
      <c r="A48" s="615"/>
      <c r="B48" s="3400"/>
      <c r="C48" s="3373" t="str">
        <f>C30</f>
        <v>Unten sind die möglichen Arbeitsmonate mit 1,0 markiert.</v>
      </c>
      <c r="D48" s="3374"/>
      <c r="E48" s="3374"/>
      <c r="F48" s="3374"/>
      <c r="G48" s="3374"/>
      <c r="H48" s="3374"/>
      <c r="I48" s="3374"/>
      <c r="J48" s="3374"/>
      <c r="K48" s="3374"/>
      <c r="L48" s="3374"/>
      <c r="M48" s="3374"/>
      <c r="N48" s="222"/>
      <c r="O48" s="616"/>
      <c r="Q48" s="615"/>
      <c r="R48" s="3353"/>
      <c r="S48" s="3353"/>
      <c r="T48" s="753"/>
      <c r="U48" s="619"/>
      <c r="V48" s="615"/>
      <c r="W48" s="615"/>
      <c r="X48" s="615"/>
      <c r="Y48" s="615"/>
      <c r="Z48" s="615"/>
      <c r="AA48" s="615"/>
      <c r="AB48" s="615"/>
      <c r="AC48" s="615"/>
      <c r="AD48" s="615"/>
      <c r="AE48" s="615"/>
      <c r="AF48" s="615"/>
      <c r="AG48" s="615"/>
      <c r="AH48" s="615"/>
      <c r="AI48" s="615"/>
      <c r="AJ48" s="615"/>
      <c r="AK48" s="615"/>
      <c r="AL48" s="615"/>
      <c r="AM48" s="615"/>
      <c r="AN48" s="615"/>
      <c r="AO48" s="615"/>
      <c r="AP48" s="615"/>
      <c r="AQ48" s="615"/>
      <c r="AR48" s="615"/>
      <c r="AS48" s="615"/>
      <c r="AT48" s="615"/>
      <c r="AU48" s="615"/>
    </row>
    <row r="49" spans="1:47" ht="23.4" customHeight="1">
      <c r="A49" s="615"/>
      <c r="B49" s="3400"/>
      <c r="C49" s="3375"/>
      <c r="D49" s="3326"/>
      <c r="E49" s="3326"/>
      <c r="F49" s="3326"/>
      <c r="G49" s="3326"/>
      <c r="H49" s="3326"/>
      <c r="I49" s="3326"/>
      <c r="J49" s="3326"/>
      <c r="K49" s="3326"/>
      <c r="L49" s="3326"/>
      <c r="M49" s="3326"/>
      <c r="O49" s="617"/>
      <c r="Q49" s="3172"/>
      <c r="R49" s="3354"/>
      <c r="S49" s="3354"/>
      <c r="T49" s="3173"/>
      <c r="U49" s="619"/>
      <c r="V49" s="615"/>
      <c r="W49" s="615"/>
      <c r="X49" s="615"/>
      <c r="Y49" s="615"/>
      <c r="Z49" s="615"/>
      <c r="AA49" s="615"/>
      <c r="AB49" s="615"/>
      <c r="AC49" s="615"/>
      <c r="AD49" s="615"/>
      <c r="AE49" s="615"/>
      <c r="AF49" s="615"/>
      <c r="AG49" s="615"/>
      <c r="AH49" s="615"/>
      <c r="AI49" s="615"/>
      <c r="AJ49" s="615"/>
      <c r="AK49" s="615"/>
      <c r="AL49" s="615"/>
      <c r="AM49" s="615"/>
      <c r="AN49" s="615"/>
      <c r="AO49" s="615"/>
      <c r="AP49" s="615"/>
      <c r="AQ49" s="615"/>
      <c r="AR49" s="615"/>
      <c r="AS49" s="615"/>
      <c r="AT49" s="615"/>
      <c r="AU49" s="615"/>
    </row>
    <row r="50" spans="1:47" ht="23.4" customHeight="1">
      <c r="A50" s="615"/>
      <c r="B50" s="3400"/>
      <c r="C50" s="3375" t="str">
        <f>C32</f>
        <v xml:space="preserve">Wenn Sie nur im Büro und nicht an Kunden arbeiten löschen Sie die 1 aus allen Monaten. Wenn Sie durch Krankheit oder aus einem anderen Grund (z.B. Schwangerschaft, Elternzeit, Lockdown) längere Zeit nicht arbeiten können oder wollen, löschen Sie bitte die 1 aus diesen Monaten.  - - - - Damit ist nicht der normale Urlaub gemeint.                           </v>
      </c>
      <c r="D50" s="3326"/>
      <c r="E50" s="3326"/>
      <c r="F50" s="3326"/>
      <c r="G50" s="3326"/>
      <c r="H50" s="3326"/>
      <c r="I50" s="3326"/>
      <c r="J50" s="3326"/>
      <c r="K50" s="3326"/>
      <c r="L50" s="3326"/>
      <c r="M50" s="3326"/>
      <c r="N50" s="3326"/>
      <c r="O50" s="3376"/>
      <c r="P50" s="3175" t="s">
        <v>1280</v>
      </c>
      <c r="Q50" s="400"/>
      <c r="R50" s="3170" t="s">
        <v>1404</v>
      </c>
      <c r="S50" s="3170">
        <f>(52-R48)/4.33</f>
        <v>12.009237875288683</v>
      </c>
      <c r="T50" s="3176"/>
      <c r="U50" s="619"/>
      <c r="V50" s="615"/>
      <c r="W50" s="615"/>
      <c r="X50" s="615"/>
      <c r="Y50" s="615"/>
      <c r="Z50" s="615"/>
      <c r="AA50" s="615"/>
      <c r="AB50" s="615"/>
      <c r="AC50" s="615"/>
      <c r="AD50" s="615"/>
      <c r="AE50" s="615"/>
      <c r="AF50" s="615"/>
      <c r="AG50" s="615"/>
      <c r="AH50" s="615"/>
      <c r="AI50" s="615"/>
      <c r="AJ50" s="615"/>
      <c r="AK50" s="615"/>
      <c r="AL50" s="615"/>
      <c r="AM50" s="615"/>
      <c r="AN50" s="615"/>
      <c r="AO50" s="615"/>
      <c r="AP50" s="615"/>
      <c r="AQ50" s="615"/>
      <c r="AR50" s="615"/>
      <c r="AS50" s="615"/>
      <c r="AT50" s="615"/>
      <c r="AU50" s="615"/>
    </row>
    <row r="51" spans="1:47" ht="33" customHeight="1">
      <c r="A51" s="615"/>
      <c r="B51" s="3400"/>
      <c r="C51" s="3375"/>
      <c r="D51" s="3326"/>
      <c r="E51" s="3326"/>
      <c r="F51" s="3326"/>
      <c r="G51" s="3326"/>
      <c r="H51" s="3326"/>
      <c r="I51" s="3326"/>
      <c r="J51" s="3326"/>
      <c r="K51" s="3326"/>
      <c r="L51" s="3326"/>
      <c r="M51" s="3326"/>
      <c r="N51" s="3326"/>
      <c r="O51" s="3376"/>
      <c r="P51" s="3268" t="str">
        <f>IF(S51="","","Wenn Sie neben der Arbeit am Kunden auch Arbeitszeiten für Managementaufgaben (Büro, Besorgungen) haben, tragen Sie bitte hier die durchschnittlichen Stunden pro Woche ein")</f>
        <v/>
      </c>
      <c r="Q51" s="3355"/>
      <c r="R51" s="3355"/>
      <c r="S51" s="3358" t="str">
        <f>IF(C44="","",IF('2 Unternehmensdaten'!F$6="ja","Wichtige Eingabe",""))</f>
        <v/>
      </c>
      <c r="T51" s="3359"/>
      <c r="U51" s="619"/>
      <c r="V51" s="615"/>
      <c r="W51" s="615"/>
      <c r="X51" s="615"/>
      <c r="Y51" s="615"/>
      <c r="Z51" s="615"/>
      <c r="AA51" s="615"/>
      <c r="AB51" s="615"/>
      <c r="AC51" s="615"/>
      <c r="AD51" s="615"/>
      <c r="AE51" s="615"/>
      <c r="AF51" s="615"/>
      <c r="AG51" s="615"/>
      <c r="AH51" s="615"/>
      <c r="AI51" s="615"/>
      <c r="AJ51" s="615"/>
      <c r="AK51" s="615"/>
      <c r="AL51" s="615"/>
      <c r="AM51" s="615"/>
      <c r="AN51" s="615"/>
      <c r="AO51" s="615"/>
      <c r="AP51" s="615"/>
      <c r="AQ51" s="615"/>
      <c r="AR51" s="615"/>
      <c r="AS51" s="615"/>
      <c r="AT51" s="615"/>
      <c r="AU51" s="615"/>
    </row>
    <row r="52" spans="1:47" ht="23.4" customHeight="1">
      <c r="A52" s="615"/>
      <c r="B52" s="3400"/>
      <c r="C52" s="1617">
        <f>C34</f>
        <v>44927</v>
      </c>
      <c r="D52" s="198">
        <f>D34</f>
        <v>44959</v>
      </c>
      <c r="E52" s="198">
        <f t="shared" ref="E52:N52" si="6">E34</f>
        <v>44991</v>
      </c>
      <c r="F52" s="198">
        <f t="shared" si="6"/>
        <v>45023</v>
      </c>
      <c r="G52" s="198">
        <f t="shared" si="6"/>
        <v>45055</v>
      </c>
      <c r="H52" s="198">
        <f t="shared" si="6"/>
        <v>45087</v>
      </c>
      <c r="I52" s="198">
        <f t="shared" si="6"/>
        <v>45119</v>
      </c>
      <c r="J52" s="198">
        <f t="shared" si="6"/>
        <v>45151</v>
      </c>
      <c r="K52" s="198">
        <f t="shared" si="6"/>
        <v>45183</v>
      </c>
      <c r="L52" s="198">
        <f t="shared" si="6"/>
        <v>45215</v>
      </c>
      <c r="M52" s="198">
        <f t="shared" si="6"/>
        <v>45247</v>
      </c>
      <c r="N52" s="198">
        <f t="shared" si="6"/>
        <v>45279</v>
      </c>
      <c r="O52" s="1618" t="s">
        <v>315</v>
      </c>
      <c r="P52" s="3268"/>
      <c r="Q52" s="3355"/>
      <c r="R52" s="3355"/>
      <c r="S52" s="3335" t="str">
        <f>IF(S51="",""," ↓ ↓")</f>
        <v/>
      </c>
      <c r="T52" s="3360"/>
      <c r="U52" s="619"/>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row>
    <row r="53" spans="1:47" ht="23.4" customHeight="1">
      <c r="A53" s="615"/>
      <c r="B53" s="3400"/>
      <c r="C53" s="1492">
        <v>1</v>
      </c>
      <c r="D53" s="1492">
        <v>1</v>
      </c>
      <c r="E53" s="1492">
        <v>1</v>
      </c>
      <c r="F53" s="1492">
        <v>1</v>
      </c>
      <c r="G53" s="1492">
        <v>1</v>
      </c>
      <c r="H53" s="1492">
        <v>1</v>
      </c>
      <c r="I53" s="1492">
        <v>1</v>
      </c>
      <c r="J53" s="1492">
        <v>1</v>
      </c>
      <c r="K53" s="1492">
        <v>1</v>
      </c>
      <c r="L53" s="1492">
        <v>1</v>
      </c>
      <c r="M53" s="1492">
        <v>1</v>
      </c>
      <c r="N53" s="1492">
        <v>1</v>
      </c>
      <c r="O53" s="3206">
        <f>IF(C44="",0,IF(O48&gt;0,'2 Unternehmensdaten'!K43,SUM(C53:N53)))</f>
        <v>12</v>
      </c>
      <c r="P53" s="3268"/>
      <c r="Q53" s="3355"/>
      <c r="R53" s="3355"/>
      <c r="S53" s="3361"/>
      <c r="T53" s="3362"/>
      <c r="U53" s="619"/>
      <c r="V53" s="615"/>
      <c r="W53" s="615"/>
      <c r="X53" s="615"/>
      <c r="Y53" s="615"/>
      <c r="Z53" s="615"/>
      <c r="AA53" s="615"/>
      <c r="AB53" s="615"/>
      <c r="AC53" s="615"/>
      <c r="AD53" s="615"/>
      <c r="AE53" s="615"/>
      <c r="AF53" s="615"/>
      <c r="AG53" s="615"/>
      <c r="AH53" s="615"/>
      <c r="AI53" s="615"/>
      <c r="AJ53" s="615"/>
      <c r="AK53" s="615"/>
      <c r="AL53" s="615"/>
      <c r="AM53" s="615"/>
      <c r="AN53" s="615"/>
      <c r="AO53" s="615"/>
      <c r="AP53" s="615"/>
      <c r="AQ53" s="615"/>
      <c r="AR53" s="615"/>
      <c r="AS53" s="615"/>
      <c r="AT53" s="615"/>
      <c r="AU53" s="615"/>
    </row>
    <row r="54" spans="1:47" ht="26.4" customHeight="1">
      <c r="A54" s="615"/>
      <c r="B54" s="3400"/>
      <c r="C54" s="3380" t="str">
        <f>C36</f>
        <v>Wie viel Stunden arbeiten Sie pro Tag am Kunden? Büroarbeit zählt hier nicht dazu, nur die Arbeit am Kunden.</v>
      </c>
      <c r="D54" s="3381"/>
      <c r="E54" s="3381"/>
      <c r="F54" s="3381"/>
      <c r="G54" s="3381"/>
      <c r="H54" s="3381"/>
      <c r="I54" s="3381"/>
      <c r="J54" s="3381"/>
      <c r="K54" s="3381"/>
      <c r="L54" s="3382"/>
      <c r="M54" s="3383"/>
      <c r="N54" s="3384"/>
      <c r="P54" s="3356"/>
      <c r="Q54" s="3357"/>
      <c r="R54" s="3357"/>
      <c r="S54" s="3363" t="str">
        <f>IF(S51="","hier nichts eingeben","Büro-Stunden 
pro Woche")</f>
        <v>hier nichts eingeben</v>
      </c>
      <c r="T54" s="3364"/>
      <c r="U54" s="619"/>
      <c r="V54" s="615"/>
      <c r="W54" s="615"/>
      <c r="X54" s="615"/>
      <c r="Y54" s="615"/>
      <c r="Z54" s="615"/>
      <c r="AA54" s="615"/>
      <c r="AB54" s="615"/>
      <c r="AC54" s="615"/>
      <c r="AD54" s="615"/>
      <c r="AE54" s="615"/>
      <c r="AF54" s="615"/>
      <c r="AG54" s="615"/>
      <c r="AH54" s="615"/>
      <c r="AI54" s="615"/>
      <c r="AJ54" s="615"/>
      <c r="AK54" s="615"/>
      <c r="AL54" s="615"/>
      <c r="AM54" s="615"/>
      <c r="AN54" s="615"/>
      <c r="AO54" s="615"/>
      <c r="AP54" s="615"/>
      <c r="AQ54" s="615"/>
      <c r="AR54" s="615"/>
      <c r="AS54" s="615"/>
      <c r="AT54" s="615"/>
      <c r="AU54" s="615"/>
    </row>
    <row r="55" spans="1:47" ht="23.4" customHeight="1">
      <c r="A55" s="615"/>
      <c r="B55" s="3400"/>
      <c r="C55" s="2634" t="str">
        <f>C37</f>
        <v>Montag</v>
      </c>
      <c r="D55" s="57" t="str">
        <f>D37</f>
        <v>Dienstag</v>
      </c>
      <c r="E55" s="57" t="str">
        <f>E37</f>
        <v>Mittwoch</v>
      </c>
      <c r="F55" s="2633" t="str">
        <f>F37</f>
        <v>Donnerstag</v>
      </c>
      <c r="G55" s="57" t="str">
        <f>G37</f>
        <v>Freitag</v>
      </c>
      <c r="H55" s="57" t="str">
        <f>H37</f>
        <v>Samstag</v>
      </c>
      <c r="I55" s="380">
        <f>AVERAGE(I56:I59)</f>
        <v>0</v>
      </c>
      <c r="J55" s="3207">
        <f>IF(I55=0,0,SUM(J56:J59)/COUNTIF(J56:J59,"&gt;0"))</f>
        <v>0</v>
      </c>
      <c r="K55" s="615" t="s">
        <v>1036</v>
      </c>
      <c r="L55" s="1537">
        <f>ROUND(J55*4.33*O53,2)</f>
        <v>0</v>
      </c>
      <c r="M55" s="615">
        <f>L55</f>
        <v>0</v>
      </c>
      <c r="N55" s="1537" t="s">
        <v>987</v>
      </c>
      <c r="O55" s="615"/>
      <c r="P55" s="3208"/>
      <c r="Q55" s="615"/>
      <c r="R55" s="615"/>
      <c r="S55" s="615"/>
      <c r="T55" s="2895"/>
      <c r="U55" s="619"/>
      <c r="V55" s="615"/>
      <c r="W55" s="615"/>
      <c r="X55" s="615"/>
      <c r="Y55" s="615"/>
      <c r="Z55" s="615"/>
      <c r="AA55" s="615"/>
      <c r="AB55" s="615"/>
      <c r="AC55" s="615"/>
      <c r="AD55" s="615"/>
      <c r="AE55" s="615"/>
      <c r="AF55" s="615"/>
      <c r="AG55" s="615"/>
      <c r="AH55" s="615"/>
      <c r="AI55" s="615"/>
      <c r="AJ55" s="615"/>
      <c r="AK55" s="615"/>
      <c r="AL55" s="615"/>
      <c r="AM55" s="615"/>
      <c r="AN55" s="615"/>
      <c r="AO55" s="615"/>
      <c r="AP55" s="615"/>
      <c r="AQ55" s="615"/>
      <c r="AR55" s="615"/>
      <c r="AS55" s="615"/>
      <c r="AT55" s="615"/>
      <c r="AU55" s="615"/>
    </row>
    <row r="56" spans="1:47" ht="23.4" customHeight="1">
      <c r="A56" s="615"/>
      <c r="B56" s="3400"/>
      <c r="C56" s="1492"/>
      <c r="D56" s="1492"/>
      <c r="E56" s="1492"/>
      <c r="F56" s="1492"/>
      <c r="G56" s="1492"/>
      <c r="H56" s="1492"/>
      <c r="I56" s="1233">
        <f>SUM(C56:H56)</f>
        <v>0</v>
      </c>
      <c r="J56" s="1619">
        <f>COUNTIF(C56:H56,"&gt;0")</f>
        <v>0</v>
      </c>
      <c r="K56" s="1266" t="s">
        <v>1037</v>
      </c>
      <c r="L56" s="3209" t="e">
        <f>I55/J55*L55</f>
        <v>#DIV/0!</v>
      </c>
      <c r="M56" s="1643">
        <f>M55/O53*N59</f>
        <v>0</v>
      </c>
      <c r="N56" s="1537" t="s">
        <v>988</v>
      </c>
      <c r="O56" s="615"/>
      <c r="P56" s="615"/>
      <c r="Q56" s="615"/>
      <c r="R56" s="615"/>
      <c r="S56" s="615"/>
      <c r="T56" s="2895"/>
      <c r="V56" s="615"/>
      <c r="W56" s="615"/>
      <c r="X56" s="615"/>
      <c r="Y56" s="615"/>
      <c r="Z56" s="615"/>
      <c r="AA56" s="615"/>
      <c r="AB56" s="615"/>
      <c r="AC56" s="615"/>
      <c r="AD56" s="615"/>
      <c r="AE56" s="615"/>
      <c r="AF56" s="615"/>
      <c r="AG56" s="615"/>
      <c r="AH56" s="615"/>
      <c r="AI56" s="615"/>
      <c r="AJ56" s="615"/>
      <c r="AK56" s="615"/>
      <c r="AL56" s="615"/>
      <c r="AM56" s="615"/>
      <c r="AN56" s="615"/>
      <c r="AO56" s="615"/>
      <c r="AP56" s="615"/>
      <c r="AQ56" s="615"/>
      <c r="AR56" s="615"/>
      <c r="AS56" s="615"/>
      <c r="AT56" s="615"/>
      <c r="AU56" s="615"/>
    </row>
    <row r="57" spans="1:47" ht="23.4" customHeight="1">
      <c r="A57" s="615"/>
      <c r="B57" s="3400"/>
      <c r="C57" s="1492"/>
      <c r="D57" s="1492"/>
      <c r="E57" s="1492"/>
      <c r="F57" s="1492"/>
      <c r="G57" s="1492"/>
      <c r="H57" s="1492"/>
      <c r="I57" s="1233" t="str">
        <f>IF(SUM(C57:H57)=0,"",(SUM(C57:H57)))</f>
        <v/>
      </c>
      <c r="J57" s="1619">
        <f>COUNTIF(C57:H57,"&gt;0")</f>
        <v>0</v>
      </c>
      <c r="K57" s="1266" t="s">
        <v>1041</v>
      </c>
      <c r="L57" s="3209" t="e">
        <f>L56*N59</f>
        <v>#DIV/0!</v>
      </c>
      <c r="M57" s="615"/>
      <c r="N57" s="1819">
        <f>IF(O53=0,0,O53*N59)</f>
        <v>9.9995999999999992</v>
      </c>
      <c r="O57" s="615">
        <f>ROUND(L55/12*(12-O53)*O59,0)</f>
        <v>0</v>
      </c>
      <c r="P57" s="1819">
        <f>O53*M56</f>
        <v>0</v>
      </c>
      <c r="Q57" s="615" t="s">
        <v>1040</v>
      </c>
      <c r="R57" s="615" t="s">
        <v>1040</v>
      </c>
      <c r="S57" s="615" t="s">
        <v>1040</v>
      </c>
      <c r="T57" s="2895"/>
      <c r="V57" s="615"/>
      <c r="W57" s="615"/>
      <c r="X57" s="615"/>
      <c r="Y57" s="615"/>
      <c r="Z57" s="615"/>
      <c r="AA57" s="615"/>
      <c r="AB57" s="615"/>
      <c r="AC57" s="615"/>
      <c r="AD57" s="615"/>
      <c r="AE57" s="615"/>
      <c r="AF57" s="615"/>
      <c r="AG57" s="615"/>
      <c r="AH57" s="615"/>
      <c r="AI57" s="615"/>
      <c r="AJ57" s="615"/>
      <c r="AK57" s="615"/>
      <c r="AL57" s="615"/>
      <c r="AM57" s="615"/>
      <c r="AN57" s="615"/>
      <c r="AO57" s="615"/>
      <c r="AP57" s="615"/>
      <c r="AQ57" s="615"/>
      <c r="AR57" s="615"/>
      <c r="AS57" s="615"/>
      <c r="AT57" s="615"/>
      <c r="AU57" s="615"/>
    </row>
    <row r="58" spans="1:47" ht="23.4" customHeight="1">
      <c r="A58" s="615"/>
      <c r="B58" s="3400"/>
      <c r="C58" s="1492"/>
      <c r="D58" s="1492"/>
      <c r="E58" s="1492"/>
      <c r="F58" s="1492"/>
      <c r="G58" s="1492"/>
      <c r="H58" s="1492"/>
      <c r="I58" s="1233" t="str">
        <f>IF(SUM(C58:H58)=0,"",(SUM(C58:H58)))</f>
        <v/>
      </c>
      <c r="J58" s="1619">
        <f>COUNTIF(C58:H58,"&gt;0")</f>
        <v>0</v>
      </c>
      <c r="K58" s="1266"/>
      <c r="L58" s="3209"/>
      <c r="M58" s="1643"/>
      <c r="N58" s="615" t="s">
        <v>1038</v>
      </c>
      <c r="O58" s="615"/>
      <c r="P58" s="615" t="s">
        <v>1039</v>
      </c>
      <c r="Q58" s="615" t="s">
        <v>1040</v>
      </c>
      <c r="R58" s="615" t="s">
        <v>1040</v>
      </c>
      <c r="S58" s="615" t="s">
        <v>1040</v>
      </c>
      <c r="T58" s="2895"/>
      <c r="V58" s="615"/>
      <c r="W58" s="615"/>
      <c r="X58" s="615"/>
      <c r="Y58" s="615"/>
      <c r="Z58" s="615"/>
      <c r="AA58" s="615"/>
      <c r="AB58" s="615"/>
      <c r="AC58" s="615"/>
      <c r="AD58" s="615"/>
      <c r="AE58" s="615"/>
      <c r="AF58" s="615"/>
      <c r="AG58" s="615"/>
      <c r="AH58" s="615"/>
      <c r="AI58" s="615"/>
      <c r="AJ58" s="615"/>
      <c r="AK58" s="615"/>
      <c r="AL58" s="615"/>
      <c r="AM58" s="615"/>
      <c r="AN58" s="615"/>
      <c r="AO58" s="615"/>
      <c r="AP58" s="615"/>
      <c r="AQ58" s="615"/>
      <c r="AR58" s="615"/>
      <c r="AS58" s="615"/>
      <c r="AT58" s="615"/>
      <c r="AU58" s="615"/>
    </row>
    <row r="59" spans="1:47" ht="23.4" customHeight="1">
      <c r="A59" s="615"/>
      <c r="B59" s="2613"/>
      <c r="C59" s="1492"/>
      <c r="D59" s="1492"/>
      <c r="E59" s="1492"/>
      <c r="F59" s="1492"/>
      <c r="G59" s="1492"/>
      <c r="H59" s="1492"/>
      <c r="I59" s="1233" t="str">
        <f>IF(SUM(C59:H59)=0,"",(SUM(C59:H59)))</f>
        <v/>
      </c>
      <c r="J59" s="1619">
        <f>COUNTIF(C59:H59,"&gt;0")</f>
        <v>0</v>
      </c>
      <c r="K59" s="1266"/>
      <c r="L59" s="3209"/>
      <c r="M59" s="1643"/>
      <c r="N59" s="3211">
        <f>$AC$20/100</f>
        <v>0.83329999999999993</v>
      </c>
      <c r="O59" s="3211">
        <f>$Z$39/100</f>
        <v>0.96153846153846156</v>
      </c>
      <c r="P59" s="615"/>
      <c r="Q59" s="615" t="s">
        <v>1040</v>
      </c>
      <c r="R59" s="615" t="s">
        <v>1040</v>
      </c>
      <c r="S59" s="615" t="s">
        <v>1040</v>
      </c>
      <c r="T59" s="2895"/>
      <c r="V59" s="615"/>
      <c r="W59" s="615"/>
      <c r="X59" s="615"/>
      <c r="Y59" s="615"/>
      <c r="Z59" s="615"/>
      <c r="AA59" s="615"/>
      <c r="AB59" s="615"/>
      <c r="AC59" s="615"/>
      <c r="AD59" s="615"/>
      <c r="AE59" s="615"/>
      <c r="AF59" s="615"/>
      <c r="AG59" s="615"/>
      <c r="AH59" s="615"/>
      <c r="AI59" s="615"/>
      <c r="AJ59" s="615"/>
      <c r="AK59" s="615"/>
      <c r="AL59" s="615"/>
      <c r="AM59" s="615"/>
      <c r="AN59" s="615"/>
      <c r="AO59" s="615"/>
      <c r="AP59" s="615"/>
      <c r="AQ59" s="615"/>
      <c r="AR59" s="615"/>
      <c r="AS59" s="615"/>
      <c r="AT59" s="615"/>
      <c r="AU59" s="615"/>
    </row>
    <row r="60" spans="1:47" ht="52.8" customHeight="1">
      <c r="B60" s="2646"/>
      <c r="C60" s="3369" t="str">
        <f>IF(O5&gt;2,"Eintragung der Arbeitszeiten pro Woche siehe oben","")</f>
        <v/>
      </c>
      <c r="D60" s="3369"/>
      <c r="E60" s="3369"/>
      <c r="F60" s="3369"/>
      <c r="G60" s="3369"/>
      <c r="H60" s="3369"/>
      <c r="I60" s="3369"/>
      <c r="J60" s="2647"/>
      <c r="K60" s="2647"/>
      <c r="L60" s="2648"/>
      <c r="M60" s="615"/>
      <c r="N60" s="1819">
        <f>IF(O56=0,0,O56*N62)</f>
        <v>0</v>
      </c>
      <c r="O60" s="615">
        <f>ROUND(L58/12*(12-O56)*O62,0)</f>
        <v>0</v>
      </c>
      <c r="P60" s="1819">
        <f>O56*M59</f>
        <v>0</v>
      </c>
      <c r="Q60" s="615" t="s">
        <v>1040</v>
      </c>
      <c r="R60" s="615"/>
      <c r="S60" s="615"/>
      <c r="T60" s="2894"/>
    </row>
  </sheetData>
  <sheetProtection algorithmName="SHA-512" hashValue="VXpfW+1hvIMyorxReBx6DYzeAkz5NkimQs+sXTQWfDigzQmCIVuUHBmUILjHt+Xw6HDC8WTZ/IMYZs86jFGBeQ==" saltValue="gTRgHlP21HCPPGkEjbfUtA==" spinCount="100000" sheet="1" objects="1" scenarios="1"/>
  <customSheetViews>
    <customSheetView guid="{91EE9386-9500-473B-B86C-27DB8DF0BA46}" showGridLines="0">
      <selection activeCell="L19" sqref="L19"/>
      <pageMargins left="0.78740157499999996" right="0.78740157499999996" top="0.984251969" bottom="0.984251969" header="0.5" footer="0.5"/>
      <pageSetup paperSize="9" orientation="landscape" r:id="rId1"/>
      <headerFooter alignWithMargins="0"/>
    </customSheetView>
    <customSheetView guid="{B8019777-F14C-4393-8CE3-CE0081D0CD28}" showGridLines="0">
      <selection activeCell="L19" sqref="L19"/>
      <pageMargins left="0.78740157499999996" right="0.78740157499999996" top="0.984251969" bottom="0.984251969" header="0.5" footer="0.5"/>
      <pageSetup paperSize="9" orientation="landscape" r:id="rId2"/>
      <headerFooter alignWithMargins="0"/>
    </customSheetView>
  </customSheetViews>
  <mergeCells count="56">
    <mergeCell ref="U14:V14"/>
    <mergeCell ref="C48:M49"/>
    <mergeCell ref="J24:K24"/>
    <mergeCell ref="B44:B58"/>
    <mergeCell ref="B5:B18"/>
    <mergeCell ref="C42:J42"/>
    <mergeCell ref="H5:M5"/>
    <mergeCell ref="C9:M9"/>
    <mergeCell ref="N10:P11"/>
    <mergeCell ref="R12:S13"/>
    <mergeCell ref="R9:T9"/>
    <mergeCell ref="Q10:T11"/>
    <mergeCell ref="P33:R36"/>
    <mergeCell ref="S33:T33"/>
    <mergeCell ref="S34:T34"/>
    <mergeCell ref="S35:T35"/>
    <mergeCell ref="A30:A31"/>
    <mergeCell ref="C26:F26"/>
    <mergeCell ref="B26:B40"/>
    <mergeCell ref="C24:I24"/>
    <mergeCell ref="C30:M31"/>
    <mergeCell ref="M36:N36"/>
    <mergeCell ref="C36:L36"/>
    <mergeCell ref="C32:O33"/>
    <mergeCell ref="C60:I60"/>
    <mergeCell ref="C3:N4"/>
    <mergeCell ref="O2:O4"/>
    <mergeCell ref="C10:L11"/>
    <mergeCell ref="C12:M13"/>
    <mergeCell ref="C14:O15"/>
    <mergeCell ref="C5:F5"/>
    <mergeCell ref="O12:P13"/>
    <mergeCell ref="C18:L18"/>
    <mergeCell ref="C50:O51"/>
    <mergeCell ref="C54:L54"/>
    <mergeCell ref="M54:N54"/>
    <mergeCell ref="C44:F44"/>
    <mergeCell ref="N9:P9"/>
    <mergeCell ref="B1:N2"/>
    <mergeCell ref="P15:R18"/>
    <mergeCell ref="S15:T15"/>
    <mergeCell ref="S16:T16"/>
    <mergeCell ref="S17:T17"/>
    <mergeCell ref="R45:T45"/>
    <mergeCell ref="Q46:T47"/>
    <mergeCell ref="S36:T36"/>
    <mergeCell ref="R27:T27"/>
    <mergeCell ref="Q28:T29"/>
    <mergeCell ref="R30:S31"/>
    <mergeCell ref="S18:T18"/>
    <mergeCell ref="R48:S49"/>
    <mergeCell ref="P51:R54"/>
    <mergeCell ref="S51:T51"/>
    <mergeCell ref="S52:T52"/>
    <mergeCell ref="S53:T53"/>
    <mergeCell ref="S54:T54"/>
  </mergeCells>
  <phoneticPr fontId="4" type="noConversion"/>
  <pageMargins left="0.78740157499999996" right="0.78740157499999996" top="0.984251969" bottom="0.984251969" header="0.5" footer="0.5"/>
  <pageSetup paperSize="9" scale="70" orientation="landscape" r:id="rId3"/>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41"/>
  <sheetViews>
    <sheetView showGridLines="0" zoomScaleNormal="100" workbookViewId="0">
      <selection activeCell="G7" sqref="G7"/>
    </sheetView>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0.44140625" style="34" bestFit="1" customWidth="1"/>
    <col min="6" max="6" width="12.554687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9.21875" style="34" customWidth="1"/>
    <col min="17" max="16384" width="9.21875" style="34"/>
  </cols>
  <sheetData>
    <row r="1" spans="1:16" ht="33" customHeight="1">
      <c r="A1" s="1242" t="s">
        <v>1010</v>
      </c>
      <c r="G1" s="1324"/>
      <c r="M1" s="4231" t="s">
        <v>846</v>
      </c>
      <c r="N1" s="4231"/>
      <c r="O1" s="4231"/>
      <c r="P1" s="4231"/>
    </row>
    <row r="2" spans="1:16" ht="18" customHeight="1">
      <c r="A2" s="4420" t="s">
        <v>346</v>
      </c>
      <c r="B2" s="4421"/>
      <c r="C2" s="4421"/>
      <c r="D2" s="4421"/>
      <c r="E2" s="4418" t="s">
        <v>1014</v>
      </c>
      <c r="F2" s="4419"/>
      <c r="G2" s="485" t="s">
        <v>348</v>
      </c>
      <c r="I2" s="1308">
        <f>P15</f>
        <v>6.8063333333333338</v>
      </c>
      <c r="J2" s="1309" t="s">
        <v>812</v>
      </c>
      <c r="K2" s="1310"/>
      <c r="L2" s="619"/>
      <c r="M2" s="3444" t="s">
        <v>845</v>
      </c>
      <c r="N2" s="3444"/>
      <c r="O2" s="3444"/>
      <c r="P2" s="3444"/>
    </row>
    <row r="3" spans="1:16" ht="18" customHeight="1">
      <c r="A3" s="4422"/>
      <c r="B3" s="4423"/>
      <c r="C3" s="4423"/>
      <c r="D3" s="4423"/>
      <c r="E3" s="475">
        <f>I7</f>
        <v>6.8063333333333338</v>
      </c>
      <c r="F3" s="456" t="s">
        <v>330</v>
      </c>
      <c r="G3" s="457">
        <f ca="1">IF(N28="",E3/E13,E3/F13)</f>
        <v>0.13027052282247154</v>
      </c>
      <c r="I3" s="1311"/>
      <c r="J3" s="3788" t="s">
        <v>847</v>
      </c>
      <c r="K3" s="3787"/>
      <c r="M3" s="3444"/>
      <c r="N3" s="3444"/>
      <c r="O3" s="3444"/>
      <c r="P3" s="3444"/>
    </row>
    <row r="4" spans="1:16" ht="15" customHeight="1">
      <c r="A4" s="188" t="s">
        <v>349</v>
      </c>
      <c r="B4" s="14"/>
      <c r="C4" s="14"/>
      <c r="D4" s="14"/>
      <c r="E4" s="14"/>
      <c r="F4" s="417"/>
      <c r="G4" s="458"/>
      <c r="H4" s="216"/>
      <c r="I4" s="428"/>
      <c r="J4" s="3788"/>
      <c r="K4" s="3787"/>
      <c r="M4" s="4450"/>
      <c r="N4" s="4450"/>
      <c r="O4" s="4450"/>
      <c r="P4" s="4450"/>
    </row>
    <row r="5" spans="1:16" ht="15" customHeight="1">
      <c r="A5" s="459"/>
      <c r="B5" s="460" t="s">
        <v>350</v>
      </c>
      <c r="C5" s="460"/>
      <c r="D5" s="1679" t="s">
        <v>1005</v>
      </c>
      <c r="E5" s="461">
        <f>I9</f>
        <v>45</v>
      </c>
      <c r="F5" s="462" t="s">
        <v>351</v>
      </c>
      <c r="G5" s="458"/>
      <c r="I5" s="1311"/>
      <c r="J5" s="3788" t="s">
        <v>848</v>
      </c>
      <c r="K5" s="3787"/>
      <c r="M5" s="655" t="s">
        <v>362</v>
      </c>
      <c r="N5" s="656"/>
      <c r="O5" s="656" t="s">
        <v>478</v>
      </c>
      <c r="P5" s="569"/>
    </row>
    <row r="6" spans="1:16" ht="15" customHeight="1">
      <c r="A6" s="463" t="s">
        <v>220</v>
      </c>
      <c r="B6" s="595" t="s">
        <v>353</v>
      </c>
      <c r="C6" s="464">
        <f ca="1">IF(J23="",'28 PK pro Minute'!G17,K23)</f>
        <v>0.55254649655756016</v>
      </c>
      <c r="D6" s="1680">
        <f>D10</f>
        <v>0.7</v>
      </c>
      <c r="E6" s="465">
        <f ca="1">C6*E5</f>
        <v>24.864592345090209</v>
      </c>
      <c r="F6" s="466" t="str">
        <f>F3</f>
        <v>€</v>
      </c>
      <c r="G6" s="457">
        <f ca="1">IF(N28="",E6/E13,E6/F13)</f>
        <v>0.47589844427678019</v>
      </c>
      <c r="I6" s="428"/>
      <c r="J6" s="3788"/>
      <c r="K6" s="3787"/>
      <c r="M6" s="173" t="s">
        <v>476</v>
      </c>
      <c r="N6" s="57" t="s">
        <v>481</v>
      </c>
      <c r="O6" s="36" t="s">
        <v>477</v>
      </c>
      <c r="P6" s="659" t="s">
        <v>330</v>
      </c>
    </row>
    <row r="7" spans="1:16" ht="15">
      <c r="A7" s="467" t="s">
        <v>354</v>
      </c>
      <c r="B7" s="468"/>
      <c r="C7" s="468"/>
      <c r="D7" s="468"/>
      <c r="E7" s="469">
        <f ca="1">SUM(E6,E3)</f>
        <v>31.670925678423544</v>
      </c>
      <c r="F7" s="470" t="str">
        <f>F6</f>
        <v>€</v>
      </c>
      <c r="G7" s="458"/>
      <c r="I7" s="1312">
        <f>IF(I3="",SUM(I2+I5),SUM(I3,I5))</f>
        <v>6.8063333333333338</v>
      </c>
      <c r="J7" s="534" t="s">
        <v>849</v>
      </c>
      <c r="K7" s="618"/>
      <c r="M7" s="654">
        <v>90</v>
      </c>
      <c r="N7" s="509">
        <v>8.9</v>
      </c>
      <c r="O7" s="508">
        <v>60</v>
      </c>
      <c r="P7" s="570">
        <f>IF(M7="",0,N7/M7*O7)</f>
        <v>5.9333333333333336</v>
      </c>
    </row>
    <row r="8" spans="1:16" ht="15" customHeight="1">
      <c r="A8" s="187" t="s">
        <v>355</v>
      </c>
      <c r="B8" s="2"/>
      <c r="C8" s="2"/>
      <c r="D8" s="2"/>
      <c r="E8" s="2"/>
      <c r="F8" s="417"/>
      <c r="G8" s="458"/>
      <c r="M8" s="658" t="s">
        <v>363</v>
      </c>
      <c r="N8" s="657"/>
      <c r="O8" s="656" t="s">
        <v>478</v>
      </c>
      <c r="P8" s="572"/>
    </row>
    <row r="9" spans="1:16" ht="15">
      <c r="A9" s="187"/>
      <c r="B9" s="460" t="s">
        <v>350</v>
      </c>
      <c r="C9" s="460"/>
      <c r="D9" s="1679" t="s">
        <v>1005</v>
      </c>
      <c r="E9" s="14">
        <f>E5</f>
        <v>45</v>
      </c>
      <c r="F9" s="462" t="s">
        <v>351</v>
      </c>
      <c r="G9" s="458"/>
      <c r="I9" s="1313">
        <v>45</v>
      </c>
      <c r="J9" s="1314" t="s">
        <v>352</v>
      </c>
      <c r="K9" s="616"/>
      <c r="M9" s="173" t="s">
        <v>476</v>
      </c>
      <c r="N9" s="657" t="s">
        <v>482</v>
      </c>
      <c r="O9" s="36" t="s">
        <v>477</v>
      </c>
      <c r="P9" s="617"/>
    </row>
    <row r="10" spans="1:16" ht="15" customHeight="1">
      <c r="A10" s="463" t="s">
        <v>220</v>
      </c>
      <c r="B10" s="476" t="s">
        <v>356</v>
      </c>
      <c r="C10" s="464">
        <f ca="1">IF(J21="",'29 GK pro Minute'!G12,M21)</f>
        <v>0.33</v>
      </c>
      <c r="D10" s="1680">
        <f>IF(J21="",J20,J21)</f>
        <v>0.7</v>
      </c>
      <c r="E10" s="465">
        <f ca="1">E9*C10</f>
        <v>14.850000000000001</v>
      </c>
      <c r="F10" s="466" t="str">
        <f>F7</f>
        <v>€</v>
      </c>
      <c r="G10" s="457">
        <f ca="1">IF(N28="",E10/E13,E10/F13)</f>
        <v>0.28422311532107875</v>
      </c>
      <c r="I10" s="428"/>
      <c r="J10" s="3788" t="s">
        <v>1151</v>
      </c>
      <c r="K10" s="3787"/>
      <c r="M10" s="654">
        <v>1000</v>
      </c>
      <c r="N10" s="509">
        <v>9.6999999999999993</v>
      </c>
      <c r="O10" s="508">
        <v>90</v>
      </c>
      <c r="P10" s="570">
        <f>IF(M10="",0,N10/M10*O10)</f>
        <v>0.87299999999999989</v>
      </c>
    </row>
    <row r="11" spans="1:16" ht="15">
      <c r="A11" s="467" t="s">
        <v>357</v>
      </c>
      <c r="B11" s="471"/>
      <c r="C11" s="471"/>
      <c r="D11" s="471"/>
      <c r="E11" s="3109">
        <f ca="1">SUM(E7,E10)</f>
        <v>46.520925678423545</v>
      </c>
      <c r="F11" s="3119" t="str">
        <f>IF(N28="","",E11)</f>
        <v/>
      </c>
      <c r="G11" s="457">
        <f ca="1">IF(N$28="",E11/E$13,F11/F$13)</f>
        <v>0.89039208242033052</v>
      </c>
      <c r="I11" s="428"/>
      <c r="J11" s="3788"/>
      <c r="K11" s="3787"/>
      <c r="M11" s="571"/>
      <c r="N11" s="497"/>
      <c r="O11" s="497"/>
      <c r="P11" s="573">
        <f>SUM(P7:P10)</f>
        <v>6.8063333333333338</v>
      </c>
    </row>
    <row r="12" spans="1:16" ht="15">
      <c r="A12" s="472" t="s">
        <v>358</v>
      </c>
      <c r="B12" s="151"/>
      <c r="C12" s="473">
        <f>IF(L17="",I14,"")</f>
        <v>0.10960791757966955</v>
      </c>
      <c r="D12" s="3110" t="str">
        <f>IF(L17="","",I14)</f>
        <v/>
      </c>
      <c r="E12" s="474">
        <f ca="1">IF(C12="","",(E11/(100%-C12)*C12))</f>
        <v>5.7267600287167078</v>
      </c>
      <c r="F12" s="3120" t="str">
        <f>IF(N28="","",(F11/(100%-D12)*D12))</f>
        <v/>
      </c>
      <c r="G12" s="457">
        <f ca="1">IF(N$28="",E12/E$13,F12/F$13)</f>
        <v>0.10960791757966956</v>
      </c>
      <c r="I12" s="42"/>
      <c r="J12" s="4438"/>
      <c r="K12" s="4439"/>
      <c r="M12" s="574"/>
      <c r="N12" s="497" t="s">
        <v>479</v>
      </c>
      <c r="O12" s="497"/>
      <c r="P12" s="570">
        <f>P11*M12</f>
        <v>0</v>
      </c>
    </row>
    <row r="13" spans="1:16" ht="15">
      <c r="A13" s="467" t="s">
        <v>360</v>
      </c>
      <c r="B13" s="471"/>
      <c r="C13" s="471"/>
      <c r="D13" s="471"/>
      <c r="E13" s="469">
        <f ca="1">IF(C12="","",SUM(E11:E12))</f>
        <v>52.247685707140249</v>
      </c>
      <c r="F13" s="3119" t="str">
        <f>IF(N28="","",SUM(F11:F12))</f>
        <v/>
      </c>
      <c r="G13" s="457">
        <f ca="1">SUM(G11:G12)</f>
        <v>1</v>
      </c>
      <c r="M13" s="571"/>
      <c r="N13" s="497"/>
      <c r="O13" s="497"/>
      <c r="P13" s="573">
        <f>P11-P12</f>
        <v>6.8063333333333338</v>
      </c>
    </row>
    <row r="14" spans="1:16" ht="15">
      <c r="A14" s="472" t="s">
        <v>257</v>
      </c>
      <c r="B14" s="364">
        <f>'29 GK pro Minute'!I1</f>
        <v>0.19</v>
      </c>
      <c r="C14" s="19"/>
      <c r="D14" s="19"/>
      <c r="E14" s="474">
        <f ca="1">IF(C12="","",E13*B14)</f>
        <v>9.9270602843566476</v>
      </c>
      <c r="F14" s="3120" t="str">
        <f>IF(N28="","",F13*B14)</f>
        <v/>
      </c>
      <c r="G14" s="457">
        <f>B14</f>
        <v>0.19</v>
      </c>
      <c r="I14" s="3117">
        <f>IF(I16=0,M16,I16)</f>
        <v>0.10960791757966955</v>
      </c>
      <c r="J14" s="4442" t="str">
        <f>IF(L17="","berechneter Gewinnaufschlag","neu berechneter Gewinnaufschlag")</f>
        <v>berechneter Gewinnaufschlag</v>
      </c>
      <c r="K14" s="4442"/>
      <c r="L14" s="142"/>
      <c r="M14" s="574"/>
      <c r="N14" s="497" t="s">
        <v>480</v>
      </c>
      <c r="O14" s="497"/>
      <c r="P14" s="570">
        <f>P13*M14</f>
        <v>0</v>
      </c>
    </row>
    <row r="15" spans="1:16" ht="15">
      <c r="A15" s="3144" t="s">
        <v>1389</v>
      </c>
      <c r="B15" s="1240"/>
      <c r="C15" s="1240"/>
      <c r="D15" s="1240"/>
      <c r="E15" s="1241">
        <f ca="1">IF(C12="","",SUM(E13:E14))</f>
        <v>62.174745991496899</v>
      </c>
      <c r="F15" s="3121" t="str">
        <f>IF(N28="","",SUM(F13:F14))</f>
        <v/>
      </c>
      <c r="G15" s="457">
        <f ca="1">G13+G14</f>
        <v>1.19</v>
      </c>
      <c r="J15" s="3444" t="s">
        <v>850</v>
      </c>
      <c r="K15" s="3444"/>
      <c r="M15" s="575"/>
      <c r="N15" s="576"/>
      <c r="O15" s="660" t="s">
        <v>330</v>
      </c>
      <c r="P15" s="577">
        <f>P13-P14</f>
        <v>6.8063333333333338</v>
      </c>
    </row>
    <row r="16" spans="1:16" ht="15" customHeight="1" thickBot="1">
      <c r="A16" s="1243"/>
      <c r="B16" s="3114" t="s">
        <v>351</v>
      </c>
      <c r="C16" s="3115">
        <f>E5</f>
        <v>45</v>
      </c>
      <c r="D16" s="3116" t="str">
        <f>IF(C12="","","pro Minute")</f>
        <v>pro Minute</v>
      </c>
      <c r="E16" s="3145">
        <f ca="1">IF(C12="","",E15/C16)</f>
        <v>1.3816610220332644</v>
      </c>
      <c r="F16" s="3122" t="str">
        <f>IF(N28="","",F15/C16)</f>
        <v/>
      </c>
      <c r="G16" s="3111" t="str">
        <f>IF(N28="","","pro Minute")</f>
        <v/>
      </c>
      <c r="I16" s="680"/>
      <c r="J16" s="3444"/>
      <c r="K16" s="3444"/>
      <c r="L16" s="615">
        <f>'27 Gewinnaufschlag'!$BP$60/100</f>
        <v>0.10960791757966955</v>
      </c>
      <c r="M16" s="615">
        <f>IF(L17="",L16,L17)</f>
        <v>0.10960791757966955</v>
      </c>
    </row>
    <row r="17" spans="1:21" ht="16.2" thickBot="1">
      <c r="C17" s="3113"/>
      <c r="D17" s="3113" t="str">
        <f>IF(K21="","","geänderte Auslastung")</f>
        <v/>
      </c>
      <c r="E17" s="3125" t="str">
        <f>IF(J21="","",J21)</f>
        <v/>
      </c>
      <c r="F17" s="2456"/>
      <c r="J17" s="3444"/>
      <c r="K17" s="3444"/>
      <c r="L17" s="615" t="str">
        <f>IF('27 Gewinnaufschlag'!N2="","",'27 Gewinnaufschlag'!AD60/100)</f>
        <v/>
      </c>
      <c r="M17" s="615"/>
    </row>
    <row r="18" spans="1:21" ht="17.25" customHeight="1">
      <c r="A18" s="4426" t="s">
        <v>1391</v>
      </c>
      <c r="B18" s="4427"/>
      <c r="C18" s="4430" t="s">
        <v>1390</v>
      </c>
      <c r="D18" s="4430"/>
      <c r="E18" s="4430"/>
      <c r="F18" s="4430" t="s">
        <v>1386</v>
      </c>
      <c r="G18" s="4434"/>
      <c r="I18" s="3373" t="s">
        <v>1382</v>
      </c>
      <c r="J18" s="3374"/>
      <c r="K18" s="3374"/>
      <c r="L18" s="3374"/>
      <c r="M18" s="4447"/>
    </row>
    <row r="19" spans="1:21" s="142" customFormat="1" ht="17.25" customHeight="1">
      <c r="A19" s="4428"/>
      <c r="B19" s="4429"/>
      <c r="C19" s="4431"/>
      <c r="D19" s="4431"/>
      <c r="E19" s="4431"/>
      <c r="F19" s="4431"/>
      <c r="G19" s="4432"/>
      <c r="I19" s="428"/>
      <c r="J19" s="34"/>
      <c r="K19" s="365" t="s">
        <v>1006</v>
      </c>
      <c r="L19" s="34"/>
      <c r="M19" s="617" t="s">
        <v>1007</v>
      </c>
    </row>
    <row r="20" spans="1:21" ht="18" customHeight="1">
      <c r="A20" s="2508"/>
      <c r="B20" s="3127"/>
      <c r="C20" s="3108"/>
      <c r="D20" s="3146">
        <f ca="1">IF(F15="",E15,F15)</f>
        <v>62.174745991496899</v>
      </c>
      <c r="F20" s="3126" t="str">
        <f>IF(B20="","",((D20/B20*100)-100)/100)</f>
        <v/>
      </c>
      <c r="G20" s="610"/>
      <c r="I20" s="428" t="s">
        <v>1005</v>
      </c>
      <c r="J20" s="364">
        <f>'28 PK pro Minute'!G22</f>
        <v>0.7</v>
      </c>
      <c r="K20" s="1677">
        <f ca="1">'28 PK pro Minute'!G17</f>
        <v>0.55254649655756016</v>
      </c>
      <c r="L20" s="76" t="s">
        <v>330</v>
      </c>
      <c r="M20" s="1695">
        <f ca="1">'29 GK pro Minute'!G12</f>
        <v>0.33</v>
      </c>
    </row>
    <row r="21" spans="1:21" ht="18" customHeight="1">
      <c r="A21" s="4436" t="s">
        <v>1413</v>
      </c>
      <c r="B21" s="1165"/>
      <c r="C21" s="3403"/>
      <c r="D21" s="1165"/>
      <c r="E21" s="1165"/>
      <c r="F21" s="1165"/>
      <c r="G21" s="610"/>
      <c r="I21" s="1320" t="s">
        <v>874</v>
      </c>
      <c r="J21" s="1678"/>
      <c r="K21" s="1677" t="str">
        <f>IF(J21="","",K20/J21*J20)</f>
        <v/>
      </c>
      <c r="L21" s="197" t="s">
        <v>330</v>
      </c>
      <c r="M21" s="1695" t="str">
        <f>IF(J21="","",M20/J21*J20)</f>
        <v/>
      </c>
    </row>
    <row r="22" spans="1:21" ht="18" customHeight="1">
      <c r="A22" s="4436"/>
      <c r="B22" s="4435" t="str">
        <f>IF(B24="","Geben Sie Ihren zukünftigen Preis ein","Mein Preis in Zukunft")</f>
        <v>Geben Sie Ihren zukünftigen Preis ein</v>
      </c>
      <c r="C22" s="3403"/>
      <c r="D22" s="4433" t="s">
        <v>1392</v>
      </c>
      <c r="E22" s="4433"/>
      <c r="F22" s="4431" t="s">
        <v>1387</v>
      </c>
      <c r="G22" s="4432"/>
    </row>
    <row r="23" spans="1:21" ht="18" customHeight="1">
      <c r="A23" s="3231"/>
      <c r="B23" s="4435"/>
      <c r="C23" s="1165"/>
      <c r="D23" s="4433"/>
      <c r="E23" s="4433"/>
      <c r="F23" s="4431"/>
      <c r="G23" s="4432"/>
      <c r="I23" s="3941" t="str">
        <f>IF(N28="","",IF(N28&gt;0,N23,IF(N28&lt;0,N25)))</f>
        <v/>
      </c>
      <c r="J23" s="3941"/>
      <c r="K23" s="3941"/>
      <c r="L23" s="3941"/>
      <c r="M23" s="3941"/>
      <c r="N23" s="615" t="s">
        <v>1383</v>
      </c>
    </row>
    <row r="24" spans="1:21" ht="14.55" customHeight="1">
      <c r="A24" s="2508"/>
      <c r="B24" s="3127"/>
      <c r="D24" s="3125" t="str">
        <f>IF(B24="","",((B24/D20*100)-100)/100)</f>
        <v/>
      </c>
      <c r="F24" s="3124">
        <f>B20</f>
        <v>0</v>
      </c>
      <c r="G24" s="3224" t="str">
        <f>IF(B20="","",((B24/B20*100)-100)/100)</f>
        <v/>
      </c>
      <c r="I24" s="3941"/>
      <c r="J24" s="3941"/>
      <c r="K24" s="3941"/>
      <c r="L24" s="3941"/>
      <c r="M24" s="3941"/>
      <c r="N24" s="615"/>
    </row>
    <row r="25" spans="1:21" ht="18" customHeight="1">
      <c r="A25" s="2508"/>
      <c r="G25" s="610"/>
      <c r="I25" s="3941"/>
      <c r="J25" s="3941"/>
      <c r="K25" s="3941"/>
      <c r="L25" s="3941"/>
      <c r="M25" s="3941"/>
      <c r="N25" s="615" t="s">
        <v>1384</v>
      </c>
      <c r="P25" s="34" t="s">
        <v>471</v>
      </c>
      <c r="Q25" s="34" t="s">
        <v>35</v>
      </c>
      <c r="R25" s="34" t="s">
        <v>342</v>
      </c>
      <c r="S25" s="34" t="s">
        <v>472</v>
      </c>
      <c r="T25" s="34" t="s">
        <v>473</v>
      </c>
    </row>
    <row r="26" spans="1:21" ht="18" customHeight="1">
      <c r="A26" s="2508"/>
      <c r="C26" s="3143" t="s">
        <v>1388</v>
      </c>
      <c r="D26" s="3129"/>
      <c r="E26" s="3129"/>
      <c r="F26" s="3129"/>
      <c r="G26" s="3225"/>
      <c r="I26" s="3941"/>
      <c r="J26" s="3941"/>
      <c r="K26" s="3941"/>
      <c r="L26" s="3941"/>
      <c r="M26" s="3941"/>
      <c r="P26" s="1698">
        <f>E3</f>
        <v>6.8063333333333338</v>
      </c>
      <c r="Q26" s="1698">
        <f ca="1">E6</f>
        <v>24.864592345090209</v>
      </c>
      <c r="R26" s="1698">
        <f ca="1">E10</f>
        <v>14.850000000000001</v>
      </c>
      <c r="S26" s="1698">
        <f ca="1">IF(F12="",E12,F12)</f>
        <v>5.7267600287167078</v>
      </c>
      <c r="T26" s="1698">
        <f ca="1">IF(F14="",E14,F14)</f>
        <v>9.9270602843566476</v>
      </c>
    </row>
    <row r="27" spans="1:21" ht="18" customHeight="1">
      <c r="A27" s="2508"/>
      <c r="C27" s="3131"/>
      <c r="D27" s="4425" t="s">
        <v>1385</v>
      </c>
      <c r="E27" s="4425"/>
      <c r="F27" s="3132">
        <f>B24</f>
        <v>0</v>
      </c>
      <c r="G27" s="3226"/>
      <c r="I27" s="3941"/>
      <c r="J27" s="3941"/>
      <c r="K27" s="3941"/>
      <c r="L27" s="3941"/>
      <c r="M27" s="3941"/>
    </row>
    <row r="28" spans="1:21"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21" ht="18" customHeight="1">
      <c r="A29" s="2508"/>
      <c r="C29" s="3131"/>
      <c r="D29" s="3136" t="str">
        <f>IF(E28&gt;0,"um den neu kalkulierten Umsatz zu erwirtschaften","und der Umsatz blieb gleich")</f>
        <v>um den neu kalkulierten Umsatz zu erwirtschaften</v>
      </c>
      <c r="E29" s="3137"/>
      <c r="F29" s="3138"/>
      <c r="G29" s="3226"/>
    </row>
    <row r="30" spans="1:21" ht="18" customHeight="1" thickBot="1">
      <c r="A30" s="2509"/>
      <c r="B30" s="774"/>
      <c r="C30" s="3227"/>
      <c r="D30" s="3228"/>
      <c r="E30" s="3229"/>
      <c r="F30" s="3229"/>
      <c r="G30" s="3230"/>
      <c r="R30" s="3147" t="s">
        <v>851</v>
      </c>
      <c r="S30" s="775"/>
      <c r="T30" s="3148"/>
      <c r="U30" s="3149"/>
    </row>
    <row r="31" spans="1:21" ht="18" customHeight="1">
      <c r="R31" s="4451" t="s">
        <v>860</v>
      </c>
      <c r="S31" s="4452"/>
      <c r="T31" s="4452"/>
      <c r="U31" s="3150">
        <v>1</v>
      </c>
    </row>
    <row r="32" spans="1:21" ht="18" customHeight="1">
      <c r="R32" s="4453" t="s">
        <v>856</v>
      </c>
      <c r="S32" s="4454"/>
      <c r="T32" s="4454"/>
      <c r="U32" s="3151">
        <f>I14</f>
        <v>0.10960791757966955</v>
      </c>
    </row>
    <row r="33" spans="1:25" ht="18" customHeight="1">
      <c r="R33" s="4451" t="s">
        <v>857</v>
      </c>
      <c r="S33" s="4452"/>
      <c r="T33" s="4452"/>
      <c r="U33" s="3151">
        <f>U31-U32</f>
        <v>0.89039208242033041</v>
      </c>
    </row>
    <row r="34" spans="1:25" ht="18" customHeight="1">
      <c r="R34" s="4451"/>
      <c r="S34" s="4452"/>
      <c r="T34" s="4452"/>
      <c r="U34" s="3152"/>
      <c r="V34" s="3112"/>
      <c r="W34" s="3112"/>
      <c r="X34" s="3112"/>
      <c r="Y34" s="3112"/>
    </row>
    <row r="35" spans="1:25" ht="18" customHeight="1">
      <c r="R35" s="4448" t="s">
        <v>858</v>
      </c>
      <c r="S35" s="4449"/>
      <c r="T35" s="4449"/>
      <c r="U35" s="3153">
        <f>U33</f>
        <v>0.89039208242033041</v>
      </c>
      <c r="V35" s="3112"/>
      <c r="W35" s="3112"/>
      <c r="X35" s="3112"/>
      <c r="Y35" s="3112"/>
    </row>
    <row r="36" spans="1:25" ht="18" customHeight="1">
      <c r="R36" s="3154" t="s">
        <v>859</v>
      </c>
      <c r="S36" s="3155">
        <f>U32</f>
        <v>0.10960791757966955</v>
      </c>
      <c r="T36" s="3156" t="s">
        <v>48</v>
      </c>
      <c r="U36" s="3157">
        <f ca="1">E11/U33*U32</f>
        <v>5.7267600287167078</v>
      </c>
      <c r="V36" s="3112"/>
      <c r="W36" s="3112"/>
      <c r="X36" s="3112"/>
      <c r="Y36" s="3112"/>
    </row>
    <row r="37" spans="1:25" ht="18" customHeight="1">
      <c r="B37" s="2588"/>
      <c r="C37" s="2588"/>
      <c r="D37" s="2588"/>
      <c r="E37" s="2588"/>
      <c r="F37" s="2588"/>
      <c r="G37" s="2588"/>
      <c r="P37" s="615" t="s">
        <v>1008</v>
      </c>
    </row>
    <row r="38" spans="1:25" ht="18" customHeight="1">
      <c r="A38" s="2588"/>
      <c r="B38" s="2588"/>
      <c r="C38" s="2588"/>
      <c r="D38" s="2588"/>
      <c r="E38" s="2588"/>
      <c r="F38" s="2588"/>
      <c r="G38" s="2588"/>
    </row>
    <row r="39" spans="1:25" ht="18" customHeight="1">
      <c r="A39" s="615" t="s">
        <v>1263</v>
      </c>
      <c r="B39" s="2588"/>
      <c r="C39" s="2588"/>
      <c r="D39" s="2588"/>
      <c r="E39" s="2588"/>
      <c r="F39" s="2588"/>
      <c r="G39" s="2588"/>
    </row>
    <row r="40" spans="1:25" ht="18" customHeight="1">
      <c r="A40" s="615" t="s">
        <v>1264</v>
      </c>
      <c r="B40" s="619"/>
      <c r="C40" s="619"/>
      <c r="D40" s="619"/>
      <c r="E40" s="619"/>
      <c r="F40" s="619"/>
      <c r="G40" s="619"/>
    </row>
    <row r="41" spans="1:25" ht="18" customHeight="1">
      <c r="A41" s="615" t="s">
        <v>1265</v>
      </c>
      <c r="B41" s="2588"/>
      <c r="C41" s="2588"/>
      <c r="D41" s="2588"/>
      <c r="E41" s="2588"/>
      <c r="F41" s="2588"/>
      <c r="G41" s="2588"/>
    </row>
  </sheetData>
  <sheetProtection algorithmName="SHA-512" hashValue="rFVmukVEq2MD/I/w93RSu+1BN13hebtrkF6aN36B1y4/eQ9IeDRabBMd+iZDfvqaYPrqVQVQmNbNksZSWM15pA==" saltValue="IoGgTaNMjkleRjtpmOvbKA==" spinCount="100000" sheet="1" objects="1" scenarios="1"/>
  <mergeCells count="25">
    <mergeCell ref="A21:A22"/>
    <mergeCell ref="B22:B23"/>
    <mergeCell ref="C21:C22"/>
    <mergeCell ref="D22:E23"/>
    <mergeCell ref="I23:M27"/>
    <mergeCell ref="F22:G23"/>
    <mergeCell ref="D27:E27"/>
    <mergeCell ref="M1:P1"/>
    <mergeCell ref="M2:P4"/>
    <mergeCell ref="J3:K4"/>
    <mergeCell ref="J5:K6"/>
    <mergeCell ref="C18:E19"/>
    <mergeCell ref="F18:G19"/>
    <mergeCell ref="I18:M18"/>
    <mergeCell ref="A2:D3"/>
    <mergeCell ref="E2:F2"/>
    <mergeCell ref="J14:K14"/>
    <mergeCell ref="J15:K17"/>
    <mergeCell ref="A18:B19"/>
    <mergeCell ref="J10:K12"/>
    <mergeCell ref="I28:M28"/>
    <mergeCell ref="R31:T31"/>
    <mergeCell ref="R32:T32"/>
    <mergeCell ref="R33:T34"/>
    <mergeCell ref="R35:T35"/>
  </mergeCells>
  <pageMargins left="0.7" right="0.7" top="0.78740157499999996" bottom="0.78740157499999996" header="0.3" footer="0.3"/>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Y41"/>
  <sheetViews>
    <sheetView showGridLines="0" zoomScaleNormal="100" workbookViewId="0"/>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0.44140625" style="34" bestFit="1" customWidth="1"/>
    <col min="6" max="6" width="12.554687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9.21875" style="34" customWidth="1"/>
    <col min="17" max="16384" width="9.21875" style="34"/>
  </cols>
  <sheetData>
    <row r="1" spans="1:16" ht="33" customHeight="1">
      <c r="A1" s="1242" t="s">
        <v>1010</v>
      </c>
      <c r="G1" s="1324"/>
      <c r="M1" s="4231" t="s">
        <v>846</v>
      </c>
      <c r="N1" s="4231"/>
      <c r="O1" s="4231"/>
      <c r="P1" s="4231"/>
    </row>
    <row r="2" spans="1:16" ht="18" customHeight="1">
      <c r="A2" s="4420" t="s">
        <v>346</v>
      </c>
      <c r="B2" s="4421"/>
      <c r="C2" s="4421"/>
      <c r="D2" s="4421"/>
      <c r="E2" s="4418" t="s">
        <v>364</v>
      </c>
      <c r="F2" s="4419"/>
      <c r="G2" s="485" t="s">
        <v>348</v>
      </c>
      <c r="I2" s="1308">
        <f>P15</f>
        <v>6.8063333333333338</v>
      </c>
      <c r="J2" s="1309" t="s">
        <v>812</v>
      </c>
      <c r="K2" s="1310"/>
      <c r="L2" s="619"/>
      <c r="M2" s="3444" t="s">
        <v>845</v>
      </c>
      <c r="N2" s="3444"/>
      <c r="O2" s="3444"/>
      <c r="P2" s="3444"/>
    </row>
    <row r="3" spans="1:16" ht="18" customHeight="1">
      <c r="A3" s="4422"/>
      <c r="B3" s="4423"/>
      <c r="C3" s="4423"/>
      <c r="D3" s="4423"/>
      <c r="E3" s="475">
        <f>I7</f>
        <v>6.8063333333333338</v>
      </c>
      <c r="F3" s="456" t="s">
        <v>330</v>
      </c>
      <c r="G3" s="457">
        <f ca="1">IF(N28="",E3/E13,E3/F13)</f>
        <v>0.10141221947744833</v>
      </c>
      <c r="I3" s="1311"/>
      <c r="J3" s="3788" t="s">
        <v>847</v>
      </c>
      <c r="K3" s="3787"/>
      <c r="M3" s="3444"/>
      <c r="N3" s="3444"/>
      <c r="O3" s="3444"/>
      <c r="P3" s="3444"/>
    </row>
    <row r="4" spans="1:16" ht="15" customHeight="1">
      <c r="A4" s="188" t="s">
        <v>349</v>
      </c>
      <c r="B4" s="14"/>
      <c r="C4" s="14"/>
      <c r="D4" s="14"/>
      <c r="E4" s="14"/>
      <c r="F4" s="417"/>
      <c r="G4" s="458"/>
      <c r="H4" s="216"/>
      <c r="I4" s="428"/>
      <c r="J4" s="3788"/>
      <c r="K4" s="3787"/>
      <c r="M4" s="4450"/>
      <c r="N4" s="4450"/>
      <c r="O4" s="4450"/>
      <c r="P4" s="4450"/>
    </row>
    <row r="5" spans="1:16" ht="15" customHeight="1">
      <c r="A5" s="459"/>
      <c r="B5" s="460" t="s">
        <v>350</v>
      </c>
      <c r="C5" s="460"/>
      <c r="D5" s="1679" t="s">
        <v>1005</v>
      </c>
      <c r="E5" s="461">
        <f>I9</f>
        <v>60</v>
      </c>
      <c r="F5" s="462" t="s">
        <v>351</v>
      </c>
      <c r="G5" s="458"/>
      <c r="I5" s="1311"/>
      <c r="J5" s="3788" t="s">
        <v>848</v>
      </c>
      <c r="K5" s="3787"/>
      <c r="M5" s="655" t="s">
        <v>362</v>
      </c>
      <c r="N5" s="656"/>
      <c r="O5" s="656" t="s">
        <v>478</v>
      </c>
      <c r="P5" s="569"/>
    </row>
    <row r="6" spans="1:16" ht="15" customHeight="1">
      <c r="A6" s="463" t="s">
        <v>220</v>
      </c>
      <c r="B6" s="595" t="s">
        <v>353</v>
      </c>
      <c r="C6" s="464">
        <f ca="1">IF(J23="",'28 PK pro Minute'!G17,K23)</f>
        <v>0.55254649655756016</v>
      </c>
      <c r="D6" s="1680">
        <f>D10</f>
        <v>0.7</v>
      </c>
      <c r="E6" s="465">
        <f ca="1">C6*E5</f>
        <v>33.152789793453607</v>
      </c>
      <c r="F6" s="466" t="str">
        <f>F3</f>
        <v>€</v>
      </c>
      <c r="G6" s="457">
        <f ca="1">IF(N28="",E6/E13,E6/F13)</f>
        <v>0.49396610923503975</v>
      </c>
      <c r="I6" s="428"/>
      <c r="J6" s="3788"/>
      <c r="K6" s="3787"/>
      <c r="M6" s="173" t="s">
        <v>476</v>
      </c>
      <c r="N6" s="57" t="s">
        <v>481</v>
      </c>
      <c r="O6" s="36" t="s">
        <v>477</v>
      </c>
      <c r="P6" s="659" t="s">
        <v>330</v>
      </c>
    </row>
    <row r="7" spans="1:16" ht="15">
      <c r="A7" s="467" t="s">
        <v>354</v>
      </c>
      <c r="B7" s="468"/>
      <c r="C7" s="468"/>
      <c r="D7" s="468"/>
      <c r="E7" s="469">
        <f ca="1">SUM(E6,E3)</f>
        <v>39.959123126786942</v>
      </c>
      <c r="F7" s="470" t="str">
        <f>F6</f>
        <v>€</v>
      </c>
      <c r="G7" s="458"/>
      <c r="I7" s="1312">
        <f>IF(I3="",SUM(I2+I5),SUM(I3,I5))</f>
        <v>6.8063333333333338</v>
      </c>
      <c r="J7" s="534" t="s">
        <v>849</v>
      </c>
      <c r="K7" s="618"/>
      <c r="M7" s="654">
        <v>90</v>
      </c>
      <c r="N7" s="509">
        <v>8.9</v>
      </c>
      <c r="O7" s="508">
        <v>60</v>
      </c>
      <c r="P7" s="570">
        <f>IF(M7="",0,N7/M7*O7)</f>
        <v>5.9333333333333336</v>
      </c>
    </row>
    <row r="8" spans="1:16" ht="15" customHeight="1">
      <c r="A8" s="187" t="s">
        <v>355</v>
      </c>
      <c r="B8" s="2"/>
      <c r="C8" s="2"/>
      <c r="D8" s="2"/>
      <c r="E8" s="2"/>
      <c r="F8" s="417"/>
      <c r="G8" s="458"/>
      <c r="M8" s="658" t="s">
        <v>363</v>
      </c>
      <c r="N8" s="657"/>
      <c r="O8" s="656" t="s">
        <v>478</v>
      </c>
      <c r="P8" s="572"/>
    </row>
    <row r="9" spans="1:16" ht="15">
      <c r="A9" s="187"/>
      <c r="B9" s="460" t="s">
        <v>350</v>
      </c>
      <c r="C9" s="460"/>
      <c r="D9" s="1679" t="s">
        <v>1005</v>
      </c>
      <c r="E9" s="14">
        <f>E5</f>
        <v>60</v>
      </c>
      <c r="F9" s="462" t="s">
        <v>351</v>
      </c>
      <c r="G9" s="458"/>
      <c r="I9" s="1313">
        <v>60</v>
      </c>
      <c r="J9" s="1314" t="s">
        <v>352</v>
      </c>
      <c r="K9" s="616"/>
      <c r="M9" s="173" t="s">
        <v>476</v>
      </c>
      <c r="N9" s="657" t="s">
        <v>482</v>
      </c>
      <c r="O9" s="36" t="s">
        <v>477</v>
      </c>
      <c r="P9" s="617"/>
    </row>
    <row r="10" spans="1:16" ht="15" customHeight="1">
      <c r="A10" s="463" t="s">
        <v>220</v>
      </c>
      <c r="B10" s="476" t="s">
        <v>356</v>
      </c>
      <c r="C10" s="464">
        <f ca="1">IF(J21="",'29 GK pro Minute'!G12,M21)</f>
        <v>0.33</v>
      </c>
      <c r="D10" s="1680">
        <f>IF(J21="",J20,J21)</f>
        <v>0.7</v>
      </c>
      <c r="E10" s="465">
        <f ca="1">E9*C10</f>
        <v>19.8</v>
      </c>
      <c r="F10" s="466" t="str">
        <f>F7</f>
        <v>€</v>
      </c>
      <c r="G10" s="457">
        <f ca="1">IF(N28="",E10/E13,E10/F13)</f>
        <v>0.29501375370784222</v>
      </c>
      <c r="I10" s="428"/>
      <c r="J10" s="3788" t="s">
        <v>1151</v>
      </c>
      <c r="K10" s="3787"/>
      <c r="M10" s="654">
        <v>1000</v>
      </c>
      <c r="N10" s="509">
        <v>9.6999999999999993</v>
      </c>
      <c r="O10" s="508">
        <v>90</v>
      </c>
      <c r="P10" s="570">
        <f>IF(M10="",0,N10/M10*O10)</f>
        <v>0.87299999999999989</v>
      </c>
    </row>
    <row r="11" spans="1:16" ht="15">
      <c r="A11" s="467" t="s">
        <v>357</v>
      </c>
      <c r="B11" s="471"/>
      <c r="C11" s="471"/>
      <c r="D11" s="471"/>
      <c r="E11" s="3109">
        <f ca="1">SUM(E7,E10)</f>
        <v>59.759123126786946</v>
      </c>
      <c r="F11" s="3119" t="str">
        <f>IF(N28="","",E11)</f>
        <v/>
      </c>
      <c r="G11" s="457">
        <f ca="1">IF(N$28="",E11/E$13,F11/F$13)</f>
        <v>0.89039208242033041</v>
      </c>
      <c r="I11" s="428"/>
      <c r="J11" s="3788"/>
      <c r="K11" s="3787"/>
      <c r="M11" s="571"/>
      <c r="N11" s="497"/>
      <c r="O11" s="497"/>
      <c r="P11" s="573">
        <f>SUM(P7:P10)</f>
        <v>6.8063333333333338</v>
      </c>
    </row>
    <row r="12" spans="1:16" ht="15">
      <c r="A12" s="472" t="s">
        <v>358</v>
      </c>
      <c r="B12" s="151"/>
      <c r="C12" s="473">
        <f>IF(L17="",I14,"")</f>
        <v>0.10960791757966955</v>
      </c>
      <c r="D12" s="3110" t="str">
        <f>IF(L17="","",I14)</f>
        <v/>
      </c>
      <c r="E12" s="474">
        <f ca="1">IF(C12="","",(E11/(100%-C12)*C12))</f>
        <v>7.3563918319099262</v>
      </c>
      <c r="F12" s="3120" t="str">
        <f>IF(N28="","",(F11/(100%-D12)*D12))</f>
        <v/>
      </c>
      <c r="G12" s="457">
        <f ca="1">IF(N$28="",E12/E$13,F12/F$13)</f>
        <v>0.10960791757966955</v>
      </c>
      <c r="I12" s="42"/>
      <c r="J12" s="4438"/>
      <c r="K12" s="4439"/>
      <c r="M12" s="574"/>
      <c r="N12" s="497" t="s">
        <v>479</v>
      </c>
      <c r="O12" s="497"/>
      <c r="P12" s="570">
        <f>P11*M12</f>
        <v>0</v>
      </c>
    </row>
    <row r="13" spans="1:16" ht="15">
      <c r="A13" s="467" t="s">
        <v>360</v>
      </c>
      <c r="B13" s="471"/>
      <c r="C13" s="471"/>
      <c r="D13" s="471"/>
      <c r="E13" s="469">
        <f ca="1">IF(C12="","",SUM(E11:E12))</f>
        <v>67.115514958696878</v>
      </c>
      <c r="F13" s="3119" t="str">
        <f>IF(N28="","",SUM(F11:F12))</f>
        <v/>
      </c>
      <c r="G13" s="457">
        <f ca="1">SUM(G11:G12)</f>
        <v>1</v>
      </c>
      <c r="M13" s="571"/>
      <c r="N13" s="497"/>
      <c r="O13" s="497"/>
      <c r="P13" s="573">
        <f>P11-P12</f>
        <v>6.8063333333333338</v>
      </c>
    </row>
    <row r="14" spans="1:16" ht="15">
      <c r="A14" s="472" t="s">
        <v>257</v>
      </c>
      <c r="B14" s="364">
        <f>'29 GK pro Minute'!I1</f>
        <v>0.19</v>
      </c>
      <c r="C14" s="19"/>
      <c r="D14" s="19"/>
      <c r="E14" s="474">
        <f ca="1">IF(C12="","",E13*B14)</f>
        <v>12.751947842152408</v>
      </c>
      <c r="F14" s="3120" t="str">
        <f>IF(N28="","",F13*B14)</f>
        <v/>
      </c>
      <c r="G14" s="457">
        <f>B14</f>
        <v>0.19</v>
      </c>
      <c r="I14" s="3117">
        <f>IF(I16=0,M16,I16)</f>
        <v>0.10960791757966955</v>
      </c>
      <c r="J14" s="4442" t="str">
        <f>IF(L17="","berechneter Gewinnaufschlag","neu berechneter Gewinnaufschlag")</f>
        <v>berechneter Gewinnaufschlag</v>
      </c>
      <c r="K14" s="4442"/>
      <c r="L14" s="142"/>
      <c r="M14" s="574"/>
      <c r="N14" s="497" t="s">
        <v>480</v>
      </c>
      <c r="O14" s="497"/>
      <c r="P14" s="570">
        <f>P13*M14</f>
        <v>0</v>
      </c>
    </row>
    <row r="15" spans="1:16" ht="15">
      <c r="A15" s="3144" t="s">
        <v>1389</v>
      </c>
      <c r="B15" s="1240"/>
      <c r="C15" s="1240"/>
      <c r="D15" s="1240"/>
      <c r="E15" s="1241">
        <f ca="1">IF(C12="","",SUM(E13:E14))</f>
        <v>79.867462800849282</v>
      </c>
      <c r="F15" s="3121" t="str">
        <f>IF(N28="","",SUM(F13:F14))</f>
        <v/>
      </c>
      <c r="G15" s="457">
        <f ca="1">G13+G14</f>
        <v>1.19</v>
      </c>
      <c r="J15" s="3444" t="s">
        <v>850</v>
      </c>
      <c r="K15" s="3444"/>
      <c r="M15" s="575"/>
      <c r="N15" s="576"/>
      <c r="O15" s="660" t="s">
        <v>330</v>
      </c>
      <c r="P15" s="577">
        <f>P13-P14</f>
        <v>6.8063333333333338</v>
      </c>
    </row>
    <row r="16" spans="1:16" ht="15" customHeight="1" thickBot="1">
      <c r="A16" s="1243"/>
      <c r="B16" s="3114" t="s">
        <v>351</v>
      </c>
      <c r="C16" s="3115">
        <f>E5</f>
        <v>60</v>
      </c>
      <c r="D16" s="3116" t="str">
        <f>IF(C12="","","pro Minute")</f>
        <v>pro Minute</v>
      </c>
      <c r="E16" s="3145">
        <f ca="1">IF(C12="","",E15/C16)</f>
        <v>1.3311243800141548</v>
      </c>
      <c r="F16" s="3122" t="str">
        <f>IF(N28="","",F15/C16)</f>
        <v/>
      </c>
      <c r="G16" s="3111" t="str">
        <f>IF(N28="","","pro Minute")</f>
        <v/>
      </c>
      <c r="I16" s="680"/>
      <c r="J16" s="3444"/>
      <c r="K16" s="3444"/>
      <c r="L16" s="615">
        <f>'27 Gewinnaufschlag'!$BP$60/100</f>
        <v>0.10960791757966955</v>
      </c>
      <c r="M16" s="615">
        <f>IF(L17="",L16,L17)</f>
        <v>0.10960791757966955</v>
      </c>
    </row>
    <row r="17" spans="1:21" ht="16.2" thickBot="1">
      <c r="C17" s="3113"/>
      <c r="D17" s="3113" t="str">
        <f>IF(K21="","","geänderte Auslastung")</f>
        <v/>
      </c>
      <c r="E17" s="3125" t="str">
        <f>IF(J21="","",J21)</f>
        <v/>
      </c>
      <c r="F17" s="2456"/>
      <c r="J17" s="3444"/>
      <c r="K17" s="3444"/>
      <c r="L17" s="615" t="str">
        <f>IF('27 Gewinnaufschlag'!N2="","",'27 Gewinnaufschlag'!AD60/100)</f>
        <v/>
      </c>
      <c r="M17" s="615"/>
    </row>
    <row r="18" spans="1:21" ht="17.25" customHeight="1">
      <c r="A18" s="4426" t="s">
        <v>1391</v>
      </c>
      <c r="B18" s="4427"/>
      <c r="C18" s="4430" t="s">
        <v>1390</v>
      </c>
      <c r="D18" s="4430"/>
      <c r="E18" s="4430"/>
      <c r="F18" s="4430" t="s">
        <v>1386</v>
      </c>
      <c r="G18" s="4434"/>
      <c r="I18" s="3373" t="s">
        <v>1382</v>
      </c>
      <c r="J18" s="3374"/>
      <c r="K18" s="3374"/>
      <c r="L18" s="3374"/>
      <c r="M18" s="4447"/>
    </row>
    <row r="19" spans="1:21" s="142" customFormat="1" ht="17.25" customHeight="1">
      <c r="A19" s="4428"/>
      <c r="B19" s="4429"/>
      <c r="C19" s="4431"/>
      <c r="D19" s="4431"/>
      <c r="E19" s="4431"/>
      <c r="F19" s="4431"/>
      <c r="G19" s="4432"/>
      <c r="I19" s="428"/>
      <c r="J19" s="34"/>
      <c r="K19" s="365" t="s">
        <v>1006</v>
      </c>
      <c r="L19" s="34"/>
      <c r="M19" s="617" t="s">
        <v>1007</v>
      </c>
    </row>
    <row r="20" spans="1:21" ht="18" customHeight="1">
      <c r="A20" s="2508"/>
      <c r="B20" s="3127"/>
      <c r="C20" s="3108"/>
      <c r="D20" s="3146">
        <f ca="1">IF(F15="",E15,F15)</f>
        <v>79.867462800849282</v>
      </c>
      <c r="F20" s="3126" t="str">
        <f>IF(B20="","",((D20/B20*100)-100)/100)</f>
        <v/>
      </c>
      <c r="G20" s="610"/>
      <c r="I20" s="428" t="s">
        <v>1005</v>
      </c>
      <c r="J20" s="364">
        <f>'28 PK pro Minute'!G22</f>
        <v>0.7</v>
      </c>
      <c r="K20" s="1677">
        <f ca="1">'28 PK pro Minute'!G17</f>
        <v>0.55254649655756016</v>
      </c>
      <c r="L20" s="76" t="s">
        <v>330</v>
      </c>
      <c r="M20" s="1695">
        <f ca="1">'29 GK pro Minute'!G12</f>
        <v>0.33</v>
      </c>
    </row>
    <row r="21" spans="1:21" ht="18" customHeight="1">
      <c r="A21" s="4436" t="s">
        <v>1413</v>
      </c>
      <c r="B21" s="1165"/>
      <c r="C21" s="3403"/>
      <c r="D21" s="1165"/>
      <c r="E21" s="1165"/>
      <c r="F21" s="1165"/>
      <c r="G21" s="610"/>
      <c r="I21" s="1320" t="s">
        <v>874</v>
      </c>
      <c r="J21" s="1678"/>
      <c r="K21" s="1677" t="str">
        <f>IF(J21="","",K20/J21*J20)</f>
        <v/>
      </c>
      <c r="L21" s="197" t="s">
        <v>330</v>
      </c>
      <c r="M21" s="1695" t="str">
        <f>IF(J21="","",M20/J21*J20)</f>
        <v/>
      </c>
    </row>
    <row r="22" spans="1:21" ht="18" customHeight="1">
      <c r="A22" s="4436"/>
      <c r="B22" s="4435" t="str">
        <f>IF(B24="","Geben Sie Ihren zukünftigen Preis ein","Mein Preis in Zukunft")</f>
        <v>Geben Sie Ihren zukünftigen Preis ein</v>
      </c>
      <c r="C22" s="3403"/>
      <c r="D22" s="4433" t="s">
        <v>1392</v>
      </c>
      <c r="E22" s="4433"/>
      <c r="F22" s="4431" t="s">
        <v>1387</v>
      </c>
      <c r="G22" s="4432"/>
    </row>
    <row r="23" spans="1:21" ht="18" customHeight="1">
      <c r="A23" s="3231"/>
      <c r="B23" s="4435"/>
      <c r="C23" s="1165"/>
      <c r="D23" s="4433"/>
      <c r="E23" s="4433"/>
      <c r="F23" s="4431"/>
      <c r="G23" s="4432"/>
      <c r="I23" s="3941" t="str">
        <f>IF(N28="","",IF(N28&gt;0,N23,IF(N28&lt;0,N25)))</f>
        <v/>
      </c>
      <c r="J23" s="3941"/>
      <c r="K23" s="3941"/>
      <c r="L23" s="3941"/>
      <c r="M23" s="3941"/>
      <c r="N23" s="615" t="s">
        <v>1383</v>
      </c>
    </row>
    <row r="24" spans="1:21" ht="14.55" customHeight="1">
      <c r="A24" s="2508"/>
      <c r="B24" s="3127"/>
      <c r="D24" s="3125" t="str">
        <f>IF(B24="","",((B24/D20*100)-100)/100)</f>
        <v/>
      </c>
      <c r="F24" s="3124">
        <f>B20</f>
        <v>0</v>
      </c>
      <c r="G24" s="3224" t="str">
        <f>IF(B20="","",((B24/B20*100)-100)/100)</f>
        <v/>
      </c>
      <c r="I24" s="3941"/>
      <c r="J24" s="3941"/>
      <c r="K24" s="3941"/>
      <c r="L24" s="3941"/>
      <c r="M24" s="3941"/>
      <c r="N24" s="615"/>
    </row>
    <row r="25" spans="1:21" ht="18" customHeight="1">
      <c r="A25" s="2508"/>
      <c r="G25" s="610"/>
      <c r="I25" s="3941"/>
      <c r="J25" s="3941"/>
      <c r="K25" s="3941"/>
      <c r="L25" s="3941"/>
      <c r="M25" s="3941"/>
      <c r="N25" s="615" t="s">
        <v>1384</v>
      </c>
      <c r="P25" s="34" t="s">
        <v>471</v>
      </c>
      <c r="Q25" s="34" t="s">
        <v>35</v>
      </c>
      <c r="R25" s="34" t="s">
        <v>342</v>
      </c>
      <c r="S25" s="34" t="s">
        <v>472</v>
      </c>
      <c r="T25" s="34" t="s">
        <v>473</v>
      </c>
    </row>
    <row r="26" spans="1:21" ht="18" customHeight="1">
      <c r="A26" s="2508"/>
      <c r="C26" s="3143" t="s">
        <v>1388</v>
      </c>
      <c r="D26" s="3129"/>
      <c r="E26" s="3129"/>
      <c r="F26" s="3129"/>
      <c r="G26" s="3225"/>
      <c r="I26" s="3941"/>
      <c r="J26" s="3941"/>
      <c r="K26" s="3941"/>
      <c r="L26" s="3941"/>
      <c r="M26" s="3941"/>
      <c r="P26" s="1698">
        <f>E3</f>
        <v>6.8063333333333338</v>
      </c>
      <c r="Q26" s="1698">
        <f ca="1">E6</f>
        <v>33.152789793453607</v>
      </c>
      <c r="R26" s="1698">
        <f ca="1">E10</f>
        <v>19.8</v>
      </c>
      <c r="S26" s="1698">
        <f ca="1">IF(F12="",E12,F12)</f>
        <v>7.3563918319099262</v>
      </c>
      <c r="T26" s="1698">
        <f ca="1">IF(F14="",E14,F14)</f>
        <v>12.751947842152408</v>
      </c>
    </row>
    <row r="27" spans="1:21" ht="18" customHeight="1">
      <c r="A27" s="2508"/>
      <c r="C27" s="3131"/>
      <c r="D27" s="4425" t="s">
        <v>1385</v>
      </c>
      <c r="E27" s="4425"/>
      <c r="F27" s="3132">
        <f>B24</f>
        <v>0</v>
      </c>
      <c r="G27" s="3226"/>
      <c r="I27" s="3941"/>
      <c r="J27" s="3941"/>
      <c r="K27" s="3941"/>
      <c r="L27" s="3941"/>
      <c r="M27" s="3941"/>
    </row>
    <row r="28" spans="1:21"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21" ht="18" customHeight="1">
      <c r="A29" s="2508"/>
      <c r="C29" s="3131"/>
      <c r="D29" s="3136" t="str">
        <f>IF(E28&gt;0,"um den neu kalkulierten Umsatz zu erwirtschaften","und der Umsatz blieb gleich")</f>
        <v>um den neu kalkulierten Umsatz zu erwirtschaften</v>
      </c>
      <c r="E29" s="3137"/>
      <c r="F29" s="3138"/>
      <c r="G29" s="3226"/>
    </row>
    <row r="30" spans="1:21" ht="18" customHeight="1" thickBot="1">
      <c r="A30" s="2509"/>
      <c r="B30" s="774"/>
      <c r="C30" s="3227"/>
      <c r="D30" s="3228"/>
      <c r="E30" s="3229"/>
      <c r="F30" s="3229"/>
      <c r="G30" s="3230"/>
      <c r="R30" s="3147" t="s">
        <v>851</v>
      </c>
      <c r="S30" s="775"/>
      <c r="T30" s="3148"/>
      <c r="U30" s="3149"/>
    </row>
    <row r="31" spans="1:21" ht="18" customHeight="1">
      <c r="R31" s="4451" t="s">
        <v>860</v>
      </c>
      <c r="S31" s="4452"/>
      <c r="T31" s="4452"/>
      <c r="U31" s="3150">
        <v>1</v>
      </c>
    </row>
    <row r="32" spans="1:21" ht="18" customHeight="1">
      <c r="R32" s="4453" t="s">
        <v>856</v>
      </c>
      <c r="S32" s="4454"/>
      <c r="T32" s="4454"/>
      <c r="U32" s="3151">
        <f>I14</f>
        <v>0.10960791757966955</v>
      </c>
    </row>
    <row r="33" spans="1:25" ht="18" customHeight="1">
      <c r="R33" s="4451" t="s">
        <v>857</v>
      </c>
      <c r="S33" s="4452"/>
      <c r="T33" s="4452"/>
      <c r="U33" s="3151">
        <f>U31-U32</f>
        <v>0.89039208242033041</v>
      </c>
    </row>
    <row r="34" spans="1:25" ht="18" customHeight="1">
      <c r="R34" s="4451"/>
      <c r="S34" s="4452"/>
      <c r="T34" s="4452"/>
      <c r="U34" s="3152"/>
      <c r="V34" s="3112"/>
      <c r="W34" s="3112"/>
      <c r="X34" s="3112"/>
      <c r="Y34" s="3112"/>
    </row>
    <row r="35" spans="1:25" ht="18" customHeight="1">
      <c r="R35" s="4448" t="s">
        <v>858</v>
      </c>
      <c r="S35" s="4449"/>
      <c r="T35" s="4449"/>
      <c r="U35" s="3153">
        <f>U33</f>
        <v>0.89039208242033041</v>
      </c>
      <c r="V35" s="3112"/>
      <c r="W35" s="3112"/>
      <c r="X35" s="3112"/>
      <c r="Y35" s="3112"/>
    </row>
    <row r="36" spans="1:25" ht="18" customHeight="1">
      <c r="R36" s="3154" t="s">
        <v>859</v>
      </c>
      <c r="S36" s="3155">
        <f>U32</f>
        <v>0.10960791757966955</v>
      </c>
      <c r="T36" s="3156" t="s">
        <v>48</v>
      </c>
      <c r="U36" s="3157">
        <f ca="1">E11/U33*U32</f>
        <v>7.3563918319099262</v>
      </c>
      <c r="V36" s="3112"/>
      <c r="W36" s="3112"/>
      <c r="X36" s="3112"/>
      <c r="Y36" s="3112"/>
    </row>
    <row r="37" spans="1:25" ht="18" customHeight="1">
      <c r="B37" s="2588"/>
      <c r="C37" s="2588"/>
      <c r="D37" s="2588"/>
      <c r="E37" s="2588"/>
      <c r="F37" s="2588"/>
      <c r="G37" s="2588"/>
      <c r="P37" s="615" t="s">
        <v>1008</v>
      </c>
    </row>
    <row r="38" spans="1:25" ht="18" customHeight="1">
      <c r="A38" s="2588"/>
      <c r="B38" s="2588"/>
      <c r="C38" s="2588"/>
      <c r="D38" s="2588"/>
      <c r="E38" s="2588"/>
      <c r="F38" s="2588"/>
      <c r="G38" s="2588"/>
    </row>
    <row r="39" spans="1:25" ht="18" customHeight="1">
      <c r="A39" s="615" t="s">
        <v>1263</v>
      </c>
      <c r="B39" s="2588"/>
      <c r="C39" s="2588"/>
      <c r="D39" s="2588"/>
      <c r="E39" s="2588"/>
      <c r="F39" s="2588"/>
      <c r="G39" s="2588"/>
    </row>
    <row r="40" spans="1:25" ht="18" customHeight="1">
      <c r="A40" s="615" t="s">
        <v>1264</v>
      </c>
      <c r="B40" s="619"/>
      <c r="C40" s="619"/>
      <c r="D40" s="619"/>
      <c r="E40" s="619"/>
      <c r="F40" s="619"/>
      <c r="G40" s="619"/>
    </row>
    <row r="41" spans="1:25" ht="18" customHeight="1">
      <c r="A41" s="615" t="s">
        <v>1265</v>
      </c>
      <c r="B41" s="2588"/>
      <c r="C41" s="2588"/>
      <c r="D41" s="2588"/>
      <c r="E41" s="2588"/>
      <c r="F41" s="2588"/>
      <c r="G41" s="2588"/>
    </row>
  </sheetData>
  <sheetProtection algorithmName="SHA-512" hashValue="6S3886UOVNcBTlRNtaTbAbQk/lFICWMXBoO7BqGgimKCAqn+ffDe+tLmEOeRoQkPAaBLN4q5txsOWMDgNwQ51g==" saltValue="bCK2Pi2Fb69jF67o3XuREw==" spinCount="100000" sheet="1" objects="1" scenarios="1"/>
  <mergeCells count="25">
    <mergeCell ref="A21:A22"/>
    <mergeCell ref="B22:B23"/>
    <mergeCell ref="C21:C22"/>
    <mergeCell ref="D22:E23"/>
    <mergeCell ref="I23:M27"/>
    <mergeCell ref="F22:G23"/>
    <mergeCell ref="D27:E27"/>
    <mergeCell ref="M1:P1"/>
    <mergeCell ref="M2:P4"/>
    <mergeCell ref="J3:K4"/>
    <mergeCell ref="J5:K6"/>
    <mergeCell ref="C18:E19"/>
    <mergeCell ref="F18:G19"/>
    <mergeCell ref="I18:M18"/>
    <mergeCell ref="A2:D3"/>
    <mergeCell ref="E2:F2"/>
    <mergeCell ref="J14:K14"/>
    <mergeCell ref="J15:K17"/>
    <mergeCell ref="A18:B19"/>
    <mergeCell ref="J10:K12"/>
    <mergeCell ref="I28:M28"/>
    <mergeCell ref="R31:T31"/>
    <mergeCell ref="R32:T32"/>
    <mergeCell ref="R33:T34"/>
    <mergeCell ref="R35:T35"/>
  </mergeCells>
  <pageMargins left="0.7" right="0.7" top="0.78740157499999996" bottom="0.78740157499999996"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41"/>
  <sheetViews>
    <sheetView showGridLines="0" zoomScaleNormal="100" workbookViewId="0"/>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2.21875" style="34" customWidth="1"/>
    <col min="6" max="6" width="12.554687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8.5546875" style="34" customWidth="1"/>
    <col min="15" max="15" width="5.21875" style="34" customWidth="1"/>
    <col min="16" max="16" width="9.21875" style="34" customWidth="1"/>
    <col min="17" max="16384" width="9.21875" style="34"/>
  </cols>
  <sheetData>
    <row r="1" spans="1:16" ht="33" customHeight="1">
      <c r="A1" s="1242" t="s">
        <v>1010</v>
      </c>
      <c r="G1" s="1324"/>
      <c r="M1" s="4231" t="s">
        <v>846</v>
      </c>
      <c r="N1" s="4231"/>
      <c r="O1" s="4231"/>
      <c r="P1" s="4231"/>
    </row>
    <row r="2" spans="1:16" ht="18" customHeight="1">
      <c r="A2" s="4420" t="s">
        <v>346</v>
      </c>
      <c r="B2" s="4421"/>
      <c r="C2" s="4421"/>
      <c r="D2" s="4421"/>
      <c r="E2" s="4418" t="s">
        <v>817</v>
      </c>
      <c r="F2" s="4419"/>
      <c r="G2" s="485" t="s">
        <v>348</v>
      </c>
      <c r="I2" s="1308">
        <f>P15</f>
        <v>6.8063333333333338</v>
      </c>
      <c r="J2" s="1309" t="s">
        <v>812</v>
      </c>
      <c r="K2" s="1310"/>
      <c r="L2" s="619"/>
      <c r="M2" s="3444" t="s">
        <v>845</v>
      </c>
      <c r="N2" s="3444"/>
      <c r="O2" s="3444"/>
      <c r="P2" s="3444"/>
    </row>
    <row r="3" spans="1:16" ht="18" customHeight="1">
      <c r="A3" s="4422"/>
      <c r="B3" s="4423"/>
      <c r="C3" s="4423"/>
      <c r="D3" s="4423"/>
      <c r="E3" s="475">
        <f>I7</f>
        <v>6.8063333333333338</v>
      </c>
      <c r="F3" s="456" t="s">
        <v>330</v>
      </c>
      <c r="G3" s="457">
        <f ca="1">IF(N28="",E3/E13,E3/F13)</f>
        <v>3.6581753451651954E-2</v>
      </c>
      <c r="I3" s="1311"/>
      <c r="J3" s="3788" t="s">
        <v>847</v>
      </c>
      <c r="K3" s="3787"/>
      <c r="M3" s="3444"/>
      <c r="N3" s="3444"/>
      <c r="O3" s="3444"/>
      <c r="P3" s="3444"/>
    </row>
    <row r="4" spans="1:16" ht="15" customHeight="1">
      <c r="A4" s="188" t="s">
        <v>349</v>
      </c>
      <c r="B4" s="14"/>
      <c r="C4" s="14"/>
      <c r="D4" s="14"/>
      <c r="E4" s="14"/>
      <c r="F4" s="417"/>
      <c r="G4" s="458"/>
      <c r="H4" s="216"/>
      <c r="I4" s="428"/>
      <c r="J4" s="3788"/>
      <c r="K4" s="3787"/>
      <c r="M4" s="4450"/>
      <c r="N4" s="4450"/>
      <c r="O4" s="4450"/>
      <c r="P4" s="4450"/>
    </row>
    <row r="5" spans="1:16" ht="15" customHeight="1">
      <c r="A5" s="459"/>
      <c r="B5" s="460" t="s">
        <v>350</v>
      </c>
      <c r="C5" s="460"/>
      <c r="D5" s="1679" t="s">
        <v>1005</v>
      </c>
      <c r="E5" s="461">
        <f>I9</f>
        <v>180</v>
      </c>
      <c r="F5" s="462" t="s">
        <v>351</v>
      </c>
      <c r="G5" s="458"/>
      <c r="I5" s="1311"/>
      <c r="J5" s="3788" t="s">
        <v>848</v>
      </c>
      <c r="K5" s="3787"/>
      <c r="M5" s="655" t="s">
        <v>362</v>
      </c>
      <c r="N5" s="656"/>
      <c r="O5" s="656" t="s">
        <v>478</v>
      </c>
      <c r="P5" s="569"/>
    </row>
    <row r="6" spans="1:16" ht="15" customHeight="1">
      <c r="A6" s="463" t="s">
        <v>220</v>
      </c>
      <c r="B6" s="595" t="s">
        <v>353</v>
      </c>
      <c r="C6" s="464">
        <f ca="1">IF(J23="",'28 PK pro Minute'!G$17,K23)</f>
        <v>0.55254649655756016</v>
      </c>
      <c r="D6" s="1680">
        <f>D10</f>
        <v>0.7</v>
      </c>
      <c r="E6" s="465">
        <f ca="1">C6*E5</f>
        <v>99.458369380360836</v>
      </c>
      <c r="F6" s="466" t="str">
        <f>F3</f>
        <v>€</v>
      </c>
      <c r="G6" s="457">
        <f ca="1">IF(N28="",E6/E13,E6/F13)</f>
        <v>0.53455529860066942</v>
      </c>
      <c r="I6" s="428"/>
      <c r="J6" s="3788"/>
      <c r="K6" s="3787"/>
      <c r="M6" s="173" t="s">
        <v>476</v>
      </c>
      <c r="N6" s="57" t="s">
        <v>481</v>
      </c>
      <c r="O6" s="36" t="s">
        <v>477</v>
      </c>
      <c r="P6" s="659" t="s">
        <v>330</v>
      </c>
    </row>
    <row r="7" spans="1:16" ht="15">
      <c r="A7" s="467" t="s">
        <v>354</v>
      </c>
      <c r="B7" s="468"/>
      <c r="C7" s="468"/>
      <c r="D7" s="468"/>
      <c r="E7" s="469">
        <f ca="1">SUM(E6,E3)</f>
        <v>106.26470271369416</v>
      </c>
      <c r="F7" s="470" t="str">
        <f>F6</f>
        <v>€</v>
      </c>
      <c r="G7" s="458"/>
      <c r="I7" s="1312">
        <f>IF(I3="",SUM(I2+I5),SUM(I3,I5))</f>
        <v>6.8063333333333338</v>
      </c>
      <c r="J7" s="534" t="s">
        <v>849</v>
      </c>
      <c r="K7" s="618"/>
      <c r="M7" s="654">
        <v>90</v>
      </c>
      <c r="N7" s="509">
        <v>8.9</v>
      </c>
      <c r="O7" s="508">
        <v>60</v>
      </c>
      <c r="P7" s="570">
        <f>IF(M7="",0,N7/M7*O7)</f>
        <v>5.9333333333333336</v>
      </c>
    </row>
    <row r="8" spans="1:16" ht="15" customHeight="1">
      <c r="A8" s="187" t="s">
        <v>355</v>
      </c>
      <c r="B8" s="2"/>
      <c r="C8" s="2"/>
      <c r="D8" s="2"/>
      <c r="E8" s="2"/>
      <c r="F8" s="417"/>
      <c r="G8" s="458"/>
      <c r="M8" s="658" t="s">
        <v>363</v>
      </c>
      <c r="N8" s="657"/>
      <c r="O8" s="656" t="s">
        <v>478</v>
      </c>
      <c r="P8" s="572"/>
    </row>
    <row r="9" spans="1:16" ht="15">
      <c r="A9" s="187"/>
      <c r="B9" s="460" t="s">
        <v>350</v>
      </c>
      <c r="C9" s="460"/>
      <c r="D9" s="1679" t="s">
        <v>1005</v>
      </c>
      <c r="E9" s="14">
        <f>E5</f>
        <v>180</v>
      </c>
      <c r="F9" s="462" t="s">
        <v>351</v>
      </c>
      <c r="G9" s="458"/>
      <c r="I9" s="1313">
        <v>180</v>
      </c>
      <c r="J9" s="1314" t="s">
        <v>352</v>
      </c>
      <c r="K9" s="616"/>
      <c r="M9" s="173" t="s">
        <v>476</v>
      </c>
      <c r="N9" s="657" t="s">
        <v>482</v>
      </c>
      <c r="O9" s="36" t="s">
        <v>477</v>
      </c>
      <c r="P9" s="617"/>
    </row>
    <row r="10" spans="1:16" ht="15" customHeight="1">
      <c r="A10" s="463" t="s">
        <v>220</v>
      </c>
      <c r="B10" s="476" t="s">
        <v>356</v>
      </c>
      <c r="C10" s="464">
        <f ca="1">IF(J21="",'29 GK pro Minute'!G$12,M21)</f>
        <v>0.33</v>
      </c>
      <c r="D10" s="1680">
        <f>IF(J21="",J20,J21)</f>
        <v>0.7</v>
      </c>
      <c r="E10" s="465">
        <f ca="1">E9*C10</f>
        <v>59.400000000000006</v>
      </c>
      <c r="F10" s="466" t="str">
        <f>F7</f>
        <v>€</v>
      </c>
      <c r="G10" s="457">
        <f ca="1">IF(N28="",E10/E13,E10/F13)</f>
        <v>0.31925503036800912</v>
      </c>
      <c r="I10" s="428"/>
      <c r="J10" s="3788" t="s">
        <v>1151</v>
      </c>
      <c r="K10" s="3787"/>
      <c r="M10" s="654">
        <v>1000</v>
      </c>
      <c r="N10" s="509">
        <v>9.6999999999999993</v>
      </c>
      <c r="O10" s="508">
        <v>90</v>
      </c>
      <c r="P10" s="570">
        <f>IF(M10="",0,N10/M10*O10)</f>
        <v>0.87299999999999989</v>
      </c>
    </row>
    <row r="11" spans="1:16" ht="15">
      <c r="A11" s="467" t="s">
        <v>357</v>
      </c>
      <c r="B11" s="471"/>
      <c r="C11" s="471"/>
      <c r="D11" s="471"/>
      <c r="E11" s="3109">
        <f ca="1">SUM(E7,E10)</f>
        <v>165.66470271369417</v>
      </c>
      <c r="F11" s="3119" t="str">
        <f>IF(N28="","",E11)</f>
        <v/>
      </c>
      <c r="G11" s="457">
        <f ca="1">IF(N28="",E11/E13,F11/F13)</f>
        <v>0.89039208242033041</v>
      </c>
      <c r="I11" s="428"/>
      <c r="J11" s="3788"/>
      <c r="K11" s="3787"/>
      <c r="M11" s="571"/>
      <c r="N11" s="497"/>
      <c r="O11" s="497"/>
      <c r="P11" s="573">
        <f>SUM(P7:P10)</f>
        <v>6.8063333333333338</v>
      </c>
    </row>
    <row r="12" spans="1:16" ht="15">
      <c r="A12" s="472" t="s">
        <v>358</v>
      </c>
      <c r="B12" s="151"/>
      <c r="C12" s="473">
        <f>IF(L17="",I14,"")</f>
        <v>0.10960791757966955</v>
      </c>
      <c r="D12" s="3110" t="str">
        <f>IF(L17="","",I14)</f>
        <v/>
      </c>
      <c r="E12" s="474">
        <f ca="1">IF(C12="","",(E11/(100%-C12)*C12))</f>
        <v>20.393446257455672</v>
      </c>
      <c r="F12" s="3120" t="str">
        <f>IF(N28="","",(F11/(100%-D12)*D12))</f>
        <v/>
      </c>
      <c r="G12" s="457">
        <f ca="1">IF(N28="",E12/E$3,F12/F13)</f>
        <v>2.9962455934358689</v>
      </c>
      <c r="I12" s="42"/>
      <c r="J12" s="4438"/>
      <c r="K12" s="4439"/>
      <c r="M12" s="574"/>
      <c r="N12" s="497" t="s">
        <v>479</v>
      </c>
      <c r="O12" s="497"/>
      <c r="P12" s="570">
        <f>P11*M12</f>
        <v>0</v>
      </c>
    </row>
    <row r="13" spans="1:16" ht="15">
      <c r="A13" s="467" t="s">
        <v>360</v>
      </c>
      <c r="B13" s="471"/>
      <c r="C13" s="471"/>
      <c r="D13" s="471"/>
      <c r="E13" s="469">
        <f ca="1">IF(C12="","",SUM(E11:E12))</f>
        <v>186.05814897114985</v>
      </c>
      <c r="F13" s="3119" t="str">
        <f>IF(N28="","",SUM(F11:F12))</f>
        <v/>
      </c>
      <c r="G13" s="457">
        <f ca="1">SUM(G11:G12)</f>
        <v>3.8866376758561993</v>
      </c>
      <c r="M13" s="571"/>
      <c r="N13" s="497"/>
      <c r="O13" s="497"/>
      <c r="P13" s="573">
        <f>P11-P12</f>
        <v>6.8063333333333338</v>
      </c>
    </row>
    <row r="14" spans="1:16" ht="15">
      <c r="A14" s="472" t="s">
        <v>257</v>
      </c>
      <c r="B14" s="364">
        <f>'29 GK pro Minute'!I$1</f>
        <v>0.19</v>
      </c>
      <c r="C14" s="19"/>
      <c r="D14" s="19"/>
      <c r="E14" s="474">
        <f ca="1">IF(C12="","",E13*B14)</f>
        <v>35.351048304518471</v>
      </c>
      <c r="F14" s="3120" t="str">
        <f>IF(N28="","",F13*B14)</f>
        <v/>
      </c>
      <c r="G14" s="457">
        <f>B14</f>
        <v>0.19</v>
      </c>
      <c r="I14" s="3117">
        <f>IF(I16=0,M16,I16)</f>
        <v>0.10960791757966955</v>
      </c>
      <c r="J14" s="4442" t="str">
        <f>IF(L17="","berechneter Gewinnaufschlag","neu berechneter Gewinnaufschlag")</f>
        <v>berechneter Gewinnaufschlag</v>
      </c>
      <c r="K14" s="4442"/>
      <c r="L14" s="142"/>
      <c r="M14" s="574"/>
      <c r="N14" s="497" t="s">
        <v>480</v>
      </c>
      <c r="O14" s="497"/>
      <c r="P14" s="570">
        <f>P13*M14</f>
        <v>0</v>
      </c>
    </row>
    <row r="15" spans="1:16" ht="15">
      <c r="A15" s="3144" t="s">
        <v>1389</v>
      </c>
      <c r="B15" s="1240"/>
      <c r="C15" s="1240"/>
      <c r="D15" s="1240"/>
      <c r="E15" s="1241">
        <f ca="1">IF(C12="","",SUM(E13:E14))</f>
        <v>221.4091972756683</v>
      </c>
      <c r="F15" s="3121" t="str">
        <f>IF(N28="","",SUM(F13:F14))</f>
        <v/>
      </c>
      <c r="G15" s="457">
        <f ca="1">G13+G14</f>
        <v>4.0766376758561993</v>
      </c>
      <c r="J15" s="3444" t="s">
        <v>850</v>
      </c>
      <c r="K15" s="3444"/>
      <c r="M15" s="575"/>
      <c r="N15" s="576"/>
      <c r="O15" s="660" t="s">
        <v>330</v>
      </c>
      <c r="P15" s="577">
        <f>P13-P14</f>
        <v>6.8063333333333338</v>
      </c>
    </row>
    <row r="16" spans="1:16" ht="15" customHeight="1" thickBot="1">
      <c r="A16" s="1243"/>
      <c r="B16" s="3114" t="s">
        <v>351</v>
      </c>
      <c r="C16" s="3115">
        <f>E5</f>
        <v>180</v>
      </c>
      <c r="D16" s="3116" t="str">
        <f>IF(C12="","","pro Minute")</f>
        <v>pro Minute</v>
      </c>
      <c r="E16" s="3145">
        <f ca="1">IF(C12="","",E15/C16)</f>
        <v>1.230051095975935</v>
      </c>
      <c r="F16" s="3122" t="str">
        <f>IF(N28="","",F15/C16)</f>
        <v/>
      </c>
      <c r="G16" s="3111" t="str">
        <f>IF(N28="","","pro Minute")</f>
        <v/>
      </c>
      <c r="I16" s="680"/>
      <c r="J16" s="3444"/>
      <c r="K16" s="3444"/>
      <c r="L16" s="615">
        <f>'27 Gewinnaufschlag'!$BP$60/100</f>
        <v>0.10960791757966955</v>
      </c>
      <c r="M16" s="615">
        <f>IF(L17="",L16,L17)</f>
        <v>0.10960791757966955</v>
      </c>
    </row>
    <row r="17" spans="1:21" ht="16.2" thickBot="1">
      <c r="C17" s="3113"/>
      <c r="D17" s="3113" t="str">
        <f>IF(K21="","","geänderte Auslastung")</f>
        <v/>
      </c>
      <c r="E17" s="3125" t="str">
        <f>IF(J21="","",J21)</f>
        <v/>
      </c>
      <c r="F17" s="2456"/>
      <c r="J17" s="3444"/>
      <c r="K17" s="3444"/>
      <c r="L17" s="615" t="str">
        <f>IF('27 Gewinnaufschlag'!N2="","",'27 Gewinnaufschlag'!AD60/100)</f>
        <v/>
      </c>
      <c r="M17" s="615"/>
    </row>
    <row r="18" spans="1:21" ht="17.25" customHeight="1">
      <c r="A18" s="4426" t="s">
        <v>1391</v>
      </c>
      <c r="B18" s="4427"/>
      <c r="C18" s="4430" t="s">
        <v>1390</v>
      </c>
      <c r="D18" s="4430"/>
      <c r="E18" s="4430"/>
      <c r="F18" s="4430" t="s">
        <v>1386</v>
      </c>
      <c r="G18" s="4434"/>
      <c r="I18" s="3373" t="s">
        <v>1382</v>
      </c>
      <c r="J18" s="3374"/>
      <c r="K18" s="3374"/>
      <c r="L18" s="3374"/>
      <c r="M18" s="4447"/>
    </row>
    <row r="19" spans="1:21" s="142" customFormat="1" ht="17.25" customHeight="1">
      <c r="A19" s="4428"/>
      <c r="B19" s="4429"/>
      <c r="C19" s="4431"/>
      <c r="D19" s="4431"/>
      <c r="E19" s="4431"/>
      <c r="F19" s="4431"/>
      <c r="G19" s="4432"/>
      <c r="I19" s="428"/>
      <c r="J19" s="34"/>
      <c r="K19" s="365" t="s">
        <v>1006</v>
      </c>
      <c r="L19" s="34"/>
      <c r="M19" s="617" t="s">
        <v>1007</v>
      </c>
    </row>
    <row r="20" spans="1:21" ht="18" customHeight="1">
      <c r="A20" s="2508"/>
      <c r="B20" s="3127"/>
      <c r="C20" s="3108"/>
      <c r="D20" s="3146">
        <f ca="1">IF(F15="",E15,F15)</f>
        <v>221.4091972756683</v>
      </c>
      <c r="F20" s="3126" t="str">
        <f>IF(B20="","",((D20/B20*100)-100)/100)</f>
        <v/>
      </c>
      <c r="G20" s="610"/>
      <c r="I20" s="428" t="s">
        <v>1005</v>
      </c>
      <c r="J20" s="364">
        <f>'28 PK pro Minute'!G$22</f>
        <v>0.7</v>
      </c>
      <c r="K20" s="1677">
        <f ca="1">'28 PK pro Minute'!G$17</f>
        <v>0.55254649655756016</v>
      </c>
      <c r="L20" s="76" t="s">
        <v>330</v>
      </c>
      <c r="M20" s="1695">
        <f ca="1">'29 GK pro Minute'!G$12</f>
        <v>0.33</v>
      </c>
    </row>
    <row r="21" spans="1:21" ht="18" customHeight="1">
      <c r="A21" s="4436" t="s">
        <v>1413</v>
      </c>
      <c r="B21" s="1165"/>
      <c r="C21" s="3403"/>
      <c r="D21" s="1165"/>
      <c r="E21" s="1165"/>
      <c r="F21" s="1165"/>
      <c r="G21" s="610"/>
      <c r="I21" s="1320" t="s">
        <v>874</v>
      </c>
      <c r="J21" s="1678"/>
      <c r="K21" s="1677" t="str">
        <f>IF(J21="","",K20/J21*J20)</f>
        <v/>
      </c>
      <c r="L21" s="197" t="s">
        <v>330</v>
      </c>
      <c r="M21" s="1695" t="str">
        <f>IF(J21="","",M20/J21*J20)</f>
        <v/>
      </c>
    </row>
    <row r="22" spans="1:21" ht="18" customHeight="1">
      <c r="A22" s="4436"/>
      <c r="B22" s="4435" t="str">
        <f>IF(B24="","Geben Sie Ihren zukünftigen Preis ein","Mein Preis in Zukunft")</f>
        <v>Geben Sie Ihren zukünftigen Preis ein</v>
      </c>
      <c r="C22" s="3403"/>
      <c r="D22" s="4433" t="s">
        <v>1392</v>
      </c>
      <c r="E22" s="4433"/>
      <c r="F22" s="4431" t="s">
        <v>1387</v>
      </c>
      <c r="G22" s="4432"/>
    </row>
    <row r="23" spans="1:21" ht="18" customHeight="1">
      <c r="A23" s="3231"/>
      <c r="B23" s="4435"/>
      <c r="C23" s="1165"/>
      <c r="D23" s="4433"/>
      <c r="E23" s="4433"/>
      <c r="F23" s="4431"/>
      <c r="G23" s="4432"/>
      <c r="I23" s="3941" t="str">
        <f>IF(N28="","",IF(N28&gt;0,N23,IF(N28&lt;0,N25)))</f>
        <v/>
      </c>
      <c r="J23" s="3941"/>
      <c r="K23" s="3941"/>
      <c r="L23" s="3941"/>
      <c r="M23" s="3941"/>
      <c r="N23" s="615" t="s">
        <v>1383</v>
      </c>
    </row>
    <row r="24" spans="1:21" ht="14.55" customHeight="1">
      <c r="A24" s="2508"/>
      <c r="B24" s="3127"/>
      <c r="D24" s="3125" t="str">
        <f>IF(B24="","",((B24/D20*100)-100)/100)</f>
        <v/>
      </c>
      <c r="F24" s="3124">
        <f>B20</f>
        <v>0</v>
      </c>
      <c r="G24" s="3224" t="str">
        <f>IF(B20="","",((B24/B20*100)-100)/100)</f>
        <v/>
      </c>
      <c r="I24" s="3941"/>
      <c r="J24" s="3941"/>
      <c r="K24" s="3941"/>
      <c r="L24" s="3941"/>
      <c r="M24" s="3941"/>
      <c r="N24" s="615"/>
    </row>
    <row r="25" spans="1:21" ht="18" customHeight="1">
      <c r="A25" s="2508"/>
      <c r="G25" s="610"/>
      <c r="I25" s="3941"/>
      <c r="J25" s="3941"/>
      <c r="K25" s="3941"/>
      <c r="L25" s="3941"/>
      <c r="M25" s="3941"/>
      <c r="N25" s="615" t="s">
        <v>1384</v>
      </c>
      <c r="P25" s="34" t="s">
        <v>471</v>
      </c>
      <c r="Q25" s="34" t="s">
        <v>35</v>
      </c>
      <c r="R25" s="34" t="s">
        <v>342</v>
      </c>
      <c r="S25" s="34" t="s">
        <v>472</v>
      </c>
      <c r="T25" s="34" t="s">
        <v>473</v>
      </c>
    </row>
    <row r="26" spans="1:21" ht="18" customHeight="1">
      <c r="A26" s="2508"/>
      <c r="C26" s="3143" t="s">
        <v>1388</v>
      </c>
      <c r="D26" s="3129"/>
      <c r="E26" s="3129"/>
      <c r="F26" s="3129"/>
      <c r="G26" s="3225"/>
      <c r="I26" s="3941"/>
      <c r="J26" s="3941"/>
      <c r="K26" s="3941"/>
      <c r="L26" s="3941"/>
      <c r="M26" s="3941"/>
      <c r="P26" s="1698">
        <f>E3</f>
        <v>6.8063333333333338</v>
      </c>
      <c r="Q26" s="1698">
        <f ca="1">E6</f>
        <v>99.458369380360836</v>
      </c>
      <c r="R26" s="1698">
        <f ca="1">E10</f>
        <v>59.400000000000006</v>
      </c>
      <c r="S26" s="1698">
        <f ca="1">IF(F12="",E12,F12)</f>
        <v>20.393446257455672</v>
      </c>
      <c r="T26" s="1698">
        <f ca="1">IF(F14="",E14,F14)</f>
        <v>35.351048304518471</v>
      </c>
    </row>
    <row r="27" spans="1:21" ht="18" customHeight="1">
      <c r="A27" s="2508"/>
      <c r="C27" s="3131"/>
      <c r="D27" s="4425" t="s">
        <v>1385</v>
      </c>
      <c r="E27" s="4425"/>
      <c r="F27" s="3132">
        <f>B24</f>
        <v>0</v>
      </c>
      <c r="G27" s="3226"/>
      <c r="I27" s="3941"/>
      <c r="J27" s="3941"/>
      <c r="K27" s="3941"/>
      <c r="L27" s="3941"/>
      <c r="M27" s="3941"/>
    </row>
    <row r="28" spans="1:21" ht="18" customHeight="1">
      <c r="A28" s="2508"/>
      <c r="C28" s="3131"/>
      <c r="D28" s="3134" t="str">
        <f ca="1">IF(F27&lt;D20,"benötigen Sie ca.","dürfen")</f>
        <v>benötigen Sie ca.</v>
      </c>
      <c r="E28" s="3135" t="str">
        <f>IF(D24="","",IF(B24&gt;D20,D24,-D24))</f>
        <v/>
      </c>
      <c r="F28" s="3136" t="str">
        <f ca="1">IF(F27&lt;D20,"mehr Kunden","der Kunden wegfallen")</f>
        <v>mehr Kunden</v>
      </c>
      <c r="G28" s="3226"/>
      <c r="I28" s="4424" t="str">
        <f>IF(N28="","","Die Veränderung des Dienstleistungumsatzes auf Seite 18 Zelle P18 beträgt")</f>
        <v/>
      </c>
      <c r="J28" s="4424"/>
      <c r="K28" s="4424"/>
      <c r="L28" s="4424"/>
      <c r="M28" s="4424"/>
      <c r="N28" s="3118" t="str">
        <f>'18 Zielumsatz Planungsjahr'!S$19</f>
        <v/>
      </c>
    </row>
    <row r="29" spans="1:21" ht="18" customHeight="1">
      <c r="A29" s="2508"/>
      <c r="C29" s="3131"/>
      <c r="D29" s="3136" t="str">
        <f>IF(E28&gt;0,"um den neu kalkulierten Umsatz zu erwirtschaften","und der Umsatz blieb gleich")</f>
        <v>um den neu kalkulierten Umsatz zu erwirtschaften</v>
      </c>
      <c r="E29" s="3137"/>
      <c r="F29" s="3138"/>
      <c r="G29" s="3226"/>
    </row>
    <row r="30" spans="1:21" ht="18" customHeight="1" thickBot="1">
      <c r="A30" s="2509"/>
      <c r="B30" s="774"/>
      <c r="C30" s="3227"/>
      <c r="D30" s="3228"/>
      <c r="E30" s="3229"/>
      <c r="F30" s="3229"/>
      <c r="G30" s="3230"/>
      <c r="R30" s="3147" t="s">
        <v>851</v>
      </c>
      <c r="S30" s="775"/>
      <c r="T30" s="3148"/>
      <c r="U30" s="3149"/>
    </row>
    <row r="31" spans="1:21" ht="18" customHeight="1">
      <c r="R31" s="4451" t="s">
        <v>860</v>
      </c>
      <c r="S31" s="4452"/>
      <c r="T31" s="4452"/>
      <c r="U31" s="3150">
        <v>1</v>
      </c>
    </row>
    <row r="32" spans="1:21" ht="18" customHeight="1">
      <c r="R32" s="4453" t="s">
        <v>856</v>
      </c>
      <c r="S32" s="4454"/>
      <c r="T32" s="4454"/>
      <c r="U32" s="3151">
        <f>I14</f>
        <v>0.10960791757966955</v>
      </c>
    </row>
    <row r="33" spans="1:25" ht="18" customHeight="1">
      <c r="R33" s="4451" t="s">
        <v>857</v>
      </c>
      <c r="S33" s="4452"/>
      <c r="T33" s="4452"/>
      <c r="U33" s="3151">
        <f>U31-U32</f>
        <v>0.89039208242033041</v>
      </c>
    </row>
    <row r="34" spans="1:25" ht="18" customHeight="1">
      <c r="R34" s="4451"/>
      <c r="S34" s="4452"/>
      <c r="T34" s="4452"/>
      <c r="U34" s="3152"/>
      <c r="V34" s="3112"/>
      <c r="W34" s="3112"/>
      <c r="X34" s="3112"/>
      <c r="Y34" s="3112"/>
    </row>
    <row r="35" spans="1:25" ht="18" customHeight="1">
      <c r="R35" s="4448" t="s">
        <v>858</v>
      </c>
      <c r="S35" s="4449"/>
      <c r="T35" s="4449"/>
      <c r="U35" s="3153">
        <f>U33</f>
        <v>0.89039208242033041</v>
      </c>
      <c r="V35" s="3112"/>
      <c r="W35" s="3112"/>
      <c r="X35" s="3112"/>
      <c r="Y35" s="3112"/>
    </row>
    <row r="36" spans="1:25" ht="18" customHeight="1">
      <c r="R36" s="3154" t="s">
        <v>859</v>
      </c>
      <c r="S36" s="3155">
        <f>U32</f>
        <v>0.10960791757966955</v>
      </c>
      <c r="T36" s="3156" t="s">
        <v>48</v>
      </c>
      <c r="U36" s="3157">
        <f ca="1">E11/U33*U32</f>
        <v>20.393446257455672</v>
      </c>
      <c r="V36" s="3112"/>
      <c r="W36" s="3112"/>
      <c r="X36" s="3112"/>
      <c r="Y36" s="3112"/>
    </row>
    <row r="37" spans="1:25" ht="18" customHeight="1">
      <c r="B37" s="2588"/>
      <c r="C37" s="2588"/>
      <c r="D37" s="2588"/>
      <c r="E37" s="2588"/>
      <c r="F37" s="2588"/>
      <c r="G37" s="2588"/>
      <c r="P37" s="615" t="s">
        <v>1008</v>
      </c>
    </row>
    <row r="38" spans="1:25" ht="18" customHeight="1">
      <c r="A38" s="2588"/>
      <c r="B38" s="2588"/>
      <c r="C38" s="2588"/>
      <c r="D38" s="2588"/>
      <c r="E38" s="2588"/>
      <c r="F38" s="2588"/>
      <c r="G38" s="2588"/>
    </row>
    <row r="39" spans="1:25" ht="18" customHeight="1">
      <c r="A39" s="615" t="s">
        <v>1263</v>
      </c>
      <c r="B39" s="2588"/>
      <c r="C39" s="2588"/>
      <c r="D39" s="2588"/>
      <c r="E39" s="2588"/>
      <c r="F39" s="2588"/>
      <c r="G39" s="2588"/>
    </row>
    <row r="40" spans="1:25" ht="18" customHeight="1">
      <c r="A40" s="615" t="s">
        <v>1264</v>
      </c>
      <c r="B40" s="619"/>
      <c r="C40" s="619"/>
      <c r="D40" s="619"/>
      <c r="E40" s="619"/>
      <c r="F40" s="619"/>
      <c r="G40" s="619"/>
    </row>
    <row r="41" spans="1:25" ht="18" customHeight="1">
      <c r="A41" s="615" t="s">
        <v>1265</v>
      </c>
      <c r="B41" s="2588"/>
      <c r="C41" s="2588"/>
      <c r="D41" s="2588"/>
      <c r="E41" s="2588"/>
      <c r="F41" s="2588"/>
      <c r="G41" s="2588"/>
    </row>
  </sheetData>
  <sheetProtection algorithmName="SHA-512" hashValue="ztAWM3KhRDNc5Nh3mA0f3LYByL2qP5UBGQ3UZEmkw0osHMitYzVVU6/lkZfiBA74ivBOoQ4D0ehcYsS1cjeXlg==" saltValue="LpOjZ2KTyS09C1LhHj1NbQ==" spinCount="100000" sheet="1" objects="1" scenarios="1"/>
  <mergeCells count="25">
    <mergeCell ref="A21:A22"/>
    <mergeCell ref="B22:B23"/>
    <mergeCell ref="M1:P1"/>
    <mergeCell ref="J10:K12"/>
    <mergeCell ref="M2:P4"/>
    <mergeCell ref="J3:K4"/>
    <mergeCell ref="J5:K6"/>
    <mergeCell ref="A2:D3"/>
    <mergeCell ref="E2:F2"/>
    <mergeCell ref="J14:K14"/>
    <mergeCell ref="J15:K17"/>
    <mergeCell ref="A18:B19"/>
    <mergeCell ref="C18:E19"/>
    <mergeCell ref="F18:G19"/>
    <mergeCell ref="I18:M18"/>
    <mergeCell ref="R32:T32"/>
    <mergeCell ref="R33:T34"/>
    <mergeCell ref="R35:T35"/>
    <mergeCell ref="C21:C22"/>
    <mergeCell ref="D22:E23"/>
    <mergeCell ref="F22:G23"/>
    <mergeCell ref="I23:M27"/>
    <mergeCell ref="D27:E27"/>
    <mergeCell ref="I28:M28"/>
    <mergeCell ref="R31:T31"/>
  </mergeCells>
  <pageMargins left="0.7" right="0.7" top="0.78740157499999996" bottom="0.78740157499999996" header="0.3" footer="0.3"/>
  <pageSetup paperSize="9"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623"/>
  <sheetViews>
    <sheetView showGridLines="0" zoomScaleNormal="100" workbookViewId="0">
      <selection activeCell="I9" sqref="I9"/>
    </sheetView>
  </sheetViews>
  <sheetFormatPr baseColWidth="10" defaultColWidth="9.21875" defaultRowHeight="18" customHeight="1"/>
  <cols>
    <col min="1" max="1" width="9.21875" style="34"/>
    <col min="2" max="2" width="15.44140625" style="34" customWidth="1"/>
    <col min="3" max="3" width="9.21875" style="34"/>
    <col min="4" max="4" width="10.21875" style="34" bestFit="1" customWidth="1"/>
    <col min="5" max="5" width="12.33203125" style="34" customWidth="1"/>
    <col min="6" max="6" width="10.44140625" style="34" customWidth="1"/>
    <col min="7" max="7" width="8.44140625" style="34" customWidth="1"/>
    <col min="8" max="8" width="5.77734375" style="34" customWidth="1"/>
    <col min="9" max="9" width="9.5546875" style="34" bestFit="1" customWidth="1"/>
    <col min="10" max="10" width="9.21875" style="34"/>
    <col min="11" max="11" width="17.77734375" style="34" customWidth="1"/>
    <col min="12" max="12" width="6.21875" style="34" customWidth="1"/>
    <col min="13" max="13" width="9.21875" style="34"/>
    <col min="14" max="14" width="10.21875" style="34" customWidth="1"/>
    <col min="15" max="15" width="5.21875" style="34" customWidth="1"/>
    <col min="16" max="16" width="8.21875" style="34" customWidth="1"/>
    <col min="17" max="22" width="9.21875" style="34"/>
    <col min="23" max="23" width="9.6640625" style="34" bestFit="1" customWidth="1"/>
    <col min="24" max="16384" width="9.21875" style="34"/>
  </cols>
  <sheetData>
    <row r="1" spans="1:18" ht="18" customHeight="1">
      <c r="A1" s="4460" t="s">
        <v>1344</v>
      </c>
      <c r="B1" s="4460"/>
      <c r="C1" s="4460"/>
      <c r="D1" s="4460"/>
      <c r="E1" s="4460"/>
      <c r="F1" s="76">
        <v>1</v>
      </c>
      <c r="G1" s="4232" t="s">
        <v>1266</v>
      </c>
      <c r="H1" s="4232"/>
      <c r="I1" s="2655">
        <v>20.891740103008015</v>
      </c>
      <c r="K1" s="76">
        <v>9</v>
      </c>
      <c r="L1" s="4232" t="s">
        <v>1254</v>
      </c>
      <c r="M1" s="4232"/>
      <c r="N1" s="2655" t="s">
        <v>525</v>
      </c>
    </row>
    <row r="2" spans="1:18" ht="18" customHeight="1">
      <c r="A2" s="4460"/>
      <c r="B2" s="4460"/>
      <c r="C2" s="4460"/>
      <c r="D2" s="4460"/>
      <c r="E2" s="4460"/>
      <c r="F2" s="76">
        <v>2</v>
      </c>
      <c r="G2" s="4232" t="s">
        <v>1254</v>
      </c>
      <c r="H2" s="4232"/>
      <c r="I2" s="2655" t="s">
        <v>525</v>
      </c>
      <c r="K2" s="76">
        <v>10</v>
      </c>
      <c r="L2" s="4232" t="s">
        <v>1254</v>
      </c>
      <c r="M2" s="4232"/>
      <c r="N2" s="2655" t="s">
        <v>525</v>
      </c>
    </row>
    <row r="3" spans="1:18" ht="18" customHeight="1">
      <c r="A3" s="3318" t="s">
        <v>1343</v>
      </c>
      <c r="B3" s="3318"/>
      <c r="C3" s="3318"/>
      <c r="D3" s="3318"/>
      <c r="F3" s="76">
        <v>3</v>
      </c>
      <c r="G3" s="4232" t="s">
        <v>1254</v>
      </c>
      <c r="H3" s="4232"/>
      <c r="I3" s="2655" t="s">
        <v>525</v>
      </c>
      <c r="K3" s="76">
        <v>11</v>
      </c>
      <c r="L3" s="4232" t="s">
        <v>1254</v>
      </c>
      <c r="M3" s="4232"/>
      <c r="N3" s="2655" t="s">
        <v>525</v>
      </c>
    </row>
    <row r="4" spans="1:18" ht="18" customHeight="1">
      <c r="A4" s="3318"/>
      <c r="B4" s="3318"/>
      <c r="C4" s="3318"/>
      <c r="D4" s="3318"/>
      <c r="F4" s="76">
        <v>4</v>
      </c>
      <c r="G4" s="4232" t="s">
        <v>1254</v>
      </c>
      <c r="H4" s="4232"/>
      <c r="I4" s="2655" t="s">
        <v>525</v>
      </c>
      <c r="K4" s="76">
        <v>12</v>
      </c>
      <c r="L4" s="4232" t="s">
        <v>1254</v>
      </c>
      <c r="M4" s="4232"/>
      <c r="N4" s="2655" t="s">
        <v>525</v>
      </c>
    </row>
    <row r="5" spans="1:18" ht="18" customHeight="1">
      <c r="A5" s="3318"/>
      <c r="B5" s="3318"/>
      <c r="C5" s="3318"/>
      <c r="D5" s="3318"/>
      <c r="F5" s="76">
        <v>5</v>
      </c>
      <c r="G5" s="4232" t="s">
        <v>1254</v>
      </c>
      <c r="H5" s="4232"/>
      <c r="I5" s="2655" t="s">
        <v>525</v>
      </c>
      <c r="K5" s="76">
        <v>13</v>
      </c>
      <c r="L5" s="4232" t="s">
        <v>1254</v>
      </c>
      <c r="M5" s="4232"/>
      <c r="N5" s="2655" t="s">
        <v>525</v>
      </c>
    </row>
    <row r="6" spans="1:18" ht="18" customHeight="1">
      <c r="A6" s="3318"/>
      <c r="B6" s="3318"/>
      <c r="C6" s="3318"/>
      <c r="D6" s="3318"/>
      <c r="F6" s="76">
        <v>6</v>
      </c>
      <c r="G6" s="4232" t="s">
        <v>1254</v>
      </c>
      <c r="H6" s="4232"/>
      <c r="I6" s="2655" t="s">
        <v>525</v>
      </c>
      <c r="K6" s="76">
        <v>14</v>
      </c>
      <c r="L6" s="4232" t="s">
        <v>1254</v>
      </c>
      <c r="M6" s="4232"/>
      <c r="N6" s="2655" t="s">
        <v>525</v>
      </c>
    </row>
    <row r="7" spans="1:18" ht="18" customHeight="1">
      <c r="A7" s="3318"/>
      <c r="B7" s="3318"/>
      <c r="C7" s="3318"/>
      <c r="D7" s="3318"/>
      <c r="F7" s="76">
        <v>7</v>
      </c>
      <c r="G7" s="4232" t="s">
        <v>1254</v>
      </c>
      <c r="H7" s="4232"/>
      <c r="I7" s="2655" t="s">
        <v>525</v>
      </c>
      <c r="K7" s="76">
        <v>15</v>
      </c>
      <c r="L7" s="4232" t="s">
        <v>1254</v>
      </c>
      <c r="M7" s="4232"/>
      <c r="N7" s="2655" t="s">
        <v>525</v>
      </c>
    </row>
    <row r="8" spans="1:18" ht="18" customHeight="1">
      <c r="F8" s="76">
        <v>8</v>
      </c>
      <c r="G8" s="4232" t="s">
        <v>1254</v>
      </c>
      <c r="H8" s="4232"/>
      <c r="I8" s="2655" t="s">
        <v>525</v>
      </c>
      <c r="K8" s="76">
        <v>16</v>
      </c>
      <c r="L8" s="4232" t="s">
        <v>1254</v>
      </c>
      <c r="M8" s="4232"/>
      <c r="N8" s="2655" t="s">
        <v>525</v>
      </c>
    </row>
    <row r="10" spans="1:18" ht="18" customHeight="1">
      <c r="A10" s="2494"/>
      <c r="B10" s="2494"/>
      <c r="C10" s="2494"/>
      <c r="D10" s="2494"/>
      <c r="E10" s="2494"/>
      <c r="F10" s="2494"/>
      <c r="G10" s="2494"/>
      <c r="H10" s="2494"/>
      <c r="I10" s="2494"/>
      <c r="J10" s="2494"/>
      <c r="K10" s="2494"/>
      <c r="L10" s="2494"/>
      <c r="M10" s="2494"/>
      <c r="N10" s="2494"/>
      <c r="O10" s="2494"/>
      <c r="P10" s="2494"/>
      <c r="Q10" s="2494"/>
      <c r="R10" s="2494"/>
    </row>
    <row r="11" spans="1:18" ht="33" customHeight="1">
      <c r="A11" s="1242" t="s">
        <v>1259</v>
      </c>
      <c r="D11" s="2557">
        <v>1</v>
      </c>
      <c r="E11" s="4458" t="s">
        <v>1266</v>
      </c>
      <c r="F11" s="4459"/>
      <c r="G11" s="1324"/>
      <c r="M11" s="4231" t="s">
        <v>846</v>
      </c>
      <c r="N11" s="4231"/>
      <c r="O11" s="4231"/>
      <c r="P11" s="4231"/>
    </row>
    <row r="12" spans="1:18" ht="18" customHeight="1">
      <c r="A12" s="4420" t="s">
        <v>346</v>
      </c>
      <c r="B12" s="4421"/>
      <c r="C12" s="4421"/>
      <c r="D12" s="4421"/>
      <c r="E12" s="4455"/>
      <c r="F12" s="4456"/>
      <c r="G12" s="485" t="s">
        <v>348</v>
      </c>
      <c r="I12" s="1308">
        <v>6.8063333333333338</v>
      </c>
      <c r="J12" s="1309" t="s">
        <v>812</v>
      </c>
      <c r="K12" s="1310"/>
      <c r="L12" s="619"/>
      <c r="M12" s="3444" t="s">
        <v>845</v>
      </c>
      <c r="N12" s="3444"/>
      <c r="O12" s="3444"/>
      <c r="P12" s="3444"/>
    </row>
    <row r="13" spans="1:18" ht="18" customHeight="1">
      <c r="A13" s="4422"/>
      <c r="B13" s="4423"/>
      <c r="C13" s="4423"/>
      <c r="D13" s="4423"/>
      <c r="E13" s="475">
        <v>6.8063333333333338</v>
      </c>
      <c r="F13" s="456" t="s">
        <v>330</v>
      </c>
      <c r="G13" s="457">
        <v>0.38769085900606659</v>
      </c>
      <c r="I13" s="1311"/>
      <c r="J13" s="3788" t="s">
        <v>847</v>
      </c>
      <c r="K13" s="3787"/>
      <c r="M13" s="3444"/>
      <c r="N13" s="3444"/>
      <c r="O13" s="3444"/>
      <c r="P13" s="3444"/>
    </row>
    <row r="14" spans="1:18" ht="15">
      <c r="A14" s="188" t="s">
        <v>349</v>
      </c>
      <c r="B14" s="14"/>
      <c r="C14" s="14"/>
      <c r="D14" s="14"/>
      <c r="E14" s="14"/>
      <c r="F14" s="417"/>
      <c r="G14" s="458"/>
      <c r="H14" s="216"/>
      <c r="I14" s="428"/>
      <c r="J14" s="3788"/>
      <c r="K14" s="3787"/>
      <c r="M14" s="4450"/>
      <c r="N14" s="4450"/>
      <c r="O14" s="4450"/>
      <c r="P14" s="4450"/>
    </row>
    <row r="15" spans="1:18" ht="15" customHeight="1">
      <c r="A15" s="459"/>
      <c r="B15" s="460" t="s">
        <v>350</v>
      </c>
      <c r="C15" s="460"/>
      <c r="D15" s="1679" t="s">
        <v>1005</v>
      </c>
      <c r="E15" s="461">
        <v>10</v>
      </c>
      <c r="F15" s="462" t="s">
        <v>351</v>
      </c>
      <c r="G15" s="458"/>
      <c r="I15" s="1311"/>
      <c r="J15" s="3788" t="s">
        <v>848</v>
      </c>
      <c r="K15" s="3787"/>
      <c r="M15" s="655" t="s">
        <v>362</v>
      </c>
      <c r="N15" s="656"/>
      <c r="O15" s="656" t="s">
        <v>478</v>
      </c>
      <c r="P15" s="569"/>
    </row>
    <row r="16" spans="1:18" ht="15">
      <c r="A16" s="463" t="s">
        <v>220</v>
      </c>
      <c r="B16" s="595" t="s">
        <v>353</v>
      </c>
      <c r="C16" s="464">
        <v>0.55254649655756016</v>
      </c>
      <c r="D16" s="1680">
        <v>0.7</v>
      </c>
      <c r="E16" s="465">
        <v>5.5254649655756012</v>
      </c>
      <c r="F16" s="466" t="s">
        <v>330</v>
      </c>
      <c r="G16" s="457">
        <v>0.3147321992622456</v>
      </c>
      <c r="I16" s="428"/>
      <c r="J16" s="3788"/>
      <c r="K16" s="3787"/>
      <c r="M16" s="173" t="s">
        <v>476</v>
      </c>
      <c r="N16" s="57" t="s">
        <v>481</v>
      </c>
      <c r="O16" s="36" t="s">
        <v>477</v>
      </c>
      <c r="P16" s="659" t="s">
        <v>330</v>
      </c>
    </row>
    <row r="17" spans="1:16" ht="15">
      <c r="A17" s="467" t="s">
        <v>354</v>
      </c>
      <c r="B17" s="468"/>
      <c r="C17" s="468"/>
      <c r="D17" s="468"/>
      <c r="E17" s="469">
        <v>12.331798298908936</v>
      </c>
      <c r="F17" s="470" t="s">
        <v>330</v>
      </c>
      <c r="G17" s="458"/>
      <c r="I17" s="1312">
        <v>6.8063333333333338</v>
      </c>
      <c r="J17" s="534" t="s">
        <v>849</v>
      </c>
      <c r="K17" s="618"/>
      <c r="M17" s="654">
        <v>90</v>
      </c>
      <c r="N17" s="509">
        <v>8.9</v>
      </c>
      <c r="O17" s="508">
        <v>60</v>
      </c>
      <c r="P17" s="570">
        <v>5.9333333333333336</v>
      </c>
    </row>
    <row r="18" spans="1:16" ht="15">
      <c r="A18" s="187" t="s">
        <v>355</v>
      </c>
      <c r="B18" s="2"/>
      <c r="C18" s="2"/>
      <c r="D18" s="2"/>
      <c r="E18" s="2"/>
      <c r="F18" s="417"/>
      <c r="G18" s="458"/>
      <c r="M18" s="658" t="s">
        <v>363</v>
      </c>
      <c r="N18" s="657"/>
      <c r="O18" s="656" t="s">
        <v>478</v>
      </c>
      <c r="P18" s="572"/>
    </row>
    <row r="19" spans="1:16" ht="15">
      <c r="A19" s="187"/>
      <c r="B19" s="460" t="s">
        <v>350</v>
      </c>
      <c r="C19" s="460"/>
      <c r="D19" s="1679" t="s">
        <v>1005</v>
      </c>
      <c r="E19" s="14">
        <v>10</v>
      </c>
      <c r="F19" s="462" t="s">
        <v>351</v>
      </c>
      <c r="G19" s="458"/>
      <c r="I19" s="1313">
        <v>10</v>
      </c>
      <c r="J19" s="1314" t="s">
        <v>352</v>
      </c>
      <c r="K19" s="616"/>
      <c r="M19" s="173" t="s">
        <v>476</v>
      </c>
      <c r="N19" s="657" t="s">
        <v>482</v>
      </c>
      <c r="O19" s="36" t="s">
        <v>477</v>
      </c>
      <c r="P19" s="617"/>
    </row>
    <row r="20" spans="1:16" ht="15" customHeight="1">
      <c r="A20" s="463" t="s">
        <v>220</v>
      </c>
      <c r="B20" s="476" t="s">
        <v>356</v>
      </c>
      <c r="C20" s="464">
        <v>0.33</v>
      </c>
      <c r="D20" s="1680">
        <v>0.7</v>
      </c>
      <c r="E20" s="465">
        <v>3.3000000000000003</v>
      </c>
      <c r="F20" s="466" t="s">
        <v>330</v>
      </c>
      <c r="G20" s="457">
        <v>0.18796902415201819</v>
      </c>
      <c r="I20" s="428"/>
      <c r="J20" s="3788" t="s">
        <v>1151</v>
      </c>
      <c r="K20" s="3787"/>
      <c r="M20" s="654">
        <v>1000</v>
      </c>
      <c r="N20" s="509">
        <v>9.6999999999999993</v>
      </c>
      <c r="O20" s="508">
        <v>90</v>
      </c>
      <c r="P20" s="570">
        <v>0.87299999999999989</v>
      </c>
    </row>
    <row r="21" spans="1:16" ht="15">
      <c r="A21" s="467" t="s">
        <v>357</v>
      </c>
      <c r="B21" s="471"/>
      <c r="C21" s="471"/>
      <c r="D21" s="471"/>
      <c r="E21" s="3109">
        <v>15.631798298908937</v>
      </c>
      <c r="F21" s="3119" t="s">
        <v>525</v>
      </c>
      <c r="G21" s="457">
        <v>0.89039208242033041</v>
      </c>
      <c r="I21" s="428"/>
      <c r="J21" s="3788"/>
      <c r="K21" s="3787"/>
      <c r="M21" s="571"/>
      <c r="N21" s="497"/>
      <c r="O21" s="497"/>
      <c r="P21" s="573">
        <v>6.8063333333333338</v>
      </c>
    </row>
    <row r="22" spans="1:16" ht="15">
      <c r="A22" s="472" t="s">
        <v>358</v>
      </c>
      <c r="B22" s="151"/>
      <c r="C22" s="473">
        <v>0.10960791757966955</v>
      </c>
      <c r="D22" s="3110" t="s">
        <v>525</v>
      </c>
      <c r="E22" s="474">
        <v>1.9242858212658651</v>
      </c>
      <c r="F22" s="3120" t="s">
        <v>525</v>
      </c>
      <c r="G22" s="457" t="e">
        <v>#DIV/0!</v>
      </c>
      <c r="I22" s="42"/>
      <c r="J22" s="4438"/>
      <c r="K22" s="4439"/>
      <c r="M22" s="574"/>
      <c r="N22" s="497" t="s">
        <v>479</v>
      </c>
      <c r="O22" s="497"/>
      <c r="P22" s="570">
        <v>0</v>
      </c>
    </row>
    <row r="23" spans="1:16" ht="15">
      <c r="A23" s="467" t="s">
        <v>360</v>
      </c>
      <c r="B23" s="471"/>
      <c r="C23" s="471"/>
      <c r="D23" s="471"/>
      <c r="E23" s="469">
        <v>17.556084120174802</v>
      </c>
      <c r="F23" s="3119" t="s">
        <v>525</v>
      </c>
      <c r="G23" s="457" t="e">
        <v>#DIV/0!</v>
      </c>
      <c r="M23" s="571"/>
      <c r="N23" s="497"/>
      <c r="O23" s="497"/>
      <c r="P23" s="573">
        <v>6.8063333333333338</v>
      </c>
    </row>
    <row r="24" spans="1:16" ht="15">
      <c r="A24" s="472" t="s">
        <v>257</v>
      </c>
      <c r="B24" s="364">
        <v>0.19</v>
      </c>
      <c r="C24" s="19"/>
      <c r="D24" s="19"/>
      <c r="E24" s="474">
        <v>3.3356559828332122</v>
      </c>
      <c r="F24" s="3120" t="s">
        <v>525</v>
      </c>
      <c r="G24" s="457">
        <v>0.19</v>
      </c>
      <c r="I24" s="3117">
        <v>0.10960791757966955</v>
      </c>
      <c r="J24" s="4442" t="s">
        <v>1458</v>
      </c>
      <c r="K24" s="4442"/>
      <c r="L24" s="142"/>
      <c r="M24" s="574"/>
      <c r="N24" s="497" t="s">
        <v>480</v>
      </c>
      <c r="O24" s="497"/>
      <c r="P24" s="570">
        <v>0</v>
      </c>
    </row>
    <row r="25" spans="1:16" ht="15" customHeight="1">
      <c r="A25" s="3144" t="s">
        <v>1389</v>
      </c>
      <c r="B25" s="1240"/>
      <c r="C25" s="1240"/>
      <c r="D25" s="1240"/>
      <c r="E25" s="1241">
        <v>20.891740103008015</v>
      </c>
      <c r="F25" s="3121" t="s">
        <v>525</v>
      </c>
      <c r="G25" s="457" t="e">
        <v>#DIV/0!</v>
      </c>
      <c r="J25" s="3444" t="s">
        <v>850</v>
      </c>
      <c r="K25" s="3444"/>
      <c r="M25" s="575"/>
      <c r="N25" s="576"/>
      <c r="O25" s="660" t="s">
        <v>330</v>
      </c>
      <c r="P25" s="577">
        <v>6.8063333333333338</v>
      </c>
    </row>
    <row r="26" spans="1:16" ht="15" customHeight="1" thickBot="1">
      <c r="A26" s="1243"/>
      <c r="B26" s="3114" t="s">
        <v>351</v>
      </c>
      <c r="C26" s="3115">
        <v>10</v>
      </c>
      <c r="D26" s="3116" t="s">
        <v>1459</v>
      </c>
      <c r="E26" s="3145">
        <v>2.0891740103008014</v>
      </c>
      <c r="F26" s="3122" t="s">
        <v>525</v>
      </c>
      <c r="G26" s="3111" t="s">
        <v>525</v>
      </c>
      <c r="I26" s="680"/>
      <c r="J26" s="3444"/>
      <c r="K26" s="3444"/>
      <c r="L26" s="619">
        <v>0.10960791757966955</v>
      </c>
      <c r="M26" s="619">
        <v>0.10960791757966955</v>
      </c>
    </row>
    <row r="27" spans="1:16" ht="13.2" customHeight="1" thickBot="1">
      <c r="C27" s="3113"/>
      <c r="D27" s="3113" t="s">
        <v>525</v>
      </c>
      <c r="E27" s="3125" t="s">
        <v>525</v>
      </c>
      <c r="F27" s="2456"/>
      <c r="J27" s="3444"/>
      <c r="K27" s="3444"/>
      <c r="L27" s="619" t="s">
        <v>525</v>
      </c>
      <c r="M27" s="619"/>
    </row>
    <row r="28" spans="1:16" ht="17.25" customHeight="1">
      <c r="A28" s="4426" t="s">
        <v>1391</v>
      </c>
      <c r="B28" s="4427"/>
      <c r="C28" s="4430" t="s">
        <v>1390</v>
      </c>
      <c r="D28" s="4430"/>
      <c r="E28" s="4430"/>
      <c r="F28" s="4430" t="s">
        <v>1386</v>
      </c>
      <c r="G28" s="4434"/>
      <c r="I28" s="3373" t="s">
        <v>1382</v>
      </c>
      <c r="J28" s="3374"/>
      <c r="K28" s="3374"/>
      <c r="L28" s="3374"/>
      <c r="M28" s="4447"/>
    </row>
    <row r="29" spans="1:16" s="142" customFormat="1" ht="17.25" customHeight="1">
      <c r="A29" s="4428"/>
      <c r="B29" s="4429"/>
      <c r="C29" s="4431"/>
      <c r="D29" s="4431"/>
      <c r="E29" s="4431"/>
      <c r="F29" s="4431"/>
      <c r="G29" s="4432"/>
      <c r="I29" s="428"/>
      <c r="J29" s="34"/>
      <c r="K29" s="365" t="s">
        <v>1006</v>
      </c>
      <c r="L29" s="34"/>
      <c r="M29" s="617" t="s">
        <v>1007</v>
      </c>
    </row>
    <row r="30" spans="1:16" ht="18" customHeight="1">
      <c r="A30" s="2508"/>
      <c r="B30" s="3127"/>
      <c r="C30" s="3108"/>
      <c r="D30" s="3146">
        <v>20.891740103008015</v>
      </c>
      <c r="F30" s="3126" t="s">
        <v>525</v>
      </c>
      <c r="G30" s="610"/>
      <c r="I30" s="428" t="s">
        <v>1005</v>
      </c>
      <c r="J30" s="364">
        <v>0.7</v>
      </c>
      <c r="K30" s="1677">
        <v>0.55254649655756016</v>
      </c>
      <c r="L30" s="76" t="s">
        <v>330</v>
      </c>
      <c r="M30" s="1695">
        <v>0.33</v>
      </c>
    </row>
    <row r="31" spans="1:16" ht="18" customHeight="1">
      <c r="A31" s="4436" t="s">
        <v>1413</v>
      </c>
      <c r="B31" s="1165"/>
      <c r="C31" s="3403"/>
      <c r="D31" s="1165"/>
      <c r="E31" s="1165"/>
      <c r="F31" s="1165"/>
      <c r="G31" s="610"/>
      <c r="I31" s="1320" t="s">
        <v>874</v>
      </c>
      <c r="J31" s="1678"/>
      <c r="K31" s="1677" t="s">
        <v>525</v>
      </c>
      <c r="L31" s="197" t="s">
        <v>330</v>
      </c>
      <c r="M31" s="1695" t="s">
        <v>525</v>
      </c>
    </row>
    <row r="32" spans="1:16" ht="18" customHeight="1">
      <c r="A32" s="4436"/>
      <c r="B32" s="4435" t="s">
        <v>1460</v>
      </c>
      <c r="C32" s="3403"/>
      <c r="D32" s="4433" t="s">
        <v>1392</v>
      </c>
      <c r="E32" s="4433"/>
      <c r="F32" s="4431" t="s">
        <v>1387</v>
      </c>
      <c r="G32" s="4432"/>
    </row>
    <row r="33" spans="1:25" ht="18" customHeight="1">
      <c r="A33" s="3231"/>
      <c r="B33" s="4435"/>
      <c r="C33" s="1165"/>
      <c r="D33" s="4433"/>
      <c r="E33" s="4433"/>
      <c r="F33" s="4431"/>
      <c r="G33" s="4432"/>
      <c r="I33" s="3941" t="s">
        <v>525</v>
      </c>
      <c r="J33" s="3941"/>
      <c r="K33" s="3941"/>
      <c r="L33" s="3941"/>
      <c r="M33" s="3941"/>
      <c r="N33" s="615" t="s">
        <v>1383</v>
      </c>
    </row>
    <row r="34" spans="1:25" ht="14.55" customHeight="1">
      <c r="A34" s="2508"/>
      <c r="B34" s="3127"/>
      <c r="D34" s="3125" t="s">
        <v>525</v>
      </c>
      <c r="F34" s="3124">
        <v>0</v>
      </c>
      <c r="G34" s="3224" t="s">
        <v>525</v>
      </c>
      <c r="I34" s="3941"/>
      <c r="J34" s="3941"/>
      <c r="K34" s="3941"/>
      <c r="L34" s="3941"/>
      <c r="M34" s="3941"/>
      <c r="N34" s="615"/>
    </row>
    <row r="35" spans="1:25" ht="18" customHeight="1">
      <c r="A35" s="2508"/>
      <c r="G35" s="610"/>
      <c r="I35" s="3941"/>
      <c r="J35" s="3941"/>
      <c r="K35" s="3941"/>
      <c r="L35" s="3941"/>
      <c r="M35" s="3941"/>
      <c r="N35" s="615" t="s">
        <v>1384</v>
      </c>
      <c r="P35" s="34" t="s">
        <v>471</v>
      </c>
      <c r="Q35" s="34" t="s">
        <v>35</v>
      </c>
      <c r="R35" s="34" t="s">
        <v>342</v>
      </c>
      <c r="S35" s="34" t="s">
        <v>472</v>
      </c>
      <c r="T35" s="34" t="s">
        <v>473</v>
      </c>
    </row>
    <row r="36" spans="1:25" ht="18" customHeight="1">
      <c r="A36" s="2508"/>
      <c r="C36" s="3143" t="s">
        <v>1388</v>
      </c>
      <c r="D36" s="3129"/>
      <c r="E36" s="3129"/>
      <c r="F36" s="3129"/>
      <c r="G36" s="3225"/>
      <c r="I36" s="3941"/>
      <c r="J36" s="3941"/>
      <c r="K36" s="3941"/>
      <c r="L36" s="3941"/>
      <c r="M36" s="3941"/>
      <c r="P36" s="1698">
        <v>6.8063333333333338</v>
      </c>
      <c r="Q36" s="1698">
        <v>5.5254649655756012</v>
      </c>
      <c r="R36" s="1698">
        <v>3.3000000000000003</v>
      </c>
      <c r="S36" s="1698">
        <v>1.9242858212658651</v>
      </c>
      <c r="T36" s="1698">
        <v>3.3356559828332122</v>
      </c>
    </row>
    <row r="37" spans="1:25" ht="18" customHeight="1">
      <c r="A37" s="2508"/>
      <c r="C37" s="3131"/>
      <c r="D37" s="4425" t="s">
        <v>1385</v>
      </c>
      <c r="E37" s="4425"/>
      <c r="F37" s="3132">
        <v>0</v>
      </c>
      <c r="G37" s="3226"/>
      <c r="I37" s="3941"/>
      <c r="J37" s="3941"/>
      <c r="K37" s="3941"/>
      <c r="L37" s="3941"/>
      <c r="M37" s="3941"/>
    </row>
    <row r="38" spans="1:25" ht="18" customHeight="1">
      <c r="A38" s="2508"/>
      <c r="C38" s="3131"/>
      <c r="D38" s="3134" t="s">
        <v>1461</v>
      </c>
      <c r="E38" s="3135" t="s">
        <v>525</v>
      </c>
      <c r="F38" s="3136" t="s">
        <v>1462</v>
      </c>
      <c r="G38" s="3226"/>
      <c r="I38" s="4424" t="s">
        <v>525</v>
      </c>
      <c r="J38" s="4424"/>
      <c r="K38" s="4424"/>
      <c r="L38" s="4424"/>
      <c r="M38" s="4424"/>
      <c r="N38" s="3118" t="s">
        <v>525</v>
      </c>
    </row>
    <row r="39" spans="1:25" ht="18" customHeight="1">
      <c r="A39" s="2508"/>
      <c r="C39" s="3131"/>
      <c r="D39" s="3136" t="s">
        <v>1463</v>
      </c>
      <c r="E39" s="3137"/>
      <c r="F39" s="3138"/>
      <c r="G39" s="3226"/>
    </row>
    <row r="40" spans="1:25" ht="18" customHeight="1" thickBot="1">
      <c r="A40" s="2509"/>
      <c r="B40" s="774"/>
      <c r="C40" s="3227"/>
      <c r="D40" s="3228"/>
      <c r="E40" s="3229"/>
      <c r="F40" s="3229"/>
      <c r="G40" s="3230"/>
      <c r="R40" s="3147" t="s">
        <v>851</v>
      </c>
      <c r="S40" s="775"/>
      <c r="T40" s="3148"/>
      <c r="U40" s="3149"/>
    </row>
    <row r="41" spans="1:25" ht="18" customHeight="1">
      <c r="R41" s="4451" t="s">
        <v>860</v>
      </c>
      <c r="S41" s="4452"/>
      <c r="T41" s="4452"/>
      <c r="U41" s="3150">
        <v>1</v>
      </c>
    </row>
    <row r="42" spans="1:25" ht="18" customHeight="1">
      <c r="R42" s="4453" t="s">
        <v>856</v>
      </c>
      <c r="S42" s="4454"/>
      <c r="T42" s="4454"/>
      <c r="U42" s="3151">
        <v>0.10960791757966955</v>
      </c>
    </row>
    <row r="43" spans="1:25" ht="18" customHeight="1">
      <c r="R43" s="4451" t="s">
        <v>857</v>
      </c>
      <c r="S43" s="4452"/>
      <c r="T43" s="4452"/>
      <c r="U43" s="3151">
        <v>0.89039208242033041</v>
      </c>
    </row>
    <row r="44" spans="1:25" ht="18" customHeight="1">
      <c r="R44" s="4451"/>
      <c r="S44" s="4452"/>
      <c r="T44" s="4452"/>
      <c r="U44" s="3152"/>
      <c r="V44" s="1834"/>
      <c r="W44" s="1834"/>
      <c r="X44" s="1834"/>
      <c r="Y44" s="1834"/>
    </row>
    <row r="45" spans="1:25" ht="18" customHeight="1">
      <c r="R45" s="4448" t="s">
        <v>858</v>
      </c>
      <c r="S45" s="4449"/>
      <c r="T45" s="4449"/>
      <c r="U45" s="3153">
        <v>0.89039208242033041</v>
      </c>
      <c r="V45" s="1834"/>
      <c r="W45" s="1834"/>
      <c r="X45" s="1834"/>
      <c r="Y45" s="1834"/>
    </row>
    <row r="46" spans="1:25" ht="18" customHeight="1">
      <c r="R46" s="3154" t="s">
        <v>859</v>
      </c>
      <c r="S46" s="3155">
        <v>0.10960791757966955</v>
      </c>
      <c r="T46" s="3156" t="s">
        <v>48</v>
      </c>
      <c r="U46" s="3157">
        <v>1.9242858212658651</v>
      </c>
      <c r="V46" s="1834"/>
      <c r="W46" s="1834"/>
      <c r="X46" s="1834"/>
      <c r="Y46" s="1834"/>
    </row>
    <row r="47" spans="1:25" ht="18" customHeight="1">
      <c r="A47" s="216"/>
      <c r="B47" s="216"/>
      <c r="C47" s="216"/>
      <c r="D47" s="216"/>
      <c r="E47" s="216"/>
      <c r="F47" s="216"/>
      <c r="G47" s="216"/>
      <c r="H47" s="216"/>
      <c r="I47" s="216"/>
      <c r="J47" s="216"/>
      <c r="K47" s="216"/>
      <c r="L47" s="216"/>
      <c r="M47" s="216"/>
      <c r="N47" s="216"/>
      <c r="O47" s="216"/>
      <c r="P47" s="216"/>
      <c r="Q47" s="216"/>
      <c r="R47" s="216"/>
    </row>
    <row r="48" spans="1:25" ht="18" customHeight="1">
      <c r="A48" s="2494"/>
      <c r="B48" s="2494"/>
      <c r="C48" s="2494"/>
      <c r="D48" s="2494"/>
      <c r="E48" s="2494"/>
      <c r="F48" s="2494"/>
      <c r="G48" s="2494"/>
      <c r="H48" s="2494"/>
      <c r="I48" s="2494"/>
      <c r="J48" s="2494"/>
      <c r="K48" s="2494"/>
      <c r="L48" s="2494"/>
      <c r="M48" s="2494"/>
      <c r="N48" s="2494"/>
      <c r="O48" s="2494"/>
      <c r="P48" s="2494"/>
      <c r="Q48" s="2494"/>
      <c r="R48" s="2494"/>
    </row>
    <row r="49" spans="1:16" ht="33" customHeight="1">
      <c r="A49" s="1242" t="s">
        <v>1259</v>
      </c>
      <c r="D49" s="2557">
        <v>2</v>
      </c>
      <c r="E49" s="4418" t="s">
        <v>1254</v>
      </c>
      <c r="F49" s="4419"/>
      <c r="G49" s="1324"/>
      <c r="M49" s="4231" t="s">
        <v>846</v>
      </c>
      <c r="N49" s="4231"/>
      <c r="O49" s="4231"/>
      <c r="P49" s="4231"/>
    </row>
    <row r="50" spans="1:16" ht="18" customHeight="1">
      <c r="A50" s="4420" t="s">
        <v>346</v>
      </c>
      <c r="B50" s="4421"/>
      <c r="C50" s="4421"/>
      <c r="D50" s="4421"/>
      <c r="E50" s="4455"/>
      <c r="F50" s="4456"/>
      <c r="G50" s="485" t="s">
        <v>348</v>
      </c>
      <c r="I50" s="1308">
        <v>6.8063333333333338</v>
      </c>
      <c r="J50" s="1309" t="s">
        <v>812</v>
      </c>
      <c r="K50" s="1310"/>
      <c r="L50" s="619"/>
      <c r="M50" s="3444" t="s">
        <v>845</v>
      </c>
      <c r="N50" s="3444"/>
      <c r="O50" s="3444"/>
      <c r="P50" s="3444"/>
    </row>
    <row r="51" spans="1:16" ht="18" customHeight="1">
      <c r="A51" s="4422"/>
      <c r="B51" s="4423"/>
      <c r="C51" s="4423"/>
      <c r="D51" s="4423"/>
      <c r="E51" s="475">
        <v>6.8063333333333338</v>
      </c>
      <c r="F51" s="456" t="s">
        <v>330</v>
      </c>
      <c r="G51" s="457" t="e">
        <v>#VALUE!</v>
      </c>
      <c r="I51" s="1311"/>
      <c r="J51" s="3788" t="s">
        <v>847</v>
      </c>
      <c r="K51" s="3787"/>
      <c r="M51" s="3444"/>
      <c r="N51" s="3444"/>
      <c r="O51" s="3444"/>
      <c r="P51" s="3444"/>
    </row>
    <row r="52" spans="1:16" ht="15" customHeight="1">
      <c r="A52" s="188" t="s">
        <v>349</v>
      </c>
      <c r="B52" s="14"/>
      <c r="C52" s="14"/>
      <c r="D52" s="14"/>
      <c r="E52" s="14"/>
      <c r="F52" s="417"/>
      <c r="G52" s="458"/>
      <c r="H52" s="216"/>
      <c r="I52" s="428"/>
      <c r="J52" s="3788"/>
      <c r="K52" s="3787"/>
      <c r="M52" s="4450"/>
      <c r="N52" s="4450"/>
      <c r="O52" s="4450"/>
      <c r="P52" s="4450"/>
    </row>
    <row r="53" spans="1:16" ht="15" customHeight="1">
      <c r="A53" s="459"/>
      <c r="B53" s="460" t="s">
        <v>350</v>
      </c>
      <c r="C53" s="460"/>
      <c r="D53" s="1679" t="s">
        <v>1005</v>
      </c>
      <c r="E53" s="461">
        <v>0</v>
      </c>
      <c r="F53" s="462" t="s">
        <v>351</v>
      </c>
      <c r="G53" s="458"/>
      <c r="I53" s="1311"/>
      <c r="J53" s="3788" t="s">
        <v>848</v>
      </c>
      <c r="K53" s="3787"/>
      <c r="M53" s="655" t="s">
        <v>362</v>
      </c>
      <c r="N53" s="656"/>
      <c r="O53" s="656" t="s">
        <v>478</v>
      </c>
      <c r="P53" s="569"/>
    </row>
    <row r="54" spans="1:16" ht="15" customHeight="1">
      <c r="A54" s="463" t="s">
        <v>220</v>
      </c>
      <c r="B54" s="595" t="s">
        <v>353</v>
      </c>
      <c r="C54" s="464">
        <v>0.55254649655756016</v>
      </c>
      <c r="D54" s="1680">
        <v>0.7</v>
      </c>
      <c r="E54" s="465">
        <v>0</v>
      </c>
      <c r="F54" s="466" t="s">
        <v>330</v>
      </c>
      <c r="G54" s="457" t="e">
        <v>#VALUE!</v>
      </c>
      <c r="I54" s="428"/>
      <c r="J54" s="3788"/>
      <c r="K54" s="3787"/>
      <c r="M54" s="173" t="s">
        <v>476</v>
      </c>
      <c r="N54" s="57" t="s">
        <v>481</v>
      </c>
      <c r="O54" s="36" t="s">
        <v>477</v>
      </c>
      <c r="P54" s="659" t="s">
        <v>330</v>
      </c>
    </row>
    <row r="55" spans="1:16" ht="15">
      <c r="A55" s="467" t="s">
        <v>354</v>
      </c>
      <c r="B55" s="468"/>
      <c r="C55" s="468"/>
      <c r="D55" s="468"/>
      <c r="E55" s="469">
        <v>6.8063333333333338</v>
      </c>
      <c r="F55" s="470" t="s">
        <v>330</v>
      </c>
      <c r="G55" s="458"/>
      <c r="I55" s="1312">
        <v>6.8063333333333338</v>
      </c>
      <c r="J55" s="534" t="s">
        <v>849</v>
      </c>
      <c r="K55" s="618"/>
      <c r="M55" s="654">
        <v>90</v>
      </c>
      <c r="N55" s="509">
        <v>8.9</v>
      </c>
      <c r="O55" s="508">
        <v>60</v>
      </c>
      <c r="P55" s="570">
        <v>5.9333333333333336</v>
      </c>
    </row>
    <row r="56" spans="1:16" ht="15" customHeight="1">
      <c r="A56" s="187" t="s">
        <v>355</v>
      </c>
      <c r="B56" s="2"/>
      <c r="C56" s="2"/>
      <c r="D56" s="2"/>
      <c r="E56" s="2"/>
      <c r="F56" s="417"/>
      <c r="G56" s="458"/>
      <c r="M56" s="658" t="s">
        <v>363</v>
      </c>
      <c r="N56" s="657"/>
      <c r="O56" s="656" t="s">
        <v>478</v>
      </c>
      <c r="P56" s="572"/>
    </row>
    <row r="57" spans="1:16" ht="15">
      <c r="A57" s="187"/>
      <c r="B57" s="460" t="s">
        <v>350</v>
      </c>
      <c r="C57" s="460"/>
      <c r="D57" s="1679" t="s">
        <v>1005</v>
      </c>
      <c r="E57" s="14">
        <v>0</v>
      </c>
      <c r="F57" s="462" t="s">
        <v>351</v>
      </c>
      <c r="G57" s="458"/>
      <c r="I57" s="1313"/>
      <c r="J57" s="1314" t="s">
        <v>352</v>
      </c>
      <c r="K57" s="616"/>
      <c r="M57" s="173" t="s">
        <v>476</v>
      </c>
      <c r="N57" s="657" t="s">
        <v>482</v>
      </c>
      <c r="O57" s="36" t="s">
        <v>477</v>
      </c>
      <c r="P57" s="617"/>
    </row>
    <row r="58" spans="1:16" ht="15" customHeight="1">
      <c r="A58" s="463" t="s">
        <v>220</v>
      </c>
      <c r="B58" s="476" t="s">
        <v>356</v>
      </c>
      <c r="C58" s="464">
        <v>0.33</v>
      </c>
      <c r="D58" s="1680">
        <v>0.7</v>
      </c>
      <c r="E58" s="465">
        <v>0</v>
      </c>
      <c r="F58" s="466" t="s">
        <v>330</v>
      </c>
      <c r="G58" s="457" t="e">
        <v>#VALUE!</v>
      </c>
      <c r="I58" s="428"/>
      <c r="J58" s="3788" t="s">
        <v>1151</v>
      </c>
      <c r="K58" s="3787"/>
      <c r="M58" s="654">
        <v>1000</v>
      </c>
      <c r="N58" s="509">
        <v>9.6999999999999993</v>
      </c>
      <c r="O58" s="508">
        <v>90</v>
      </c>
      <c r="P58" s="570">
        <v>0.87299999999999989</v>
      </c>
    </row>
    <row r="59" spans="1:16" ht="15">
      <c r="A59" s="467" t="s">
        <v>357</v>
      </c>
      <c r="B59" s="471"/>
      <c r="C59" s="471"/>
      <c r="D59" s="471"/>
      <c r="E59" s="3109">
        <v>6.8063333333333338</v>
      </c>
      <c r="F59" s="3119" t="s">
        <v>525</v>
      </c>
      <c r="G59" s="457" t="e">
        <v>#VALUE!</v>
      </c>
      <c r="I59" s="428"/>
      <c r="J59" s="3788"/>
      <c r="K59" s="3787"/>
      <c r="M59" s="571"/>
      <c r="N59" s="497"/>
      <c r="O59" s="497"/>
      <c r="P59" s="573">
        <v>6.8063333333333338</v>
      </c>
    </row>
    <row r="60" spans="1:16" ht="15">
      <c r="A60" s="472" t="s">
        <v>358</v>
      </c>
      <c r="B60" s="151"/>
      <c r="C60" s="473" t="s">
        <v>525</v>
      </c>
      <c r="D60" s="3110" t="s">
        <v>525</v>
      </c>
      <c r="E60" s="474" t="s">
        <v>525</v>
      </c>
      <c r="F60" s="3120" t="s">
        <v>525</v>
      </c>
      <c r="G60" s="457" t="e">
        <v>#VALUE!</v>
      </c>
      <c r="I60" s="42"/>
      <c r="J60" s="4438"/>
      <c r="K60" s="4439"/>
      <c r="M60" s="574"/>
      <c r="N60" s="497" t="s">
        <v>479</v>
      </c>
      <c r="O60" s="497"/>
      <c r="P60" s="570">
        <v>0</v>
      </c>
    </row>
    <row r="61" spans="1:16" ht="15">
      <c r="A61" s="467" t="s">
        <v>360</v>
      </c>
      <c r="B61" s="471"/>
      <c r="C61" s="471"/>
      <c r="D61" s="471"/>
      <c r="E61" s="469" t="s">
        <v>525</v>
      </c>
      <c r="F61" s="3119" t="s">
        <v>525</v>
      </c>
      <c r="G61" s="457" t="e">
        <v>#VALUE!</v>
      </c>
      <c r="M61" s="571"/>
      <c r="N61" s="497"/>
      <c r="O61" s="497"/>
      <c r="P61" s="573">
        <v>6.8063333333333338</v>
      </c>
    </row>
    <row r="62" spans="1:16" ht="15">
      <c r="A62" s="472" t="s">
        <v>257</v>
      </c>
      <c r="B62" s="364">
        <v>0.19</v>
      </c>
      <c r="C62" s="19"/>
      <c r="D62" s="19"/>
      <c r="E62" s="474" t="s">
        <v>525</v>
      </c>
      <c r="F62" s="3120" t="s">
        <v>525</v>
      </c>
      <c r="G62" s="457">
        <v>0.19</v>
      </c>
      <c r="I62" s="3117" t="s">
        <v>525</v>
      </c>
      <c r="J62" s="4442" t="s">
        <v>1458</v>
      </c>
      <c r="K62" s="4442"/>
      <c r="L62" s="142"/>
      <c r="M62" s="574"/>
      <c r="N62" s="497" t="s">
        <v>480</v>
      </c>
      <c r="O62" s="497"/>
      <c r="P62" s="570">
        <v>0</v>
      </c>
    </row>
    <row r="63" spans="1:16" ht="15">
      <c r="A63" s="3144" t="s">
        <v>1389</v>
      </c>
      <c r="B63" s="1240"/>
      <c r="C63" s="1240"/>
      <c r="D63" s="1240"/>
      <c r="E63" s="1241" t="s">
        <v>525</v>
      </c>
      <c r="F63" s="3121" t="s">
        <v>525</v>
      </c>
      <c r="G63" s="457" t="e">
        <v>#VALUE!</v>
      </c>
      <c r="J63" s="3444" t="s">
        <v>850</v>
      </c>
      <c r="K63" s="3444"/>
      <c r="M63" s="575"/>
      <c r="N63" s="576"/>
      <c r="O63" s="660" t="s">
        <v>330</v>
      </c>
      <c r="P63" s="577">
        <v>6.8063333333333338</v>
      </c>
    </row>
    <row r="64" spans="1:16" ht="15" customHeight="1" thickBot="1">
      <c r="A64" s="1243"/>
      <c r="B64" s="3114" t="s">
        <v>351</v>
      </c>
      <c r="C64" s="3115">
        <v>0</v>
      </c>
      <c r="D64" s="3116" t="s">
        <v>525</v>
      </c>
      <c r="E64" s="3145" t="s">
        <v>525</v>
      </c>
      <c r="F64" s="3122" t="s">
        <v>525</v>
      </c>
      <c r="G64" s="3111" t="s">
        <v>525</v>
      </c>
      <c r="I64" s="680"/>
      <c r="J64" s="3444"/>
      <c r="K64" s="3444"/>
      <c r="L64" s="615">
        <v>0.10960791757966955</v>
      </c>
      <c r="M64" s="615" t="s">
        <v>525</v>
      </c>
    </row>
    <row r="65" spans="1:21" ht="16.2" thickBot="1">
      <c r="C65" s="3113"/>
      <c r="D65" s="3113" t="s">
        <v>525</v>
      </c>
      <c r="E65" s="3125" t="s">
        <v>525</v>
      </c>
      <c r="F65" s="2456"/>
      <c r="J65" s="3444"/>
      <c r="K65" s="3444"/>
      <c r="L65" s="615" t="s">
        <v>525</v>
      </c>
      <c r="M65" s="615"/>
    </row>
    <row r="66" spans="1:21" ht="17.25" customHeight="1">
      <c r="A66" s="4426" t="s">
        <v>1391</v>
      </c>
      <c r="B66" s="4427"/>
      <c r="C66" s="4430" t="s">
        <v>1390</v>
      </c>
      <c r="D66" s="4430"/>
      <c r="E66" s="4430"/>
      <c r="F66" s="4430" t="s">
        <v>1386</v>
      </c>
      <c r="G66" s="4434"/>
      <c r="I66" s="3373" t="s">
        <v>1382</v>
      </c>
      <c r="J66" s="3374"/>
      <c r="K66" s="3374"/>
      <c r="L66" s="3374"/>
      <c r="M66" s="4447"/>
    </row>
    <row r="67" spans="1:21" s="142" customFormat="1" ht="17.25" customHeight="1">
      <c r="A67" s="4428"/>
      <c r="B67" s="4429"/>
      <c r="C67" s="4431"/>
      <c r="D67" s="4431"/>
      <c r="E67" s="4431"/>
      <c r="F67" s="4431"/>
      <c r="G67" s="4432"/>
      <c r="I67" s="428"/>
      <c r="J67" s="34"/>
      <c r="K67" s="365" t="s">
        <v>1006</v>
      </c>
      <c r="L67" s="34"/>
      <c r="M67" s="617" t="s">
        <v>1007</v>
      </c>
    </row>
    <row r="68" spans="1:21" ht="18" customHeight="1">
      <c r="A68" s="2508"/>
      <c r="B68" s="3127"/>
      <c r="C68" s="3108"/>
      <c r="D68" s="3146" t="s">
        <v>525</v>
      </c>
      <c r="F68" s="3126" t="s">
        <v>525</v>
      </c>
      <c r="G68" s="610"/>
      <c r="I68" s="428" t="s">
        <v>1005</v>
      </c>
      <c r="J68" s="364">
        <v>0.7</v>
      </c>
      <c r="K68" s="1677">
        <v>0.55254649655756016</v>
      </c>
      <c r="L68" s="76" t="s">
        <v>330</v>
      </c>
      <c r="M68" s="1695">
        <v>0.33</v>
      </c>
    </row>
    <row r="69" spans="1:21" ht="18" customHeight="1">
      <c r="A69" s="4436" t="s">
        <v>1413</v>
      </c>
      <c r="B69" s="1165"/>
      <c r="C69" s="3403"/>
      <c r="D69" s="1165"/>
      <c r="E69" s="1165"/>
      <c r="F69" s="1165"/>
      <c r="G69" s="610"/>
      <c r="I69" s="1320" t="s">
        <v>874</v>
      </c>
      <c r="J69" s="1678"/>
      <c r="K69" s="1677" t="s">
        <v>525</v>
      </c>
      <c r="L69" s="197" t="s">
        <v>330</v>
      </c>
      <c r="M69" s="1695" t="s">
        <v>525</v>
      </c>
    </row>
    <row r="70" spans="1:21" ht="18" customHeight="1">
      <c r="A70" s="4436"/>
      <c r="B70" s="4435" t="s">
        <v>1460</v>
      </c>
      <c r="C70" s="3403"/>
      <c r="D70" s="4433" t="s">
        <v>1392</v>
      </c>
      <c r="E70" s="4433"/>
      <c r="F70" s="4435" t="s">
        <v>1387</v>
      </c>
      <c r="G70" s="4457"/>
    </row>
    <row r="71" spans="1:21" ht="18" customHeight="1">
      <c r="A71" s="3231"/>
      <c r="B71" s="4435"/>
      <c r="C71" s="1165"/>
      <c r="D71" s="4433"/>
      <c r="E71" s="4433"/>
      <c r="F71" s="4435"/>
      <c r="G71" s="4457"/>
      <c r="I71" s="3941" t="s">
        <v>525</v>
      </c>
      <c r="J71" s="3941"/>
      <c r="K71" s="3941"/>
      <c r="L71" s="3941"/>
      <c r="M71" s="3941"/>
      <c r="N71" s="615" t="s">
        <v>1383</v>
      </c>
    </row>
    <row r="72" spans="1:21" ht="14.55" customHeight="1">
      <c r="A72" s="2508"/>
      <c r="B72" s="3127"/>
      <c r="D72" s="3125" t="s">
        <v>525</v>
      </c>
      <c r="F72" s="3124">
        <v>0</v>
      </c>
      <c r="G72" s="3224" t="s">
        <v>525</v>
      </c>
      <c r="I72" s="3941"/>
      <c r="J72" s="3941"/>
      <c r="K72" s="3941"/>
      <c r="L72" s="3941"/>
      <c r="M72" s="3941"/>
      <c r="N72" s="615"/>
    </row>
    <row r="73" spans="1:21" ht="18" customHeight="1">
      <c r="A73" s="2508"/>
      <c r="G73" s="610"/>
      <c r="I73" s="3941"/>
      <c r="J73" s="3941"/>
      <c r="K73" s="3941"/>
      <c r="L73" s="3941"/>
      <c r="M73" s="3941"/>
      <c r="N73" s="615" t="s">
        <v>1384</v>
      </c>
      <c r="P73" s="34" t="s">
        <v>471</v>
      </c>
      <c r="Q73" s="34" t="s">
        <v>35</v>
      </c>
      <c r="R73" s="34" t="s">
        <v>342</v>
      </c>
      <c r="S73" s="34" t="s">
        <v>472</v>
      </c>
      <c r="T73" s="34" t="s">
        <v>473</v>
      </c>
    </row>
    <row r="74" spans="1:21" ht="18" customHeight="1">
      <c r="A74" s="2508"/>
      <c r="C74" s="3143" t="s">
        <v>1388</v>
      </c>
      <c r="D74" s="3129"/>
      <c r="E74" s="3129"/>
      <c r="F74" s="3129"/>
      <c r="G74" s="3225"/>
      <c r="I74" s="3941"/>
      <c r="J74" s="3941"/>
      <c r="K74" s="3941"/>
      <c r="L74" s="3941"/>
      <c r="M74" s="3941"/>
      <c r="P74" s="1698">
        <v>6.8063333333333338</v>
      </c>
      <c r="Q74" s="1698">
        <v>0</v>
      </c>
      <c r="R74" s="1698">
        <v>0</v>
      </c>
      <c r="S74" s="1698" t="s">
        <v>525</v>
      </c>
      <c r="T74" s="1698" t="s">
        <v>525</v>
      </c>
    </row>
    <row r="75" spans="1:21" ht="18" customHeight="1">
      <c r="A75" s="2508"/>
      <c r="C75" s="3131"/>
      <c r="D75" s="4425" t="s">
        <v>1385</v>
      </c>
      <c r="E75" s="4425"/>
      <c r="F75" s="3132">
        <v>0</v>
      </c>
      <c r="G75" s="3226"/>
      <c r="I75" s="3941"/>
      <c r="J75" s="3941"/>
      <c r="K75" s="3941"/>
      <c r="L75" s="3941"/>
      <c r="M75" s="3941"/>
    </row>
    <row r="76" spans="1:21" ht="18" customHeight="1">
      <c r="A76" s="2508"/>
      <c r="C76" s="3131"/>
      <c r="D76" s="3134" t="s">
        <v>1461</v>
      </c>
      <c r="E76" s="3135" t="s">
        <v>525</v>
      </c>
      <c r="F76" s="3136" t="s">
        <v>1462</v>
      </c>
      <c r="G76" s="3226"/>
      <c r="I76" s="4424" t="s">
        <v>525</v>
      </c>
      <c r="J76" s="4424"/>
      <c r="K76" s="4424"/>
      <c r="L76" s="4424"/>
      <c r="M76" s="4424"/>
      <c r="N76" s="3118" t="s">
        <v>525</v>
      </c>
    </row>
    <row r="77" spans="1:21" ht="18" customHeight="1">
      <c r="A77" s="2508"/>
      <c r="C77" s="3131"/>
      <c r="D77" s="3136" t="s">
        <v>1463</v>
      </c>
      <c r="E77" s="3137"/>
      <c r="F77" s="3138"/>
      <c r="G77" s="3226"/>
    </row>
    <row r="78" spans="1:21" ht="18" customHeight="1" thickBot="1">
      <c r="A78" s="2509"/>
      <c r="B78" s="774"/>
      <c r="C78" s="3227"/>
      <c r="D78" s="3228"/>
      <c r="E78" s="3229"/>
      <c r="F78" s="3229"/>
      <c r="G78" s="3230"/>
      <c r="R78" s="3147" t="s">
        <v>851</v>
      </c>
      <c r="S78" s="775"/>
      <c r="T78" s="3148"/>
      <c r="U78" s="3149"/>
    </row>
    <row r="79" spans="1:21" ht="18" customHeight="1">
      <c r="R79" s="4451" t="s">
        <v>860</v>
      </c>
      <c r="S79" s="4452"/>
      <c r="T79" s="4452"/>
      <c r="U79" s="3150">
        <v>1</v>
      </c>
    </row>
    <row r="80" spans="1:21" ht="18" customHeight="1">
      <c r="R80" s="4453" t="s">
        <v>856</v>
      </c>
      <c r="S80" s="4454"/>
      <c r="T80" s="4454"/>
      <c r="U80" s="3151" t="s">
        <v>525</v>
      </c>
    </row>
    <row r="81" spans="1:25" ht="18" customHeight="1">
      <c r="R81" s="4451" t="s">
        <v>857</v>
      </c>
      <c r="S81" s="4452"/>
      <c r="T81" s="4452"/>
      <c r="U81" s="3151" t="e">
        <v>#VALUE!</v>
      </c>
    </row>
    <row r="82" spans="1:25" ht="18" customHeight="1">
      <c r="R82" s="4451"/>
      <c r="S82" s="4452"/>
      <c r="T82" s="4452"/>
      <c r="U82" s="3152"/>
      <c r="V82" s="1834"/>
      <c r="W82" s="1834"/>
      <c r="X82" s="1834"/>
      <c r="Y82" s="1834"/>
    </row>
    <row r="83" spans="1:25" ht="18" customHeight="1">
      <c r="R83" s="4448" t="s">
        <v>858</v>
      </c>
      <c r="S83" s="4449"/>
      <c r="T83" s="4449"/>
      <c r="U83" s="3153" t="e">
        <v>#VALUE!</v>
      </c>
      <c r="V83" s="1834"/>
      <c r="W83" s="1834"/>
      <c r="X83" s="1834"/>
      <c r="Y83" s="1834"/>
    </row>
    <row r="84" spans="1:25" ht="18" customHeight="1">
      <c r="R84" s="3154" t="s">
        <v>859</v>
      </c>
      <c r="S84" s="3155" t="s">
        <v>525</v>
      </c>
      <c r="T84" s="3156" t="s">
        <v>48</v>
      </c>
      <c r="U84" s="3157" t="e">
        <v>#VALUE!</v>
      </c>
      <c r="V84" s="1834"/>
      <c r="W84" s="1834"/>
      <c r="X84" s="1834"/>
      <c r="Y84" s="1834"/>
    </row>
    <row r="86" spans="1:25" ht="18" customHeight="1">
      <c r="A86" s="2494"/>
      <c r="B86" s="2494"/>
      <c r="C86" s="2494"/>
      <c r="D86" s="2494"/>
      <c r="E86" s="2494"/>
      <c r="F86" s="2494"/>
      <c r="G86" s="2494"/>
      <c r="H86" s="2494"/>
      <c r="I86" s="2494"/>
      <c r="J86" s="2494"/>
      <c r="K86" s="2494"/>
      <c r="L86" s="2494"/>
      <c r="M86" s="2494"/>
      <c r="N86" s="2494"/>
      <c r="O86" s="2494"/>
      <c r="P86" s="2494"/>
      <c r="Q86" s="2494"/>
      <c r="R86" s="2494"/>
    </row>
    <row r="87" spans="1:25" ht="33" customHeight="1">
      <c r="A87" s="1242" t="s">
        <v>1259</v>
      </c>
      <c r="D87" s="2557">
        <v>3</v>
      </c>
      <c r="E87" s="4418" t="s">
        <v>1254</v>
      </c>
      <c r="F87" s="4419"/>
      <c r="G87" s="1324"/>
      <c r="M87" s="4231" t="s">
        <v>846</v>
      </c>
      <c r="N87" s="4231"/>
      <c r="O87" s="4231"/>
      <c r="P87" s="4231"/>
    </row>
    <row r="88" spans="1:25" ht="18" customHeight="1">
      <c r="A88" s="4420" t="s">
        <v>346</v>
      </c>
      <c r="B88" s="4421"/>
      <c r="C88" s="4421"/>
      <c r="D88" s="4421"/>
      <c r="E88" s="4455"/>
      <c r="F88" s="4456"/>
      <c r="G88" s="485" t="s">
        <v>348</v>
      </c>
      <c r="I88" s="1308">
        <v>6.8063333333333338</v>
      </c>
      <c r="J88" s="1309" t="s">
        <v>812</v>
      </c>
      <c r="K88" s="1310"/>
      <c r="L88" s="619"/>
      <c r="M88" s="3444" t="s">
        <v>845</v>
      </c>
      <c r="N88" s="3444"/>
      <c r="O88" s="3444"/>
      <c r="P88" s="3444"/>
    </row>
    <row r="89" spans="1:25" ht="18" customHeight="1">
      <c r="A89" s="4422"/>
      <c r="B89" s="4423"/>
      <c r="C89" s="4423"/>
      <c r="D89" s="4423"/>
      <c r="E89" s="475">
        <v>6.8063333333333338</v>
      </c>
      <c r="F89" s="456" t="s">
        <v>330</v>
      </c>
      <c r="G89" s="457" t="e">
        <v>#VALUE!</v>
      </c>
      <c r="I89" s="1311"/>
      <c r="J89" s="3788" t="s">
        <v>847</v>
      </c>
      <c r="K89" s="3787"/>
      <c r="M89" s="3444"/>
      <c r="N89" s="3444"/>
      <c r="O89" s="3444"/>
      <c r="P89" s="3444"/>
    </row>
    <row r="90" spans="1:25" ht="15" customHeight="1">
      <c r="A90" s="188" t="s">
        <v>349</v>
      </c>
      <c r="B90" s="14"/>
      <c r="C90" s="14"/>
      <c r="D90" s="14"/>
      <c r="E90" s="14"/>
      <c r="F90" s="417"/>
      <c r="G90" s="458"/>
      <c r="H90" s="216"/>
      <c r="I90" s="428"/>
      <c r="J90" s="3788"/>
      <c r="K90" s="3787"/>
      <c r="M90" s="4450"/>
      <c r="N90" s="4450"/>
      <c r="O90" s="4450"/>
      <c r="P90" s="4450"/>
    </row>
    <row r="91" spans="1:25" ht="15" customHeight="1">
      <c r="A91" s="459"/>
      <c r="B91" s="460" t="s">
        <v>350</v>
      </c>
      <c r="C91" s="460"/>
      <c r="D91" s="1679" t="s">
        <v>1005</v>
      </c>
      <c r="E91" s="461">
        <v>0</v>
      </c>
      <c r="F91" s="462" t="s">
        <v>351</v>
      </c>
      <c r="G91" s="458"/>
      <c r="I91" s="1311"/>
      <c r="J91" s="3788" t="s">
        <v>848</v>
      </c>
      <c r="K91" s="3787"/>
      <c r="M91" s="655" t="s">
        <v>362</v>
      </c>
      <c r="N91" s="656"/>
      <c r="O91" s="656" t="s">
        <v>478</v>
      </c>
      <c r="P91" s="569"/>
    </row>
    <row r="92" spans="1:25" ht="15" customHeight="1">
      <c r="A92" s="463" t="s">
        <v>220</v>
      </c>
      <c r="B92" s="595" t="s">
        <v>353</v>
      </c>
      <c r="C92" s="464">
        <v>0.55254649655756016</v>
      </c>
      <c r="D92" s="1680">
        <v>0.7</v>
      </c>
      <c r="E92" s="465">
        <v>0</v>
      </c>
      <c r="F92" s="466" t="s">
        <v>330</v>
      </c>
      <c r="G92" s="457" t="e">
        <v>#VALUE!</v>
      </c>
      <c r="I92" s="428"/>
      <c r="J92" s="3788"/>
      <c r="K92" s="3787"/>
      <c r="M92" s="173" t="s">
        <v>476</v>
      </c>
      <c r="N92" s="57" t="s">
        <v>481</v>
      </c>
      <c r="O92" s="36" t="s">
        <v>477</v>
      </c>
      <c r="P92" s="659" t="s">
        <v>330</v>
      </c>
    </row>
    <row r="93" spans="1:25" ht="15">
      <c r="A93" s="467" t="s">
        <v>354</v>
      </c>
      <c r="B93" s="468"/>
      <c r="C93" s="468"/>
      <c r="D93" s="468"/>
      <c r="E93" s="469">
        <v>6.8063333333333338</v>
      </c>
      <c r="F93" s="470" t="s">
        <v>330</v>
      </c>
      <c r="G93" s="458"/>
      <c r="I93" s="1312">
        <v>6.8063333333333338</v>
      </c>
      <c r="J93" s="534" t="s">
        <v>849</v>
      </c>
      <c r="K93" s="618"/>
      <c r="M93" s="654">
        <v>90</v>
      </c>
      <c r="N93" s="509">
        <v>8.9</v>
      </c>
      <c r="O93" s="508">
        <v>60</v>
      </c>
      <c r="P93" s="570">
        <v>5.9333333333333336</v>
      </c>
    </row>
    <row r="94" spans="1:25" ht="15" customHeight="1">
      <c r="A94" s="187" t="s">
        <v>355</v>
      </c>
      <c r="B94" s="2"/>
      <c r="C94" s="2"/>
      <c r="D94" s="2"/>
      <c r="E94" s="2"/>
      <c r="F94" s="417"/>
      <c r="G94" s="458"/>
      <c r="M94" s="658" t="s">
        <v>363</v>
      </c>
      <c r="N94" s="657"/>
      <c r="O94" s="656" t="s">
        <v>478</v>
      </c>
      <c r="P94" s="572"/>
    </row>
    <row r="95" spans="1:25" ht="15">
      <c r="A95" s="187"/>
      <c r="B95" s="460" t="s">
        <v>350</v>
      </c>
      <c r="C95" s="460"/>
      <c r="D95" s="1679" t="s">
        <v>1005</v>
      </c>
      <c r="E95" s="14">
        <v>0</v>
      </c>
      <c r="F95" s="462" t="s">
        <v>351</v>
      </c>
      <c r="G95" s="458"/>
      <c r="I95" s="1313"/>
      <c r="J95" s="1314" t="s">
        <v>352</v>
      </c>
      <c r="K95" s="616"/>
      <c r="M95" s="173" t="s">
        <v>476</v>
      </c>
      <c r="N95" s="657" t="s">
        <v>482</v>
      </c>
      <c r="O95" s="36" t="s">
        <v>477</v>
      </c>
      <c r="P95" s="617"/>
    </row>
    <row r="96" spans="1:25" ht="15" customHeight="1">
      <c r="A96" s="463" t="s">
        <v>220</v>
      </c>
      <c r="B96" s="476" t="s">
        <v>356</v>
      </c>
      <c r="C96" s="464">
        <v>0.33</v>
      </c>
      <c r="D96" s="1680">
        <v>0.7</v>
      </c>
      <c r="E96" s="465">
        <v>0</v>
      </c>
      <c r="F96" s="466" t="s">
        <v>330</v>
      </c>
      <c r="G96" s="457" t="e">
        <v>#VALUE!</v>
      </c>
      <c r="I96" s="428"/>
      <c r="J96" s="3788" t="s">
        <v>1151</v>
      </c>
      <c r="K96" s="3787"/>
      <c r="M96" s="654">
        <v>1000</v>
      </c>
      <c r="N96" s="509">
        <v>9.6999999999999993</v>
      </c>
      <c r="O96" s="508">
        <v>90</v>
      </c>
      <c r="P96" s="570">
        <v>0.87299999999999989</v>
      </c>
    </row>
    <row r="97" spans="1:20" ht="15">
      <c r="A97" s="467" t="s">
        <v>357</v>
      </c>
      <c r="B97" s="471"/>
      <c r="C97" s="471"/>
      <c r="D97" s="471"/>
      <c r="E97" s="3109">
        <v>6.8063333333333338</v>
      </c>
      <c r="F97" s="3119" t="s">
        <v>525</v>
      </c>
      <c r="G97" s="457" t="e">
        <v>#VALUE!</v>
      </c>
      <c r="I97" s="428"/>
      <c r="J97" s="3788"/>
      <c r="K97" s="3787"/>
      <c r="M97" s="571"/>
      <c r="N97" s="497"/>
      <c r="O97" s="497"/>
      <c r="P97" s="573">
        <v>6.8063333333333338</v>
      </c>
    </row>
    <row r="98" spans="1:20" ht="15">
      <c r="A98" s="472" t="s">
        <v>358</v>
      </c>
      <c r="B98" s="151"/>
      <c r="C98" s="473" t="s">
        <v>525</v>
      </c>
      <c r="D98" s="3110" t="s">
        <v>525</v>
      </c>
      <c r="E98" s="474" t="s">
        <v>525</v>
      </c>
      <c r="F98" s="3120" t="s">
        <v>525</v>
      </c>
      <c r="G98" s="457" t="e">
        <v>#VALUE!</v>
      </c>
      <c r="I98" s="42"/>
      <c r="J98" s="4438"/>
      <c r="K98" s="4439"/>
      <c r="M98" s="574"/>
      <c r="N98" s="497" t="s">
        <v>479</v>
      </c>
      <c r="O98" s="497"/>
      <c r="P98" s="570">
        <v>0</v>
      </c>
    </row>
    <row r="99" spans="1:20" ht="15">
      <c r="A99" s="467" t="s">
        <v>360</v>
      </c>
      <c r="B99" s="471"/>
      <c r="C99" s="471"/>
      <c r="D99" s="471"/>
      <c r="E99" s="469" t="s">
        <v>525</v>
      </c>
      <c r="F99" s="3119" t="s">
        <v>525</v>
      </c>
      <c r="G99" s="457" t="e">
        <v>#VALUE!</v>
      </c>
      <c r="M99" s="571"/>
      <c r="N99" s="497"/>
      <c r="O99" s="497"/>
      <c r="P99" s="573">
        <v>6.8063333333333338</v>
      </c>
    </row>
    <row r="100" spans="1:20" ht="15">
      <c r="A100" s="472" t="s">
        <v>257</v>
      </c>
      <c r="B100" s="364">
        <v>0.19</v>
      </c>
      <c r="C100" s="19"/>
      <c r="D100" s="19"/>
      <c r="E100" s="474" t="s">
        <v>525</v>
      </c>
      <c r="F100" s="3120" t="s">
        <v>525</v>
      </c>
      <c r="G100" s="457">
        <v>0.19</v>
      </c>
      <c r="I100" s="3117" t="s">
        <v>525</v>
      </c>
      <c r="J100" s="4442" t="s">
        <v>1458</v>
      </c>
      <c r="K100" s="4442"/>
      <c r="L100" s="142"/>
      <c r="M100" s="574"/>
      <c r="N100" s="497" t="s">
        <v>480</v>
      </c>
      <c r="O100" s="497"/>
      <c r="P100" s="570">
        <v>0</v>
      </c>
    </row>
    <row r="101" spans="1:20" ht="15">
      <c r="A101" s="3144" t="s">
        <v>1389</v>
      </c>
      <c r="B101" s="1240"/>
      <c r="C101" s="1240"/>
      <c r="D101" s="1240"/>
      <c r="E101" s="1241" t="s">
        <v>525</v>
      </c>
      <c r="F101" s="3121" t="s">
        <v>525</v>
      </c>
      <c r="G101" s="457" t="e">
        <v>#VALUE!</v>
      </c>
      <c r="J101" s="3444" t="s">
        <v>850</v>
      </c>
      <c r="K101" s="3444"/>
      <c r="M101" s="575"/>
      <c r="N101" s="576"/>
      <c r="O101" s="660" t="s">
        <v>330</v>
      </c>
      <c r="P101" s="577">
        <v>6.8063333333333338</v>
      </c>
    </row>
    <row r="102" spans="1:20" ht="15" customHeight="1" thickBot="1">
      <c r="A102" s="1243"/>
      <c r="B102" s="3114" t="s">
        <v>351</v>
      </c>
      <c r="C102" s="3115">
        <v>0</v>
      </c>
      <c r="D102" s="3116" t="s">
        <v>525</v>
      </c>
      <c r="E102" s="3145" t="s">
        <v>525</v>
      </c>
      <c r="F102" s="3122" t="s">
        <v>525</v>
      </c>
      <c r="G102" s="3111" t="s">
        <v>525</v>
      </c>
      <c r="I102" s="680"/>
      <c r="J102" s="3444"/>
      <c r="K102" s="3444"/>
      <c r="L102" s="615">
        <v>0.10960791757966955</v>
      </c>
      <c r="M102" s="615" t="s">
        <v>525</v>
      </c>
    </row>
    <row r="103" spans="1:20" ht="16.2" thickBot="1">
      <c r="C103" s="3113"/>
      <c r="D103" s="3113" t="s">
        <v>525</v>
      </c>
      <c r="E103" s="3125" t="s">
        <v>525</v>
      </c>
      <c r="F103" s="2456"/>
      <c r="J103" s="3444"/>
      <c r="K103" s="3444"/>
      <c r="L103" s="615" t="s">
        <v>525</v>
      </c>
      <c r="M103" s="615"/>
    </row>
    <row r="104" spans="1:20" ht="17.25" customHeight="1">
      <c r="A104" s="4426" t="s">
        <v>1391</v>
      </c>
      <c r="B104" s="4427"/>
      <c r="C104" s="4430" t="s">
        <v>1390</v>
      </c>
      <c r="D104" s="4430"/>
      <c r="E104" s="4430"/>
      <c r="F104" s="4430" t="s">
        <v>1386</v>
      </c>
      <c r="G104" s="4434"/>
      <c r="I104" s="3373" t="s">
        <v>1382</v>
      </c>
      <c r="J104" s="3374"/>
      <c r="K104" s="3374"/>
      <c r="L104" s="3374"/>
      <c r="M104" s="4447"/>
    </row>
    <row r="105" spans="1:20" s="142" customFormat="1" ht="17.25" customHeight="1">
      <c r="A105" s="4428"/>
      <c r="B105" s="4429"/>
      <c r="C105" s="4431"/>
      <c r="D105" s="4431"/>
      <c r="E105" s="4431"/>
      <c r="F105" s="4431"/>
      <c r="G105" s="4432"/>
      <c r="I105" s="428"/>
      <c r="J105" s="34"/>
      <c r="K105" s="365" t="s">
        <v>1006</v>
      </c>
      <c r="L105" s="34"/>
      <c r="M105" s="617" t="s">
        <v>1007</v>
      </c>
    </row>
    <row r="106" spans="1:20" ht="18" customHeight="1">
      <c r="A106" s="2508"/>
      <c r="B106" s="3127"/>
      <c r="C106" s="3108"/>
      <c r="D106" s="3146" t="s">
        <v>525</v>
      </c>
      <c r="F106" s="3126" t="s">
        <v>525</v>
      </c>
      <c r="G106" s="610"/>
      <c r="I106" s="428" t="s">
        <v>1005</v>
      </c>
      <c r="J106" s="364">
        <v>0.7</v>
      </c>
      <c r="K106" s="1677">
        <v>0.55254649655756016</v>
      </c>
      <c r="L106" s="76" t="s">
        <v>330</v>
      </c>
      <c r="M106" s="1695">
        <v>0.33</v>
      </c>
    </row>
    <row r="107" spans="1:20" ht="18" customHeight="1">
      <c r="A107" s="4436" t="s">
        <v>1413</v>
      </c>
      <c r="B107" s="1165"/>
      <c r="C107" s="3403"/>
      <c r="D107" s="1165"/>
      <c r="E107" s="1165"/>
      <c r="F107" s="1165"/>
      <c r="G107" s="610"/>
      <c r="I107" s="1320" t="s">
        <v>874</v>
      </c>
      <c r="J107" s="1678"/>
      <c r="K107" s="1677" t="s">
        <v>525</v>
      </c>
      <c r="L107" s="197" t="s">
        <v>330</v>
      </c>
      <c r="M107" s="1695" t="s">
        <v>525</v>
      </c>
    </row>
    <row r="108" spans="1:20" ht="18" customHeight="1">
      <c r="A108" s="4436"/>
      <c r="B108" s="4435" t="s">
        <v>1460</v>
      </c>
      <c r="C108" s="3403"/>
      <c r="D108" s="4433" t="s">
        <v>1392</v>
      </c>
      <c r="E108" s="4433"/>
      <c r="F108" s="4435" t="s">
        <v>1387</v>
      </c>
      <c r="G108" s="4457"/>
    </row>
    <row r="109" spans="1:20" ht="18" customHeight="1">
      <c r="A109" s="3231"/>
      <c r="B109" s="4435"/>
      <c r="C109" s="1165"/>
      <c r="D109" s="4433"/>
      <c r="E109" s="4433"/>
      <c r="F109" s="4435"/>
      <c r="G109" s="4457"/>
      <c r="I109" s="3941" t="s">
        <v>525</v>
      </c>
      <c r="J109" s="3941"/>
      <c r="K109" s="3941"/>
      <c r="L109" s="3941"/>
      <c r="M109" s="3941"/>
      <c r="N109" s="615" t="s">
        <v>1383</v>
      </c>
    </row>
    <row r="110" spans="1:20" ht="14.55" customHeight="1">
      <c r="A110" s="2508"/>
      <c r="B110" s="3127"/>
      <c r="D110" s="3125" t="s">
        <v>525</v>
      </c>
      <c r="F110" s="3124">
        <v>0</v>
      </c>
      <c r="G110" s="3224" t="s">
        <v>525</v>
      </c>
      <c r="I110" s="3941"/>
      <c r="J110" s="3941"/>
      <c r="K110" s="3941"/>
      <c r="L110" s="3941"/>
      <c r="M110" s="3941"/>
      <c r="N110" s="615"/>
    </row>
    <row r="111" spans="1:20" ht="18" customHeight="1">
      <c r="A111" s="2508"/>
      <c r="G111" s="610"/>
      <c r="I111" s="3941"/>
      <c r="J111" s="3941"/>
      <c r="K111" s="3941"/>
      <c r="L111" s="3941"/>
      <c r="M111" s="3941"/>
      <c r="N111" s="615" t="s">
        <v>1384</v>
      </c>
      <c r="P111" s="34" t="s">
        <v>471</v>
      </c>
      <c r="Q111" s="34" t="s">
        <v>35</v>
      </c>
      <c r="R111" s="34" t="s">
        <v>342</v>
      </c>
      <c r="S111" s="34" t="s">
        <v>472</v>
      </c>
      <c r="T111" s="34" t="s">
        <v>473</v>
      </c>
    </row>
    <row r="112" spans="1:20" ht="18" customHeight="1">
      <c r="A112" s="2508"/>
      <c r="C112" s="3143" t="s">
        <v>1388</v>
      </c>
      <c r="D112" s="3129"/>
      <c r="E112" s="3129"/>
      <c r="F112" s="3129"/>
      <c r="G112" s="3225"/>
      <c r="I112" s="3941"/>
      <c r="J112" s="3941"/>
      <c r="K112" s="3941"/>
      <c r="L112" s="3941"/>
      <c r="M112" s="3941"/>
      <c r="P112" s="1698">
        <v>6.8063333333333338</v>
      </c>
      <c r="Q112" s="1698">
        <v>0</v>
      </c>
      <c r="R112" s="1698">
        <v>0</v>
      </c>
      <c r="S112" s="1698" t="s">
        <v>525</v>
      </c>
      <c r="T112" s="1698" t="s">
        <v>525</v>
      </c>
    </row>
    <row r="113" spans="1:25" ht="18" customHeight="1">
      <c r="A113" s="2508"/>
      <c r="C113" s="3131"/>
      <c r="D113" s="4425" t="s">
        <v>1385</v>
      </c>
      <c r="E113" s="4425"/>
      <c r="F113" s="3132">
        <v>0</v>
      </c>
      <c r="G113" s="3226"/>
      <c r="I113" s="3941"/>
      <c r="J113" s="3941"/>
      <c r="K113" s="3941"/>
      <c r="L113" s="3941"/>
      <c r="M113" s="3941"/>
    </row>
    <row r="114" spans="1:25" ht="18" customHeight="1">
      <c r="A114" s="2508"/>
      <c r="C114" s="3131"/>
      <c r="D114" s="3134" t="s">
        <v>1461</v>
      </c>
      <c r="E114" s="3135" t="s">
        <v>525</v>
      </c>
      <c r="F114" s="3136" t="s">
        <v>1462</v>
      </c>
      <c r="G114" s="3226"/>
      <c r="I114" s="4424" t="s">
        <v>525</v>
      </c>
      <c r="J114" s="4424"/>
      <c r="K114" s="4424"/>
      <c r="L114" s="4424"/>
      <c r="M114" s="4424"/>
      <c r="N114" s="3118" t="s">
        <v>525</v>
      </c>
    </row>
    <row r="115" spans="1:25" ht="18" customHeight="1">
      <c r="A115" s="2508"/>
      <c r="C115" s="3131"/>
      <c r="D115" s="3136" t="s">
        <v>1463</v>
      </c>
      <c r="E115" s="3137"/>
      <c r="F115" s="3138"/>
      <c r="G115" s="3226"/>
    </row>
    <row r="116" spans="1:25" ht="18" customHeight="1" thickBot="1">
      <c r="A116" s="2509"/>
      <c r="B116" s="774"/>
      <c r="C116" s="3227"/>
      <c r="D116" s="3228"/>
      <c r="E116" s="3229"/>
      <c r="F116" s="3229"/>
      <c r="G116" s="3230"/>
      <c r="R116" s="3147" t="s">
        <v>851</v>
      </c>
      <c r="S116" s="775"/>
      <c r="T116" s="3148"/>
      <c r="U116" s="3149"/>
    </row>
    <row r="117" spans="1:25" ht="18" customHeight="1">
      <c r="R117" s="4451" t="s">
        <v>860</v>
      </c>
      <c r="S117" s="4452"/>
      <c r="T117" s="4452"/>
      <c r="U117" s="3150">
        <v>1</v>
      </c>
    </row>
    <row r="118" spans="1:25" ht="18" customHeight="1">
      <c r="R118" s="4453" t="s">
        <v>856</v>
      </c>
      <c r="S118" s="4454"/>
      <c r="T118" s="4454"/>
      <c r="U118" s="3151" t="s">
        <v>525</v>
      </c>
    </row>
    <row r="119" spans="1:25" ht="18" customHeight="1">
      <c r="R119" s="4451" t="s">
        <v>857</v>
      </c>
      <c r="S119" s="4452"/>
      <c r="T119" s="4452"/>
      <c r="U119" s="3151" t="e">
        <v>#VALUE!</v>
      </c>
    </row>
    <row r="120" spans="1:25" ht="18" customHeight="1">
      <c r="R120" s="4451"/>
      <c r="S120" s="4452"/>
      <c r="T120" s="4452"/>
      <c r="U120" s="3152"/>
      <c r="V120" s="1834"/>
      <c r="W120" s="1834"/>
      <c r="X120" s="1834"/>
      <c r="Y120" s="1834"/>
    </row>
    <row r="121" spans="1:25" ht="18" customHeight="1">
      <c r="R121" s="4448" t="s">
        <v>858</v>
      </c>
      <c r="S121" s="4449"/>
      <c r="T121" s="4449"/>
      <c r="U121" s="3153" t="e">
        <v>#VALUE!</v>
      </c>
      <c r="V121" s="1834"/>
      <c r="W121" s="1834"/>
      <c r="X121" s="1834"/>
      <c r="Y121" s="1834"/>
    </row>
    <row r="122" spans="1:25" ht="18" customHeight="1">
      <c r="R122" s="3154" t="s">
        <v>859</v>
      </c>
      <c r="S122" s="3155" t="s">
        <v>525</v>
      </c>
      <c r="T122" s="3156" t="s">
        <v>48</v>
      </c>
      <c r="U122" s="3157" t="e">
        <v>#VALUE!</v>
      </c>
      <c r="V122" s="1834"/>
      <c r="W122" s="1834"/>
      <c r="X122" s="1834"/>
      <c r="Y122" s="1834"/>
    </row>
    <row r="123" spans="1:25" ht="18" customHeight="1">
      <c r="A123" s="216"/>
      <c r="B123" s="216"/>
      <c r="C123" s="216"/>
      <c r="D123" s="216"/>
      <c r="E123" s="216"/>
      <c r="F123" s="216"/>
      <c r="G123" s="216"/>
      <c r="H123" s="216"/>
      <c r="I123" s="216"/>
      <c r="J123" s="216"/>
      <c r="K123" s="216"/>
      <c r="L123" s="216"/>
      <c r="M123" s="216"/>
      <c r="N123" s="216"/>
      <c r="O123" s="216"/>
      <c r="P123" s="216"/>
      <c r="Q123" s="216"/>
      <c r="R123" s="216"/>
    </row>
    <row r="124" spans="1:25" ht="18" customHeight="1">
      <c r="A124" s="2494"/>
      <c r="B124" s="2494"/>
      <c r="C124" s="2494"/>
      <c r="D124" s="2494"/>
      <c r="E124" s="2494"/>
      <c r="F124" s="2494"/>
      <c r="G124" s="2494"/>
      <c r="H124" s="2494"/>
      <c r="I124" s="2494"/>
      <c r="J124" s="2494"/>
      <c r="K124" s="2494"/>
      <c r="L124" s="2494"/>
      <c r="M124" s="2494"/>
      <c r="N124" s="2494"/>
      <c r="O124" s="2494"/>
      <c r="P124" s="2494"/>
      <c r="Q124" s="2494"/>
      <c r="R124" s="2494"/>
    </row>
    <row r="125" spans="1:25" ht="33" customHeight="1">
      <c r="A125" s="1242" t="s">
        <v>1259</v>
      </c>
      <c r="D125" s="2557">
        <v>4</v>
      </c>
      <c r="E125" s="4418" t="s">
        <v>1254</v>
      </c>
      <c r="F125" s="4419"/>
      <c r="G125" s="1324"/>
      <c r="M125" s="4231" t="s">
        <v>846</v>
      </c>
      <c r="N125" s="4231"/>
      <c r="O125" s="4231"/>
      <c r="P125" s="4231"/>
    </row>
    <row r="126" spans="1:25" ht="18" customHeight="1">
      <c r="A126" s="4420" t="s">
        <v>346</v>
      </c>
      <c r="B126" s="4421"/>
      <c r="C126" s="4421"/>
      <c r="D126" s="4421"/>
      <c r="E126" s="4455"/>
      <c r="F126" s="4456"/>
      <c r="G126" s="485" t="s">
        <v>348</v>
      </c>
      <c r="I126" s="1308">
        <v>6.8063333333333338</v>
      </c>
      <c r="J126" s="1309" t="s">
        <v>812</v>
      </c>
      <c r="K126" s="1310"/>
      <c r="L126" s="619"/>
      <c r="M126" s="3444" t="s">
        <v>845</v>
      </c>
      <c r="N126" s="3444"/>
      <c r="O126" s="3444"/>
      <c r="P126" s="3444"/>
    </row>
    <row r="127" spans="1:25" ht="18" customHeight="1">
      <c r="A127" s="4422"/>
      <c r="B127" s="4423"/>
      <c r="C127" s="4423"/>
      <c r="D127" s="4423"/>
      <c r="E127" s="475">
        <v>6.8063333333333338</v>
      </c>
      <c r="F127" s="456" t="s">
        <v>330</v>
      </c>
      <c r="G127" s="457" t="e">
        <v>#VALUE!</v>
      </c>
      <c r="I127" s="1311"/>
      <c r="J127" s="3788" t="s">
        <v>847</v>
      </c>
      <c r="K127" s="3787"/>
      <c r="M127" s="3444"/>
      <c r="N127" s="3444"/>
      <c r="O127" s="3444"/>
      <c r="P127" s="3444"/>
    </row>
    <row r="128" spans="1:25" ht="15" customHeight="1">
      <c r="A128" s="188" t="s">
        <v>349</v>
      </c>
      <c r="B128" s="14"/>
      <c r="C128" s="14"/>
      <c r="D128" s="14"/>
      <c r="E128" s="14"/>
      <c r="F128" s="417"/>
      <c r="G128" s="458"/>
      <c r="H128" s="216"/>
      <c r="I128" s="428"/>
      <c r="J128" s="3788"/>
      <c r="K128" s="3787"/>
      <c r="M128" s="4450"/>
      <c r="N128" s="4450"/>
      <c r="O128" s="4450"/>
      <c r="P128" s="4450"/>
    </row>
    <row r="129" spans="1:16" ht="15" customHeight="1">
      <c r="A129" s="459"/>
      <c r="B129" s="460" t="s">
        <v>350</v>
      </c>
      <c r="C129" s="460"/>
      <c r="D129" s="1679" t="s">
        <v>1005</v>
      </c>
      <c r="E129" s="461">
        <v>0</v>
      </c>
      <c r="F129" s="462" t="s">
        <v>351</v>
      </c>
      <c r="G129" s="458"/>
      <c r="I129" s="1311"/>
      <c r="J129" s="3788" t="s">
        <v>848</v>
      </c>
      <c r="K129" s="3787"/>
      <c r="M129" s="655" t="s">
        <v>362</v>
      </c>
      <c r="N129" s="656"/>
      <c r="O129" s="656" t="s">
        <v>478</v>
      </c>
      <c r="P129" s="569"/>
    </row>
    <row r="130" spans="1:16" ht="15" customHeight="1">
      <c r="A130" s="463" t="s">
        <v>220</v>
      </c>
      <c r="B130" s="595" t="s">
        <v>353</v>
      </c>
      <c r="C130" s="464">
        <v>0.55254649655756016</v>
      </c>
      <c r="D130" s="1680">
        <v>0.7</v>
      </c>
      <c r="E130" s="465">
        <v>0</v>
      </c>
      <c r="F130" s="466" t="s">
        <v>330</v>
      </c>
      <c r="G130" s="457" t="e">
        <v>#VALUE!</v>
      </c>
      <c r="I130" s="428"/>
      <c r="J130" s="3788"/>
      <c r="K130" s="3787"/>
      <c r="M130" s="173" t="s">
        <v>476</v>
      </c>
      <c r="N130" s="57" t="s">
        <v>481</v>
      </c>
      <c r="O130" s="36" t="s">
        <v>477</v>
      </c>
      <c r="P130" s="659" t="s">
        <v>330</v>
      </c>
    </row>
    <row r="131" spans="1:16" ht="15">
      <c r="A131" s="467" t="s">
        <v>354</v>
      </c>
      <c r="B131" s="468"/>
      <c r="C131" s="468"/>
      <c r="D131" s="468"/>
      <c r="E131" s="469">
        <v>6.8063333333333338</v>
      </c>
      <c r="F131" s="470" t="s">
        <v>330</v>
      </c>
      <c r="G131" s="458"/>
      <c r="I131" s="1312">
        <v>6.8063333333333338</v>
      </c>
      <c r="J131" s="534" t="s">
        <v>849</v>
      </c>
      <c r="K131" s="618"/>
      <c r="M131" s="654">
        <v>90</v>
      </c>
      <c r="N131" s="509">
        <v>8.9</v>
      </c>
      <c r="O131" s="508">
        <v>60</v>
      </c>
      <c r="P131" s="570">
        <v>5.9333333333333336</v>
      </c>
    </row>
    <row r="132" spans="1:16" ht="15" customHeight="1">
      <c r="A132" s="187" t="s">
        <v>355</v>
      </c>
      <c r="B132" s="2"/>
      <c r="C132" s="2"/>
      <c r="D132" s="2"/>
      <c r="E132" s="2"/>
      <c r="F132" s="417"/>
      <c r="G132" s="458"/>
      <c r="M132" s="658" t="s">
        <v>363</v>
      </c>
      <c r="N132" s="657"/>
      <c r="O132" s="656" t="s">
        <v>478</v>
      </c>
      <c r="P132" s="572"/>
    </row>
    <row r="133" spans="1:16" ht="15">
      <c r="A133" s="187"/>
      <c r="B133" s="460" t="s">
        <v>350</v>
      </c>
      <c r="C133" s="460"/>
      <c r="D133" s="1679" t="s">
        <v>1005</v>
      </c>
      <c r="E133" s="14">
        <v>0</v>
      </c>
      <c r="F133" s="462" t="s">
        <v>351</v>
      </c>
      <c r="G133" s="458"/>
      <c r="I133" s="1313"/>
      <c r="J133" s="1314" t="s">
        <v>352</v>
      </c>
      <c r="K133" s="616"/>
      <c r="M133" s="173" t="s">
        <v>476</v>
      </c>
      <c r="N133" s="657" t="s">
        <v>482</v>
      </c>
      <c r="O133" s="36" t="s">
        <v>477</v>
      </c>
      <c r="P133" s="617"/>
    </row>
    <row r="134" spans="1:16" ht="15" customHeight="1">
      <c r="A134" s="463" t="s">
        <v>220</v>
      </c>
      <c r="B134" s="476" t="s">
        <v>356</v>
      </c>
      <c r="C134" s="464">
        <v>0.33</v>
      </c>
      <c r="D134" s="1680">
        <v>0.7</v>
      </c>
      <c r="E134" s="465">
        <v>0</v>
      </c>
      <c r="F134" s="466" t="s">
        <v>330</v>
      </c>
      <c r="G134" s="457" t="e">
        <v>#VALUE!</v>
      </c>
      <c r="I134" s="428"/>
      <c r="J134" s="3788" t="s">
        <v>1151</v>
      </c>
      <c r="K134" s="3787"/>
      <c r="M134" s="654">
        <v>1000</v>
      </c>
      <c r="N134" s="509">
        <v>9.6999999999999993</v>
      </c>
      <c r="O134" s="508">
        <v>90</v>
      </c>
      <c r="P134" s="570">
        <v>0.87299999999999989</v>
      </c>
    </row>
    <row r="135" spans="1:16" ht="15">
      <c r="A135" s="467" t="s">
        <v>357</v>
      </c>
      <c r="B135" s="471"/>
      <c r="C135" s="471"/>
      <c r="D135" s="471"/>
      <c r="E135" s="3109">
        <v>6.8063333333333338</v>
      </c>
      <c r="F135" s="3119" t="s">
        <v>525</v>
      </c>
      <c r="G135" s="457" t="e">
        <v>#VALUE!</v>
      </c>
      <c r="I135" s="428"/>
      <c r="J135" s="3788"/>
      <c r="K135" s="3787"/>
      <c r="M135" s="571"/>
      <c r="N135" s="497"/>
      <c r="O135" s="497"/>
      <c r="P135" s="573">
        <v>6.8063333333333338</v>
      </c>
    </row>
    <row r="136" spans="1:16" ht="15">
      <c r="A136" s="472" t="s">
        <v>358</v>
      </c>
      <c r="B136" s="151"/>
      <c r="C136" s="473" t="s">
        <v>525</v>
      </c>
      <c r="D136" s="3110" t="s">
        <v>525</v>
      </c>
      <c r="E136" s="474" t="s">
        <v>525</v>
      </c>
      <c r="F136" s="3120" t="s">
        <v>525</v>
      </c>
      <c r="G136" s="457" t="e">
        <v>#VALUE!</v>
      </c>
      <c r="I136" s="42"/>
      <c r="J136" s="4438"/>
      <c r="K136" s="4439"/>
      <c r="M136" s="574"/>
      <c r="N136" s="497" t="s">
        <v>479</v>
      </c>
      <c r="O136" s="497"/>
      <c r="P136" s="570">
        <v>0</v>
      </c>
    </row>
    <row r="137" spans="1:16" ht="15">
      <c r="A137" s="467" t="s">
        <v>360</v>
      </c>
      <c r="B137" s="471"/>
      <c r="C137" s="471"/>
      <c r="D137" s="471"/>
      <c r="E137" s="469" t="s">
        <v>525</v>
      </c>
      <c r="F137" s="3119" t="s">
        <v>525</v>
      </c>
      <c r="G137" s="457" t="e">
        <v>#VALUE!</v>
      </c>
      <c r="M137" s="571"/>
      <c r="N137" s="497"/>
      <c r="O137" s="497"/>
      <c r="P137" s="573">
        <v>6.8063333333333338</v>
      </c>
    </row>
    <row r="138" spans="1:16" ht="15">
      <c r="A138" s="472" t="s">
        <v>257</v>
      </c>
      <c r="B138" s="364">
        <v>0.19</v>
      </c>
      <c r="C138" s="19"/>
      <c r="D138" s="19"/>
      <c r="E138" s="474" t="s">
        <v>525</v>
      </c>
      <c r="F138" s="3120" t="s">
        <v>525</v>
      </c>
      <c r="G138" s="457">
        <v>0.19</v>
      </c>
      <c r="I138" s="3117" t="s">
        <v>525</v>
      </c>
      <c r="J138" s="4442" t="s">
        <v>1458</v>
      </c>
      <c r="K138" s="4442"/>
      <c r="L138" s="142"/>
      <c r="M138" s="574"/>
      <c r="N138" s="497" t="s">
        <v>480</v>
      </c>
      <c r="O138" s="497"/>
      <c r="P138" s="570">
        <v>0</v>
      </c>
    </row>
    <row r="139" spans="1:16" ht="15">
      <c r="A139" s="3144" t="s">
        <v>1389</v>
      </c>
      <c r="B139" s="1240"/>
      <c r="C139" s="1240"/>
      <c r="D139" s="1240"/>
      <c r="E139" s="1241" t="s">
        <v>525</v>
      </c>
      <c r="F139" s="3121" t="s">
        <v>525</v>
      </c>
      <c r="G139" s="457" t="e">
        <v>#VALUE!</v>
      </c>
      <c r="J139" s="3444" t="s">
        <v>850</v>
      </c>
      <c r="K139" s="3444"/>
      <c r="M139" s="575"/>
      <c r="N139" s="576"/>
      <c r="O139" s="660" t="s">
        <v>330</v>
      </c>
      <c r="P139" s="577">
        <v>6.8063333333333338</v>
      </c>
    </row>
    <row r="140" spans="1:16" ht="15" customHeight="1" thickBot="1">
      <c r="A140" s="1243"/>
      <c r="B140" s="3114" t="s">
        <v>351</v>
      </c>
      <c r="C140" s="3115">
        <v>0</v>
      </c>
      <c r="D140" s="3116" t="s">
        <v>525</v>
      </c>
      <c r="E140" s="3145" t="s">
        <v>525</v>
      </c>
      <c r="F140" s="3122" t="s">
        <v>525</v>
      </c>
      <c r="G140" s="3111" t="s">
        <v>525</v>
      </c>
      <c r="I140" s="680"/>
      <c r="J140" s="3444"/>
      <c r="K140" s="3444"/>
      <c r="L140" s="615">
        <v>0.10960791757966955</v>
      </c>
      <c r="M140" s="615" t="s">
        <v>525</v>
      </c>
    </row>
    <row r="141" spans="1:16" ht="16.2" thickBot="1">
      <c r="C141" s="3113"/>
      <c r="D141" s="3113" t="s">
        <v>525</v>
      </c>
      <c r="E141" s="3125" t="s">
        <v>525</v>
      </c>
      <c r="F141" s="2456"/>
      <c r="J141" s="3444"/>
      <c r="K141" s="3444"/>
      <c r="L141" s="615" t="s">
        <v>525</v>
      </c>
      <c r="M141" s="615"/>
    </row>
    <row r="142" spans="1:16" ht="17.25" customHeight="1">
      <c r="A142" s="4426" t="s">
        <v>1391</v>
      </c>
      <c r="B142" s="4427"/>
      <c r="C142" s="4430" t="s">
        <v>1390</v>
      </c>
      <c r="D142" s="4430"/>
      <c r="E142" s="4430"/>
      <c r="F142" s="4430" t="s">
        <v>1386</v>
      </c>
      <c r="G142" s="4434"/>
      <c r="I142" s="3373" t="s">
        <v>1382</v>
      </c>
      <c r="J142" s="3374"/>
      <c r="K142" s="3374"/>
      <c r="L142" s="3374"/>
      <c r="M142" s="4447"/>
    </row>
    <row r="143" spans="1:16" s="142" customFormat="1" ht="17.25" customHeight="1">
      <c r="A143" s="4428"/>
      <c r="B143" s="4429"/>
      <c r="C143" s="4431"/>
      <c r="D143" s="4431"/>
      <c r="E143" s="4431"/>
      <c r="F143" s="4431"/>
      <c r="G143" s="4432"/>
      <c r="I143" s="428"/>
      <c r="J143" s="34"/>
      <c r="K143" s="365" t="s">
        <v>1006</v>
      </c>
      <c r="L143" s="34"/>
      <c r="M143" s="617" t="s">
        <v>1007</v>
      </c>
    </row>
    <row r="144" spans="1:16" ht="18" customHeight="1">
      <c r="A144" s="2508"/>
      <c r="B144" s="3127"/>
      <c r="C144" s="3108"/>
      <c r="D144" s="3146" t="s">
        <v>525</v>
      </c>
      <c r="F144" s="3126" t="s">
        <v>525</v>
      </c>
      <c r="G144" s="610"/>
      <c r="I144" s="428" t="s">
        <v>1005</v>
      </c>
      <c r="J144" s="364">
        <v>0.7</v>
      </c>
      <c r="K144" s="1677">
        <v>0.55254649655756016</v>
      </c>
      <c r="L144" s="76" t="s">
        <v>330</v>
      </c>
      <c r="M144" s="1695">
        <v>0.33</v>
      </c>
    </row>
    <row r="145" spans="1:25" ht="18" customHeight="1">
      <c r="A145" s="4436" t="s">
        <v>1413</v>
      </c>
      <c r="B145" s="1165"/>
      <c r="C145" s="3403"/>
      <c r="D145" s="1165"/>
      <c r="E145" s="1165"/>
      <c r="F145" s="1165"/>
      <c r="G145" s="610"/>
      <c r="I145" s="1320" t="s">
        <v>874</v>
      </c>
      <c r="J145" s="1678"/>
      <c r="K145" s="1677" t="s">
        <v>525</v>
      </c>
      <c r="L145" s="197" t="s">
        <v>330</v>
      </c>
      <c r="M145" s="1695" t="s">
        <v>525</v>
      </c>
    </row>
    <row r="146" spans="1:25" ht="18" customHeight="1">
      <c r="A146" s="4436"/>
      <c r="B146" s="4435" t="s">
        <v>1460</v>
      </c>
      <c r="C146" s="3403"/>
      <c r="D146" s="4433" t="s">
        <v>1392</v>
      </c>
      <c r="E146" s="4433"/>
      <c r="F146" s="4435" t="s">
        <v>1387</v>
      </c>
      <c r="G146" s="4457"/>
    </row>
    <row r="147" spans="1:25" ht="18" customHeight="1">
      <c r="A147" s="3231"/>
      <c r="B147" s="4435"/>
      <c r="C147" s="1165"/>
      <c r="D147" s="4433"/>
      <c r="E147" s="4433"/>
      <c r="F147" s="4435"/>
      <c r="G147" s="4457"/>
      <c r="I147" s="3941" t="s">
        <v>525</v>
      </c>
      <c r="J147" s="3941"/>
      <c r="K147" s="3941"/>
      <c r="L147" s="3941"/>
      <c r="M147" s="3941"/>
      <c r="N147" s="615" t="s">
        <v>1383</v>
      </c>
    </row>
    <row r="148" spans="1:25" ht="14.55" customHeight="1">
      <c r="A148" s="2508"/>
      <c r="B148" s="3127"/>
      <c r="D148" s="3125" t="s">
        <v>525</v>
      </c>
      <c r="F148" s="3124">
        <v>0</v>
      </c>
      <c r="G148" s="3224" t="s">
        <v>525</v>
      </c>
      <c r="I148" s="3941"/>
      <c r="J148" s="3941"/>
      <c r="K148" s="3941"/>
      <c r="L148" s="3941"/>
      <c r="M148" s="3941"/>
      <c r="N148" s="615"/>
    </row>
    <row r="149" spans="1:25" ht="18" customHeight="1">
      <c r="A149" s="2508"/>
      <c r="G149" s="610"/>
      <c r="I149" s="3941"/>
      <c r="J149" s="3941"/>
      <c r="K149" s="3941"/>
      <c r="L149" s="3941"/>
      <c r="M149" s="3941"/>
      <c r="N149" s="615" t="s">
        <v>1384</v>
      </c>
      <c r="P149" s="34" t="s">
        <v>471</v>
      </c>
      <c r="Q149" s="34" t="s">
        <v>35</v>
      </c>
      <c r="R149" s="34" t="s">
        <v>342</v>
      </c>
      <c r="S149" s="34" t="s">
        <v>472</v>
      </c>
      <c r="T149" s="34" t="s">
        <v>473</v>
      </c>
    </row>
    <row r="150" spans="1:25" ht="18" customHeight="1">
      <c r="A150" s="2508"/>
      <c r="C150" s="3143" t="s">
        <v>1388</v>
      </c>
      <c r="D150" s="3129"/>
      <c r="E150" s="3129"/>
      <c r="F150" s="3129"/>
      <c r="G150" s="3225"/>
      <c r="I150" s="3941"/>
      <c r="J150" s="3941"/>
      <c r="K150" s="3941"/>
      <c r="L150" s="3941"/>
      <c r="M150" s="3941"/>
      <c r="P150" s="1698">
        <v>6.8063333333333338</v>
      </c>
      <c r="Q150" s="1698">
        <v>0</v>
      </c>
      <c r="R150" s="1698">
        <v>0</v>
      </c>
      <c r="S150" s="1698" t="s">
        <v>525</v>
      </c>
      <c r="T150" s="1698" t="s">
        <v>525</v>
      </c>
    </row>
    <row r="151" spans="1:25" ht="18" customHeight="1">
      <c r="A151" s="2508"/>
      <c r="C151" s="3131"/>
      <c r="D151" s="4425" t="s">
        <v>1385</v>
      </c>
      <c r="E151" s="4425"/>
      <c r="F151" s="3132">
        <v>0</v>
      </c>
      <c r="G151" s="3226"/>
      <c r="I151" s="3941"/>
      <c r="J151" s="3941"/>
      <c r="K151" s="3941"/>
      <c r="L151" s="3941"/>
      <c r="M151" s="3941"/>
    </row>
    <row r="152" spans="1:25" ht="18" customHeight="1">
      <c r="A152" s="2508"/>
      <c r="C152" s="3131"/>
      <c r="D152" s="3134" t="s">
        <v>1461</v>
      </c>
      <c r="E152" s="3135" t="s">
        <v>525</v>
      </c>
      <c r="F152" s="3136" t="s">
        <v>1462</v>
      </c>
      <c r="G152" s="3226"/>
      <c r="I152" s="4424" t="s">
        <v>525</v>
      </c>
      <c r="J152" s="4424"/>
      <c r="K152" s="4424"/>
      <c r="L152" s="4424"/>
      <c r="M152" s="4424"/>
      <c r="N152" s="3118" t="s">
        <v>525</v>
      </c>
    </row>
    <row r="153" spans="1:25" ht="18" customHeight="1">
      <c r="A153" s="2508"/>
      <c r="C153" s="3131"/>
      <c r="D153" s="3136" t="s">
        <v>1463</v>
      </c>
      <c r="E153" s="3137"/>
      <c r="F153" s="3138"/>
      <c r="G153" s="3226"/>
    </row>
    <row r="154" spans="1:25" ht="18" customHeight="1" thickBot="1">
      <c r="A154" s="2509"/>
      <c r="B154" s="774"/>
      <c r="C154" s="3227"/>
      <c r="D154" s="3228"/>
      <c r="E154" s="3229"/>
      <c r="F154" s="3229"/>
      <c r="G154" s="3230"/>
      <c r="R154" s="3147" t="s">
        <v>851</v>
      </c>
      <c r="S154" s="775"/>
      <c r="T154" s="3148"/>
      <c r="U154" s="3149"/>
    </row>
    <row r="155" spans="1:25" ht="18" customHeight="1">
      <c r="R155" s="4451" t="s">
        <v>860</v>
      </c>
      <c r="S155" s="4452"/>
      <c r="T155" s="4452"/>
      <c r="U155" s="3150">
        <v>1</v>
      </c>
    </row>
    <row r="156" spans="1:25" ht="18" customHeight="1">
      <c r="R156" s="4453" t="s">
        <v>856</v>
      </c>
      <c r="S156" s="4454"/>
      <c r="T156" s="4454"/>
      <c r="U156" s="3151" t="s">
        <v>525</v>
      </c>
    </row>
    <row r="157" spans="1:25" ht="18" customHeight="1">
      <c r="R157" s="4451" t="s">
        <v>857</v>
      </c>
      <c r="S157" s="4452"/>
      <c r="T157" s="4452"/>
      <c r="U157" s="3151" t="e">
        <v>#VALUE!</v>
      </c>
    </row>
    <row r="158" spans="1:25" ht="18" customHeight="1">
      <c r="R158" s="4451"/>
      <c r="S158" s="4452"/>
      <c r="T158" s="4452"/>
      <c r="U158" s="3152"/>
      <c r="V158" s="1834"/>
      <c r="W158" s="1834"/>
      <c r="X158" s="1834"/>
      <c r="Y158" s="1834"/>
    </row>
    <row r="159" spans="1:25" ht="18" customHeight="1">
      <c r="R159" s="4448" t="s">
        <v>858</v>
      </c>
      <c r="S159" s="4449"/>
      <c r="T159" s="4449"/>
      <c r="U159" s="3153" t="e">
        <v>#VALUE!</v>
      </c>
      <c r="V159" s="1834"/>
      <c r="W159" s="1834"/>
      <c r="X159" s="1834"/>
      <c r="Y159" s="1834"/>
    </row>
    <row r="160" spans="1:25" ht="18" customHeight="1">
      <c r="R160" s="3154" t="s">
        <v>859</v>
      </c>
      <c r="S160" s="3155" t="s">
        <v>525</v>
      </c>
      <c r="T160" s="3156" t="s">
        <v>48</v>
      </c>
      <c r="U160" s="3157" t="e">
        <v>#VALUE!</v>
      </c>
      <c r="V160" s="1834"/>
      <c r="W160" s="1834"/>
      <c r="X160" s="1834"/>
      <c r="Y160" s="1834"/>
    </row>
    <row r="162" spans="1:18" ht="18" customHeight="1">
      <c r="A162" s="2494"/>
      <c r="B162" s="2494"/>
      <c r="C162" s="2494"/>
      <c r="D162" s="2494"/>
      <c r="E162" s="2494"/>
      <c r="F162" s="2494"/>
      <c r="G162" s="2494"/>
      <c r="H162" s="2494"/>
      <c r="I162" s="2494"/>
      <c r="J162" s="2494"/>
      <c r="K162" s="2494"/>
      <c r="L162" s="2494"/>
      <c r="M162" s="2494"/>
      <c r="N162" s="2494"/>
      <c r="O162" s="2494"/>
      <c r="P162" s="2494"/>
      <c r="Q162" s="2494"/>
      <c r="R162" s="2494"/>
    </row>
    <row r="163" spans="1:18" ht="33" customHeight="1">
      <c r="A163" s="1242" t="s">
        <v>1259</v>
      </c>
      <c r="D163" s="2557">
        <v>5</v>
      </c>
      <c r="E163" s="4418" t="s">
        <v>1254</v>
      </c>
      <c r="F163" s="4419"/>
      <c r="G163" s="1324"/>
      <c r="M163" s="4231" t="s">
        <v>846</v>
      </c>
      <c r="N163" s="4231"/>
      <c r="O163" s="4231"/>
      <c r="P163" s="4231"/>
    </row>
    <row r="164" spans="1:18" ht="18" customHeight="1">
      <c r="A164" s="4420" t="s">
        <v>346</v>
      </c>
      <c r="B164" s="4421"/>
      <c r="C164" s="4421"/>
      <c r="D164" s="4421"/>
      <c r="E164" s="4455"/>
      <c r="F164" s="4456"/>
      <c r="G164" s="485" t="s">
        <v>348</v>
      </c>
      <c r="I164" s="1308">
        <v>6.8063333333333338</v>
      </c>
      <c r="J164" s="1309" t="s">
        <v>812</v>
      </c>
      <c r="K164" s="1310"/>
      <c r="L164" s="619"/>
      <c r="M164" s="3444" t="s">
        <v>845</v>
      </c>
      <c r="N164" s="3444"/>
      <c r="O164" s="3444"/>
      <c r="P164" s="3444"/>
    </row>
    <row r="165" spans="1:18" ht="18" customHeight="1">
      <c r="A165" s="4422"/>
      <c r="B165" s="4423"/>
      <c r="C165" s="4423"/>
      <c r="D165" s="4423"/>
      <c r="E165" s="475">
        <v>6.8063333333333338</v>
      </c>
      <c r="F165" s="456" t="s">
        <v>330</v>
      </c>
      <c r="G165" s="457" t="e">
        <v>#VALUE!</v>
      </c>
      <c r="I165" s="1311"/>
      <c r="J165" s="3788" t="s">
        <v>847</v>
      </c>
      <c r="K165" s="3787"/>
      <c r="M165" s="3444"/>
      <c r="N165" s="3444"/>
      <c r="O165" s="3444"/>
      <c r="P165" s="3444"/>
    </row>
    <row r="166" spans="1:18" ht="15" customHeight="1">
      <c r="A166" s="188" t="s">
        <v>349</v>
      </c>
      <c r="B166" s="14"/>
      <c r="C166" s="14"/>
      <c r="D166" s="14"/>
      <c r="E166" s="14"/>
      <c r="F166" s="417"/>
      <c r="G166" s="458"/>
      <c r="H166" s="216"/>
      <c r="I166" s="428"/>
      <c r="J166" s="3788"/>
      <c r="K166" s="3787"/>
      <c r="M166" s="4450"/>
      <c r="N166" s="4450"/>
      <c r="O166" s="4450"/>
      <c r="P166" s="4450"/>
    </row>
    <row r="167" spans="1:18" ht="15" customHeight="1">
      <c r="A167" s="459"/>
      <c r="B167" s="460" t="s">
        <v>350</v>
      </c>
      <c r="C167" s="460"/>
      <c r="D167" s="1679" t="s">
        <v>1005</v>
      </c>
      <c r="E167" s="461">
        <v>0</v>
      </c>
      <c r="F167" s="462" t="s">
        <v>351</v>
      </c>
      <c r="G167" s="458"/>
      <c r="I167" s="1311"/>
      <c r="J167" s="3788" t="s">
        <v>848</v>
      </c>
      <c r="K167" s="3787"/>
      <c r="M167" s="655" t="s">
        <v>362</v>
      </c>
      <c r="N167" s="656"/>
      <c r="O167" s="656" t="s">
        <v>478</v>
      </c>
      <c r="P167" s="569"/>
    </row>
    <row r="168" spans="1:18" ht="15" customHeight="1">
      <c r="A168" s="463" t="s">
        <v>220</v>
      </c>
      <c r="B168" s="595" t="s">
        <v>353</v>
      </c>
      <c r="C168" s="464">
        <v>0.55254649655756016</v>
      </c>
      <c r="D168" s="1680">
        <v>0.7</v>
      </c>
      <c r="E168" s="465">
        <v>0</v>
      </c>
      <c r="F168" s="466" t="s">
        <v>330</v>
      </c>
      <c r="G168" s="457" t="e">
        <v>#VALUE!</v>
      </c>
      <c r="I168" s="428"/>
      <c r="J168" s="3788"/>
      <c r="K168" s="3787"/>
      <c r="M168" s="173" t="s">
        <v>476</v>
      </c>
      <c r="N168" s="57" t="s">
        <v>481</v>
      </c>
      <c r="O168" s="36" t="s">
        <v>477</v>
      </c>
      <c r="P168" s="659" t="s">
        <v>330</v>
      </c>
    </row>
    <row r="169" spans="1:18" ht="15">
      <c r="A169" s="467" t="s">
        <v>354</v>
      </c>
      <c r="B169" s="468"/>
      <c r="C169" s="468"/>
      <c r="D169" s="468"/>
      <c r="E169" s="469">
        <v>6.8063333333333338</v>
      </c>
      <c r="F169" s="470" t="s">
        <v>330</v>
      </c>
      <c r="G169" s="458"/>
      <c r="I169" s="1312">
        <v>6.8063333333333338</v>
      </c>
      <c r="J169" s="534" t="s">
        <v>849</v>
      </c>
      <c r="K169" s="618"/>
      <c r="M169" s="654">
        <v>90</v>
      </c>
      <c r="N169" s="509">
        <v>8.9</v>
      </c>
      <c r="O169" s="508">
        <v>60</v>
      </c>
      <c r="P169" s="570">
        <v>5.9333333333333336</v>
      </c>
    </row>
    <row r="170" spans="1:18" ht="15" customHeight="1">
      <c r="A170" s="187" t="s">
        <v>355</v>
      </c>
      <c r="B170" s="2"/>
      <c r="C170" s="2"/>
      <c r="D170" s="2"/>
      <c r="E170" s="2"/>
      <c r="F170" s="417"/>
      <c r="G170" s="458"/>
      <c r="M170" s="658" t="s">
        <v>363</v>
      </c>
      <c r="N170" s="657"/>
      <c r="O170" s="656" t="s">
        <v>478</v>
      </c>
      <c r="P170" s="572"/>
    </row>
    <row r="171" spans="1:18" ht="15">
      <c r="A171" s="187"/>
      <c r="B171" s="460" t="s">
        <v>350</v>
      </c>
      <c r="C171" s="460"/>
      <c r="D171" s="1679" t="s">
        <v>1005</v>
      </c>
      <c r="E171" s="14">
        <v>0</v>
      </c>
      <c r="F171" s="462" t="s">
        <v>351</v>
      </c>
      <c r="G171" s="458"/>
      <c r="I171" s="1313"/>
      <c r="J171" s="1314" t="s">
        <v>352</v>
      </c>
      <c r="K171" s="616"/>
      <c r="M171" s="173" t="s">
        <v>476</v>
      </c>
      <c r="N171" s="657" t="s">
        <v>482</v>
      </c>
      <c r="O171" s="36" t="s">
        <v>477</v>
      </c>
      <c r="P171" s="617"/>
    </row>
    <row r="172" spans="1:18" ht="15" customHeight="1">
      <c r="A172" s="463" t="s">
        <v>220</v>
      </c>
      <c r="B172" s="476" t="s">
        <v>356</v>
      </c>
      <c r="C172" s="464">
        <v>0.33</v>
      </c>
      <c r="D172" s="1680">
        <v>0.7</v>
      </c>
      <c r="E172" s="465">
        <v>0</v>
      </c>
      <c r="F172" s="466" t="s">
        <v>330</v>
      </c>
      <c r="G172" s="457" t="e">
        <v>#VALUE!</v>
      </c>
      <c r="I172" s="428"/>
      <c r="J172" s="3788" t="s">
        <v>1151</v>
      </c>
      <c r="K172" s="3787"/>
      <c r="M172" s="654">
        <v>1000</v>
      </c>
      <c r="N172" s="509">
        <v>9.6999999999999993</v>
      </c>
      <c r="O172" s="508">
        <v>90</v>
      </c>
      <c r="P172" s="570">
        <v>0.87299999999999989</v>
      </c>
    </row>
    <row r="173" spans="1:18" ht="15">
      <c r="A173" s="467" t="s">
        <v>357</v>
      </c>
      <c r="B173" s="471"/>
      <c r="C173" s="471"/>
      <c r="D173" s="471"/>
      <c r="E173" s="3109">
        <v>6.8063333333333338</v>
      </c>
      <c r="F173" s="3119" t="s">
        <v>525</v>
      </c>
      <c r="G173" s="457" t="e">
        <v>#VALUE!</v>
      </c>
      <c r="I173" s="428"/>
      <c r="J173" s="3788"/>
      <c r="K173" s="3787"/>
      <c r="M173" s="571"/>
      <c r="N173" s="497"/>
      <c r="O173" s="497"/>
      <c r="P173" s="573">
        <v>6.8063333333333338</v>
      </c>
    </row>
    <row r="174" spans="1:18" ht="15">
      <c r="A174" s="472" t="s">
        <v>358</v>
      </c>
      <c r="B174" s="151"/>
      <c r="C174" s="473" t="s">
        <v>525</v>
      </c>
      <c r="D174" s="3110" t="s">
        <v>525</v>
      </c>
      <c r="E174" s="474" t="s">
        <v>525</v>
      </c>
      <c r="F174" s="3120" t="s">
        <v>525</v>
      </c>
      <c r="G174" s="457" t="e">
        <v>#VALUE!</v>
      </c>
      <c r="I174" s="42"/>
      <c r="J174" s="4438"/>
      <c r="K174" s="4439"/>
      <c r="M174" s="574"/>
      <c r="N174" s="497" t="s">
        <v>479</v>
      </c>
      <c r="O174" s="497"/>
      <c r="P174" s="570">
        <v>0</v>
      </c>
    </row>
    <row r="175" spans="1:18" ht="15">
      <c r="A175" s="467" t="s">
        <v>360</v>
      </c>
      <c r="B175" s="471"/>
      <c r="C175" s="471"/>
      <c r="D175" s="471"/>
      <c r="E175" s="469" t="s">
        <v>525</v>
      </c>
      <c r="F175" s="3119" t="s">
        <v>525</v>
      </c>
      <c r="G175" s="457" t="e">
        <v>#VALUE!</v>
      </c>
      <c r="M175" s="571"/>
      <c r="N175" s="497"/>
      <c r="O175" s="497"/>
      <c r="P175" s="573">
        <v>6.8063333333333338</v>
      </c>
    </row>
    <row r="176" spans="1:18" ht="15">
      <c r="A176" s="472" t="s">
        <v>257</v>
      </c>
      <c r="B176" s="364">
        <v>0.19</v>
      </c>
      <c r="C176" s="19"/>
      <c r="D176" s="19"/>
      <c r="E176" s="474" t="s">
        <v>525</v>
      </c>
      <c r="F176" s="3120" t="s">
        <v>525</v>
      </c>
      <c r="G176" s="457">
        <v>0.19</v>
      </c>
      <c r="I176" s="3117" t="s">
        <v>525</v>
      </c>
      <c r="J176" s="4442" t="s">
        <v>1458</v>
      </c>
      <c r="K176" s="4442"/>
      <c r="L176" s="142"/>
      <c r="M176" s="574"/>
      <c r="N176" s="497" t="s">
        <v>480</v>
      </c>
      <c r="O176" s="497"/>
      <c r="P176" s="570">
        <v>0</v>
      </c>
    </row>
    <row r="177" spans="1:21" ht="15">
      <c r="A177" s="3144" t="s">
        <v>1389</v>
      </c>
      <c r="B177" s="1240"/>
      <c r="C177" s="1240"/>
      <c r="D177" s="1240"/>
      <c r="E177" s="1241" t="s">
        <v>525</v>
      </c>
      <c r="F177" s="3121" t="s">
        <v>525</v>
      </c>
      <c r="G177" s="457" t="e">
        <v>#VALUE!</v>
      </c>
      <c r="J177" s="3444" t="s">
        <v>850</v>
      </c>
      <c r="K177" s="3444"/>
      <c r="M177" s="575"/>
      <c r="N177" s="576"/>
      <c r="O177" s="660" t="s">
        <v>330</v>
      </c>
      <c r="P177" s="577">
        <v>6.8063333333333338</v>
      </c>
    </row>
    <row r="178" spans="1:21" ht="15" customHeight="1" thickBot="1">
      <c r="A178" s="1243"/>
      <c r="B178" s="3114" t="s">
        <v>351</v>
      </c>
      <c r="C178" s="3115">
        <v>0</v>
      </c>
      <c r="D178" s="3116" t="s">
        <v>525</v>
      </c>
      <c r="E178" s="3145" t="s">
        <v>525</v>
      </c>
      <c r="F178" s="3122" t="s">
        <v>525</v>
      </c>
      <c r="G178" s="3111" t="s">
        <v>525</v>
      </c>
      <c r="I178" s="680"/>
      <c r="J178" s="3444"/>
      <c r="K178" s="3444"/>
      <c r="L178" s="615">
        <v>0.10960791757966955</v>
      </c>
      <c r="M178" s="615" t="s">
        <v>525</v>
      </c>
    </row>
    <row r="179" spans="1:21" ht="16.2" thickBot="1">
      <c r="C179" s="3113"/>
      <c r="D179" s="3113" t="s">
        <v>525</v>
      </c>
      <c r="E179" s="3125" t="s">
        <v>525</v>
      </c>
      <c r="F179" s="2456"/>
      <c r="J179" s="3444"/>
      <c r="K179" s="3444"/>
      <c r="L179" s="615" t="s">
        <v>525</v>
      </c>
      <c r="M179" s="615"/>
    </row>
    <row r="180" spans="1:21" ht="17.25" customHeight="1">
      <c r="A180" s="4426" t="s">
        <v>1391</v>
      </c>
      <c r="B180" s="4427"/>
      <c r="C180" s="4430" t="s">
        <v>1390</v>
      </c>
      <c r="D180" s="4430"/>
      <c r="E180" s="4430"/>
      <c r="F180" s="4430" t="s">
        <v>1386</v>
      </c>
      <c r="G180" s="4434"/>
      <c r="I180" s="3373" t="s">
        <v>1382</v>
      </c>
      <c r="J180" s="3374"/>
      <c r="K180" s="3374"/>
      <c r="L180" s="3374"/>
      <c r="M180" s="4447"/>
    </row>
    <row r="181" spans="1:21" s="142" customFormat="1" ht="17.25" customHeight="1">
      <c r="A181" s="4428"/>
      <c r="B181" s="4429"/>
      <c r="C181" s="4431"/>
      <c r="D181" s="4431"/>
      <c r="E181" s="4431"/>
      <c r="F181" s="4431"/>
      <c r="G181" s="4432"/>
      <c r="I181" s="428"/>
      <c r="J181" s="34"/>
      <c r="K181" s="365" t="s">
        <v>1006</v>
      </c>
      <c r="L181" s="34"/>
      <c r="M181" s="617" t="s">
        <v>1007</v>
      </c>
    </row>
    <row r="182" spans="1:21" ht="18" customHeight="1">
      <c r="A182" s="2508"/>
      <c r="B182" s="3127"/>
      <c r="C182" s="3108"/>
      <c r="D182" s="3146" t="s">
        <v>525</v>
      </c>
      <c r="F182" s="3126" t="s">
        <v>525</v>
      </c>
      <c r="G182" s="610"/>
      <c r="I182" s="428" t="s">
        <v>1005</v>
      </c>
      <c r="J182" s="364">
        <v>0.7</v>
      </c>
      <c r="K182" s="1677">
        <v>0.55254649655756016</v>
      </c>
      <c r="L182" s="76" t="s">
        <v>330</v>
      </c>
      <c r="M182" s="1695">
        <v>0.33</v>
      </c>
    </row>
    <row r="183" spans="1:21" ht="18" customHeight="1">
      <c r="A183" s="4436" t="s">
        <v>1413</v>
      </c>
      <c r="B183" s="1165"/>
      <c r="C183" s="3403"/>
      <c r="D183" s="1165"/>
      <c r="E183" s="1165"/>
      <c r="F183" s="1165"/>
      <c r="G183" s="610"/>
      <c r="I183" s="1320" t="s">
        <v>874</v>
      </c>
      <c r="J183" s="1678"/>
      <c r="K183" s="1677" t="s">
        <v>525</v>
      </c>
      <c r="L183" s="197" t="s">
        <v>330</v>
      </c>
      <c r="M183" s="1695" t="s">
        <v>525</v>
      </c>
    </row>
    <row r="184" spans="1:21" ht="18" customHeight="1">
      <c r="A184" s="4436"/>
      <c r="B184" s="4435" t="s">
        <v>1460</v>
      </c>
      <c r="C184" s="3403"/>
      <c r="D184" s="4433" t="s">
        <v>1392</v>
      </c>
      <c r="E184" s="4433"/>
      <c r="F184" s="4435" t="s">
        <v>1387</v>
      </c>
      <c r="G184" s="4457"/>
    </row>
    <row r="185" spans="1:21" ht="18" customHeight="1">
      <c r="A185" s="3231"/>
      <c r="B185" s="4435"/>
      <c r="C185" s="1165"/>
      <c r="D185" s="4433"/>
      <c r="E185" s="4433"/>
      <c r="F185" s="4435"/>
      <c r="G185" s="4457"/>
      <c r="I185" s="3941" t="s">
        <v>525</v>
      </c>
      <c r="J185" s="3941"/>
      <c r="K185" s="3941"/>
      <c r="L185" s="3941"/>
      <c r="M185" s="3941"/>
      <c r="N185" s="615" t="s">
        <v>1383</v>
      </c>
    </row>
    <row r="186" spans="1:21" ht="14.55" customHeight="1">
      <c r="A186" s="2508"/>
      <c r="B186" s="3127"/>
      <c r="D186" s="3125" t="s">
        <v>525</v>
      </c>
      <c r="F186" s="3124">
        <v>0</v>
      </c>
      <c r="G186" s="3224" t="s">
        <v>525</v>
      </c>
      <c r="I186" s="3941"/>
      <c r="J186" s="3941"/>
      <c r="K186" s="3941"/>
      <c r="L186" s="3941"/>
      <c r="M186" s="3941"/>
      <c r="N186" s="615"/>
    </row>
    <row r="187" spans="1:21" ht="18" customHeight="1">
      <c r="A187" s="2508"/>
      <c r="G187" s="610"/>
      <c r="I187" s="3941"/>
      <c r="J187" s="3941"/>
      <c r="K187" s="3941"/>
      <c r="L187" s="3941"/>
      <c r="M187" s="3941"/>
      <c r="N187" s="615" t="s">
        <v>1384</v>
      </c>
      <c r="P187" s="34" t="s">
        <v>471</v>
      </c>
      <c r="Q187" s="34" t="s">
        <v>35</v>
      </c>
      <c r="R187" s="34" t="s">
        <v>342</v>
      </c>
      <c r="S187" s="34" t="s">
        <v>472</v>
      </c>
      <c r="T187" s="34" t="s">
        <v>473</v>
      </c>
    </row>
    <row r="188" spans="1:21" ht="18" customHeight="1">
      <c r="A188" s="2508"/>
      <c r="C188" s="3143" t="s">
        <v>1388</v>
      </c>
      <c r="D188" s="3129"/>
      <c r="E188" s="3129"/>
      <c r="F188" s="3129"/>
      <c r="G188" s="3225"/>
      <c r="I188" s="3941"/>
      <c r="J188" s="3941"/>
      <c r="K188" s="3941"/>
      <c r="L188" s="3941"/>
      <c r="M188" s="3941"/>
      <c r="P188" s="1698">
        <v>6.8063333333333338</v>
      </c>
      <c r="Q188" s="1698">
        <v>0</v>
      </c>
      <c r="R188" s="1698">
        <v>0</v>
      </c>
      <c r="S188" s="1698" t="s">
        <v>525</v>
      </c>
      <c r="T188" s="1698" t="s">
        <v>525</v>
      </c>
    </row>
    <row r="189" spans="1:21" ht="18" customHeight="1">
      <c r="A189" s="2508"/>
      <c r="C189" s="3131"/>
      <c r="D189" s="4425" t="s">
        <v>1385</v>
      </c>
      <c r="E189" s="4425"/>
      <c r="F189" s="3132">
        <v>0</v>
      </c>
      <c r="G189" s="3226"/>
      <c r="I189" s="3941"/>
      <c r="J189" s="3941"/>
      <c r="K189" s="3941"/>
      <c r="L189" s="3941"/>
      <c r="M189" s="3941"/>
    </row>
    <row r="190" spans="1:21" ht="18" customHeight="1">
      <c r="A190" s="2508"/>
      <c r="C190" s="3131"/>
      <c r="D190" s="3134" t="s">
        <v>1461</v>
      </c>
      <c r="E190" s="3135" t="s">
        <v>525</v>
      </c>
      <c r="F190" s="3136" t="s">
        <v>1462</v>
      </c>
      <c r="G190" s="3226"/>
      <c r="I190" s="4424" t="s">
        <v>525</v>
      </c>
      <c r="J190" s="4424"/>
      <c r="K190" s="4424"/>
      <c r="L190" s="4424"/>
      <c r="M190" s="4424"/>
      <c r="N190" s="3118" t="s">
        <v>525</v>
      </c>
    </row>
    <row r="191" spans="1:21" ht="18" customHeight="1">
      <c r="A191" s="2508"/>
      <c r="C191" s="3131"/>
      <c r="D191" s="3136" t="s">
        <v>1463</v>
      </c>
      <c r="E191" s="3137"/>
      <c r="F191" s="3138"/>
      <c r="G191" s="3226"/>
    </row>
    <row r="192" spans="1:21" ht="18" customHeight="1" thickBot="1">
      <c r="A192" s="2509"/>
      <c r="B192" s="774"/>
      <c r="C192" s="3227"/>
      <c r="D192" s="3228"/>
      <c r="E192" s="3229"/>
      <c r="F192" s="3229"/>
      <c r="G192" s="3230"/>
      <c r="R192" s="3147" t="s">
        <v>851</v>
      </c>
      <c r="S192" s="775"/>
      <c r="T192" s="3148"/>
      <c r="U192" s="3149"/>
    </row>
    <row r="193" spans="1:25" ht="18" customHeight="1">
      <c r="R193" s="4451" t="s">
        <v>860</v>
      </c>
      <c r="S193" s="4452"/>
      <c r="T193" s="4452"/>
      <c r="U193" s="3150">
        <v>1</v>
      </c>
    </row>
    <row r="194" spans="1:25" ht="18" customHeight="1">
      <c r="R194" s="4453" t="s">
        <v>856</v>
      </c>
      <c r="S194" s="4454"/>
      <c r="T194" s="4454"/>
      <c r="U194" s="3151" t="s">
        <v>525</v>
      </c>
    </row>
    <row r="195" spans="1:25" ht="18" customHeight="1">
      <c r="R195" s="4451" t="s">
        <v>857</v>
      </c>
      <c r="S195" s="4452"/>
      <c r="T195" s="4452"/>
      <c r="U195" s="3151" t="e">
        <v>#VALUE!</v>
      </c>
    </row>
    <row r="196" spans="1:25" ht="18" customHeight="1">
      <c r="R196" s="4451"/>
      <c r="S196" s="4452"/>
      <c r="T196" s="4452"/>
      <c r="U196" s="3152"/>
      <c r="V196" s="1834"/>
      <c r="W196" s="1834"/>
      <c r="X196" s="1834"/>
      <c r="Y196" s="1834"/>
    </row>
    <row r="197" spans="1:25" ht="18" customHeight="1">
      <c r="R197" s="4448" t="s">
        <v>858</v>
      </c>
      <c r="S197" s="4449"/>
      <c r="T197" s="4449"/>
      <c r="U197" s="3153" t="e">
        <v>#VALUE!</v>
      </c>
      <c r="V197" s="1834"/>
      <c r="W197" s="1834"/>
      <c r="X197" s="1834"/>
      <c r="Y197" s="1834"/>
    </row>
    <row r="198" spans="1:25" ht="18" customHeight="1">
      <c r="R198" s="3154" t="s">
        <v>859</v>
      </c>
      <c r="S198" s="3155" t="s">
        <v>525</v>
      </c>
      <c r="T198" s="3156" t="s">
        <v>48</v>
      </c>
      <c r="U198" s="3157" t="e">
        <v>#VALUE!</v>
      </c>
      <c r="V198" s="1834"/>
      <c r="W198" s="1834"/>
      <c r="X198" s="1834"/>
      <c r="Y198" s="1834"/>
    </row>
    <row r="199" spans="1:25" ht="18" customHeight="1">
      <c r="A199" s="216"/>
      <c r="B199" s="216"/>
      <c r="C199" s="216"/>
      <c r="D199" s="216"/>
      <c r="E199" s="216"/>
      <c r="F199" s="216"/>
      <c r="G199" s="216"/>
      <c r="H199" s="216"/>
      <c r="I199" s="216"/>
      <c r="J199" s="216"/>
      <c r="K199" s="216"/>
      <c r="L199" s="216"/>
      <c r="M199" s="216"/>
      <c r="N199" s="216"/>
      <c r="O199" s="216"/>
      <c r="P199" s="216"/>
      <c r="Q199" s="216"/>
      <c r="R199" s="216"/>
    </row>
    <row r="200" spans="1:25" ht="18" customHeight="1">
      <c r="A200" s="2494"/>
      <c r="B200" s="2494"/>
      <c r="C200" s="2494"/>
      <c r="D200" s="2494"/>
      <c r="E200" s="2494"/>
      <c r="F200" s="2494"/>
      <c r="G200" s="2494"/>
      <c r="H200" s="2494"/>
      <c r="I200" s="2494"/>
      <c r="J200" s="2494"/>
      <c r="K200" s="2494"/>
      <c r="L200" s="2494"/>
      <c r="M200" s="2494"/>
      <c r="N200" s="2494"/>
      <c r="O200" s="2494"/>
      <c r="P200" s="2494"/>
      <c r="Q200" s="2494"/>
      <c r="R200" s="2494"/>
    </row>
    <row r="201" spans="1:25" ht="33" customHeight="1">
      <c r="A201" s="1242" t="s">
        <v>1259</v>
      </c>
      <c r="D201" s="2557">
        <v>6</v>
      </c>
      <c r="E201" s="4418" t="s">
        <v>1254</v>
      </c>
      <c r="F201" s="4419"/>
      <c r="G201" s="1324"/>
      <c r="M201" s="4231" t="s">
        <v>846</v>
      </c>
      <c r="N201" s="4231"/>
      <c r="O201" s="4231"/>
      <c r="P201" s="4231"/>
    </row>
    <row r="202" spans="1:25" ht="18" customHeight="1">
      <c r="A202" s="4420" t="s">
        <v>346</v>
      </c>
      <c r="B202" s="4421"/>
      <c r="C202" s="4421"/>
      <c r="D202" s="4421"/>
      <c r="E202" s="4455"/>
      <c r="F202" s="4456"/>
      <c r="G202" s="485" t="s">
        <v>348</v>
      </c>
      <c r="I202" s="1308">
        <v>6.8063333333333338</v>
      </c>
      <c r="J202" s="1309" t="s">
        <v>812</v>
      </c>
      <c r="K202" s="1310"/>
      <c r="L202" s="619"/>
      <c r="M202" s="3444" t="s">
        <v>845</v>
      </c>
      <c r="N202" s="3444"/>
      <c r="O202" s="3444"/>
      <c r="P202" s="3444"/>
    </row>
    <row r="203" spans="1:25" ht="18" customHeight="1">
      <c r="A203" s="4422"/>
      <c r="B203" s="4423"/>
      <c r="C203" s="4423"/>
      <c r="D203" s="4423"/>
      <c r="E203" s="475">
        <v>6.8063333333333338</v>
      </c>
      <c r="F203" s="456" t="s">
        <v>330</v>
      </c>
      <c r="G203" s="457" t="e">
        <v>#VALUE!</v>
      </c>
      <c r="I203" s="1311"/>
      <c r="J203" s="3788" t="s">
        <v>847</v>
      </c>
      <c r="K203" s="3787"/>
      <c r="M203" s="3444"/>
      <c r="N203" s="3444"/>
      <c r="O203" s="3444"/>
      <c r="P203" s="3444"/>
    </row>
    <row r="204" spans="1:25" ht="15" customHeight="1">
      <c r="A204" s="188" t="s">
        <v>349</v>
      </c>
      <c r="B204" s="14"/>
      <c r="C204" s="14"/>
      <c r="D204" s="14"/>
      <c r="E204" s="14"/>
      <c r="F204" s="417"/>
      <c r="G204" s="458"/>
      <c r="H204" s="216"/>
      <c r="I204" s="428"/>
      <c r="J204" s="3788"/>
      <c r="K204" s="3787"/>
      <c r="M204" s="4450"/>
      <c r="N204" s="4450"/>
      <c r="O204" s="4450"/>
      <c r="P204" s="4450"/>
    </row>
    <row r="205" spans="1:25" ht="15" customHeight="1">
      <c r="A205" s="459"/>
      <c r="B205" s="460" t="s">
        <v>350</v>
      </c>
      <c r="C205" s="460"/>
      <c r="D205" s="1679" t="s">
        <v>1005</v>
      </c>
      <c r="E205" s="461">
        <v>0</v>
      </c>
      <c r="F205" s="462" t="s">
        <v>351</v>
      </c>
      <c r="G205" s="458"/>
      <c r="I205" s="1311"/>
      <c r="J205" s="3788" t="s">
        <v>848</v>
      </c>
      <c r="K205" s="3787"/>
      <c r="M205" s="655" t="s">
        <v>362</v>
      </c>
      <c r="N205" s="656"/>
      <c r="O205" s="656" t="s">
        <v>478</v>
      </c>
      <c r="P205" s="569"/>
    </row>
    <row r="206" spans="1:25" ht="15" customHeight="1">
      <c r="A206" s="463" t="s">
        <v>220</v>
      </c>
      <c r="B206" s="595" t="s">
        <v>353</v>
      </c>
      <c r="C206" s="464">
        <v>0.55254649655756016</v>
      </c>
      <c r="D206" s="1680">
        <v>0.7</v>
      </c>
      <c r="E206" s="465">
        <v>0</v>
      </c>
      <c r="F206" s="466" t="s">
        <v>330</v>
      </c>
      <c r="G206" s="457" t="e">
        <v>#VALUE!</v>
      </c>
      <c r="I206" s="428"/>
      <c r="J206" s="3788"/>
      <c r="K206" s="3787"/>
      <c r="M206" s="173" t="s">
        <v>476</v>
      </c>
      <c r="N206" s="57" t="s">
        <v>481</v>
      </c>
      <c r="O206" s="36" t="s">
        <v>477</v>
      </c>
      <c r="P206" s="659" t="s">
        <v>330</v>
      </c>
    </row>
    <row r="207" spans="1:25" ht="15">
      <c r="A207" s="467" t="s">
        <v>354</v>
      </c>
      <c r="B207" s="468"/>
      <c r="C207" s="468"/>
      <c r="D207" s="468"/>
      <c r="E207" s="469">
        <v>6.8063333333333338</v>
      </c>
      <c r="F207" s="470" t="s">
        <v>330</v>
      </c>
      <c r="G207" s="458"/>
      <c r="I207" s="1312">
        <v>6.8063333333333338</v>
      </c>
      <c r="J207" s="534" t="s">
        <v>849</v>
      </c>
      <c r="K207" s="618"/>
      <c r="M207" s="654">
        <v>90</v>
      </c>
      <c r="N207" s="509">
        <v>8.9</v>
      </c>
      <c r="O207" s="508">
        <v>60</v>
      </c>
      <c r="P207" s="570">
        <v>5.9333333333333336</v>
      </c>
    </row>
    <row r="208" spans="1:25" ht="15" customHeight="1">
      <c r="A208" s="187" t="s">
        <v>355</v>
      </c>
      <c r="B208" s="2"/>
      <c r="C208" s="2"/>
      <c r="D208" s="2"/>
      <c r="E208" s="2"/>
      <c r="F208" s="417"/>
      <c r="G208" s="458"/>
      <c r="M208" s="658" t="s">
        <v>363</v>
      </c>
      <c r="N208" s="657"/>
      <c r="O208" s="656" t="s">
        <v>478</v>
      </c>
      <c r="P208" s="572"/>
    </row>
    <row r="209" spans="1:16" ht="15">
      <c r="A209" s="187"/>
      <c r="B209" s="460" t="s">
        <v>350</v>
      </c>
      <c r="C209" s="460"/>
      <c r="D209" s="1679" t="s">
        <v>1005</v>
      </c>
      <c r="E209" s="14">
        <v>0</v>
      </c>
      <c r="F209" s="462" t="s">
        <v>351</v>
      </c>
      <c r="G209" s="458"/>
      <c r="I209" s="1313"/>
      <c r="J209" s="1314" t="s">
        <v>352</v>
      </c>
      <c r="K209" s="616"/>
      <c r="M209" s="173" t="s">
        <v>476</v>
      </c>
      <c r="N209" s="657" t="s">
        <v>482</v>
      </c>
      <c r="O209" s="36" t="s">
        <v>477</v>
      </c>
      <c r="P209" s="617"/>
    </row>
    <row r="210" spans="1:16" ht="15" customHeight="1">
      <c r="A210" s="463" t="s">
        <v>220</v>
      </c>
      <c r="B210" s="476" t="s">
        <v>356</v>
      </c>
      <c r="C210" s="464">
        <v>0.33</v>
      </c>
      <c r="D210" s="1680">
        <v>0.7</v>
      </c>
      <c r="E210" s="465">
        <v>0</v>
      </c>
      <c r="F210" s="466" t="s">
        <v>330</v>
      </c>
      <c r="G210" s="457" t="e">
        <v>#VALUE!</v>
      </c>
      <c r="I210" s="428"/>
      <c r="J210" s="3788" t="s">
        <v>1151</v>
      </c>
      <c r="K210" s="3787"/>
      <c r="M210" s="654">
        <v>1000</v>
      </c>
      <c r="N210" s="509">
        <v>9.6999999999999993</v>
      </c>
      <c r="O210" s="508">
        <v>90</v>
      </c>
      <c r="P210" s="570">
        <v>0.87299999999999989</v>
      </c>
    </row>
    <row r="211" spans="1:16" ht="15">
      <c r="A211" s="467" t="s">
        <v>357</v>
      </c>
      <c r="B211" s="471"/>
      <c r="C211" s="471"/>
      <c r="D211" s="471"/>
      <c r="E211" s="3109">
        <v>6.8063333333333338</v>
      </c>
      <c r="F211" s="3119" t="s">
        <v>525</v>
      </c>
      <c r="G211" s="457" t="e">
        <v>#VALUE!</v>
      </c>
      <c r="I211" s="428"/>
      <c r="J211" s="3788"/>
      <c r="K211" s="3787"/>
      <c r="M211" s="571"/>
      <c r="N211" s="497"/>
      <c r="O211" s="497"/>
      <c r="P211" s="573">
        <v>6.8063333333333338</v>
      </c>
    </row>
    <row r="212" spans="1:16" ht="15">
      <c r="A212" s="472" t="s">
        <v>358</v>
      </c>
      <c r="B212" s="151"/>
      <c r="C212" s="473" t="s">
        <v>525</v>
      </c>
      <c r="D212" s="3110" t="s">
        <v>525</v>
      </c>
      <c r="E212" s="474" t="s">
        <v>525</v>
      </c>
      <c r="F212" s="3120" t="s">
        <v>525</v>
      </c>
      <c r="G212" s="457" t="e">
        <v>#VALUE!</v>
      </c>
      <c r="I212" s="42"/>
      <c r="J212" s="4438"/>
      <c r="K212" s="4439"/>
      <c r="M212" s="574"/>
      <c r="N212" s="497" t="s">
        <v>479</v>
      </c>
      <c r="O212" s="497"/>
      <c r="P212" s="570">
        <v>0</v>
      </c>
    </row>
    <row r="213" spans="1:16" ht="15">
      <c r="A213" s="467" t="s">
        <v>360</v>
      </c>
      <c r="B213" s="471"/>
      <c r="C213" s="471"/>
      <c r="D213" s="471"/>
      <c r="E213" s="469" t="s">
        <v>525</v>
      </c>
      <c r="F213" s="3119" t="s">
        <v>525</v>
      </c>
      <c r="G213" s="457" t="e">
        <v>#VALUE!</v>
      </c>
      <c r="M213" s="571"/>
      <c r="N213" s="497"/>
      <c r="O213" s="497"/>
      <c r="P213" s="573">
        <v>6.8063333333333338</v>
      </c>
    </row>
    <row r="214" spans="1:16" ht="15">
      <c r="A214" s="472" t="s">
        <v>257</v>
      </c>
      <c r="B214" s="364">
        <v>0.19</v>
      </c>
      <c r="C214" s="19"/>
      <c r="D214" s="19"/>
      <c r="E214" s="474" t="s">
        <v>525</v>
      </c>
      <c r="F214" s="3120" t="s">
        <v>525</v>
      </c>
      <c r="G214" s="457">
        <v>0.19</v>
      </c>
      <c r="I214" s="3117" t="s">
        <v>525</v>
      </c>
      <c r="J214" s="4442" t="s">
        <v>1458</v>
      </c>
      <c r="K214" s="4442"/>
      <c r="L214" s="142"/>
      <c r="M214" s="574"/>
      <c r="N214" s="497" t="s">
        <v>480</v>
      </c>
      <c r="O214" s="497"/>
      <c r="P214" s="570">
        <v>0</v>
      </c>
    </row>
    <row r="215" spans="1:16" ht="15">
      <c r="A215" s="3144" t="s">
        <v>1389</v>
      </c>
      <c r="B215" s="1240"/>
      <c r="C215" s="1240"/>
      <c r="D215" s="1240"/>
      <c r="E215" s="1241" t="s">
        <v>525</v>
      </c>
      <c r="F215" s="3121" t="s">
        <v>525</v>
      </c>
      <c r="G215" s="457" t="e">
        <v>#VALUE!</v>
      </c>
      <c r="J215" s="3444" t="s">
        <v>850</v>
      </c>
      <c r="K215" s="3444"/>
      <c r="M215" s="575"/>
      <c r="N215" s="576"/>
      <c r="O215" s="660" t="s">
        <v>330</v>
      </c>
      <c r="P215" s="577">
        <v>6.8063333333333338</v>
      </c>
    </row>
    <row r="216" spans="1:16" ht="15" customHeight="1" thickBot="1">
      <c r="A216" s="1243"/>
      <c r="B216" s="3114" t="s">
        <v>351</v>
      </c>
      <c r="C216" s="3115">
        <v>0</v>
      </c>
      <c r="D216" s="3116" t="s">
        <v>525</v>
      </c>
      <c r="E216" s="3145" t="s">
        <v>525</v>
      </c>
      <c r="F216" s="3122" t="s">
        <v>525</v>
      </c>
      <c r="G216" s="3111" t="s">
        <v>525</v>
      </c>
      <c r="I216" s="680"/>
      <c r="J216" s="3444"/>
      <c r="K216" s="3444"/>
      <c r="L216" s="615">
        <v>0.10960791757966955</v>
      </c>
      <c r="M216" s="615" t="s">
        <v>525</v>
      </c>
    </row>
    <row r="217" spans="1:16" ht="16.2" thickBot="1">
      <c r="C217" s="3113"/>
      <c r="D217" s="3113" t="s">
        <v>525</v>
      </c>
      <c r="E217" s="3125" t="s">
        <v>525</v>
      </c>
      <c r="F217" s="2456"/>
      <c r="J217" s="3444"/>
      <c r="K217" s="3444"/>
      <c r="L217" s="615" t="s">
        <v>525</v>
      </c>
      <c r="M217" s="615"/>
    </row>
    <row r="218" spans="1:16" ht="17.25" customHeight="1">
      <c r="A218" s="4426" t="s">
        <v>1391</v>
      </c>
      <c r="B218" s="4427"/>
      <c r="C218" s="4430" t="s">
        <v>1390</v>
      </c>
      <c r="D218" s="4430"/>
      <c r="E218" s="4430"/>
      <c r="F218" s="4430" t="s">
        <v>1386</v>
      </c>
      <c r="G218" s="4434"/>
      <c r="I218" s="3373" t="s">
        <v>1382</v>
      </c>
      <c r="J218" s="3374"/>
      <c r="K218" s="3374"/>
      <c r="L218" s="3374"/>
      <c r="M218" s="4447"/>
    </row>
    <row r="219" spans="1:16" s="142" customFormat="1" ht="17.25" customHeight="1">
      <c r="A219" s="4428"/>
      <c r="B219" s="4429"/>
      <c r="C219" s="4431"/>
      <c r="D219" s="4431"/>
      <c r="E219" s="4431"/>
      <c r="F219" s="4431"/>
      <c r="G219" s="4432"/>
      <c r="I219" s="428"/>
      <c r="J219" s="34"/>
      <c r="K219" s="365" t="s">
        <v>1006</v>
      </c>
      <c r="L219" s="34"/>
      <c r="M219" s="617" t="s">
        <v>1007</v>
      </c>
    </row>
    <row r="220" spans="1:16" ht="18" customHeight="1">
      <c r="A220" s="2508"/>
      <c r="B220" s="3127"/>
      <c r="C220" s="3108"/>
      <c r="D220" s="3146" t="s">
        <v>525</v>
      </c>
      <c r="F220" s="3126" t="s">
        <v>525</v>
      </c>
      <c r="G220" s="610"/>
      <c r="I220" s="428" t="s">
        <v>1005</v>
      </c>
      <c r="J220" s="364">
        <v>0.7</v>
      </c>
      <c r="K220" s="1677">
        <v>0.55254649655756016</v>
      </c>
      <c r="L220" s="76" t="s">
        <v>330</v>
      </c>
      <c r="M220" s="1695">
        <v>0.33</v>
      </c>
    </row>
    <row r="221" spans="1:16" ht="18" customHeight="1">
      <c r="A221" s="2508"/>
      <c r="B221" s="1165"/>
      <c r="C221" s="3403"/>
      <c r="D221" s="1165"/>
      <c r="E221" s="1165"/>
      <c r="F221" s="1165"/>
      <c r="G221" s="610"/>
      <c r="I221" s="1320" t="s">
        <v>874</v>
      </c>
      <c r="J221" s="1678"/>
      <c r="K221" s="1677" t="s">
        <v>525</v>
      </c>
      <c r="L221" s="197" t="s">
        <v>330</v>
      </c>
      <c r="M221" s="1695" t="s">
        <v>525</v>
      </c>
    </row>
    <row r="222" spans="1:16" ht="18" customHeight="1">
      <c r="A222" s="2508"/>
      <c r="B222" s="4435" t="s">
        <v>1460</v>
      </c>
      <c r="C222" s="3403"/>
      <c r="D222" s="4433" t="s">
        <v>1392</v>
      </c>
      <c r="E222" s="4433"/>
      <c r="F222" s="4435" t="s">
        <v>1387</v>
      </c>
      <c r="G222" s="4457"/>
    </row>
    <row r="223" spans="1:16" ht="18" customHeight="1">
      <c r="A223" s="3231"/>
      <c r="B223" s="4435"/>
      <c r="C223" s="1165"/>
      <c r="D223" s="4433"/>
      <c r="E223" s="4433"/>
      <c r="F223" s="4435"/>
      <c r="G223" s="4457"/>
      <c r="I223" s="3941" t="s">
        <v>525</v>
      </c>
      <c r="J223" s="3941"/>
      <c r="K223" s="3941"/>
      <c r="L223" s="3941"/>
      <c r="M223" s="3941"/>
      <c r="N223" s="615" t="s">
        <v>1383</v>
      </c>
    </row>
    <row r="224" spans="1:16" ht="14.55" customHeight="1">
      <c r="A224" s="2508"/>
      <c r="B224" s="3127"/>
      <c r="D224" s="3125" t="s">
        <v>525</v>
      </c>
      <c r="F224" s="3124">
        <v>0</v>
      </c>
      <c r="G224" s="3224" t="s">
        <v>525</v>
      </c>
      <c r="I224" s="3941"/>
      <c r="J224" s="3941"/>
      <c r="K224" s="3941"/>
      <c r="L224" s="3941"/>
      <c r="M224" s="3941"/>
      <c r="N224" s="615"/>
    </row>
    <row r="225" spans="1:25" ht="18" customHeight="1">
      <c r="A225" s="2508"/>
      <c r="G225" s="610"/>
      <c r="I225" s="3941"/>
      <c r="J225" s="3941"/>
      <c r="K225" s="3941"/>
      <c r="L225" s="3941"/>
      <c r="M225" s="3941"/>
      <c r="N225" s="615" t="s">
        <v>1384</v>
      </c>
      <c r="P225" s="34" t="s">
        <v>471</v>
      </c>
      <c r="Q225" s="34" t="s">
        <v>35</v>
      </c>
      <c r="R225" s="34" t="s">
        <v>342</v>
      </c>
      <c r="S225" s="34" t="s">
        <v>472</v>
      </c>
      <c r="T225" s="34" t="s">
        <v>473</v>
      </c>
    </row>
    <row r="226" spans="1:25" ht="18" customHeight="1">
      <c r="A226" s="2508"/>
      <c r="C226" s="3143" t="s">
        <v>1388</v>
      </c>
      <c r="D226" s="3129"/>
      <c r="E226" s="3129"/>
      <c r="F226" s="3129"/>
      <c r="G226" s="3225"/>
      <c r="I226" s="3941"/>
      <c r="J226" s="3941"/>
      <c r="K226" s="3941"/>
      <c r="L226" s="3941"/>
      <c r="M226" s="3941"/>
      <c r="P226" s="1698">
        <v>6.8063333333333338</v>
      </c>
      <c r="Q226" s="1698">
        <v>0</v>
      </c>
      <c r="R226" s="1698">
        <v>0</v>
      </c>
      <c r="S226" s="1698" t="s">
        <v>525</v>
      </c>
      <c r="T226" s="1698" t="s">
        <v>525</v>
      </c>
    </row>
    <row r="227" spans="1:25" ht="18" customHeight="1">
      <c r="A227" s="2508"/>
      <c r="C227" s="3131"/>
      <c r="D227" s="4425" t="s">
        <v>1385</v>
      </c>
      <c r="E227" s="4425"/>
      <c r="F227" s="3132">
        <v>0</v>
      </c>
      <c r="G227" s="3226"/>
      <c r="I227" s="3941"/>
      <c r="J227" s="3941"/>
      <c r="K227" s="3941"/>
      <c r="L227" s="3941"/>
      <c r="M227" s="3941"/>
    </row>
    <row r="228" spans="1:25" ht="18" customHeight="1">
      <c r="A228" s="2508"/>
      <c r="C228" s="3131"/>
      <c r="D228" s="3134" t="s">
        <v>1461</v>
      </c>
      <c r="E228" s="3135" t="s">
        <v>525</v>
      </c>
      <c r="F228" s="3136" t="s">
        <v>1462</v>
      </c>
      <c r="G228" s="3226"/>
      <c r="I228" s="4424" t="s">
        <v>525</v>
      </c>
      <c r="J228" s="4424"/>
      <c r="K228" s="4424"/>
      <c r="L228" s="4424"/>
      <c r="M228" s="4424"/>
      <c r="N228" s="3118" t="s">
        <v>525</v>
      </c>
    </row>
    <row r="229" spans="1:25" ht="18" customHeight="1">
      <c r="A229" s="2508"/>
      <c r="C229" s="3131"/>
      <c r="D229" s="3136" t="s">
        <v>1463</v>
      </c>
      <c r="E229" s="3137"/>
      <c r="F229" s="3138"/>
      <c r="G229" s="3226"/>
    </row>
    <row r="230" spans="1:25" ht="18" customHeight="1" thickBot="1">
      <c r="A230" s="2509"/>
      <c r="B230" s="774"/>
      <c r="C230" s="3227"/>
      <c r="D230" s="3228"/>
      <c r="E230" s="3229"/>
      <c r="F230" s="3229"/>
      <c r="G230" s="3230"/>
      <c r="R230" s="3147" t="s">
        <v>851</v>
      </c>
      <c r="S230" s="775"/>
      <c r="T230" s="3148"/>
      <c r="U230" s="3149"/>
    </row>
    <row r="231" spans="1:25" ht="18" customHeight="1">
      <c r="R231" s="4451" t="s">
        <v>860</v>
      </c>
      <c r="S231" s="4452"/>
      <c r="T231" s="4452"/>
      <c r="U231" s="3150">
        <v>1</v>
      </c>
    </row>
    <row r="232" spans="1:25" ht="18" customHeight="1">
      <c r="R232" s="4453" t="s">
        <v>856</v>
      </c>
      <c r="S232" s="4454"/>
      <c r="T232" s="4454"/>
      <c r="U232" s="3151" t="s">
        <v>525</v>
      </c>
    </row>
    <row r="233" spans="1:25" ht="18" customHeight="1">
      <c r="R233" s="4451" t="s">
        <v>857</v>
      </c>
      <c r="S233" s="4452"/>
      <c r="T233" s="4452"/>
      <c r="U233" s="3151" t="e">
        <v>#VALUE!</v>
      </c>
    </row>
    <row r="234" spans="1:25" ht="18" customHeight="1">
      <c r="R234" s="4451"/>
      <c r="S234" s="4452"/>
      <c r="T234" s="4452"/>
      <c r="U234" s="3152"/>
      <c r="V234" s="1834"/>
      <c r="W234" s="1834"/>
      <c r="X234" s="1834"/>
      <c r="Y234" s="1834"/>
    </row>
    <row r="235" spans="1:25" ht="18" customHeight="1">
      <c r="R235" s="4448" t="s">
        <v>858</v>
      </c>
      <c r="S235" s="4449"/>
      <c r="T235" s="4449"/>
      <c r="U235" s="3153" t="e">
        <v>#VALUE!</v>
      </c>
      <c r="V235" s="1834"/>
      <c r="W235" s="1834"/>
      <c r="X235" s="1834"/>
      <c r="Y235" s="1834"/>
    </row>
    <row r="236" spans="1:25" ht="18" customHeight="1">
      <c r="R236" s="3154" t="s">
        <v>859</v>
      </c>
      <c r="S236" s="3155" t="s">
        <v>525</v>
      </c>
      <c r="T236" s="3156" t="s">
        <v>48</v>
      </c>
      <c r="U236" s="3157" t="e">
        <v>#VALUE!</v>
      </c>
      <c r="V236" s="1834"/>
      <c r="W236" s="1834"/>
      <c r="X236" s="1834"/>
      <c r="Y236" s="1834"/>
    </row>
    <row r="238" spans="1:25" ht="18" customHeight="1">
      <c r="A238" s="2494"/>
      <c r="B238" s="2494"/>
      <c r="C238" s="2494"/>
      <c r="D238" s="2494"/>
      <c r="E238" s="2494"/>
      <c r="F238" s="2494"/>
      <c r="G238" s="2494"/>
      <c r="H238" s="2494"/>
      <c r="I238" s="2494"/>
      <c r="J238" s="2494"/>
      <c r="K238" s="2494"/>
      <c r="L238" s="2494"/>
      <c r="M238" s="2494"/>
      <c r="N238" s="2494"/>
      <c r="O238" s="2494"/>
      <c r="P238" s="2494"/>
      <c r="Q238" s="2494"/>
      <c r="R238" s="2494"/>
    </row>
    <row r="239" spans="1:25" ht="33" customHeight="1">
      <c r="A239" s="1242" t="s">
        <v>1259</v>
      </c>
      <c r="D239" s="2557">
        <v>7</v>
      </c>
      <c r="E239" s="4418" t="s">
        <v>1254</v>
      </c>
      <c r="F239" s="4419"/>
      <c r="G239" s="1324"/>
      <c r="M239" s="4231" t="s">
        <v>846</v>
      </c>
      <c r="N239" s="4231"/>
      <c r="O239" s="4231"/>
      <c r="P239" s="4231"/>
    </row>
    <row r="240" spans="1:25" ht="18" customHeight="1">
      <c r="A240" s="4420" t="s">
        <v>346</v>
      </c>
      <c r="B240" s="4421"/>
      <c r="C240" s="4421"/>
      <c r="D240" s="4421"/>
      <c r="E240" s="4455"/>
      <c r="F240" s="4456"/>
      <c r="G240" s="485" t="s">
        <v>348</v>
      </c>
      <c r="I240" s="1308">
        <v>6.8063333333333338</v>
      </c>
      <c r="J240" s="1309" t="s">
        <v>812</v>
      </c>
      <c r="K240" s="1310"/>
      <c r="L240" s="619"/>
      <c r="M240" s="3444" t="s">
        <v>845</v>
      </c>
      <c r="N240" s="3444"/>
      <c r="O240" s="3444"/>
      <c r="P240" s="3444"/>
    </row>
    <row r="241" spans="1:16" ht="18" customHeight="1">
      <c r="A241" s="4422"/>
      <c r="B241" s="4423"/>
      <c r="C241" s="4423"/>
      <c r="D241" s="4423"/>
      <c r="E241" s="475">
        <v>6.8063333333333338</v>
      </c>
      <c r="F241" s="456" t="s">
        <v>330</v>
      </c>
      <c r="G241" s="457" t="e">
        <v>#VALUE!</v>
      </c>
      <c r="I241" s="1311"/>
      <c r="J241" s="3788" t="s">
        <v>847</v>
      </c>
      <c r="K241" s="3787"/>
      <c r="M241" s="3444"/>
      <c r="N241" s="3444"/>
      <c r="O241" s="3444"/>
      <c r="P241" s="3444"/>
    </row>
    <row r="242" spans="1:16" ht="15" customHeight="1">
      <c r="A242" s="188" t="s">
        <v>349</v>
      </c>
      <c r="B242" s="14"/>
      <c r="C242" s="14"/>
      <c r="D242" s="14"/>
      <c r="E242" s="14"/>
      <c r="F242" s="417"/>
      <c r="G242" s="458"/>
      <c r="H242" s="216"/>
      <c r="I242" s="428"/>
      <c r="J242" s="3788"/>
      <c r="K242" s="3787"/>
      <c r="M242" s="4450"/>
      <c r="N242" s="4450"/>
      <c r="O242" s="4450"/>
      <c r="P242" s="4450"/>
    </row>
    <row r="243" spans="1:16" ht="15" customHeight="1">
      <c r="A243" s="459"/>
      <c r="B243" s="460" t="s">
        <v>350</v>
      </c>
      <c r="C243" s="460"/>
      <c r="D243" s="1679" t="s">
        <v>1005</v>
      </c>
      <c r="E243" s="461">
        <v>0</v>
      </c>
      <c r="F243" s="462" t="s">
        <v>351</v>
      </c>
      <c r="G243" s="458"/>
      <c r="I243" s="1311"/>
      <c r="J243" s="3788" t="s">
        <v>848</v>
      </c>
      <c r="K243" s="3787"/>
      <c r="M243" s="655" t="s">
        <v>362</v>
      </c>
      <c r="N243" s="656"/>
      <c r="O243" s="656" t="s">
        <v>478</v>
      </c>
      <c r="P243" s="569"/>
    </row>
    <row r="244" spans="1:16" ht="15" customHeight="1">
      <c r="A244" s="463" t="s">
        <v>220</v>
      </c>
      <c r="B244" s="595" t="s">
        <v>353</v>
      </c>
      <c r="C244" s="464">
        <v>0.55254649655756016</v>
      </c>
      <c r="D244" s="1680">
        <v>0.7</v>
      </c>
      <c r="E244" s="465">
        <v>0</v>
      </c>
      <c r="F244" s="466" t="s">
        <v>330</v>
      </c>
      <c r="G244" s="457" t="e">
        <v>#VALUE!</v>
      </c>
      <c r="I244" s="428"/>
      <c r="J244" s="3788"/>
      <c r="K244" s="3787"/>
      <c r="M244" s="173" t="s">
        <v>476</v>
      </c>
      <c r="N244" s="57" t="s">
        <v>481</v>
      </c>
      <c r="O244" s="36" t="s">
        <v>477</v>
      </c>
      <c r="P244" s="659" t="s">
        <v>330</v>
      </c>
    </row>
    <row r="245" spans="1:16" ht="15">
      <c r="A245" s="467" t="s">
        <v>354</v>
      </c>
      <c r="B245" s="468"/>
      <c r="C245" s="468"/>
      <c r="D245" s="468"/>
      <c r="E245" s="469">
        <v>6.8063333333333338</v>
      </c>
      <c r="F245" s="470" t="s">
        <v>330</v>
      </c>
      <c r="G245" s="458"/>
      <c r="I245" s="1312">
        <v>6.8063333333333338</v>
      </c>
      <c r="J245" s="534" t="s">
        <v>849</v>
      </c>
      <c r="K245" s="618"/>
      <c r="M245" s="654">
        <v>90</v>
      </c>
      <c r="N245" s="509">
        <v>8.9</v>
      </c>
      <c r="O245" s="508">
        <v>60</v>
      </c>
      <c r="P245" s="570">
        <v>5.9333333333333336</v>
      </c>
    </row>
    <row r="246" spans="1:16" ht="15" customHeight="1">
      <c r="A246" s="187" t="s">
        <v>355</v>
      </c>
      <c r="B246" s="2"/>
      <c r="C246" s="2"/>
      <c r="D246" s="2"/>
      <c r="E246" s="2"/>
      <c r="F246" s="417"/>
      <c r="G246" s="458"/>
      <c r="M246" s="658" t="s">
        <v>363</v>
      </c>
      <c r="N246" s="657"/>
      <c r="O246" s="656" t="s">
        <v>478</v>
      </c>
      <c r="P246" s="572"/>
    </row>
    <row r="247" spans="1:16" ht="15">
      <c r="A247" s="187"/>
      <c r="B247" s="460" t="s">
        <v>350</v>
      </c>
      <c r="C247" s="460"/>
      <c r="D247" s="1679" t="s">
        <v>1005</v>
      </c>
      <c r="E247" s="14">
        <v>0</v>
      </c>
      <c r="F247" s="462" t="s">
        <v>351</v>
      </c>
      <c r="G247" s="458"/>
      <c r="I247" s="1313"/>
      <c r="J247" s="1314" t="s">
        <v>352</v>
      </c>
      <c r="K247" s="616"/>
      <c r="M247" s="173" t="s">
        <v>476</v>
      </c>
      <c r="N247" s="657" t="s">
        <v>482</v>
      </c>
      <c r="O247" s="36" t="s">
        <v>477</v>
      </c>
      <c r="P247" s="617"/>
    </row>
    <row r="248" spans="1:16" ht="15" customHeight="1">
      <c r="A248" s="463" t="s">
        <v>220</v>
      </c>
      <c r="B248" s="476" t="s">
        <v>356</v>
      </c>
      <c r="C248" s="464">
        <v>0.33</v>
      </c>
      <c r="D248" s="1680">
        <v>0.7</v>
      </c>
      <c r="E248" s="465">
        <v>0</v>
      </c>
      <c r="F248" s="466" t="s">
        <v>330</v>
      </c>
      <c r="G248" s="457" t="e">
        <v>#VALUE!</v>
      </c>
      <c r="I248" s="428"/>
      <c r="J248" s="3788" t="s">
        <v>1151</v>
      </c>
      <c r="K248" s="3787"/>
      <c r="M248" s="654">
        <v>1000</v>
      </c>
      <c r="N248" s="509">
        <v>9.6999999999999993</v>
      </c>
      <c r="O248" s="508">
        <v>90</v>
      </c>
      <c r="P248" s="570">
        <v>0.87299999999999989</v>
      </c>
    </row>
    <row r="249" spans="1:16" ht="15">
      <c r="A249" s="467" t="s">
        <v>357</v>
      </c>
      <c r="B249" s="471"/>
      <c r="C249" s="471"/>
      <c r="D249" s="471"/>
      <c r="E249" s="3109">
        <v>6.8063333333333338</v>
      </c>
      <c r="F249" s="3119" t="s">
        <v>525</v>
      </c>
      <c r="G249" s="457" t="e">
        <v>#VALUE!</v>
      </c>
      <c r="I249" s="428"/>
      <c r="J249" s="3788"/>
      <c r="K249" s="3787"/>
      <c r="M249" s="571"/>
      <c r="N249" s="497"/>
      <c r="O249" s="497"/>
      <c r="P249" s="573">
        <v>6.8063333333333338</v>
      </c>
    </row>
    <row r="250" spans="1:16" ht="15">
      <c r="A250" s="472" t="s">
        <v>358</v>
      </c>
      <c r="B250" s="151"/>
      <c r="C250" s="473" t="s">
        <v>525</v>
      </c>
      <c r="D250" s="3110" t="s">
        <v>525</v>
      </c>
      <c r="E250" s="474" t="s">
        <v>525</v>
      </c>
      <c r="F250" s="3120" t="s">
        <v>525</v>
      </c>
      <c r="G250" s="457" t="e">
        <v>#VALUE!</v>
      </c>
      <c r="I250" s="42"/>
      <c r="J250" s="4438"/>
      <c r="K250" s="4439"/>
      <c r="M250" s="574"/>
      <c r="N250" s="497" t="s">
        <v>479</v>
      </c>
      <c r="O250" s="497"/>
      <c r="P250" s="570">
        <v>0</v>
      </c>
    </row>
    <row r="251" spans="1:16" ht="15">
      <c r="A251" s="467" t="s">
        <v>360</v>
      </c>
      <c r="B251" s="471"/>
      <c r="C251" s="471"/>
      <c r="D251" s="471"/>
      <c r="E251" s="469" t="s">
        <v>525</v>
      </c>
      <c r="F251" s="3119" t="s">
        <v>525</v>
      </c>
      <c r="G251" s="457" t="e">
        <v>#VALUE!</v>
      </c>
      <c r="M251" s="571"/>
      <c r="N251" s="497"/>
      <c r="O251" s="497"/>
      <c r="P251" s="573">
        <v>6.8063333333333338</v>
      </c>
    </row>
    <row r="252" spans="1:16" ht="15">
      <c r="A252" s="472" t="s">
        <v>257</v>
      </c>
      <c r="B252" s="364">
        <v>0.19</v>
      </c>
      <c r="C252" s="19"/>
      <c r="D252" s="19"/>
      <c r="E252" s="474" t="s">
        <v>525</v>
      </c>
      <c r="F252" s="3120" t="s">
        <v>525</v>
      </c>
      <c r="G252" s="457">
        <v>0.19</v>
      </c>
      <c r="I252" s="3117" t="s">
        <v>525</v>
      </c>
      <c r="J252" s="4442" t="s">
        <v>1458</v>
      </c>
      <c r="K252" s="4442"/>
      <c r="L252" s="142"/>
      <c r="M252" s="574"/>
      <c r="N252" s="497" t="s">
        <v>480</v>
      </c>
      <c r="O252" s="497"/>
      <c r="P252" s="570">
        <v>0</v>
      </c>
    </row>
    <row r="253" spans="1:16" ht="15">
      <c r="A253" s="3144" t="s">
        <v>1389</v>
      </c>
      <c r="B253" s="1240"/>
      <c r="C253" s="1240"/>
      <c r="D253" s="1240"/>
      <c r="E253" s="1241" t="s">
        <v>525</v>
      </c>
      <c r="F253" s="3121" t="s">
        <v>525</v>
      </c>
      <c r="G253" s="457" t="e">
        <v>#VALUE!</v>
      </c>
      <c r="J253" s="3444" t="s">
        <v>850</v>
      </c>
      <c r="K253" s="3444"/>
      <c r="M253" s="575"/>
      <c r="N253" s="576"/>
      <c r="O253" s="660" t="s">
        <v>330</v>
      </c>
      <c r="P253" s="577">
        <v>6.8063333333333338</v>
      </c>
    </row>
    <row r="254" spans="1:16" ht="15" customHeight="1" thickBot="1">
      <c r="A254" s="1243"/>
      <c r="B254" s="3114" t="s">
        <v>351</v>
      </c>
      <c r="C254" s="3115">
        <v>0</v>
      </c>
      <c r="D254" s="3116" t="s">
        <v>525</v>
      </c>
      <c r="E254" s="3145" t="s">
        <v>525</v>
      </c>
      <c r="F254" s="3122" t="s">
        <v>525</v>
      </c>
      <c r="G254" s="3111" t="s">
        <v>525</v>
      </c>
      <c r="I254" s="680"/>
      <c r="J254" s="3444"/>
      <c r="K254" s="3444"/>
      <c r="L254" s="615">
        <v>0.10960791757966955</v>
      </c>
      <c r="M254" s="615" t="s">
        <v>525</v>
      </c>
    </row>
    <row r="255" spans="1:16" ht="16.2" thickBot="1">
      <c r="C255" s="3113"/>
      <c r="D255" s="3113" t="s">
        <v>525</v>
      </c>
      <c r="E255" s="3125" t="s">
        <v>525</v>
      </c>
      <c r="F255" s="2456"/>
      <c r="J255" s="3444"/>
      <c r="K255" s="3444"/>
      <c r="L255" s="615" t="s">
        <v>525</v>
      </c>
      <c r="M255" s="615"/>
    </row>
    <row r="256" spans="1:16" ht="17.25" customHeight="1">
      <c r="A256" s="4426" t="s">
        <v>1391</v>
      </c>
      <c r="B256" s="4427"/>
      <c r="C256" s="4430" t="s">
        <v>1390</v>
      </c>
      <c r="D256" s="4430"/>
      <c r="E256" s="4430"/>
      <c r="F256" s="4430" t="s">
        <v>1386</v>
      </c>
      <c r="G256" s="4434"/>
      <c r="I256" s="3373" t="s">
        <v>1382</v>
      </c>
      <c r="J256" s="3374"/>
      <c r="K256" s="3374"/>
      <c r="L256" s="3374"/>
      <c r="M256" s="4447"/>
    </row>
    <row r="257" spans="1:25" s="142" customFormat="1" ht="17.25" customHeight="1">
      <c r="A257" s="4428"/>
      <c r="B257" s="4429"/>
      <c r="C257" s="4431"/>
      <c r="D257" s="4431"/>
      <c r="E257" s="4431"/>
      <c r="F257" s="4431"/>
      <c r="G257" s="4432"/>
      <c r="I257" s="428"/>
      <c r="J257" s="34"/>
      <c r="K257" s="365" t="s">
        <v>1006</v>
      </c>
      <c r="L257" s="34"/>
      <c r="M257" s="617" t="s">
        <v>1007</v>
      </c>
    </row>
    <row r="258" spans="1:25" ht="18" customHeight="1">
      <c r="A258" s="2508"/>
      <c r="B258" s="3127"/>
      <c r="C258" s="3108"/>
      <c r="D258" s="3146" t="s">
        <v>525</v>
      </c>
      <c r="F258" s="3126" t="s">
        <v>525</v>
      </c>
      <c r="G258" s="610"/>
      <c r="I258" s="428" t="s">
        <v>1005</v>
      </c>
      <c r="J258" s="364">
        <v>0.7</v>
      </c>
      <c r="K258" s="1677">
        <v>0.55254649655756016</v>
      </c>
      <c r="L258" s="76" t="s">
        <v>330</v>
      </c>
      <c r="M258" s="1695">
        <v>0.33</v>
      </c>
    </row>
    <row r="259" spans="1:25" ht="18" customHeight="1">
      <c r="A259" s="2508"/>
      <c r="B259" s="1165"/>
      <c r="C259" s="3403"/>
      <c r="D259" s="1165"/>
      <c r="E259" s="1165"/>
      <c r="F259" s="1165"/>
      <c r="G259" s="610"/>
      <c r="I259" s="1320" t="s">
        <v>874</v>
      </c>
      <c r="J259" s="1678"/>
      <c r="K259" s="1677" t="s">
        <v>525</v>
      </c>
      <c r="L259" s="197" t="s">
        <v>330</v>
      </c>
      <c r="M259" s="1695" t="s">
        <v>525</v>
      </c>
    </row>
    <row r="260" spans="1:25" ht="18" customHeight="1">
      <c r="A260" s="2508"/>
      <c r="B260" s="4435" t="s">
        <v>1460</v>
      </c>
      <c r="C260" s="3403"/>
      <c r="D260" s="4433" t="s">
        <v>1392</v>
      </c>
      <c r="E260" s="4433"/>
      <c r="F260" s="4435" t="s">
        <v>1387</v>
      </c>
      <c r="G260" s="4457"/>
    </row>
    <row r="261" spans="1:25" ht="18" customHeight="1">
      <c r="A261" s="3231"/>
      <c r="B261" s="4435"/>
      <c r="C261" s="1165"/>
      <c r="D261" s="4433"/>
      <c r="E261" s="4433"/>
      <c r="F261" s="4435"/>
      <c r="G261" s="4457"/>
      <c r="I261" s="3941" t="s">
        <v>525</v>
      </c>
      <c r="J261" s="3941"/>
      <c r="K261" s="3941"/>
      <c r="L261" s="3941"/>
      <c r="M261" s="3941"/>
      <c r="N261" s="615" t="s">
        <v>1383</v>
      </c>
    </row>
    <row r="262" spans="1:25" ht="14.55" customHeight="1">
      <c r="A262" s="2508"/>
      <c r="B262" s="3127"/>
      <c r="D262" s="3125" t="s">
        <v>525</v>
      </c>
      <c r="F262" s="3124">
        <v>0</v>
      </c>
      <c r="G262" s="3224" t="s">
        <v>525</v>
      </c>
      <c r="I262" s="3941"/>
      <c r="J262" s="3941"/>
      <c r="K262" s="3941"/>
      <c r="L262" s="3941"/>
      <c r="M262" s="3941"/>
      <c r="N262" s="615"/>
    </row>
    <row r="263" spans="1:25" ht="18" customHeight="1">
      <c r="A263" s="2508"/>
      <c r="G263" s="610"/>
      <c r="I263" s="3941"/>
      <c r="J263" s="3941"/>
      <c r="K263" s="3941"/>
      <c r="L263" s="3941"/>
      <c r="M263" s="3941"/>
      <c r="N263" s="615" t="s">
        <v>1384</v>
      </c>
      <c r="P263" s="34" t="s">
        <v>471</v>
      </c>
      <c r="Q263" s="34" t="s">
        <v>35</v>
      </c>
      <c r="R263" s="34" t="s">
        <v>342</v>
      </c>
      <c r="S263" s="34" t="s">
        <v>472</v>
      </c>
      <c r="T263" s="34" t="s">
        <v>473</v>
      </c>
    </row>
    <row r="264" spans="1:25" ht="18" customHeight="1">
      <c r="A264" s="2508"/>
      <c r="C264" s="3143" t="s">
        <v>1388</v>
      </c>
      <c r="D264" s="3129"/>
      <c r="E264" s="3129"/>
      <c r="F264" s="3129"/>
      <c r="G264" s="3225"/>
      <c r="I264" s="3941"/>
      <c r="J264" s="3941"/>
      <c r="K264" s="3941"/>
      <c r="L264" s="3941"/>
      <c r="M264" s="3941"/>
      <c r="P264" s="1698">
        <v>6.8063333333333338</v>
      </c>
      <c r="Q264" s="1698">
        <v>0</v>
      </c>
      <c r="R264" s="1698">
        <v>0</v>
      </c>
      <c r="S264" s="1698" t="s">
        <v>525</v>
      </c>
      <c r="T264" s="1698" t="s">
        <v>525</v>
      </c>
    </row>
    <row r="265" spans="1:25" ht="18" customHeight="1">
      <c r="A265" s="2508"/>
      <c r="C265" s="3131"/>
      <c r="D265" s="4425" t="s">
        <v>1385</v>
      </c>
      <c r="E265" s="4425"/>
      <c r="F265" s="3132">
        <v>0</v>
      </c>
      <c r="G265" s="3226"/>
      <c r="I265" s="3941"/>
      <c r="J265" s="3941"/>
      <c r="K265" s="3941"/>
      <c r="L265" s="3941"/>
      <c r="M265" s="3941"/>
    </row>
    <row r="266" spans="1:25" ht="18" customHeight="1">
      <c r="A266" s="2508"/>
      <c r="C266" s="3131"/>
      <c r="D266" s="3134" t="s">
        <v>1461</v>
      </c>
      <c r="E266" s="3135" t="s">
        <v>525</v>
      </c>
      <c r="F266" s="3136" t="s">
        <v>1462</v>
      </c>
      <c r="G266" s="3226"/>
      <c r="I266" s="4424" t="s">
        <v>525</v>
      </c>
      <c r="J266" s="4424"/>
      <c r="K266" s="4424"/>
      <c r="L266" s="4424"/>
      <c r="M266" s="4424"/>
      <c r="N266" s="3118" t="s">
        <v>525</v>
      </c>
    </row>
    <row r="267" spans="1:25" ht="18" customHeight="1">
      <c r="A267" s="2508"/>
      <c r="C267" s="3131"/>
      <c r="D267" s="3136" t="s">
        <v>1463</v>
      </c>
      <c r="E267" s="3137"/>
      <c r="F267" s="3138"/>
      <c r="G267" s="3226"/>
    </row>
    <row r="268" spans="1:25" ht="18" customHeight="1" thickBot="1">
      <c r="A268" s="2509"/>
      <c r="B268" s="774"/>
      <c r="C268" s="3227"/>
      <c r="D268" s="3228"/>
      <c r="E268" s="3229"/>
      <c r="F268" s="3229"/>
      <c r="G268" s="3230"/>
      <c r="R268" s="3147" t="s">
        <v>851</v>
      </c>
      <c r="S268" s="775"/>
      <c r="T268" s="3148"/>
      <c r="U268" s="3149"/>
    </row>
    <row r="269" spans="1:25" ht="18" customHeight="1">
      <c r="R269" s="4451" t="s">
        <v>860</v>
      </c>
      <c r="S269" s="4452"/>
      <c r="T269" s="4452"/>
      <c r="U269" s="3150">
        <v>1</v>
      </c>
    </row>
    <row r="270" spans="1:25" ht="18" customHeight="1">
      <c r="R270" s="4453" t="s">
        <v>856</v>
      </c>
      <c r="S270" s="4454"/>
      <c r="T270" s="4454"/>
      <c r="U270" s="3151" t="s">
        <v>525</v>
      </c>
    </row>
    <row r="271" spans="1:25" ht="18" customHeight="1">
      <c r="R271" s="4451" t="s">
        <v>857</v>
      </c>
      <c r="S271" s="4452"/>
      <c r="T271" s="4452"/>
      <c r="U271" s="3151" t="e">
        <v>#VALUE!</v>
      </c>
    </row>
    <row r="272" spans="1:25" ht="18" customHeight="1">
      <c r="R272" s="4451"/>
      <c r="S272" s="4452"/>
      <c r="T272" s="4452"/>
      <c r="U272" s="3152"/>
      <c r="V272" s="1834"/>
      <c r="W272" s="1834"/>
      <c r="X272" s="1834"/>
      <c r="Y272" s="1834"/>
    </row>
    <row r="273" spans="1:25" ht="18" customHeight="1">
      <c r="R273" s="4448" t="s">
        <v>858</v>
      </c>
      <c r="S273" s="4449"/>
      <c r="T273" s="4449"/>
      <c r="U273" s="3153" t="e">
        <v>#VALUE!</v>
      </c>
      <c r="V273" s="1834"/>
      <c r="W273" s="1834"/>
      <c r="X273" s="1834"/>
      <c r="Y273" s="1834"/>
    </row>
    <row r="274" spans="1:25" ht="18" customHeight="1">
      <c r="R274" s="3154" t="s">
        <v>859</v>
      </c>
      <c r="S274" s="3155" t="s">
        <v>525</v>
      </c>
      <c r="T274" s="3156" t="s">
        <v>48</v>
      </c>
      <c r="U274" s="3157" t="e">
        <v>#VALUE!</v>
      </c>
      <c r="V274" s="1834"/>
      <c r="W274" s="1834"/>
      <c r="X274" s="1834"/>
      <c r="Y274" s="1834"/>
    </row>
    <row r="275" spans="1:25" ht="18" customHeight="1">
      <c r="A275" s="216"/>
      <c r="B275" s="216"/>
      <c r="C275" s="216"/>
      <c r="D275" s="216"/>
      <c r="E275" s="216"/>
      <c r="F275" s="216"/>
      <c r="G275" s="216"/>
      <c r="H275" s="216"/>
      <c r="I275" s="216"/>
      <c r="J275" s="216"/>
      <c r="K275" s="216"/>
      <c r="L275" s="216"/>
      <c r="M275" s="216"/>
      <c r="N275" s="216"/>
      <c r="O275" s="216"/>
      <c r="P275" s="216"/>
      <c r="Q275" s="216"/>
      <c r="R275" s="216"/>
    </row>
    <row r="276" spans="1:25" ht="18" customHeight="1">
      <c r="A276" s="2494"/>
      <c r="B276" s="2494"/>
      <c r="C276" s="2494"/>
      <c r="D276" s="2494"/>
      <c r="E276" s="2494"/>
      <c r="F276" s="2494"/>
      <c r="G276" s="2494"/>
      <c r="H276" s="2494"/>
      <c r="I276" s="2494"/>
      <c r="J276" s="2494"/>
      <c r="K276" s="2494"/>
      <c r="L276" s="2494"/>
      <c r="M276" s="2494"/>
      <c r="N276" s="2494"/>
      <c r="O276" s="2494"/>
      <c r="P276" s="2494"/>
      <c r="Q276" s="2494"/>
      <c r="R276" s="2494"/>
    </row>
    <row r="277" spans="1:25" ht="33" customHeight="1">
      <c r="A277" s="1242" t="s">
        <v>1259</v>
      </c>
      <c r="D277" s="2557">
        <v>8</v>
      </c>
      <c r="E277" s="4418" t="s">
        <v>1254</v>
      </c>
      <c r="F277" s="4419"/>
      <c r="G277" s="1324"/>
      <c r="M277" s="4231" t="s">
        <v>846</v>
      </c>
      <c r="N277" s="4231"/>
      <c r="O277" s="4231"/>
      <c r="P277" s="4231"/>
    </row>
    <row r="278" spans="1:25" ht="18" customHeight="1">
      <c r="A278" s="4420" t="s">
        <v>346</v>
      </c>
      <c r="B278" s="4421"/>
      <c r="C278" s="4421"/>
      <c r="D278" s="4421"/>
      <c r="E278" s="4455"/>
      <c r="F278" s="4456"/>
      <c r="G278" s="485" t="s">
        <v>348</v>
      </c>
      <c r="I278" s="1308">
        <v>6.8063333333333338</v>
      </c>
      <c r="J278" s="1309" t="s">
        <v>812</v>
      </c>
      <c r="K278" s="1310"/>
      <c r="L278" s="619"/>
      <c r="M278" s="3444" t="s">
        <v>845</v>
      </c>
      <c r="N278" s="3444"/>
      <c r="O278" s="3444"/>
      <c r="P278" s="3444"/>
    </row>
    <row r="279" spans="1:25" ht="18" customHeight="1">
      <c r="A279" s="4422"/>
      <c r="B279" s="4423"/>
      <c r="C279" s="4423"/>
      <c r="D279" s="4423"/>
      <c r="E279" s="475">
        <v>6.8063333333333338</v>
      </c>
      <c r="F279" s="456" t="s">
        <v>330</v>
      </c>
      <c r="G279" s="457" t="e">
        <v>#VALUE!</v>
      </c>
      <c r="I279" s="1311"/>
      <c r="J279" s="3788" t="s">
        <v>847</v>
      </c>
      <c r="K279" s="3787"/>
      <c r="M279" s="3444"/>
      <c r="N279" s="3444"/>
      <c r="O279" s="3444"/>
      <c r="P279" s="3444"/>
    </row>
    <row r="280" spans="1:25" ht="15" customHeight="1">
      <c r="A280" s="188" t="s">
        <v>349</v>
      </c>
      <c r="B280" s="14"/>
      <c r="C280" s="14"/>
      <c r="D280" s="14"/>
      <c r="E280" s="14"/>
      <c r="F280" s="417"/>
      <c r="G280" s="458"/>
      <c r="H280" s="216"/>
      <c r="I280" s="428"/>
      <c r="J280" s="3788"/>
      <c r="K280" s="3787"/>
      <c r="M280" s="4450"/>
      <c r="N280" s="4450"/>
      <c r="O280" s="4450"/>
      <c r="P280" s="4450"/>
    </row>
    <row r="281" spans="1:25" ht="15" customHeight="1">
      <c r="A281" s="459"/>
      <c r="B281" s="460" t="s">
        <v>350</v>
      </c>
      <c r="C281" s="460"/>
      <c r="D281" s="1679" t="s">
        <v>1005</v>
      </c>
      <c r="E281" s="461">
        <v>0</v>
      </c>
      <c r="F281" s="462" t="s">
        <v>351</v>
      </c>
      <c r="G281" s="458"/>
      <c r="I281" s="1311"/>
      <c r="J281" s="3788" t="s">
        <v>848</v>
      </c>
      <c r="K281" s="3787"/>
      <c r="M281" s="655" t="s">
        <v>362</v>
      </c>
      <c r="N281" s="656"/>
      <c r="O281" s="656" t="s">
        <v>478</v>
      </c>
      <c r="P281" s="569"/>
    </row>
    <row r="282" spans="1:25" ht="15" customHeight="1">
      <c r="A282" s="463" t="s">
        <v>220</v>
      </c>
      <c r="B282" s="595" t="s">
        <v>353</v>
      </c>
      <c r="C282" s="464">
        <v>0.55254649655756016</v>
      </c>
      <c r="D282" s="1680">
        <v>0.7</v>
      </c>
      <c r="E282" s="465">
        <v>0</v>
      </c>
      <c r="F282" s="466" t="s">
        <v>330</v>
      </c>
      <c r="G282" s="457" t="e">
        <v>#VALUE!</v>
      </c>
      <c r="I282" s="428"/>
      <c r="J282" s="3788"/>
      <c r="K282" s="3787"/>
      <c r="M282" s="173" t="s">
        <v>476</v>
      </c>
      <c r="N282" s="57" t="s">
        <v>481</v>
      </c>
      <c r="O282" s="36" t="s">
        <v>477</v>
      </c>
      <c r="P282" s="659" t="s">
        <v>330</v>
      </c>
    </row>
    <row r="283" spans="1:25" ht="15">
      <c r="A283" s="467" t="s">
        <v>354</v>
      </c>
      <c r="B283" s="468"/>
      <c r="C283" s="468"/>
      <c r="D283" s="468"/>
      <c r="E283" s="469">
        <v>6.8063333333333338</v>
      </c>
      <c r="F283" s="470" t="s">
        <v>330</v>
      </c>
      <c r="G283" s="458"/>
      <c r="I283" s="1312">
        <v>6.8063333333333338</v>
      </c>
      <c r="J283" s="534" t="s">
        <v>849</v>
      </c>
      <c r="K283" s="618"/>
      <c r="M283" s="654">
        <v>90</v>
      </c>
      <c r="N283" s="509">
        <v>8.9</v>
      </c>
      <c r="O283" s="508">
        <v>60</v>
      </c>
      <c r="P283" s="570">
        <v>5.9333333333333336</v>
      </c>
    </row>
    <row r="284" spans="1:25" ht="15" customHeight="1">
      <c r="A284" s="187" t="s">
        <v>355</v>
      </c>
      <c r="B284" s="2"/>
      <c r="C284" s="2"/>
      <c r="D284" s="2"/>
      <c r="E284" s="2"/>
      <c r="F284" s="417"/>
      <c r="G284" s="458"/>
      <c r="M284" s="658" t="s">
        <v>363</v>
      </c>
      <c r="N284" s="657"/>
      <c r="O284" s="656" t="s">
        <v>478</v>
      </c>
      <c r="P284" s="572"/>
    </row>
    <row r="285" spans="1:25" ht="15">
      <c r="A285" s="187"/>
      <c r="B285" s="460" t="s">
        <v>350</v>
      </c>
      <c r="C285" s="460"/>
      <c r="D285" s="1679" t="s">
        <v>1005</v>
      </c>
      <c r="E285" s="14">
        <v>0</v>
      </c>
      <c r="F285" s="462" t="s">
        <v>351</v>
      </c>
      <c r="G285" s="458"/>
      <c r="I285" s="1313"/>
      <c r="J285" s="1314" t="s">
        <v>352</v>
      </c>
      <c r="K285" s="616"/>
      <c r="M285" s="173" t="s">
        <v>476</v>
      </c>
      <c r="N285" s="657" t="s">
        <v>482</v>
      </c>
      <c r="O285" s="36" t="s">
        <v>477</v>
      </c>
      <c r="P285" s="617"/>
    </row>
    <row r="286" spans="1:25" ht="15" customHeight="1">
      <c r="A286" s="463" t="s">
        <v>220</v>
      </c>
      <c r="B286" s="476" t="s">
        <v>356</v>
      </c>
      <c r="C286" s="464">
        <v>0.33</v>
      </c>
      <c r="D286" s="1680">
        <v>0.7</v>
      </c>
      <c r="E286" s="465">
        <v>0</v>
      </c>
      <c r="F286" s="466" t="s">
        <v>330</v>
      </c>
      <c r="G286" s="457" t="e">
        <v>#VALUE!</v>
      </c>
      <c r="I286" s="428"/>
      <c r="J286" s="3788" t="s">
        <v>1151</v>
      </c>
      <c r="K286" s="3787"/>
      <c r="M286" s="654">
        <v>1000</v>
      </c>
      <c r="N286" s="509">
        <v>9.6999999999999993</v>
      </c>
      <c r="O286" s="508">
        <v>90</v>
      </c>
      <c r="P286" s="570">
        <v>0.87299999999999989</v>
      </c>
    </row>
    <row r="287" spans="1:25" ht="15">
      <c r="A287" s="467" t="s">
        <v>357</v>
      </c>
      <c r="B287" s="471"/>
      <c r="C287" s="471"/>
      <c r="D287" s="471"/>
      <c r="E287" s="3109">
        <v>6.8063333333333338</v>
      </c>
      <c r="F287" s="3119" t="s">
        <v>525</v>
      </c>
      <c r="G287" s="457" t="e">
        <v>#VALUE!</v>
      </c>
      <c r="I287" s="428"/>
      <c r="J287" s="3788"/>
      <c r="K287" s="3787"/>
      <c r="M287" s="571"/>
      <c r="N287" s="497"/>
      <c r="O287" s="497"/>
      <c r="P287" s="573">
        <v>6.8063333333333338</v>
      </c>
    </row>
    <row r="288" spans="1:25" ht="15">
      <c r="A288" s="472" t="s">
        <v>358</v>
      </c>
      <c r="B288" s="151"/>
      <c r="C288" s="473" t="s">
        <v>525</v>
      </c>
      <c r="D288" s="3110" t="s">
        <v>525</v>
      </c>
      <c r="E288" s="474" t="s">
        <v>525</v>
      </c>
      <c r="F288" s="3120" t="s">
        <v>525</v>
      </c>
      <c r="G288" s="457" t="e">
        <v>#VALUE!</v>
      </c>
      <c r="I288" s="42"/>
      <c r="J288" s="4438"/>
      <c r="K288" s="4439"/>
      <c r="M288" s="574"/>
      <c r="N288" s="497" t="s">
        <v>479</v>
      </c>
      <c r="O288" s="497"/>
      <c r="P288" s="570">
        <v>0</v>
      </c>
    </row>
    <row r="289" spans="1:20" ht="15">
      <c r="A289" s="467" t="s">
        <v>360</v>
      </c>
      <c r="B289" s="471"/>
      <c r="C289" s="471"/>
      <c r="D289" s="471"/>
      <c r="E289" s="469" t="s">
        <v>525</v>
      </c>
      <c r="F289" s="3119" t="s">
        <v>525</v>
      </c>
      <c r="G289" s="457" t="e">
        <v>#VALUE!</v>
      </c>
      <c r="M289" s="571"/>
      <c r="N289" s="497"/>
      <c r="O289" s="497"/>
      <c r="P289" s="573">
        <v>6.8063333333333338</v>
      </c>
    </row>
    <row r="290" spans="1:20" ht="15">
      <c r="A290" s="472" t="s">
        <v>257</v>
      </c>
      <c r="B290" s="364">
        <v>0.19</v>
      </c>
      <c r="C290" s="19"/>
      <c r="D290" s="19"/>
      <c r="E290" s="474" t="s">
        <v>525</v>
      </c>
      <c r="F290" s="3120" t="s">
        <v>525</v>
      </c>
      <c r="G290" s="457">
        <v>0.19</v>
      </c>
      <c r="I290" s="3117" t="s">
        <v>525</v>
      </c>
      <c r="J290" s="4442" t="s">
        <v>1458</v>
      </c>
      <c r="K290" s="4442"/>
      <c r="L290" s="142"/>
      <c r="M290" s="574"/>
      <c r="N290" s="497" t="s">
        <v>480</v>
      </c>
      <c r="O290" s="497"/>
      <c r="P290" s="570">
        <v>0</v>
      </c>
    </row>
    <row r="291" spans="1:20" ht="15">
      <c r="A291" s="3144" t="s">
        <v>1389</v>
      </c>
      <c r="B291" s="1240"/>
      <c r="C291" s="1240"/>
      <c r="D291" s="1240"/>
      <c r="E291" s="1241" t="s">
        <v>525</v>
      </c>
      <c r="F291" s="3121" t="s">
        <v>525</v>
      </c>
      <c r="G291" s="457" t="e">
        <v>#VALUE!</v>
      </c>
      <c r="J291" s="3444" t="s">
        <v>850</v>
      </c>
      <c r="K291" s="3444"/>
      <c r="M291" s="575"/>
      <c r="N291" s="576"/>
      <c r="O291" s="660" t="s">
        <v>330</v>
      </c>
      <c r="P291" s="577">
        <v>6.8063333333333338</v>
      </c>
    </row>
    <row r="292" spans="1:20" ht="15" customHeight="1" thickBot="1">
      <c r="A292" s="1243"/>
      <c r="B292" s="3114" t="s">
        <v>351</v>
      </c>
      <c r="C292" s="3115">
        <v>0</v>
      </c>
      <c r="D292" s="3116" t="s">
        <v>525</v>
      </c>
      <c r="E292" s="3145" t="s">
        <v>525</v>
      </c>
      <c r="F292" s="3122" t="s">
        <v>525</v>
      </c>
      <c r="G292" s="3111" t="s">
        <v>525</v>
      </c>
      <c r="I292" s="680"/>
      <c r="J292" s="3444"/>
      <c r="K292" s="3444"/>
      <c r="L292" s="615">
        <v>0.10960791757966955</v>
      </c>
      <c r="M292" s="615" t="s">
        <v>525</v>
      </c>
    </row>
    <row r="293" spans="1:20" ht="16.2" thickBot="1">
      <c r="C293" s="3113"/>
      <c r="D293" s="3113" t="s">
        <v>525</v>
      </c>
      <c r="E293" s="3125" t="s">
        <v>525</v>
      </c>
      <c r="F293" s="2456"/>
      <c r="J293" s="3444"/>
      <c r="K293" s="3444"/>
      <c r="L293" s="615" t="s">
        <v>525</v>
      </c>
      <c r="M293" s="615"/>
    </row>
    <row r="294" spans="1:20" ht="17.25" customHeight="1">
      <c r="A294" s="4426" t="s">
        <v>1391</v>
      </c>
      <c r="B294" s="4427"/>
      <c r="C294" s="4430" t="s">
        <v>1390</v>
      </c>
      <c r="D294" s="4430"/>
      <c r="E294" s="4430"/>
      <c r="F294" s="4430" t="s">
        <v>1386</v>
      </c>
      <c r="G294" s="4434"/>
      <c r="I294" s="3373" t="s">
        <v>1382</v>
      </c>
      <c r="J294" s="3374"/>
      <c r="K294" s="3374"/>
      <c r="L294" s="3374"/>
      <c r="M294" s="4447"/>
    </row>
    <row r="295" spans="1:20" s="142" customFormat="1" ht="17.25" customHeight="1">
      <c r="A295" s="4428"/>
      <c r="B295" s="4429"/>
      <c r="C295" s="4431"/>
      <c r="D295" s="4431"/>
      <c r="E295" s="4431"/>
      <c r="F295" s="4431"/>
      <c r="G295" s="4432"/>
      <c r="I295" s="428"/>
      <c r="J295" s="34"/>
      <c r="K295" s="365" t="s">
        <v>1006</v>
      </c>
      <c r="L295" s="34"/>
      <c r="M295" s="617" t="s">
        <v>1007</v>
      </c>
    </row>
    <row r="296" spans="1:20" ht="18" customHeight="1">
      <c r="A296" s="2508"/>
      <c r="B296" s="3127"/>
      <c r="C296" s="3108"/>
      <c r="D296" s="3146" t="s">
        <v>525</v>
      </c>
      <c r="F296" s="3126" t="s">
        <v>525</v>
      </c>
      <c r="G296" s="610"/>
      <c r="I296" s="428" t="s">
        <v>1005</v>
      </c>
      <c r="J296" s="364">
        <v>0.7</v>
      </c>
      <c r="K296" s="1677">
        <v>0.55254649655756016</v>
      </c>
      <c r="L296" s="76" t="s">
        <v>330</v>
      </c>
      <c r="M296" s="1695">
        <v>0.33</v>
      </c>
    </row>
    <row r="297" spans="1:20" ht="18" customHeight="1">
      <c r="A297" s="2508"/>
      <c r="B297" s="1165"/>
      <c r="C297" s="3403"/>
      <c r="D297" s="1165"/>
      <c r="E297" s="1165"/>
      <c r="F297" s="1165"/>
      <c r="G297" s="610"/>
      <c r="I297" s="1320" t="s">
        <v>874</v>
      </c>
      <c r="J297" s="1678"/>
      <c r="K297" s="1677" t="s">
        <v>525</v>
      </c>
      <c r="L297" s="197" t="s">
        <v>330</v>
      </c>
      <c r="M297" s="1695" t="s">
        <v>525</v>
      </c>
    </row>
    <row r="298" spans="1:20" ht="18" customHeight="1">
      <c r="A298" s="2508"/>
      <c r="B298" s="4435" t="s">
        <v>1460</v>
      </c>
      <c r="C298" s="3403"/>
      <c r="D298" s="4433" t="s">
        <v>1392</v>
      </c>
      <c r="E298" s="4433"/>
      <c r="F298" s="4435" t="s">
        <v>1387</v>
      </c>
      <c r="G298" s="4457"/>
    </row>
    <row r="299" spans="1:20" ht="18" customHeight="1">
      <c r="A299" s="3231"/>
      <c r="B299" s="4435"/>
      <c r="C299" s="1165"/>
      <c r="D299" s="4433"/>
      <c r="E299" s="4433"/>
      <c r="F299" s="4435"/>
      <c r="G299" s="4457"/>
      <c r="I299" s="3941" t="s">
        <v>525</v>
      </c>
      <c r="J299" s="3941"/>
      <c r="K299" s="3941"/>
      <c r="L299" s="3941"/>
      <c r="M299" s="3941"/>
      <c r="N299" s="615" t="s">
        <v>1383</v>
      </c>
    </row>
    <row r="300" spans="1:20" ht="14.55" customHeight="1">
      <c r="A300" s="2508"/>
      <c r="B300" s="3127"/>
      <c r="D300" s="3125" t="s">
        <v>525</v>
      </c>
      <c r="F300" s="3124">
        <v>0</v>
      </c>
      <c r="G300" s="3224" t="s">
        <v>525</v>
      </c>
      <c r="I300" s="3941"/>
      <c r="J300" s="3941"/>
      <c r="K300" s="3941"/>
      <c r="L300" s="3941"/>
      <c r="M300" s="3941"/>
      <c r="N300" s="615"/>
    </row>
    <row r="301" spans="1:20" ht="18" customHeight="1">
      <c r="A301" s="2508"/>
      <c r="G301" s="610"/>
      <c r="I301" s="3941"/>
      <c r="J301" s="3941"/>
      <c r="K301" s="3941"/>
      <c r="L301" s="3941"/>
      <c r="M301" s="3941"/>
      <c r="N301" s="615" t="s">
        <v>1384</v>
      </c>
      <c r="P301" s="34" t="s">
        <v>471</v>
      </c>
      <c r="Q301" s="34" t="s">
        <v>35</v>
      </c>
      <c r="R301" s="34" t="s">
        <v>342</v>
      </c>
      <c r="S301" s="34" t="s">
        <v>472</v>
      </c>
      <c r="T301" s="34" t="s">
        <v>473</v>
      </c>
    </row>
    <row r="302" spans="1:20" ht="18" customHeight="1">
      <c r="A302" s="2508"/>
      <c r="C302" s="3143" t="s">
        <v>1388</v>
      </c>
      <c r="D302" s="3129"/>
      <c r="E302" s="3129"/>
      <c r="F302" s="3129"/>
      <c r="G302" s="3225"/>
      <c r="I302" s="3941"/>
      <c r="J302" s="3941"/>
      <c r="K302" s="3941"/>
      <c r="L302" s="3941"/>
      <c r="M302" s="3941"/>
      <c r="P302" s="1698">
        <v>6.8063333333333338</v>
      </c>
      <c r="Q302" s="1698">
        <v>0</v>
      </c>
      <c r="R302" s="1698">
        <v>0</v>
      </c>
      <c r="S302" s="1698" t="s">
        <v>525</v>
      </c>
      <c r="T302" s="1698" t="s">
        <v>525</v>
      </c>
    </row>
    <row r="303" spans="1:20" ht="18" customHeight="1">
      <c r="A303" s="2508"/>
      <c r="C303" s="3131"/>
      <c r="D303" s="4425" t="s">
        <v>1385</v>
      </c>
      <c r="E303" s="4425"/>
      <c r="F303" s="3132">
        <v>0</v>
      </c>
      <c r="G303" s="3226"/>
      <c r="I303" s="3941"/>
      <c r="J303" s="3941"/>
      <c r="K303" s="3941"/>
      <c r="L303" s="3941"/>
      <c r="M303" s="3941"/>
    </row>
    <row r="304" spans="1:20" ht="18" customHeight="1">
      <c r="A304" s="2508"/>
      <c r="C304" s="3131"/>
      <c r="D304" s="3134" t="s">
        <v>1461</v>
      </c>
      <c r="E304" s="3135" t="s">
        <v>525</v>
      </c>
      <c r="F304" s="3136" t="s">
        <v>1462</v>
      </c>
      <c r="G304" s="3226"/>
      <c r="I304" s="4424" t="s">
        <v>525</v>
      </c>
      <c r="J304" s="4424"/>
      <c r="K304" s="4424"/>
      <c r="L304" s="4424"/>
      <c r="M304" s="4424"/>
      <c r="N304" s="3118" t="s">
        <v>525</v>
      </c>
    </row>
    <row r="305" spans="1:25" ht="18" customHeight="1">
      <c r="A305" s="2508"/>
      <c r="C305" s="3131"/>
      <c r="D305" s="3136" t="s">
        <v>1463</v>
      </c>
      <c r="E305" s="3137"/>
      <c r="F305" s="3138"/>
      <c r="G305" s="3226"/>
    </row>
    <row r="306" spans="1:25" ht="18" customHeight="1" thickBot="1">
      <c r="A306" s="2509"/>
      <c r="B306" s="774"/>
      <c r="C306" s="3227"/>
      <c r="D306" s="3228"/>
      <c r="E306" s="3229"/>
      <c r="F306" s="3229"/>
      <c r="G306" s="3230"/>
      <c r="R306" s="3147" t="s">
        <v>851</v>
      </c>
      <c r="S306" s="775"/>
      <c r="T306" s="3148"/>
      <c r="U306" s="3149"/>
    </row>
    <row r="307" spans="1:25" ht="18" customHeight="1">
      <c r="R307" s="4451" t="s">
        <v>860</v>
      </c>
      <c r="S307" s="4452"/>
      <c r="T307" s="4452"/>
      <c r="U307" s="3150">
        <v>1</v>
      </c>
    </row>
    <row r="308" spans="1:25" ht="18" customHeight="1">
      <c r="R308" s="4453" t="s">
        <v>856</v>
      </c>
      <c r="S308" s="4454"/>
      <c r="T308" s="4454"/>
      <c r="U308" s="3151" t="s">
        <v>525</v>
      </c>
    </row>
    <row r="309" spans="1:25" ht="18" customHeight="1">
      <c r="R309" s="4451" t="s">
        <v>857</v>
      </c>
      <c r="S309" s="4452"/>
      <c r="T309" s="4452"/>
      <c r="U309" s="3151" t="e">
        <v>#VALUE!</v>
      </c>
    </row>
    <row r="310" spans="1:25" ht="18" customHeight="1">
      <c r="R310" s="4451"/>
      <c r="S310" s="4452"/>
      <c r="T310" s="4452"/>
      <c r="U310" s="3152"/>
      <c r="V310" s="1834"/>
      <c r="W310" s="1834"/>
      <c r="X310" s="1834"/>
      <c r="Y310" s="1834"/>
    </row>
    <row r="311" spans="1:25" ht="18" customHeight="1">
      <c r="R311" s="4448" t="s">
        <v>858</v>
      </c>
      <c r="S311" s="4449"/>
      <c r="T311" s="4449"/>
      <c r="U311" s="3153" t="e">
        <v>#VALUE!</v>
      </c>
      <c r="V311" s="1834"/>
      <c r="W311" s="1834"/>
      <c r="X311" s="1834"/>
      <c r="Y311" s="1834"/>
    </row>
    <row r="312" spans="1:25" ht="18" customHeight="1">
      <c r="R312" s="3154" t="s">
        <v>859</v>
      </c>
      <c r="S312" s="3155" t="s">
        <v>525</v>
      </c>
      <c r="T312" s="3156" t="s">
        <v>48</v>
      </c>
      <c r="U312" s="3157" t="e">
        <v>#VALUE!</v>
      </c>
      <c r="V312" s="1834"/>
      <c r="W312" s="1834"/>
      <c r="X312" s="1834"/>
      <c r="Y312" s="1834"/>
    </row>
    <row r="314" spans="1:25" ht="18" customHeight="1">
      <c r="A314" s="2494"/>
      <c r="B314" s="2494"/>
      <c r="C314" s="2494"/>
      <c r="D314" s="2494"/>
      <c r="E314" s="2494"/>
      <c r="F314" s="2494"/>
      <c r="G314" s="2494"/>
      <c r="H314" s="2494"/>
      <c r="I314" s="2494"/>
      <c r="J314" s="2494"/>
      <c r="K314" s="2494"/>
      <c r="L314" s="2494"/>
      <c r="M314" s="2494"/>
      <c r="N314" s="2494"/>
      <c r="O314" s="2494"/>
      <c r="P314" s="2494"/>
      <c r="Q314" s="2494"/>
      <c r="R314" s="2494"/>
    </row>
    <row r="315" spans="1:25" ht="33" customHeight="1">
      <c r="A315" s="1242" t="s">
        <v>1259</v>
      </c>
      <c r="D315" s="2557">
        <v>9</v>
      </c>
      <c r="E315" s="4418" t="s">
        <v>1254</v>
      </c>
      <c r="F315" s="4419"/>
      <c r="G315" s="1324"/>
      <c r="M315" s="4231" t="s">
        <v>846</v>
      </c>
      <c r="N315" s="4231"/>
      <c r="O315" s="4231"/>
      <c r="P315" s="4231"/>
    </row>
    <row r="316" spans="1:25" ht="18" customHeight="1">
      <c r="A316" s="4420" t="s">
        <v>346</v>
      </c>
      <c r="B316" s="4421"/>
      <c r="C316" s="4421"/>
      <c r="D316" s="4421"/>
      <c r="E316" s="4455"/>
      <c r="F316" s="4456"/>
      <c r="G316" s="485" t="s">
        <v>348</v>
      </c>
      <c r="I316" s="1308">
        <v>6.8063333333333338</v>
      </c>
      <c r="J316" s="1309" t="s">
        <v>812</v>
      </c>
      <c r="K316" s="1310"/>
      <c r="L316" s="619"/>
      <c r="M316" s="3444" t="s">
        <v>845</v>
      </c>
      <c r="N316" s="3444"/>
      <c r="O316" s="3444"/>
      <c r="P316" s="3444"/>
    </row>
    <row r="317" spans="1:25" ht="18" customHeight="1">
      <c r="A317" s="4422"/>
      <c r="B317" s="4423"/>
      <c r="C317" s="4423"/>
      <c r="D317" s="4423"/>
      <c r="E317" s="475">
        <v>6.8063333333333338</v>
      </c>
      <c r="F317" s="456" t="s">
        <v>330</v>
      </c>
      <c r="G317" s="457" t="e">
        <v>#VALUE!</v>
      </c>
      <c r="I317" s="1311"/>
      <c r="J317" s="3788" t="s">
        <v>847</v>
      </c>
      <c r="K317" s="3787"/>
      <c r="M317" s="3444"/>
      <c r="N317" s="3444"/>
      <c r="O317" s="3444"/>
      <c r="P317" s="3444"/>
    </row>
    <row r="318" spans="1:25" ht="15" customHeight="1">
      <c r="A318" s="188" t="s">
        <v>349</v>
      </c>
      <c r="B318" s="14"/>
      <c r="C318" s="14"/>
      <c r="D318" s="14"/>
      <c r="E318" s="14"/>
      <c r="F318" s="417"/>
      <c r="G318" s="458"/>
      <c r="H318" s="216"/>
      <c r="I318" s="428"/>
      <c r="J318" s="3788"/>
      <c r="K318" s="3787"/>
      <c r="M318" s="4450"/>
      <c r="N318" s="4450"/>
      <c r="O318" s="4450"/>
      <c r="P318" s="4450"/>
    </row>
    <row r="319" spans="1:25" ht="15" customHeight="1">
      <c r="A319" s="459"/>
      <c r="B319" s="460" t="s">
        <v>350</v>
      </c>
      <c r="C319" s="460"/>
      <c r="D319" s="1679" t="s">
        <v>1005</v>
      </c>
      <c r="E319" s="461">
        <v>0</v>
      </c>
      <c r="F319" s="462" t="s">
        <v>351</v>
      </c>
      <c r="G319" s="458"/>
      <c r="I319" s="1311"/>
      <c r="J319" s="3788" t="s">
        <v>848</v>
      </c>
      <c r="K319" s="3787"/>
      <c r="M319" s="655" t="s">
        <v>362</v>
      </c>
      <c r="N319" s="656"/>
      <c r="O319" s="656" t="s">
        <v>478</v>
      </c>
      <c r="P319" s="569"/>
    </row>
    <row r="320" spans="1:25" ht="15" customHeight="1">
      <c r="A320" s="463" t="s">
        <v>220</v>
      </c>
      <c r="B320" s="595" t="s">
        <v>353</v>
      </c>
      <c r="C320" s="464">
        <v>0.55254649655756016</v>
      </c>
      <c r="D320" s="1680">
        <v>0.7</v>
      </c>
      <c r="E320" s="465">
        <v>0</v>
      </c>
      <c r="F320" s="466" t="s">
        <v>330</v>
      </c>
      <c r="G320" s="457" t="e">
        <v>#VALUE!</v>
      </c>
      <c r="I320" s="428"/>
      <c r="J320" s="3788"/>
      <c r="K320" s="3787"/>
      <c r="M320" s="173" t="s">
        <v>476</v>
      </c>
      <c r="N320" s="57" t="s">
        <v>481</v>
      </c>
      <c r="O320" s="36" t="s">
        <v>477</v>
      </c>
      <c r="P320" s="659" t="s">
        <v>330</v>
      </c>
    </row>
    <row r="321" spans="1:16" ht="15">
      <c r="A321" s="467" t="s">
        <v>354</v>
      </c>
      <c r="B321" s="468"/>
      <c r="C321" s="468"/>
      <c r="D321" s="468"/>
      <c r="E321" s="469">
        <v>6.8063333333333338</v>
      </c>
      <c r="F321" s="470" t="s">
        <v>330</v>
      </c>
      <c r="G321" s="458"/>
      <c r="I321" s="1312">
        <v>6.8063333333333338</v>
      </c>
      <c r="J321" s="534" t="s">
        <v>849</v>
      </c>
      <c r="K321" s="618"/>
      <c r="M321" s="654">
        <v>90</v>
      </c>
      <c r="N321" s="509">
        <v>8.9</v>
      </c>
      <c r="O321" s="508">
        <v>60</v>
      </c>
      <c r="P321" s="570">
        <v>5.9333333333333336</v>
      </c>
    </row>
    <row r="322" spans="1:16" ht="15" customHeight="1">
      <c r="A322" s="187" t="s">
        <v>355</v>
      </c>
      <c r="B322" s="2"/>
      <c r="C322" s="2"/>
      <c r="D322" s="2"/>
      <c r="E322" s="2"/>
      <c r="F322" s="417"/>
      <c r="G322" s="458"/>
      <c r="M322" s="658" t="s">
        <v>363</v>
      </c>
      <c r="N322" s="657"/>
      <c r="O322" s="656" t="s">
        <v>478</v>
      </c>
      <c r="P322" s="572"/>
    </row>
    <row r="323" spans="1:16" ht="15">
      <c r="A323" s="187"/>
      <c r="B323" s="460" t="s">
        <v>350</v>
      </c>
      <c r="C323" s="460"/>
      <c r="D323" s="1679" t="s">
        <v>1005</v>
      </c>
      <c r="E323" s="14">
        <v>0</v>
      </c>
      <c r="F323" s="462" t="s">
        <v>351</v>
      </c>
      <c r="G323" s="458"/>
      <c r="I323" s="1313"/>
      <c r="J323" s="1314" t="s">
        <v>352</v>
      </c>
      <c r="K323" s="616"/>
      <c r="M323" s="173" t="s">
        <v>476</v>
      </c>
      <c r="N323" s="657" t="s">
        <v>482</v>
      </c>
      <c r="O323" s="36" t="s">
        <v>477</v>
      </c>
      <c r="P323" s="617"/>
    </row>
    <row r="324" spans="1:16" ht="15" customHeight="1">
      <c r="A324" s="463" t="s">
        <v>220</v>
      </c>
      <c r="B324" s="476" t="s">
        <v>356</v>
      </c>
      <c r="C324" s="464">
        <v>0.33</v>
      </c>
      <c r="D324" s="1680">
        <v>0.7</v>
      </c>
      <c r="E324" s="465">
        <v>0</v>
      </c>
      <c r="F324" s="466" t="s">
        <v>330</v>
      </c>
      <c r="G324" s="457" t="e">
        <v>#VALUE!</v>
      </c>
      <c r="I324" s="428"/>
      <c r="J324" s="3788" t="s">
        <v>1151</v>
      </c>
      <c r="K324" s="3787"/>
      <c r="M324" s="654">
        <v>1000</v>
      </c>
      <c r="N324" s="509">
        <v>9.6999999999999993</v>
      </c>
      <c r="O324" s="508">
        <v>90</v>
      </c>
      <c r="P324" s="570">
        <v>0.87299999999999989</v>
      </c>
    </row>
    <row r="325" spans="1:16" ht="15">
      <c r="A325" s="467" t="s">
        <v>357</v>
      </c>
      <c r="B325" s="471"/>
      <c r="C325" s="471"/>
      <c r="D325" s="471"/>
      <c r="E325" s="3109">
        <v>6.8063333333333338</v>
      </c>
      <c r="F325" s="3119" t="s">
        <v>525</v>
      </c>
      <c r="G325" s="457" t="e">
        <v>#VALUE!</v>
      </c>
      <c r="I325" s="428"/>
      <c r="J325" s="3788"/>
      <c r="K325" s="3787"/>
      <c r="M325" s="571"/>
      <c r="N325" s="497"/>
      <c r="O325" s="497"/>
      <c r="P325" s="573">
        <v>6.8063333333333338</v>
      </c>
    </row>
    <row r="326" spans="1:16" ht="15">
      <c r="A326" s="472" t="s">
        <v>358</v>
      </c>
      <c r="B326" s="151"/>
      <c r="C326" s="473" t="s">
        <v>525</v>
      </c>
      <c r="D326" s="3110" t="s">
        <v>525</v>
      </c>
      <c r="E326" s="474" t="s">
        <v>525</v>
      </c>
      <c r="F326" s="3120" t="s">
        <v>525</v>
      </c>
      <c r="G326" s="457" t="e">
        <v>#VALUE!</v>
      </c>
      <c r="I326" s="42"/>
      <c r="J326" s="4438"/>
      <c r="K326" s="4439"/>
      <c r="M326" s="574"/>
      <c r="N326" s="497" t="s">
        <v>479</v>
      </c>
      <c r="O326" s="497"/>
      <c r="P326" s="570">
        <v>0</v>
      </c>
    </row>
    <row r="327" spans="1:16" ht="15">
      <c r="A327" s="467" t="s">
        <v>360</v>
      </c>
      <c r="B327" s="471"/>
      <c r="C327" s="471"/>
      <c r="D327" s="471"/>
      <c r="E327" s="469" t="s">
        <v>525</v>
      </c>
      <c r="F327" s="3119" t="s">
        <v>525</v>
      </c>
      <c r="G327" s="457" t="e">
        <v>#VALUE!</v>
      </c>
      <c r="M327" s="571"/>
      <c r="N327" s="497"/>
      <c r="O327" s="497"/>
      <c r="P327" s="573">
        <v>6.8063333333333338</v>
      </c>
    </row>
    <row r="328" spans="1:16" ht="15">
      <c r="A328" s="472" t="s">
        <v>257</v>
      </c>
      <c r="B328" s="364">
        <v>0.19</v>
      </c>
      <c r="C328" s="19"/>
      <c r="D328" s="19"/>
      <c r="E328" s="474" t="s">
        <v>525</v>
      </c>
      <c r="F328" s="3120" t="s">
        <v>525</v>
      </c>
      <c r="G328" s="457">
        <v>0.19</v>
      </c>
      <c r="I328" s="3117" t="s">
        <v>525</v>
      </c>
      <c r="J328" s="4442" t="s">
        <v>1458</v>
      </c>
      <c r="K328" s="4442"/>
      <c r="L328" s="142"/>
      <c r="M328" s="574"/>
      <c r="N328" s="497" t="s">
        <v>480</v>
      </c>
      <c r="O328" s="497"/>
      <c r="P328" s="570">
        <v>0</v>
      </c>
    </row>
    <row r="329" spans="1:16" ht="15">
      <c r="A329" s="3144" t="s">
        <v>1389</v>
      </c>
      <c r="B329" s="1240"/>
      <c r="C329" s="1240"/>
      <c r="D329" s="1240"/>
      <c r="E329" s="1241" t="s">
        <v>525</v>
      </c>
      <c r="F329" s="3121" t="s">
        <v>525</v>
      </c>
      <c r="G329" s="457" t="e">
        <v>#VALUE!</v>
      </c>
      <c r="J329" s="3444" t="s">
        <v>850</v>
      </c>
      <c r="K329" s="3444"/>
      <c r="M329" s="575"/>
      <c r="N329" s="576"/>
      <c r="O329" s="660" t="s">
        <v>330</v>
      </c>
      <c r="P329" s="577">
        <v>6.8063333333333338</v>
      </c>
    </row>
    <row r="330" spans="1:16" ht="15" customHeight="1" thickBot="1">
      <c r="A330" s="1243"/>
      <c r="B330" s="3114" t="s">
        <v>351</v>
      </c>
      <c r="C330" s="3115">
        <v>0</v>
      </c>
      <c r="D330" s="3116" t="s">
        <v>525</v>
      </c>
      <c r="E330" s="3145" t="s">
        <v>525</v>
      </c>
      <c r="F330" s="3122" t="s">
        <v>525</v>
      </c>
      <c r="G330" s="3111" t="s">
        <v>525</v>
      </c>
      <c r="I330" s="680"/>
      <c r="J330" s="3444"/>
      <c r="K330" s="3444"/>
      <c r="L330" s="615">
        <v>0.10960791757966955</v>
      </c>
      <c r="M330" s="615" t="s">
        <v>525</v>
      </c>
    </row>
    <row r="331" spans="1:16" ht="16.2" thickBot="1">
      <c r="C331" s="3113"/>
      <c r="D331" s="3113" t="s">
        <v>525</v>
      </c>
      <c r="E331" s="3125" t="s">
        <v>525</v>
      </c>
      <c r="F331" s="2456"/>
      <c r="J331" s="3444"/>
      <c r="K331" s="3444"/>
      <c r="L331" s="615" t="s">
        <v>525</v>
      </c>
      <c r="M331" s="615"/>
    </row>
    <row r="332" spans="1:16" ht="17.25" customHeight="1">
      <c r="A332" s="4426" t="s">
        <v>1391</v>
      </c>
      <c r="B332" s="4427"/>
      <c r="C332" s="4430" t="s">
        <v>1390</v>
      </c>
      <c r="D332" s="4430"/>
      <c r="E332" s="4430"/>
      <c r="F332" s="4430" t="s">
        <v>1386</v>
      </c>
      <c r="G332" s="4434"/>
      <c r="I332" s="3373" t="s">
        <v>1382</v>
      </c>
      <c r="J332" s="3374"/>
      <c r="K332" s="3374"/>
      <c r="L332" s="3374"/>
      <c r="M332" s="4447"/>
    </row>
    <row r="333" spans="1:16" s="142" customFormat="1" ht="17.25" customHeight="1">
      <c r="A333" s="4428"/>
      <c r="B333" s="4429"/>
      <c r="C333" s="4431"/>
      <c r="D333" s="4431"/>
      <c r="E333" s="4431"/>
      <c r="F333" s="4431"/>
      <c r="G333" s="4432"/>
      <c r="I333" s="428"/>
      <c r="J333" s="34"/>
      <c r="K333" s="365" t="s">
        <v>1006</v>
      </c>
      <c r="L333" s="34"/>
      <c r="M333" s="617" t="s">
        <v>1007</v>
      </c>
    </row>
    <row r="334" spans="1:16" ht="18" customHeight="1">
      <c r="A334" s="2508"/>
      <c r="B334" s="3127"/>
      <c r="C334" s="3108"/>
      <c r="D334" s="3146" t="s">
        <v>525</v>
      </c>
      <c r="F334" s="3126" t="s">
        <v>525</v>
      </c>
      <c r="G334" s="610"/>
      <c r="I334" s="428" t="s">
        <v>1005</v>
      </c>
      <c r="J334" s="364">
        <v>0.7</v>
      </c>
      <c r="K334" s="1677">
        <v>0.55254649655756016</v>
      </c>
      <c r="L334" s="76" t="s">
        <v>330</v>
      </c>
      <c r="M334" s="1695">
        <v>0.33</v>
      </c>
    </row>
    <row r="335" spans="1:16" ht="18" customHeight="1">
      <c r="A335" s="2508"/>
      <c r="B335" s="1165"/>
      <c r="C335" s="3403"/>
      <c r="D335" s="1165"/>
      <c r="E335" s="1165"/>
      <c r="F335" s="1165"/>
      <c r="G335" s="610"/>
      <c r="I335" s="1320" t="s">
        <v>874</v>
      </c>
      <c r="J335" s="1678"/>
      <c r="K335" s="1677" t="s">
        <v>525</v>
      </c>
      <c r="L335" s="197" t="s">
        <v>330</v>
      </c>
      <c r="M335" s="1695" t="s">
        <v>525</v>
      </c>
    </row>
    <row r="336" spans="1:16" ht="18" customHeight="1">
      <c r="A336" s="2508"/>
      <c r="B336" s="4435" t="s">
        <v>1460</v>
      </c>
      <c r="C336" s="3403"/>
      <c r="D336" s="4433" t="s">
        <v>1392</v>
      </c>
      <c r="E336" s="4433"/>
      <c r="F336" s="4435" t="s">
        <v>1387</v>
      </c>
      <c r="G336" s="4457"/>
    </row>
    <row r="337" spans="1:25" ht="18" customHeight="1">
      <c r="A337" s="3231"/>
      <c r="B337" s="4435"/>
      <c r="C337" s="1165"/>
      <c r="D337" s="4433"/>
      <c r="E337" s="4433"/>
      <c r="F337" s="4435"/>
      <c r="G337" s="4457"/>
      <c r="I337" s="3941" t="s">
        <v>525</v>
      </c>
      <c r="J337" s="3941"/>
      <c r="K337" s="3941"/>
      <c r="L337" s="3941"/>
      <c r="M337" s="3941"/>
      <c r="N337" s="615" t="s">
        <v>1383</v>
      </c>
    </row>
    <row r="338" spans="1:25" ht="14.55" customHeight="1">
      <c r="A338" s="2508"/>
      <c r="B338" s="3127"/>
      <c r="D338" s="3125" t="s">
        <v>525</v>
      </c>
      <c r="F338" s="3124">
        <v>0</v>
      </c>
      <c r="G338" s="3224" t="s">
        <v>525</v>
      </c>
      <c r="I338" s="3941"/>
      <c r="J338" s="3941"/>
      <c r="K338" s="3941"/>
      <c r="L338" s="3941"/>
      <c r="M338" s="3941"/>
      <c r="N338" s="615"/>
    </row>
    <row r="339" spans="1:25" ht="18" customHeight="1">
      <c r="A339" s="2508"/>
      <c r="G339" s="610"/>
      <c r="I339" s="3941"/>
      <c r="J339" s="3941"/>
      <c r="K339" s="3941"/>
      <c r="L339" s="3941"/>
      <c r="M339" s="3941"/>
      <c r="N339" s="615" t="s">
        <v>1384</v>
      </c>
      <c r="P339" s="34" t="s">
        <v>471</v>
      </c>
      <c r="Q339" s="34" t="s">
        <v>35</v>
      </c>
      <c r="R339" s="34" t="s">
        <v>342</v>
      </c>
      <c r="S339" s="34" t="s">
        <v>472</v>
      </c>
      <c r="T339" s="34" t="s">
        <v>473</v>
      </c>
    </row>
    <row r="340" spans="1:25" ht="18" customHeight="1">
      <c r="A340" s="2508"/>
      <c r="C340" s="3143" t="s">
        <v>1388</v>
      </c>
      <c r="D340" s="3129"/>
      <c r="E340" s="3129"/>
      <c r="F340" s="3129"/>
      <c r="G340" s="3225"/>
      <c r="I340" s="3941"/>
      <c r="J340" s="3941"/>
      <c r="K340" s="3941"/>
      <c r="L340" s="3941"/>
      <c r="M340" s="3941"/>
      <c r="P340" s="1698">
        <v>6.8063333333333338</v>
      </c>
      <c r="Q340" s="1698">
        <v>0</v>
      </c>
      <c r="R340" s="1698">
        <v>0</v>
      </c>
      <c r="S340" s="1698" t="s">
        <v>525</v>
      </c>
      <c r="T340" s="1698" t="s">
        <v>525</v>
      </c>
    </row>
    <row r="341" spans="1:25" ht="18" customHeight="1">
      <c r="A341" s="2508"/>
      <c r="C341" s="3131"/>
      <c r="D341" s="4425" t="s">
        <v>1385</v>
      </c>
      <c r="E341" s="4425"/>
      <c r="F341" s="3132">
        <v>0</v>
      </c>
      <c r="G341" s="3226"/>
      <c r="I341" s="3941"/>
      <c r="J341" s="3941"/>
      <c r="K341" s="3941"/>
      <c r="L341" s="3941"/>
      <c r="M341" s="3941"/>
    </row>
    <row r="342" spans="1:25" ht="18" customHeight="1">
      <c r="A342" s="2508"/>
      <c r="C342" s="3131"/>
      <c r="D342" s="3134" t="s">
        <v>1461</v>
      </c>
      <c r="E342" s="3135" t="s">
        <v>525</v>
      </c>
      <c r="F342" s="3136" t="s">
        <v>1462</v>
      </c>
      <c r="G342" s="3226"/>
      <c r="I342" s="4424" t="s">
        <v>525</v>
      </c>
      <c r="J342" s="4424"/>
      <c r="K342" s="4424"/>
      <c r="L342" s="4424"/>
      <c r="M342" s="4424"/>
      <c r="N342" s="3118" t="s">
        <v>525</v>
      </c>
    </row>
    <row r="343" spans="1:25" ht="18" customHeight="1">
      <c r="A343" s="2508"/>
      <c r="C343" s="3131"/>
      <c r="D343" s="3136" t="s">
        <v>1463</v>
      </c>
      <c r="E343" s="3137"/>
      <c r="F343" s="3138"/>
      <c r="G343" s="3226"/>
    </row>
    <row r="344" spans="1:25" ht="18" customHeight="1" thickBot="1">
      <c r="A344" s="2509"/>
      <c r="B344" s="774"/>
      <c r="C344" s="3227"/>
      <c r="D344" s="3228"/>
      <c r="E344" s="3229"/>
      <c r="F344" s="3229"/>
      <c r="G344" s="3230"/>
      <c r="R344" s="3147" t="s">
        <v>851</v>
      </c>
      <c r="S344" s="775"/>
      <c r="T344" s="3148"/>
      <c r="U344" s="3149"/>
    </row>
    <row r="345" spans="1:25" ht="18" customHeight="1">
      <c r="R345" s="4451" t="s">
        <v>860</v>
      </c>
      <c r="S345" s="4452"/>
      <c r="T345" s="4452"/>
      <c r="U345" s="3150">
        <v>1</v>
      </c>
    </row>
    <row r="346" spans="1:25" ht="18" customHeight="1">
      <c r="R346" s="4453" t="s">
        <v>856</v>
      </c>
      <c r="S346" s="4454"/>
      <c r="T346" s="4454"/>
      <c r="U346" s="3151" t="s">
        <v>525</v>
      </c>
    </row>
    <row r="347" spans="1:25" ht="18" customHeight="1">
      <c r="R347" s="4451" t="s">
        <v>857</v>
      </c>
      <c r="S347" s="4452"/>
      <c r="T347" s="4452"/>
      <c r="U347" s="3151" t="e">
        <v>#VALUE!</v>
      </c>
    </row>
    <row r="348" spans="1:25" ht="18" customHeight="1">
      <c r="R348" s="4451"/>
      <c r="S348" s="4452"/>
      <c r="T348" s="4452"/>
      <c r="U348" s="3152"/>
      <c r="V348" s="1834"/>
      <c r="W348" s="1834"/>
      <c r="X348" s="1834"/>
      <c r="Y348" s="1834"/>
    </row>
    <row r="349" spans="1:25" ht="18" customHeight="1">
      <c r="R349" s="4448" t="s">
        <v>858</v>
      </c>
      <c r="S349" s="4449"/>
      <c r="T349" s="4449"/>
      <c r="U349" s="3153" t="e">
        <v>#VALUE!</v>
      </c>
      <c r="V349" s="1834"/>
      <c r="W349" s="1834"/>
      <c r="X349" s="1834"/>
      <c r="Y349" s="1834"/>
    </row>
    <row r="350" spans="1:25" ht="18" customHeight="1">
      <c r="R350" s="3154" t="s">
        <v>859</v>
      </c>
      <c r="S350" s="3155" t="s">
        <v>525</v>
      </c>
      <c r="T350" s="3156" t="s">
        <v>48</v>
      </c>
      <c r="U350" s="3157" t="e">
        <v>#VALUE!</v>
      </c>
      <c r="V350" s="1834"/>
      <c r="W350" s="1834"/>
      <c r="X350" s="1834"/>
      <c r="Y350" s="1834"/>
    </row>
    <row r="351" spans="1:25" ht="18" customHeight="1">
      <c r="A351" s="216"/>
      <c r="B351" s="216"/>
      <c r="C351" s="216"/>
      <c r="D351" s="216"/>
      <c r="E351" s="216"/>
      <c r="F351" s="216"/>
      <c r="G351" s="216"/>
      <c r="H351" s="216"/>
      <c r="I351" s="216"/>
      <c r="J351" s="216"/>
      <c r="K351" s="216"/>
      <c r="L351" s="216"/>
      <c r="M351" s="216"/>
      <c r="N351" s="216"/>
      <c r="O351" s="216"/>
      <c r="P351" s="216"/>
      <c r="Q351" s="216"/>
      <c r="R351" s="216"/>
    </row>
    <row r="352" spans="1:25" ht="18" customHeight="1">
      <c r="A352" s="2494"/>
      <c r="B352" s="2494"/>
      <c r="C352" s="2494"/>
      <c r="D352" s="2494"/>
      <c r="E352" s="2494"/>
      <c r="F352" s="2494"/>
      <c r="G352" s="2494"/>
      <c r="H352" s="2494"/>
      <c r="I352" s="2494"/>
      <c r="J352" s="2494"/>
      <c r="K352" s="2494"/>
      <c r="L352" s="2494"/>
      <c r="M352" s="2494"/>
      <c r="N352" s="2494"/>
      <c r="O352" s="2494"/>
      <c r="P352" s="2494"/>
      <c r="Q352" s="2494"/>
      <c r="R352" s="2494"/>
    </row>
    <row r="353" spans="1:16" ht="33" customHeight="1">
      <c r="A353" s="1242" t="s">
        <v>1259</v>
      </c>
      <c r="D353" s="2557">
        <v>10</v>
      </c>
      <c r="E353" s="4418" t="s">
        <v>1254</v>
      </c>
      <c r="F353" s="4419"/>
      <c r="G353" s="1324"/>
      <c r="M353" s="4231" t="s">
        <v>846</v>
      </c>
      <c r="N353" s="4231"/>
      <c r="O353" s="4231"/>
      <c r="P353" s="4231"/>
    </row>
    <row r="354" spans="1:16" ht="18" customHeight="1">
      <c r="A354" s="4420" t="s">
        <v>346</v>
      </c>
      <c r="B354" s="4421"/>
      <c r="C354" s="4421"/>
      <c r="D354" s="4421"/>
      <c r="E354" s="4455"/>
      <c r="F354" s="4456"/>
      <c r="G354" s="485" t="s">
        <v>348</v>
      </c>
      <c r="I354" s="1308">
        <v>6.8063333333333338</v>
      </c>
      <c r="J354" s="1309" t="s">
        <v>812</v>
      </c>
      <c r="K354" s="1310"/>
      <c r="L354" s="619"/>
      <c r="M354" s="3444" t="s">
        <v>845</v>
      </c>
      <c r="N354" s="3444"/>
      <c r="O354" s="3444"/>
      <c r="P354" s="3444"/>
    </row>
    <row r="355" spans="1:16" ht="18" customHeight="1">
      <c r="A355" s="4422"/>
      <c r="B355" s="4423"/>
      <c r="C355" s="4423"/>
      <c r="D355" s="4423"/>
      <c r="E355" s="475">
        <v>6.8063333333333338</v>
      </c>
      <c r="F355" s="456" t="s">
        <v>330</v>
      </c>
      <c r="G355" s="457" t="e">
        <v>#VALUE!</v>
      </c>
      <c r="I355" s="1311"/>
      <c r="J355" s="3788" t="s">
        <v>847</v>
      </c>
      <c r="K355" s="3787"/>
      <c r="M355" s="3444"/>
      <c r="N355" s="3444"/>
      <c r="O355" s="3444"/>
      <c r="P355" s="3444"/>
    </row>
    <row r="356" spans="1:16" ht="15" customHeight="1">
      <c r="A356" s="188" t="s">
        <v>349</v>
      </c>
      <c r="B356" s="14"/>
      <c r="C356" s="14"/>
      <c r="D356" s="14"/>
      <c r="E356" s="14"/>
      <c r="F356" s="417"/>
      <c r="G356" s="458"/>
      <c r="H356" s="216"/>
      <c r="I356" s="428"/>
      <c r="J356" s="3788"/>
      <c r="K356" s="3787"/>
      <c r="M356" s="4450"/>
      <c r="N356" s="4450"/>
      <c r="O356" s="4450"/>
      <c r="P356" s="4450"/>
    </row>
    <row r="357" spans="1:16" ht="15" customHeight="1">
      <c r="A357" s="459"/>
      <c r="B357" s="460" t="s">
        <v>350</v>
      </c>
      <c r="C357" s="460"/>
      <c r="D357" s="1679" t="s">
        <v>1005</v>
      </c>
      <c r="E357" s="461">
        <v>0</v>
      </c>
      <c r="F357" s="462" t="s">
        <v>351</v>
      </c>
      <c r="G357" s="458"/>
      <c r="I357" s="1311"/>
      <c r="J357" s="3788" t="s">
        <v>848</v>
      </c>
      <c r="K357" s="3787"/>
      <c r="M357" s="655" t="s">
        <v>362</v>
      </c>
      <c r="N357" s="656"/>
      <c r="O357" s="656" t="s">
        <v>478</v>
      </c>
      <c r="P357" s="569"/>
    </row>
    <row r="358" spans="1:16" ht="15" customHeight="1">
      <c r="A358" s="463" t="s">
        <v>220</v>
      </c>
      <c r="B358" s="595" t="s">
        <v>353</v>
      </c>
      <c r="C358" s="464">
        <v>0.55254649655756016</v>
      </c>
      <c r="D358" s="1680">
        <v>0.7</v>
      </c>
      <c r="E358" s="465">
        <v>0</v>
      </c>
      <c r="F358" s="466" t="s">
        <v>330</v>
      </c>
      <c r="G358" s="457" t="e">
        <v>#VALUE!</v>
      </c>
      <c r="I358" s="428"/>
      <c r="J358" s="3788"/>
      <c r="K358" s="3787"/>
      <c r="M358" s="173" t="s">
        <v>476</v>
      </c>
      <c r="N358" s="57" t="s">
        <v>481</v>
      </c>
      <c r="O358" s="36" t="s">
        <v>477</v>
      </c>
      <c r="P358" s="659" t="s">
        <v>330</v>
      </c>
    </row>
    <row r="359" spans="1:16" ht="15">
      <c r="A359" s="467" t="s">
        <v>354</v>
      </c>
      <c r="B359" s="468"/>
      <c r="C359" s="468"/>
      <c r="D359" s="468"/>
      <c r="E359" s="469">
        <v>6.8063333333333338</v>
      </c>
      <c r="F359" s="470" t="s">
        <v>330</v>
      </c>
      <c r="G359" s="458"/>
      <c r="I359" s="1312">
        <v>6.8063333333333338</v>
      </c>
      <c r="J359" s="534" t="s">
        <v>849</v>
      </c>
      <c r="K359" s="618"/>
      <c r="M359" s="654">
        <v>90</v>
      </c>
      <c r="N359" s="509">
        <v>8.9</v>
      </c>
      <c r="O359" s="508">
        <v>60</v>
      </c>
      <c r="P359" s="570">
        <v>5.9333333333333336</v>
      </c>
    </row>
    <row r="360" spans="1:16" ht="15" customHeight="1">
      <c r="A360" s="187" t="s">
        <v>355</v>
      </c>
      <c r="B360" s="2"/>
      <c r="C360" s="2"/>
      <c r="D360" s="2"/>
      <c r="E360" s="2"/>
      <c r="F360" s="417"/>
      <c r="G360" s="458"/>
      <c r="M360" s="658" t="s">
        <v>363</v>
      </c>
      <c r="N360" s="657"/>
      <c r="O360" s="656" t="s">
        <v>478</v>
      </c>
      <c r="P360" s="572"/>
    </row>
    <row r="361" spans="1:16" ht="15">
      <c r="A361" s="187"/>
      <c r="B361" s="460" t="s">
        <v>350</v>
      </c>
      <c r="C361" s="460"/>
      <c r="D361" s="1679" t="s">
        <v>1005</v>
      </c>
      <c r="E361" s="14">
        <v>0</v>
      </c>
      <c r="F361" s="462" t="s">
        <v>351</v>
      </c>
      <c r="G361" s="458"/>
      <c r="I361" s="1313"/>
      <c r="J361" s="1314" t="s">
        <v>352</v>
      </c>
      <c r="K361" s="616"/>
      <c r="M361" s="173" t="s">
        <v>476</v>
      </c>
      <c r="N361" s="657" t="s">
        <v>482</v>
      </c>
      <c r="O361" s="36" t="s">
        <v>477</v>
      </c>
      <c r="P361" s="617"/>
    </row>
    <row r="362" spans="1:16" ht="15" customHeight="1">
      <c r="A362" s="463" t="s">
        <v>220</v>
      </c>
      <c r="B362" s="476" t="s">
        <v>356</v>
      </c>
      <c r="C362" s="464">
        <v>0.33</v>
      </c>
      <c r="D362" s="1680">
        <v>0.7</v>
      </c>
      <c r="E362" s="465">
        <v>0</v>
      </c>
      <c r="F362" s="466" t="s">
        <v>330</v>
      </c>
      <c r="G362" s="457" t="e">
        <v>#VALUE!</v>
      </c>
      <c r="I362" s="428"/>
      <c r="J362" s="3788" t="s">
        <v>1151</v>
      </c>
      <c r="K362" s="3787"/>
      <c r="M362" s="654">
        <v>1000</v>
      </c>
      <c r="N362" s="509">
        <v>9.6999999999999993</v>
      </c>
      <c r="O362" s="508">
        <v>90</v>
      </c>
      <c r="P362" s="570">
        <v>0.87299999999999989</v>
      </c>
    </row>
    <row r="363" spans="1:16" ht="15">
      <c r="A363" s="467" t="s">
        <v>357</v>
      </c>
      <c r="B363" s="471"/>
      <c r="C363" s="471"/>
      <c r="D363" s="471"/>
      <c r="E363" s="3109">
        <v>6.8063333333333338</v>
      </c>
      <c r="F363" s="3119" t="s">
        <v>525</v>
      </c>
      <c r="G363" s="457" t="e">
        <v>#VALUE!</v>
      </c>
      <c r="I363" s="428"/>
      <c r="J363" s="3788"/>
      <c r="K363" s="3787"/>
      <c r="M363" s="571"/>
      <c r="N363" s="497"/>
      <c r="O363" s="497"/>
      <c r="P363" s="573">
        <v>6.8063333333333338</v>
      </c>
    </row>
    <row r="364" spans="1:16" ht="15">
      <c r="A364" s="472" t="s">
        <v>358</v>
      </c>
      <c r="B364" s="151"/>
      <c r="C364" s="473" t="s">
        <v>525</v>
      </c>
      <c r="D364" s="3110" t="s">
        <v>525</v>
      </c>
      <c r="E364" s="474" t="s">
        <v>525</v>
      </c>
      <c r="F364" s="3120" t="s">
        <v>525</v>
      </c>
      <c r="G364" s="457" t="e">
        <v>#VALUE!</v>
      </c>
      <c r="I364" s="42"/>
      <c r="J364" s="4438"/>
      <c r="K364" s="4439"/>
      <c r="M364" s="574"/>
      <c r="N364" s="497" t="s">
        <v>479</v>
      </c>
      <c r="O364" s="497"/>
      <c r="P364" s="570">
        <v>0</v>
      </c>
    </row>
    <row r="365" spans="1:16" ht="15">
      <c r="A365" s="467" t="s">
        <v>360</v>
      </c>
      <c r="B365" s="471"/>
      <c r="C365" s="471"/>
      <c r="D365" s="471"/>
      <c r="E365" s="469" t="s">
        <v>525</v>
      </c>
      <c r="F365" s="3119" t="s">
        <v>525</v>
      </c>
      <c r="G365" s="457" t="e">
        <v>#VALUE!</v>
      </c>
      <c r="M365" s="571"/>
      <c r="N365" s="497"/>
      <c r="O365" s="497"/>
      <c r="P365" s="573">
        <v>6.8063333333333338</v>
      </c>
    </row>
    <row r="366" spans="1:16" ht="15">
      <c r="A366" s="472" t="s">
        <v>257</v>
      </c>
      <c r="B366" s="364">
        <v>0.19</v>
      </c>
      <c r="C366" s="19"/>
      <c r="D366" s="19"/>
      <c r="E366" s="474" t="s">
        <v>525</v>
      </c>
      <c r="F366" s="3120" t="s">
        <v>525</v>
      </c>
      <c r="G366" s="457">
        <v>0.19</v>
      </c>
      <c r="I366" s="3117" t="s">
        <v>525</v>
      </c>
      <c r="J366" s="4442" t="s">
        <v>1458</v>
      </c>
      <c r="K366" s="4442"/>
      <c r="L366" s="142"/>
      <c r="M366" s="574"/>
      <c r="N366" s="497" t="s">
        <v>480</v>
      </c>
      <c r="O366" s="497"/>
      <c r="P366" s="570">
        <v>0</v>
      </c>
    </row>
    <row r="367" spans="1:16" ht="15">
      <c r="A367" s="3144" t="s">
        <v>1389</v>
      </c>
      <c r="B367" s="1240"/>
      <c r="C367" s="1240"/>
      <c r="D367" s="1240"/>
      <c r="E367" s="1241" t="s">
        <v>525</v>
      </c>
      <c r="F367" s="3121" t="s">
        <v>525</v>
      </c>
      <c r="G367" s="457" t="e">
        <v>#VALUE!</v>
      </c>
      <c r="J367" s="3444" t="s">
        <v>850</v>
      </c>
      <c r="K367" s="3444"/>
      <c r="M367" s="575"/>
      <c r="N367" s="576"/>
      <c r="O367" s="660" t="s">
        <v>330</v>
      </c>
      <c r="P367" s="577">
        <v>6.8063333333333338</v>
      </c>
    </row>
    <row r="368" spans="1:16" ht="15" customHeight="1" thickBot="1">
      <c r="A368" s="1243"/>
      <c r="B368" s="3114" t="s">
        <v>351</v>
      </c>
      <c r="C368" s="3115">
        <v>0</v>
      </c>
      <c r="D368" s="3116" t="s">
        <v>525</v>
      </c>
      <c r="E368" s="3145" t="s">
        <v>525</v>
      </c>
      <c r="F368" s="3122" t="s">
        <v>525</v>
      </c>
      <c r="G368" s="3111" t="s">
        <v>525</v>
      </c>
      <c r="I368" s="680"/>
      <c r="J368" s="3444"/>
      <c r="K368" s="3444"/>
      <c r="L368" s="615">
        <v>0.10960791757966955</v>
      </c>
      <c r="M368" s="615" t="s">
        <v>525</v>
      </c>
    </row>
    <row r="369" spans="1:21" ht="16.2" thickBot="1">
      <c r="C369" s="3113"/>
      <c r="D369" s="3113" t="s">
        <v>525</v>
      </c>
      <c r="E369" s="3125" t="s">
        <v>525</v>
      </c>
      <c r="F369" s="2456"/>
      <c r="J369" s="3444"/>
      <c r="K369" s="3444"/>
      <c r="L369" s="615" t="s">
        <v>525</v>
      </c>
      <c r="M369" s="615"/>
    </row>
    <row r="370" spans="1:21" ht="17.25" customHeight="1">
      <c r="A370" s="4426" t="s">
        <v>1391</v>
      </c>
      <c r="B370" s="4427"/>
      <c r="C370" s="4430" t="s">
        <v>1390</v>
      </c>
      <c r="D370" s="4430"/>
      <c r="E370" s="4430"/>
      <c r="F370" s="4430" t="s">
        <v>1386</v>
      </c>
      <c r="G370" s="4434"/>
      <c r="I370" s="3373" t="s">
        <v>1382</v>
      </c>
      <c r="J370" s="3374"/>
      <c r="K370" s="3374"/>
      <c r="L370" s="3374"/>
      <c r="M370" s="4447"/>
    </row>
    <row r="371" spans="1:21" s="142" customFormat="1" ht="17.25" customHeight="1">
      <c r="A371" s="4428"/>
      <c r="B371" s="4429"/>
      <c r="C371" s="4431"/>
      <c r="D371" s="4431"/>
      <c r="E371" s="4431"/>
      <c r="F371" s="4431"/>
      <c r="G371" s="4432"/>
      <c r="I371" s="428"/>
      <c r="J371" s="34"/>
      <c r="K371" s="365" t="s">
        <v>1006</v>
      </c>
      <c r="L371" s="34"/>
      <c r="M371" s="617" t="s">
        <v>1007</v>
      </c>
    </row>
    <row r="372" spans="1:21" ht="18" customHeight="1">
      <c r="A372" s="2508"/>
      <c r="B372" s="3127"/>
      <c r="C372" s="3108"/>
      <c r="D372" s="3146" t="s">
        <v>525</v>
      </c>
      <c r="F372" s="3126" t="s">
        <v>525</v>
      </c>
      <c r="G372" s="610"/>
      <c r="I372" s="428" t="s">
        <v>1005</v>
      </c>
      <c r="J372" s="364">
        <v>0.7</v>
      </c>
      <c r="K372" s="1677">
        <v>0.55254649655756016</v>
      </c>
      <c r="L372" s="76" t="s">
        <v>330</v>
      </c>
      <c r="M372" s="1695">
        <v>0.33</v>
      </c>
    </row>
    <row r="373" spans="1:21" ht="18" customHeight="1">
      <c r="A373" s="2508"/>
      <c r="B373" s="1165"/>
      <c r="C373" s="3403"/>
      <c r="D373" s="1165"/>
      <c r="E373" s="1165"/>
      <c r="F373" s="1165"/>
      <c r="G373" s="610"/>
      <c r="I373" s="1320" t="s">
        <v>874</v>
      </c>
      <c r="J373" s="1678"/>
      <c r="K373" s="1677" t="s">
        <v>525</v>
      </c>
      <c r="L373" s="197" t="s">
        <v>330</v>
      </c>
      <c r="M373" s="1695" t="s">
        <v>525</v>
      </c>
    </row>
    <row r="374" spans="1:21" ht="18" customHeight="1">
      <c r="A374" s="2508"/>
      <c r="B374" s="4435" t="s">
        <v>1460</v>
      </c>
      <c r="C374" s="3403"/>
      <c r="D374" s="4433" t="s">
        <v>1392</v>
      </c>
      <c r="E374" s="4433"/>
      <c r="F374" s="4435" t="s">
        <v>1387</v>
      </c>
      <c r="G374" s="4457"/>
    </row>
    <row r="375" spans="1:21" ht="18" customHeight="1">
      <c r="A375" s="3231"/>
      <c r="B375" s="4435"/>
      <c r="C375" s="1165"/>
      <c r="D375" s="4433"/>
      <c r="E375" s="4433"/>
      <c r="F375" s="4435"/>
      <c r="G375" s="4457"/>
      <c r="I375" s="3941" t="s">
        <v>525</v>
      </c>
      <c r="J375" s="3941"/>
      <c r="K375" s="3941"/>
      <c r="L375" s="3941"/>
      <c r="M375" s="3941"/>
      <c r="N375" s="615" t="s">
        <v>1383</v>
      </c>
    </row>
    <row r="376" spans="1:21" ht="14.55" customHeight="1">
      <c r="A376" s="2508"/>
      <c r="B376" s="3127"/>
      <c r="D376" s="3125" t="s">
        <v>525</v>
      </c>
      <c r="F376" s="3124">
        <v>0</v>
      </c>
      <c r="G376" s="3224" t="s">
        <v>525</v>
      </c>
      <c r="I376" s="3941"/>
      <c r="J376" s="3941"/>
      <c r="K376" s="3941"/>
      <c r="L376" s="3941"/>
      <c r="M376" s="3941"/>
      <c r="N376" s="615"/>
    </row>
    <row r="377" spans="1:21" ht="18" customHeight="1">
      <c r="A377" s="2508"/>
      <c r="G377" s="610"/>
      <c r="I377" s="3941"/>
      <c r="J377" s="3941"/>
      <c r="K377" s="3941"/>
      <c r="L377" s="3941"/>
      <c r="M377" s="3941"/>
      <c r="N377" s="615" t="s">
        <v>1384</v>
      </c>
      <c r="P377" s="34" t="s">
        <v>471</v>
      </c>
      <c r="Q377" s="34" t="s">
        <v>35</v>
      </c>
      <c r="R377" s="34" t="s">
        <v>342</v>
      </c>
      <c r="S377" s="34" t="s">
        <v>472</v>
      </c>
      <c r="T377" s="34" t="s">
        <v>473</v>
      </c>
    </row>
    <row r="378" spans="1:21" ht="18" customHeight="1">
      <c r="A378" s="2508"/>
      <c r="C378" s="3143" t="s">
        <v>1388</v>
      </c>
      <c r="D378" s="3129"/>
      <c r="E378" s="3129"/>
      <c r="F378" s="3129"/>
      <c r="G378" s="3225"/>
      <c r="I378" s="3941"/>
      <c r="J378" s="3941"/>
      <c r="K378" s="3941"/>
      <c r="L378" s="3941"/>
      <c r="M378" s="3941"/>
      <c r="P378" s="1698">
        <v>6.8063333333333338</v>
      </c>
      <c r="Q378" s="1698">
        <v>0</v>
      </c>
      <c r="R378" s="1698">
        <v>0</v>
      </c>
      <c r="S378" s="1698" t="s">
        <v>525</v>
      </c>
      <c r="T378" s="1698" t="s">
        <v>525</v>
      </c>
    </row>
    <row r="379" spans="1:21" ht="18" customHeight="1">
      <c r="A379" s="2508"/>
      <c r="C379" s="3131"/>
      <c r="D379" s="4425" t="s">
        <v>1385</v>
      </c>
      <c r="E379" s="4425"/>
      <c r="F379" s="3132">
        <v>0</v>
      </c>
      <c r="G379" s="3226"/>
      <c r="I379" s="3941"/>
      <c r="J379" s="3941"/>
      <c r="K379" s="3941"/>
      <c r="L379" s="3941"/>
      <c r="M379" s="3941"/>
    </row>
    <row r="380" spans="1:21" ht="18" customHeight="1">
      <c r="A380" s="2508"/>
      <c r="C380" s="3131"/>
      <c r="D380" s="3134" t="s">
        <v>1461</v>
      </c>
      <c r="E380" s="3135" t="s">
        <v>525</v>
      </c>
      <c r="F380" s="3136" t="s">
        <v>1462</v>
      </c>
      <c r="G380" s="3226"/>
      <c r="I380" s="4424" t="s">
        <v>525</v>
      </c>
      <c r="J380" s="4424"/>
      <c r="K380" s="4424"/>
      <c r="L380" s="4424"/>
      <c r="M380" s="4424"/>
      <c r="N380" s="3118" t="s">
        <v>525</v>
      </c>
    </row>
    <row r="381" spans="1:21" ht="18" customHeight="1">
      <c r="A381" s="2508"/>
      <c r="C381" s="3131"/>
      <c r="D381" s="3136" t="s">
        <v>1463</v>
      </c>
      <c r="E381" s="3137"/>
      <c r="F381" s="3138"/>
      <c r="G381" s="3226"/>
    </row>
    <row r="382" spans="1:21" ht="18" customHeight="1" thickBot="1">
      <c r="A382" s="2509"/>
      <c r="B382" s="774"/>
      <c r="C382" s="3227"/>
      <c r="D382" s="3228"/>
      <c r="E382" s="3229"/>
      <c r="F382" s="3229"/>
      <c r="G382" s="3230"/>
      <c r="R382" s="3147" t="s">
        <v>851</v>
      </c>
      <c r="S382" s="775"/>
      <c r="T382" s="3148"/>
      <c r="U382" s="3149"/>
    </row>
    <row r="383" spans="1:21" ht="18" customHeight="1">
      <c r="R383" s="4451" t="s">
        <v>860</v>
      </c>
      <c r="S383" s="4452"/>
      <c r="T383" s="4452"/>
      <c r="U383" s="3150">
        <v>1</v>
      </c>
    </row>
    <row r="384" spans="1:21" ht="18" customHeight="1">
      <c r="R384" s="4453" t="s">
        <v>856</v>
      </c>
      <c r="S384" s="4454"/>
      <c r="T384" s="4454"/>
      <c r="U384" s="3151" t="s">
        <v>525</v>
      </c>
    </row>
    <row r="385" spans="1:25" ht="18" customHeight="1">
      <c r="R385" s="4451" t="s">
        <v>857</v>
      </c>
      <c r="S385" s="4452"/>
      <c r="T385" s="4452"/>
      <c r="U385" s="3151" t="e">
        <v>#VALUE!</v>
      </c>
    </row>
    <row r="386" spans="1:25" ht="18" customHeight="1">
      <c r="R386" s="4451"/>
      <c r="S386" s="4452"/>
      <c r="T386" s="4452"/>
      <c r="U386" s="3152"/>
      <c r="V386" s="1834"/>
      <c r="W386" s="1834"/>
      <c r="X386" s="1834"/>
      <c r="Y386" s="1834"/>
    </row>
    <row r="387" spans="1:25" ht="18" customHeight="1">
      <c r="R387" s="4448" t="s">
        <v>858</v>
      </c>
      <c r="S387" s="4449"/>
      <c r="T387" s="4449"/>
      <c r="U387" s="3153" t="e">
        <v>#VALUE!</v>
      </c>
      <c r="V387" s="1834"/>
      <c r="W387" s="1834"/>
      <c r="X387" s="1834"/>
      <c r="Y387" s="1834"/>
    </row>
    <row r="388" spans="1:25" ht="18" customHeight="1">
      <c r="R388" s="3154" t="s">
        <v>859</v>
      </c>
      <c r="S388" s="3155" t="s">
        <v>525</v>
      </c>
      <c r="T388" s="3156" t="s">
        <v>48</v>
      </c>
      <c r="U388" s="3157" t="e">
        <v>#VALUE!</v>
      </c>
      <c r="V388" s="1834"/>
      <c r="W388" s="1834"/>
      <c r="X388" s="1834"/>
      <c r="Y388" s="1834"/>
    </row>
    <row r="390" spans="1:25" ht="18" customHeight="1">
      <c r="A390" s="2494"/>
      <c r="B390" s="2494"/>
      <c r="C390" s="2494"/>
      <c r="D390" s="2494"/>
      <c r="E390" s="2494"/>
      <c r="F390" s="2494"/>
      <c r="G390" s="2494"/>
      <c r="H390" s="2494"/>
      <c r="I390" s="2494"/>
      <c r="J390" s="2494"/>
      <c r="K390" s="2494"/>
      <c r="L390" s="2494"/>
      <c r="M390" s="2494"/>
      <c r="N390" s="2494"/>
      <c r="O390" s="2494"/>
      <c r="P390" s="2494"/>
      <c r="Q390" s="2494"/>
      <c r="R390" s="2494"/>
    </row>
    <row r="391" spans="1:25" ht="33" customHeight="1">
      <c r="A391" s="1242" t="s">
        <v>1259</v>
      </c>
      <c r="D391" s="2557">
        <v>11</v>
      </c>
      <c r="E391" s="4418" t="s">
        <v>1254</v>
      </c>
      <c r="F391" s="4419"/>
      <c r="G391" s="1324"/>
      <c r="M391" s="4231" t="s">
        <v>846</v>
      </c>
      <c r="N391" s="4231"/>
      <c r="O391" s="4231"/>
      <c r="P391" s="4231"/>
    </row>
    <row r="392" spans="1:25" ht="18" customHeight="1">
      <c r="A392" s="4420" t="s">
        <v>346</v>
      </c>
      <c r="B392" s="4421"/>
      <c r="C392" s="4421"/>
      <c r="D392" s="4421"/>
      <c r="E392" s="4455"/>
      <c r="F392" s="4456"/>
      <c r="G392" s="485" t="s">
        <v>348</v>
      </c>
      <c r="I392" s="1308">
        <v>6.8063333333333338</v>
      </c>
      <c r="J392" s="1309" t="s">
        <v>812</v>
      </c>
      <c r="K392" s="1310"/>
      <c r="L392" s="619"/>
      <c r="M392" s="3444" t="s">
        <v>845</v>
      </c>
      <c r="N392" s="3444"/>
      <c r="O392" s="3444"/>
      <c r="P392" s="3444"/>
    </row>
    <row r="393" spans="1:25" ht="18" customHeight="1">
      <c r="A393" s="4422"/>
      <c r="B393" s="4423"/>
      <c r="C393" s="4423"/>
      <c r="D393" s="4423"/>
      <c r="E393" s="475">
        <v>6.8063333333333338</v>
      </c>
      <c r="F393" s="456" t="s">
        <v>330</v>
      </c>
      <c r="G393" s="457" t="e">
        <v>#VALUE!</v>
      </c>
      <c r="I393" s="1311"/>
      <c r="J393" s="3788" t="s">
        <v>847</v>
      </c>
      <c r="K393" s="3787"/>
      <c r="M393" s="3444"/>
      <c r="N393" s="3444"/>
      <c r="O393" s="3444"/>
      <c r="P393" s="3444"/>
    </row>
    <row r="394" spans="1:25" ht="15" customHeight="1">
      <c r="A394" s="188" t="s">
        <v>349</v>
      </c>
      <c r="B394" s="14"/>
      <c r="C394" s="14"/>
      <c r="D394" s="14"/>
      <c r="E394" s="14"/>
      <c r="F394" s="417"/>
      <c r="G394" s="458"/>
      <c r="H394" s="216"/>
      <c r="I394" s="428"/>
      <c r="J394" s="3788"/>
      <c r="K394" s="3787"/>
      <c r="M394" s="4450"/>
      <c r="N394" s="4450"/>
      <c r="O394" s="4450"/>
      <c r="P394" s="4450"/>
    </row>
    <row r="395" spans="1:25" ht="15" customHeight="1">
      <c r="A395" s="459"/>
      <c r="B395" s="460" t="s">
        <v>350</v>
      </c>
      <c r="C395" s="460"/>
      <c r="D395" s="1679" t="s">
        <v>1005</v>
      </c>
      <c r="E395" s="461">
        <v>0</v>
      </c>
      <c r="F395" s="462" t="s">
        <v>351</v>
      </c>
      <c r="G395" s="458"/>
      <c r="I395" s="1311"/>
      <c r="J395" s="3788" t="s">
        <v>848</v>
      </c>
      <c r="K395" s="3787"/>
      <c r="M395" s="655" t="s">
        <v>362</v>
      </c>
      <c r="N395" s="656"/>
      <c r="O395" s="656" t="s">
        <v>478</v>
      </c>
      <c r="P395" s="569"/>
    </row>
    <row r="396" spans="1:25" ht="15" customHeight="1">
      <c r="A396" s="463" t="s">
        <v>220</v>
      </c>
      <c r="B396" s="595" t="s">
        <v>353</v>
      </c>
      <c r="C396" s="464">
        <v>0.55254649655756016</v>
      </c>
      <c r="D396" s="1680">
        <v>0.7</v>
      </c>
      <c r="E396" s="465">
        <v>0</v>
      </c>
      <c r="F396" s="466" t="s">
        <v>330</v>
      </c>
      <c r="G396" s="457" t="e">
        <v>#VALUE!</v>
      </c>
      <c r="I396" s="428"/>
      <c r="J396" s="3788"/>
      <c r="K396" s="3787"/>
      <c r="M396" s="173" t="s">
        <v>476</v>
      </c>
      <c r="N396" s="57" t="s">
        <v>481</v>
      </c>
      <c r="O396" s="36" t="s">
        <v>477</v>
      </c>
      <c r="P396" s="659" t="s">
        <v>330</v>
      </c>
    </row>
    <row r="397" spans="1:25" ht="15">
      <c r="A397" s="467" t="s">
        <v>354</v>
      </c>
      <c r="B397" s="468"/>
      <c r="C397" s="468"/>
      <c r="D397" s="468"/>
      <c r="E397" s="469">
        <v>6.8063333333333338</v>
      </c>
      <c r="F397" s="470" t="s">
        <v>330</v>
      </c>
      <c r="G397" s="458"/>
      <c r="I397" s="1312">
        <v>6.8063333333333338</v>
      </c>
      <c r="J397" s="534" t="s">
        <v>849</v>
      </c>
      <c r="K397" s="618"/>
      <c r="M397" s="654">
        <v>90</v>
      </c>
      <c r="N397" s="509">
        <v>8.9</v>
      </c>
      <c r="O397" s="508">
        <v>60</v>
      </c>
      <c r="P397" s="570">
        <v>5.9333333333333336</v>
      </c>
    </row>
    <row r="398" spans="1:25" ht="15" customHeight="1">
      <c r="A398" s="187" t="s">
        <v>355</v>
      </c>
      <c r="B398" s="2"/>
      <c r="C398" s="2"/>
      <c r="D398" s="2"/>
      <c r="E398" s="2"/>
      <c r="F398" s="417"/>
      <c r="G398" s="458"/>
      <c r="M398" s="658" t="s">
        <v>363</v>
      </c>
      <c r="N398" s="657"/>
      <c r="O398" s="656" t="s">
        <v>478</v>
      </c>
      <c r="P398" s="572"/>
    </row>
    <row r="399" spans="1:25" ht="15">
      <c r="A399" s="187"/>
      <c r="B399" s="460" t="s">
        <v>350</v>
      </c>
      <c r="C399" s="460"/>
      <c r="D399" s="1679" t="s">
        <v>1005</v>
      </c>
      <c r="E399" s="14">
        <v>0</v>
      </c>
      <c r="F399" s="462" t="s">
        <v>351</v>
      </c>
      <c r="G399" s="458"/>
      <c r="I399" s="1313"/>
      <c r="J399" s="1314" t="s">
        <v>352</v>
      </c>
      <c r="K399" s="616"/>
      <c r="M399" s="173" t="s">
        <v>476</v>
      </c>
      <c r="N399" s="657" t="s">
        <v>482</v>
      </c>
      <c r="O399" s="36" t="s">
        <v>477</v>
      </c>
      <c r="P399" s="617"/>
    </row>
    <row r="400" spans="1:25" ht="15" customHeight="1">
      <c r="A400" s="463" t="s">
        <v>220</v>
      </c>
      <c r="B400" s="476" t="s">
        <v>356</v>
      </c>
      <c r="C400" s="464">
        <v>0.33</v>
      </c>
      <c r="D400" s="1680">
        <v>0.7</v>
      </c>
      <c r="E400" s="465">
        <v>0</v>
      </c>
      <c r="F400" s="466" t="s">
        <v>330</v>
      </c>
      <c r="G400" s="457" t="e">
        <v>#VALUE!</v>
      </c>
      <c r="I400" s="428"/>
      <c r="J400" s="3788" t="s">
        <v>1151</v>
      </c>
      <c r="K400" s="3787"/>
      <c r="M400" s="654">
        <v>1000</v>
      </c>
      <c r="N400" s="509">
        <v>9.6999999999999993</v>
      </c>
      <c r="O400" s="508">
        <v>90</v>
      </c>
      <c r="P400" s="570">
        <v>0.87299999999999989</v>
      </c>
    </row>
    <row r="401" spans="1:20" ht="15">
      <c r="A401" s="467" t="s">
        <v>357</v>
      </c>
      <c r="B401" s="471"/>
      <c r="C401" s="471"/>
      <c r="D401" s="471"/>
      <c r="E401" s="3109">
        <v>6.8063333333333338</v>
      </c>
      <c r="F401" s="3119" t="s">
        <v>525</v>
      </c>
      <c r="G401" s="457" t="e">
        <v>#VALUE!</v>
      </c>
      <c r="I401" s="428"/>
      <c r="J401" s="3788"/>
      <c r="K401" s="3787"/>
      <c r="M401" s="571"/>
      <c r="N401" s="497"/>
      <c r="O401" s="497"/>
      <c r="P401" s="573">
        <v>6.8063333333333338</v>
      </c>
    </row>
    <row r="402" spans="1:20" ht="15">
      <c r="A402" s="472" t="s">
        <v>358</v>
      </c>
      <c r="B402" s="151"/>
      <c r="C402" s="473" t="s">
        <v>525</v>
      </c>
      <c r="D402" s="3110" t="s">
        <v>525</v>
      </c>
      <c r="E402" s="474" t="s">
        <v>525</v>
      </c>
      <c r="F402" s="3120" t="s">
        <v>525</v>
      </c>
      <c r="G402" s="457" t="e">
        <v>#VALUE!</v>
      </c>
      <c r="I402" s="42"/>
      <c r="J402" s="4438"/>
      <c r="K402" s="4439"/>
      <c r="M402" s="574"/>
      <c r="N402" s="497" t="s">
        <v>479</v>
      </c>
      <c r="O402" s="497"/>
      <c r="P402" s="570">
        <v>0</v>
      </c>
    </row>
    <row r="403" spans="1:20" ht="15">
      <c r="A403" s="467" t="s">
        <v>360</v>
      </c>
      <c r="B403" s="471"/>
      <c r="C403" s="471"/>
      <c r="D403" s="471"/>
      <c r="E403" s="469" t="s">
        <v>525</v>
      </c>
      <c r="F403" s="3119" t="s">
        <v>525</v>
      </c>
      <c r="G403" s="457" t="e">
        <v>#VALUE!</v>
      </c>
      <c r="M403" s="571"/>
      <c r="N403" s="497"/>
      <c r="O403" s="497"/>
      <c r="P403" s="573">
        <v>6.8063333333333338</v>
      </c>
    </row>
    <row r="404" spans="1:20" ht="15">
      <c r="A404" s="472" t="s">
        <v>257</v>
      </c>
      <c r="B404" s="364">
        <v>0.19</v>
      </c>
      <c r="C404" s="19"/>
      <c r="D404" s="19"/>
      <c r="E404" s="474" t="s">
        <v>525</v>
      </c>
      <c r="F404" s="3120" t="s">
        <v>525</v>
      </c>
      <c r="G404" s="457">
        <v>0.19</v>
      </c>
      <c r="I404" s="3117" t="s">
        <v>525</v>
      </c>
      <c r="J404" s="4442" t="s">
        <v>1458</v>
      </c>
      <c r="K404" s="4442"/>
      <c r="L404" s="142"/>
      <c r="M404" s="574"/>
      <c r="N404" s="497" t="s">
        <v>480</v>
      </c>
      <c r="O404" s="497"/>
      <c r="P404" s="570">
        <v>0</v>
      </c>
    </row>
    <row r="405" spans="1:20" ht="15">
      <c r="A405" s="3144" t="s">
        <v>1389</v>
      </c>
      <c r="B405" s="1240"/>
      <c r="C405" s="1240"/>
      <c r="D405" s="1240"/>
      <c r="E405" s="1241" t="s">
        <v>525</v>
      </c>
      <c r="F405" s="3121" t="s">
        <v>525</v>
      </c>
      <c r="G405" s="457" t="e">
        <v>#VALUE!</v>
      </c>
      <c r="J405" s="3444" t="s">
        <v>850</v>
      </c>
      <c r="K405" s="3444"/>
      <c r="M405" s="575"/>
      <c r="N405" s="576"/>
      <c r="O405" s="660" t="s">
        <v>330</v>
      </c>
      <c r="P405" s="577">
        <v>6.8063333333333338</v>
      </c>
    </row>
    <row r="406" spans="1:20" ht="15" customHeight="1" thickBot="1">
      <c r="A406" s="1243"/>
      <c r="B406" s="3114" t="s">
        <v>351</v>
      </c>
      <c r="C406" s="3115">
        <v>0</v>
      </c>
      <c r="D406" s="3116" t="s">
        <v>525</v>
      </c>
      <c r="E406" s="3145" t="s">
        <v>525</v>
      </c>
      <c r="F406" s="3122" t="s">
        <v>525</v>
      </c>
      <c r="G406" s="3111" t="s">
        <v>525</v>
      </c>
      <c r="I406" s="680"/>
      <c r="J406" s="3444"/>
      <c r="K406" s="3444"/>
      <c r="L406" s="615">
        <v>0.10960791757966955</v>
      </c>
      <c r="M406" s="615" t="s">
        <v>525</v>
      </c>
    </row>
    <row r="407" spans="1:20" ht="16.2" thickBot="1">
      <c r="C407" s="3113"/>
      <c r="D407" s="3113" t="s">
        <v>525</v>
      </c>
      <c r="E407" s="3125" t="s">
        <v>525</v>
      </c>
      <c r="F407" s="2456"/>
      <c r="J407" s="3444"/>
      <c r="K407" s="3444"/>
      <c r="L407" s="615" t="s">
        <v>525</v>
      </c>
      <c r="M407" s="615"/>
    </row>
    <row r="408" spans="1:20" ht="17.25" customHeight="1">
      <c r="A408" s="4426" t="s">
        <v>1391</v>
      </c>
      <c r="B408" s="4427"/>
      <c r="C408" s="4430" t="s">
        <v>1390</v>
      </c>
      <c r="D408" s="4430"/>
      <c r="E408" s="4430"/>
      <c r="F408" s="4430" t="s">
        <v>1386</v>
      </c>
      <c r="G408" s="4434"/>
      <c r="I408" s="3373" t="s">
        <v>1382</v>
      </c>
      <c r="J408" s="3374"/>
      <c r="K408" s="3374"/>
      <c r="L408" s="3374"/>
      <c r="M408" s="4447"/>
    </row>
    <row r="409" spans="1:20" s="142" customFormat="1" ht="17.25" customHeight="1">
      <c r="A409" s="4428"/>
      <c r="B409" s="4429"/>
      <c r="C409" s="4431"/>
      <c r="D409" s="4431"/>
      <c r="E409" s="4431"/>
      <c r="F409" s="4431"/>
      <c r="G409" s="4432"/>
      <c r="I409" s="428"/>
      <c r="J409" s="34"/>
      <c r="K409" s="365" t="s">
        <v>1006</v>
      </c>
      <c r="L409" s="34"/>
      <c r="M409" s="617" t="s">
        <v>1007</v>
      </c>
    </row>
    <row r="410" spans="1:20" ht="18" customHeight="1">
      <c r="A410" s="2508"/>
      <c r="B410" s="3127"/>
      <c r="C410" s="3108"/>
      <c r="D410" s="3146" t="s">
        <v>525</v>
      </c>
      <c r="F410" s="3126" t="s">
        <v>525</v>
      </c>
      <c r="G410" s="610"/>
      <c r="I410" s="428" t="s">
        <v>1005</v>
      </c>
      <c r="J410" s="364">
        <v>0.7</v>
      </c>
      <c r="K410" s="1677">
        <v>0.55254649655756016</v>
      </c>
      <c r="L410" s="76" t="s">
        <v>330</v>
      </c>
      <c r="M410" s="1695">
        <v>0.33</v>
      </c>
    </row>
    <row r="411" spans="1:20" ht="18" customHeight="1">
      <c r="A411" s="2508"/>
      <c r="B411" s="1165"/>
      <c r="C411" s="3403"/>
      <c r="D411" s="1165"/>
      <c r="E411" s="1165"/>
      <c r="F411" s="1165"/>
      <c r="G411" s="610"/>
      <c r="I411" s="1320" t="s">
        <v>874</v>
      </c>
      <c r="J411" s="1678"/>
      <c r="K411" s="1677" t="s">
        <v>525</v>
      </c>
      <c r="L411" s="197" t="s">
        <v>330</v>
      </c>
      <c r="M411" s="1695" t="s">
        <v>525</v>
      </c>
    </row>
    <row r="412" spans="1:20" ht="18" customHeight="1">
      <c r="A412" s="2508"/>
      <c r="B412" s="4435" t="s">
        <v>1460</v>
      </c>
      <c r="C412" s="3403"/>
      <c r="D412" s="4433" t="s">
        <v>1392</v>
      </c>
      <c r="E412" s="4433"/>
      <c r="F412" s="4435" t="s">
        <v>1387</v>
      </c>
      <c r="G412" s="4457"/>
    </row>
    <row r="413" spans="1:20" ht="18" customHeight="1">
      <c r="A413" s="3231"/>
      <c r="B413" s="4435"/>
      <c r="C413" s="1165"/>
      <c r="D413" s="4433"/>
      <c r="E413" s="4433"/>
      <c r="F413" s="4435"/>
      <c r="G413" s="4457"/>
      <c r="I413" s="3941" t="s">
        <v>525</v>
      </c>
      <c r="J413" s="3941"/>
      <c r="K413" s="3941"/>
      <c r="L413" s="3941"/>
      <c r="M413" s="3941"/>
      <c r="N413" s="615" t="s">
        <v>1383</v>
      </c>
    </row>
    <row r="414" spans="1:20" ht="14.55" customHeight="1">
      <c r="A414" s="2508"/>
      <c r="B414" s="3127"/>
      <c r="D414" s="3125" t="s">
        <v>525</v>
      </c>
      <c r="F414" s="3124">
        <v>0</v>
      </c>
      <c r="G414" s="3224" t="s">
        <v>525</v>
      </c>
      <c r="I414" s="3941"/>
      <c r="J414" s="3941"/>
      <c r="K414" s="3941"/>
      <c r="L414" s="3941"/>
      <c r="M414" s="3941"/>
      <c r="N414" s="615"/>
    </row>
    <row r="415" spans="1:20" ht="18" customHeight="1">
      <c r="A415" s="2508"/>
      <c r="G415" s="610"/>
      <c r="I415" s="3941"/>
      <c r="J415" s="3941"/>
      <c r="K415" s="3941"/>
      <c r="L415" s="3941"/>
      <c r="M415" s="3941"/>
      <c r="N415" s="615" t="s">
        <v>1384</v>
      </c>
      <c r="P415" s="34" t="s">
        <v>471</v>
      </c>
      <c r="Q415" s="34" t="s">
        <v>35</v>
      </c>
      <c r="R415" s="34" t="s">
        <v>342</v>
      </c>
      <c r="S415" s="34" t="s">
        <v>472</v>
      </c>
      <c r="T415" s="34" t="s">
        <v>473</v>
      </c>
    </row>
    <row r="416" spans="1:20" ht="18" customHeight="1">
      <c r="A416" s="2508"/>
      <c r="C416" s="3143" t="s">
        <v>1388</v>
      </c>
      <c r="D416" s="3129"/>
      <c r="E416" s="3129"/>
      <c r="F416" s="3129"/>
      <c r="G416" s="3225"/>
      <c r="I416" s="3941"/>
      <c r="J416" s="3941"/>
      <c r="K416" s="3941"/>
      <c r="L416" s="3941"/>
      <c r="M416" s="3941"/>
      <c r="P416" s="1698">
        <v>6.8063333333333338</v>
      </c>
      <c r="Q416" s="1698">
        <v>0</v>
      </c>
      <c r="R416" s="1698">
        <v>0</v>
      </c>
      <c r="S416" s="1698" t="s">
        <v>525</v>
      </c>
      <c r="T416" s="1698" t="s">
        <v>525</v>
      </c>
    </row>
    <row r="417" spans="1:25" ht="18" customHeight="1">
      <c r="A417" s="2508"/>
      <c r="C417" s="3131"/>
      <c r="D417" s="4425" t="s">
        <v>1385</v>
      </c>
      <c r="E417" s="4425"/>
      <c r="F417" s="3132">
        <v>0</v>
      </c>
      <c r="G417" s="3226"/>
      <c r="I417" s="3941"/>
      <c r="J417" s="3941"/>
      <c r="K417" s="3941"/>
      <c r="L417" s="3941"/>
      <c r="M417" s="3941"/>
    </row>
    <row r="418" spans="1:25" ht="18" customHeight="1">
      <c r="A418" s="2508"/>
      <c r="C418" s="3131"/>
      <c r="D418" s="3134" t="s">
        <v>1461</v>
      </c>
      <c r="E418" s="3135" t="s">
        <v>525</v>
      </c>
      <c r="F418" s="3136" t="s">
        <v>1462</v>
      </c>
      <c r="G418" s="3226"/>
      <c r="I418" s="4424" t="s">
        <v>525</v>
      </c>
      <c r="J418" s="4424"/>
      <c r="K418" s="4424"/>
      <c r="L418" s="4424"/>
      <c r="M418" s="4424"/>
      <c r="N418" s="3118" t="s">
        <v>525</v>
      </c>
    </row>
    <row r="419" spans="1:25" ht="18" customHeight="1">
      <c r="A419" s="2508"/>
      <c r="C419" s="3131"/>
      <c r="D419" s="3136" t="s">
        <v>1463</v>
      </c>
      <c r="E419" s="3137"/>
      <c r="F419" s="3138"/>
      <c r="G419" s="3226"/>
    </row>
    <row r="420" spans="1:25" ht="18" customHeight="1" thickBot="1">
      <c r="A420" s="2509"/>
      <c r="B420" s="774"/>
      <c r="C420" s="3227"/>
      <c r="D420" s="3228"/>
      <c r="E420" s="3229"/>
      <c r="F420" s="3229"/>
      <c r="G420" s="3230"/>
      <c r="R420" s="3147" t="s">
        <v>851</v>
      </c>
      <c r="S420" s="775"/>
      <c r="T420" s="3148"/>
      <c r="U420" s="3149"/>
    </row>
    <row r="421" spans="1:25" ht="18" customHeight="1">
      <c r="R421" s="4451" t="s">
        <v>860</v>
      </c>
      <c r="S421" s="4452"/>
      <c r="T421" s="4452"/>
      <c r="U421" s="3150">
        <v>1</v>
      </c>
    </row>
    <row r="422" spans="1:25" ht="18" customHeight="1">
      <c r="R422" s="4453" t="s">
        <v>856</v>
      </c>
      <c r="S422" s="4454"/>
      <c r="T422" s="4454"/>
      <c r="U422" s="3151" t="s">
        <v>525</v>
      </c>
    </row>
    <row r="423" spans="1:25" ht="18" customHeight="1">
      <c r="R423" s="4451" t="s">
        <v>857</v>
      </c>
      <c r="S423" s="4452"/>
      <c r="T423" s="4452"/>
      <c r="U423" s="3151" t="e">
        <v>#VALUE!</v>
      </c>
    </row>
    <row r="424" spans="1:25" ht="18" customHeight="1">
      <c r="R424" s="4451"/>
      <c r="S424" s="4452"/>
      <c r="T424" s="4452"/>
      <c r="U424" s="3152"/>
      <c r="V424" s="1834"/>
      <c r="W424" s="1834"/>
      <c r="X424" s="1834"/>
      <c r="Y424" s="1834"/>
    </row>
    <row r="425" spans="1:25" ht="18" customHeight="1">
      <c r="R425" s="4448" t="s">
        <v>858</v>
      </c>
      <c r="S425" s="4449"/>
      <c r="T425" s="4449"/>
      <c r="U425" s="3153" t="e">
        <v>#VALUE!</v>
      </c>
      <c r="V425" s="1834"/>
      <c r="W425" s="1834"/>
      <c r="X425" s="1834"/>
      <c r="Y425" s="1834"/>
    </row>
    <row r="426" spans="1:25" ht="18" customHeight="1">
      <c r="R426" s="3154" t="s">
        <v>859</v>
      </c>
      <c r="S426" s="3155" t="s">
        <v>525</v>
      </c>
      <c r="T426" s="3156" t="s">
        <v>48</v>
      </c>
      <c r="U426" s="3157" t="e">
        <v>#VALUE!</v>
      </c>
      <c r="V426" s="1834"/>
      <c r="W426" s="1834"/>
      <c r="X426" s="1834"/>
      <c r="Y426" s="1834"/>
    </row>
    <row r="427" spans="1:25" ht="18" customHeight="1">
      <c r="A427" s="216"/>
      <c r="B427" s="216"/>
      <c r="C427" s="216"/>
      <c r="D427" s="216"/>
      <c r="E427" s="216"/>
      <c r="F427" s="216"/>
      <c r="G427" s="216"/>
      <c r="H427" s="216"/>
      <c r="I427" s="216"/>
      <c r="J427" s="216"/>
      <c r="K427" s="216"/>
      <c r="L427" s="216"/>
      <c r="M427" s="216"/>
      <c r="N427" s="216"/>
      <c r="O427" s="216"/>
      <c r="P427" s="216"/>
      <c r="Q427" s="216"/>
      <c r="R427" s="216"/>
    </row>
    <row r="428" spans="1:25" ht="18" customHeight="1">
      <c r="A428" s="2494"/>
      <c r="B428" s="2494"/>
      <c r="C428" s="2494"/>
      <c r="D428" s="2494"/>
      <c r="E428" s="2494"/>
      <c r="F428" s="2494"/>
      <c r="G428" s="2494"/>
      <c r="H428" s="2494"/>
      <c r="I428" s="2494"/>
      <c r="J428" s="2494"/>
      <c r="K428" s="2494"/>
      <c r="L428" s="2494"/>
      <c r="M428" s="2494"/>
      <c r="N428" s="2494"/>
      <c r="O428" s="2494"/>
      <c r="P428" s="2494"/>
      <c r="Q428" s="2494"/>
      <c r="R428" s="2494"/>
    </row>
    <row r="429" spans="1:25" ht="33" customHeight="1">
      <c r="A429" s="1242" t="s">
        <v>1259</v>
      </c>
      <c r="D429" s="2557">
        <v>12</v>
      </c>
      <c r="E429" s="4418" t="s">
        <v>1254</v>
      </c>
      <c r="F429" s="4419"/>
      <c r="G429" s="1324"/>
      <c r="M429" s="4231" t="s">
        <v>846</v>
      </c>
      <c r="N429" s="4231"/>
      <c r="O429" s="4231"/>
      <c r="P429" s="4231"/>
    </row>
    <row r="430" spans="1:25" ht="18" customHeight="1">
      <c r="A430" s="4420" t="s">
        <v>346</v>
      </c>
      <c r="B430" s="4421"/>
      <c r="C430" s="4421"/>
      <c r="D430" s="4421"/>
      <c r="E430" s="4455"/>
      <c r="F430" s="4456"/>
      <c r="G430" s="485" t="s">
        <v>348</v>
      </c>
      <c r="I430" s="1308">
        <v>6.8063333333333338</v>
      </c>
      <c r="J430" s="1309" t="s">
        <v>812</v>
      </c>
      <c r="K430" s="1310"/>
      <c r="L430" s="619"/>
      <c r="M430" s="3444" t="s">
        <v>845</v>
      </c>
      <c r="N430" s="3444"/>
      <c r="O430" s="3444"/>
      <c r="P430" s="3444"/>
    </row>
    <row r="431" spans="1:25" ht="18" customHeight="1">
      <c r="A431" s="4422"/>
      <c r="B431" s="4423"/>
      <c r="C431" s="4423"/>
      <c r="D431" s="4423"/>
      <c r="E431" s="475">
        <v>6.8063333333333338</v>
      </c>
      <c r="F431" s="456" t="s">
        <v>330</v>
      </c>
      <c r="G431" s="457" t="e">
        <v>#VALUE!</v>
      </c>
      <c r="I431" s="1311"/>
      <c r="J431" s="3788" t="s">
        <v>847</v>
      </c>
      <c r="K431" s="3787"/>
      <c r="M431" s="3444"/>
      <c r="N431" s="3444"/>
      <c r="O431" s="3444"/>
      <c r="P431" s="3444"/>
    </row>
    <row r="432" spans="1:25" ht="15" customHeight="1">
      <c r="A432" s="188" t="s">
        <v>349</v>
      </c>
      <c r="B432" s="14"/>
      <c r="C432" s="14"/>
      <c r="D432" s="14"/>
      <c r="E432" s="14"/>
      <c r="F432" s="417"/>
      <c r="G432" s="458"/>
      <c r="H432" s="216"/>
      <c r="I432" s="428"/>
      <c r="J432" s="3788"/>
      <c r="K432" s="3787"/>
      <c r="M432" s="4450"/>
      <c r="N432" s="4450"/>
      <c r="O432" s="4450"/>
      <c r="P432" s="4450"/>
    </row>
    <row r="433" spans="1:16" ht="15" customHeight="1">
      <c r="A433" s="459"/>
      <c r="B433" s="460" t="s">
        <v>350</v>
      </c>
      <c r="C433" s="460"/>
      <c r="D433" s="1679" t="s">
        <v>1005</v>
      </c>
      <c r="E433" s="461">
        <v>0</v>
      </c>
      <c r="F433" s="462" t="s">
        <v>351</v>
      </c>
      <c r="G433" s="458"/>
      <c r="I433" s="1311"/>
      <c r="J433" s="3788" t="s">
        <v>848</v>
      </c>
      <c r="K433" s="3787"/>
      <c r="M433" s="655" t="s">
        <v>362</v>
      </c>
      <c r="N433" s="656"/>
      <c r="O433" s="656" t="s">
        <v>478</v>
      </c>
      <c r="P433" s="569"/>
    </row>
    <row r="434" spans="1:16" ht="15" customHeight="1">
      <c r="A434" s="463" t="s">
        <v>220</v>
      </c>
      <c r="B434" s="595" t="s">
        <v>353</v>
      </c>
      <c r="C434" s="464">
        <v>0.55254649655756016</v>
      </c>
      <c r="D434" s="1680">
        <v>0.7</v>
      </c>
      <c r="E434" s="465">
        <v>0</v>
      </c>
      <c r="F434" s="466" t="s">
        <v>330</v>
      </c>
      <c r="G434" s="457" t="e">
        <v>#VALUE!</v>
      </c>
      <c r="I434" s="428"/>
      <c r="J434" s="3788"/>
      <c r="K434" s="3787"/>
      <c r="M434" s="173" t="s">
        <v>476</v>
      </c>
      <c r="N434" s="57" t="s">
        <v>481</v>
      </c>
      <c r="O434" s="36" t="s">
        <v>477</v>
      </c>
      <c r="P434" s="659" t="s">
        <v>330</v>
      </c>
    </row>
    <row r="435" spans="1:16" ht="15">
      <c r="A435" s="467" t="s">
        <v>354</v>
      </c>
      <c r="B435" s="468"/>
      <c r="C435" s="468"/>
      <c r="D435" s="468"/>
      <c r="E435" s="469">
        <v>6.8063333333333338</v>
      </c>
      <c r="F435" s="470" t="s">
        <v>330</v>
      </c>
      <c r="G435" s="458"/>
      <c r="I435" s="1312">
        <v>6.8063333333333338</v>
      </c>
      <c r="J435" s="534" t="s">
        <v>849</v>
      </c>
      <c r="K435" s="618"/>
      <c r="M435" s="654">
        <v>90</v>
      </c>
      <c r="N435" s="509">
        <v>8.9</v>
      </c>
      <c r="O435" s="508">
        <v>60</v>
      </c>
      <c r="P435" s="570">
        <v>5.9333333333333336</v>
      </c>
    </row>
    <row r="436" spans="1:16" ht="15" customHeight="1">
      <c r="A436" s="187" t="s">
        <v>355</v>
      </c>
      <c r="B436" s="2"/>
      <c r="C436" s="2"/>
      <c r="D436" s="2"/>
      <c r="E436" s="2"/>
      <c r="F436" s="417"/>
      <c r="G436" s="458"/>
      <c r="M436" s="658" t="s">
        <v>363</v>
      </c>
      <c r="N436" s="657"/>
      <c r="O436" s="656" t="s">
        <v>478</v>
      </c>
      <c r="P436" s="572"/>
    </row>
    <row r="437" spans="1:16" ht="15">
      <c r="A437" s="187"/>
      <c r="B437" s="460" t="s">
        <v>350</v>
      </c>
      <c r="C437" s="460"/>
      <c r="D437" s="1679" t="s">
        <v>1005</v>
      </c>
      <c r="E437" s="14">
        <v>0</v>
      </c>
      <c r="F437" s="462" t="s">
        <v>351</v>
      </c>
      <c r="G437" s="458"/>
      <c r="I437" s="1313"/>
      <c r="J437" s="1314" t="s">
        <v>352</v>
      </c>
      <c r="K437" s="616"/>
      <c r="M437" s="173" t="s">
        <v>476</v>
      </c>
      <c r="N437" s="657" t="s">
        <v>482</v>
      </c>
      <c r="O437" s="36" t="s">
        <v>477</v>
      </c>
      <c r="P437" s="617"/>
    </row>
    <row r="438" spans="1:16" ht="15" customHeight="1">
      <c r="A438" s="463" t="s">
        <v>220</v>
      </c>
      <c r="B438" s="476" t="s">
        <v>356</v>
      </c>
      <c r="C438" s="464">
        <v>0.33</v>
      </c>
      <c r="D438" s="1680">
        <v>0.7</v>
      </c>
      <c r="E438" s="465">
        <v>0</v>
      </c>
      <c r="F438" s="466" t="s">
        <v>330</v>
      </c>
      <c r="G438" s="457" t="e">
        <v>#VALUE!</v>
      </c>
      <c r="I438" s="428"/>
      <c r="J438" s="3788" t="s">
        <v>1151</v>
      </c>
      <c r="K438" s="3787"/>
      <c r="M438" s="654">
        <v>1000</v>
      </c>
      <c r="N438" s="509">
        <v>9.6999999999999993</v>
      </c>
      <c r="O438" s="508">
        <v>90</v>
      </c>
      <c r="P438" s="570">
        <v>0.87299999999999989</v>
      </c>
    </row>
    <row r="439" spans="1:16" ht="15">
      <c r="A439" s="467" t="s">
        <v>357</v>
      </c>
      <c r="B439" s="471"/>
      <c r="C439" s="471"/>
      <c r="D439" s="471"/>
      <c r="E439" s="3109">
        <v>6.8063333333333338</v>
      </c>
      <c r="F439" s="3119" t="s">
        <v>525</v>
      </c>
      <c r="G439" s="457" t="e">
        <v>#VALUE!</v>
      </c>
      <c r="I439" s="428"/>
      <c r="J439" s="3788"/>
      <c r="K439" s="3787"/>
      <c r="M439" s="571"/>
      <c r="N439" s="497"/>
      <c r="O439" s="497"/>
      <c r="P439" s="573">
        <v>6.8063333333333338</v>
      </c>
    </row>
    <row r="440" spans="1:16" ht="15">
      <c r="A440" s="472" t="s">
        <v>358</v>
      </c>
      <c r="B440" s="151"/>
      <c r="C440" s="473" t="s">
        <v>525</v>
      </c>
      <c r="D440" s="3110" t="s">
        <v>525</v>
      </c>
      <c r="E440" s="474" t="s">
        <v>525</v>
      </c>
      <c r="F440" s="3120" t="s">
        <v>525</v>
      </c>
      <c r="G440" s="457" t="e">
        <v>#VALUE!</v>
      </c>
      <c r="I440" s="42"/>
      <c r="J440" s="4438"/>
      <c r="K440" s="4439"/>
      <c r="M440" s="574"/>
      <c r="N440" s="497" t="s">
        <v>479</v>
      </c>
      <c r="O440" s="497"/>
      <c r="P440" s="570">
        <v>0</v>
      </c>
    </row>
    <row r="441" spans="1:16" ht="15">
      <c r="A441" s="467" t="s">
        <v>360</v>
      </c>
      <c r="B441" s="471"/>
      <c r="C441" s="471"/>
      <c r="D441" s="471"/>
      <c r="E441" s="469" t="s">
        <v>525</v>
      </c>
      <c r="F441" s="3119" t="s">
        <v>525</v>
      </c>
      <c r="G441" s="457" t="e">
        <v>#VALUE!</v>
      </c>
      <c r="M441" s="571"/>
      <c r="N441" s="497"/>
      <c r="O441" s="497"/>
      <c r="P441" s="573">
        <v>6.8063333333333338</v>
      </c>
    </row>
    <row r="442" spans="1:16" ht="15">
      <c r="A442" s="472" t="s">
        <v>257</v>
      </c>
      <c r="B442" s="364">
        <v>0.19</v>
      </c>
      <c r="C442" s="19"/>
      <c r="D442" s="19"/>
      <c r="E442" s="474" t="s">
        <v>525</v>
      </c>
      <c r="F442" s="3120" t="s">
        <v>525</v>
      </c>
      <c r="G442" s="457">
        <v>0.19</v>
      </c>
      <c r="I442" s="3117" t="s">
        <v>525</v>
      </c>
      <c r="J442" s="4442" t="s">
        <v>1458</v>
      </c>
      <c r="K442" s="4442"/>
      <c r="L442" s="142"/>
      <c r="M442" s="574"/>
      <c r="N442" s="497" t="s">
        <v>480</v>
      </c>
      <c r="O442" s="497"/>
      <c r="P442" s="570">
        <v>0</v>
      </c>
    </row>
    <row r="443" spans="1:16" ht="15">
      <c r="A443" s="3144" t="s">
        <v>1389</v>
      </c>
      <c r="B443" s="1240"/>
      <c r="C443" s="1240"/>
      <c r="D443" s="1240"/>
      <c r="E443" s="1241" t="s">
        <v>525</v>
      </c>
      <c r="F443" s="3121" t="s">
        <v>525</v>
      </c>
      <c r="G443" s="457" t="e">
        <v>#VALUE!</v>
      </c>
      <c r="J443" s="3444" t="s">
        <v>850</v>
      </c>
      <c r="K443" s="3444"/>
      <c r="M443" s="575"/>
      <c r="N443" s="576"/>
      <c r="O443" s="660" t="s">
        <v>330</v>
      </c>
      <c r="P443" s="577">
        <v>6.8063333333333338</v>
      </c>
    </row>
    <row r="444" spans="1:16" ht="15" customHeight="1" thickBot="1">
      <c r="A444" s="1243"/>
      <c r="B444" s="3114" t="s">
        <v>351</v>
      </c>
      <c r="C444" s="3115">
        <v>0</v>
      </c>
      <c r="D444" s="3116" t="s">
        <v>525</v>
      </c>
      <c r="E444" s="3145" t="s">
        <v>525</v>
      </c>
      <c r="F444" s="3122" t="s">
        <v>525</v>
      </c>
      <c r="G444" s="3111" t="s">
        <v>525</v>
      </c>
      <c r="I444" s="680"/>
      <c r="J444" s="3444"/>
      <c r="K444" s="3444"/>
      <c r="L444" s="615">
        <v>0.10960791757966955</v>
      </c>
      <c r="M444" s="615" t="s">
        <v>525</v>
      </c>
    </row>
    <row r="445" spans="1:16" ht="16.2" thickBot="1">
      <c r="C445" s="3113"/>
      <c r="D445" s="3113" t="s">
        <v>525</v>
      </c>
      <c r="E445" s="3125" t="s">
        <v>525</v>
      </c>
      <c r="F445" s="2456"/>
      <c r="J445" s="3444"/>
      <c r="K445" s="3444"/>
      <c r="L445" s="615" t="s">
        <v>525</v>
      </c>
      <c r="M445" s="615"/>
    </row>
    <row r="446" spans="1:16" ht="17.25" customHeight="1">
      <c r="A446" s="4426" t="s">
        <v>1391</v>
      </c>
      <c r="B446" s="4427"/>
      <c r="C446" s="4430" t="s">
        <v>1390</v>
      </c>
      <c r="D446" s="4430"/>
      <c r="E446" s="4430"/>
      <c r="F446" s="4430" t="s">
        <v>1386</v>
      </c>
      <c r="G446" s="4434"/>
      <c r="I446" s="3373" t="s">
        <v>1382</v>
      </c>
      <c r="J446" s="3374"/>
      <c r="K446" s="3374"/>
      <c r="L446" s="3374"/>
      <c r="M446" s="4447"/>
    </row>
    <row r="447" spans="1:16" s="142" customFormat="1" ht="17.25" customHeight="1">
      <c r="A447" s="4428"/>
      <c r="B447" s="4429"/>
      <c r="C447" s="4431"/>
      <c r="D447" s="4431"/>
      <c r="E447" s="4431"/>
      <c r="F447" s="4431"/>
      <c r="G447" s="4432"/>
      <c r="I447" s="428"/>
      <c r="J447" s="34"/>
      <c r="K447" s="365" t="s">
        <v>1006</v>
      </c>
      <c r="L447" s="34"/>
      <c r="M447" s="617" t="s">
        <v>1007</v>
      </c>
    </row>
    <row r="448" spans="1:16" ht="18" customHeight="1">
      <c r="A448" s="2508"/>
      <c r="B448" s="3127"/>
      <c r="C448" s="3108"/>
      <c r="D448" s="3146" t="s">
        <v>525</v>
      </c>
      <c r="F448" s="3126" t="s">
        <v>525</v>
      </c>
      <c r="G448" s="610"/>
      <c r="I448" s="428" t="s">
        <v>1005</v>
      </c>
      <c r="J448" s="364">
        <v>0.7</v>
      </c>
      <c r="K448" s="1677">
        <v>0.55254649655756016</v>
      </c>
      <c r="L448" s="76" t="s">
        <v>330</v>
      </c>
      <c r="M448" s="1695">
        <v>0.33</v>
      </c>
    </row>
    <row r="449" spans="1:25" ht="18" customHeight="1">
      <c r="A449" s="2508"/>
      <c r="B449" s="1165"/>
      <c r="C449" s="3403"/>
      <c r="D449" s="1165"/>
      <c r="E449" s="1165"/>
      <c r="F449" s="1165"/>
      <c r="G449" s="610"/>
      <c r="I449" s="1320" t="s">
        <v>874</v>
      </c>
      <c r="J449" s="1678"/>
      <c r="K449" s="1677" t="s">
        <v>525</v>
      </c>
      <c r="L449" s="197" t="s">
        <v>330</v>
      </c>
      <c r="M449" s="1695" t="s">
        <v>525</v>
      </c>
    </row>
    <row r="450" spans="1:25" ht="18" customHeight="1">
      <c r="A450" s="2508"/>
      <c r="B450" s="4435" t="s">
        <v>1460</v>
      </c>
      <c r="C450" s="3403"/>
      <c r="D450" s="4433" t="s">
        <v>1392</v>
      </c>
      <c r="E450" s="4433"/>
      <c r="F450" s="4435" t="s">
        <v>1387</v>
      </c>
      <c r="G450" s="4457"/>
    </row>
    <row r="451" spans="1:25" ht="18" customHeight="1">
      <c r="A451" s="3231"/>
      <c r="B451" s="4435"/>
      <c r="C451" s="1165"/>
      <c r="D451" s="4433"/>
      <c r="E451" s="4433"/>
      <c r="F451" s="4435"/>
      <c r="G451" s="4457"/>
      <c r="I451" s="3941" t="s">
        <v>525</v>
      </c>
      <c r="J451" s="3941"/>
      <c r="K451" s="3941"/>
      <c r="L451" s="3941"/>
      <c r="M451" s="3941"/>
      <c r="N451" s="615" t="s">
        <v>1383</v>
      </c>
    </row>
    <row r="452" spans="1:25" ht="14.55" customHeight="1">
      <c r="A452" s="2508"/>
      <c r="B452" s="3127"/>
      <c r="D452" s="3125" t="s">
        <v>525</v>
      </c>
      <c r="F452" s="3124">
        <v>0</v>
      </c>
      <c r="G452" s="3224" t="s">
        <v>525</v>
      </c>
      <c r="I452" s="3941"/>
      <c r="J452" s="3941"/>
      <c r="K452" s="3941"/>
      <c r="L452" s="3941"/>
      <c r="M452" s="3941"/>
      <c r="N452" s="615"/>
    </row>
    <row r="453" spans="1:25" ht="18" customHeight="1">
      <c r="A453" s="2508"/>
      <c r="G453" s="610"/>
      <c r="I453" s="3941"/>
      <c r="J453" s="3941"/>
      <c r="K453" s="3941"/>
      <c r="L453" s="3941"/>
      <c r="M453" s="3941"/>
      <c r="N453" s="615" t="s">
        <v>1384</v>
      </c>
      <c r="P453" s="34" t="s">
        <v>471</v>
      </c>
      <c r="Q453" s="34" t="s">
        <v>35</v>
      </c>
      <c r="R453" s="34" t="s">
        <v>342</v>
      </c>
      <c r="S453" s="34" t="s">
        <v>472</v>
      </c>
      <c r="T453" s="34" t="s">
        <v>473</v>
      </c>
    </row>
    <row r="454" spans="1:25" ht="18" customHeight="1">
      <c r="A454" s="2508"/>
      <c r="C454" s="3143" t="s">
        <v>1388</v>
      </c>
      <c r="D454" s="3129"/>
      <c r="E454" s="3129"/>
      <c r="F454" s="3129"/>
      <c r="G454" s="3225"/>
      <c r="I454" s="3941"/>
      <c r="J454" s="3941"/>
      <c r="K454" s="3941"/>
      <c r="L454" s="3941"/>
      <c r="M454" s="3941"/>
      <c r="P454" s="1698">
        <v>6.8063333333333338</v>
      </c>
      <c r="Q454" s="1698">
        <v>0</v>
      </c>
      <c r="R454" s="1698">
        <v>0</v>
      </c>
      <c r="S454" s="1698" t="s">
        <v>525</v>
      </c>
      <c r="T454" s="1698" t="s">
        <v>525</v>
      </c>
    </row>
    <row r="455" spans="1:25" ht="18" customHeight="1">
      <c r="A455" s="2508"/>
      <c r="C455" s="3131"/>
      <c r="D455" s="4425" t="s">
        <v>1385</v>
      </c>
      <c r="E455" s="4425"/>
      <c r="F455" s="3132">
        <v>0</v>
      </c>
      <c r="G455" s="3226"/>
      <c r="I455" s="3941"/>
      <c r="J455" s="3941"/>
      <c r="K455" s="3941"/>
      <c r="L455" s="3941"/>
      <c r="M455" s="3941"/>
    </row>
    <row r="456" spans="1:25" ht="18" customHeight="1">
      <c r="A456" s="2508"/>
      <c r="C456" s="3131"/>
      <c r="D456" s="3134" t="s">
        <v>1461</v>
      </c>
      <c r="E456" s="3135" t="s">
        <v>525</v>
      </c>
      <c r="F456" s="3136" t="s">
        <v>1462</v>
      </c>
      <c r="G456" s="3226"/>
      <c r="I456" s="4424" t="s">
        <v>525</v>
      </c>
      <c r="J456" s="4424"/>
      <c r="K456" s="4424"/>
      <c r="L456" s="4424"/>
      <c r="M456" s="4424"/>
      <c r="N456" s="3118" t="s">
        <v>525</v>
      </c>
    </row>
    <row r="457" spans="1:25" ht="18" customHeight="1">
      <c r="A457" s="2508"/>
      <c r="C457" s="3131"/>
      <c r="D457" s="3136" t="s">
        <v>1463</v>
      </c>
      <c r="E457" s="3137"/>
      <c r="F457" s="3138"/>
      <c r="G457" s="3226"/>
    </row>
    <row r="458" spans="1:25" ht="18" customHeight="1" thickBot="1">
      <c r="A458" s="2509"/>
      <c r="B458" s="774"/>
      <c r="C458" s="3227"/>
      <c r="D458" s="3228"/>
      <c r="E458" s="3229"/>
      <c r="F458" s="3229"/>
      <c r="G458" s="3230"/>
      <c r="R458" s="3147" t="s">
        <v>851</v>
      </c>
      <c r="S458" s="775"/>
      <c r="T458" s="3148"/>
      <c r="U458" s="3149"/>
    </row>
    <row r="459" spans="1:25" ht="18" customHeight="1">
      <c r="R459" s="4451" t="s">
        <v>860</v>
      </c>
      <c r="S459" s="4452"/>
      <c r="T459" s="4452"/>
      <c r="U459" s="3150">
        <v>1</v>
      </c>
    </row>
    <row r="460" spans="1:25" ht="18" customHeight="1">
      <c r="R460" s="4453" t="s">
        <v>856</v>
      </c>
      <c r="S460" s="4454"/>
      <c r="T460" s="4454"/>
      <c r="U460" s="3151" t="s">
        <v>525</v>
      </c>
    </row>
    <row r="461" spans="1:25" ht="18" customHeight="1">
      <c r="R461" s="4451" t="s">
        <v>857</v>
      </c>
      <c r="S461" s="4452"/>
      <c r="T461" s="4452"/>
      <c r="U461" s="3151" t="e">
        <v>#VALUE!</v>
      </c>
    </row>
    <row r="462" spans="1:25" ht="18" customHeight="1">
      <c r="R462" s="4451"/>
      <c r="S462" s="4452"/>
      <c r="T462" s="4452"/>
      <c r="U462" s="3152"/>
      <c r="V462" s="1834"/>
      <c r="W462" s="1834"/>
      <c r="X462" s="1834"/>
      <c r="Y462" s="1834"/>
    </row>
    <row r="463" spans="1:25" ht="18" customHeight="1">
      <c r="R463" s="4448" t="s">
        <v>858</v>
      </c>
      <c r="S463" s="4449"/>
      <c r="T463" s="4449"/>
      <c r="U463" s="3153" t="e">
        <v>#VALUE!</v>
      </c>
      <c r="V463" s="1834"/>
      <c r="W463" s="1834"/>
      <c r="X463" s="1834"/>
      <c r="Y463" s="1834"/>
    </row>
    <row r="464" spans="1:25" ht="18" customHeight="1">
      <c r="R464" s="3154" t="s">
        <v>859</v>
      </c>
      <c r="S464" s="3155" t="s">
        <v>525</v>
      </c>
      <c r="T464" s="3156" t="s">
        <v>48</v>
      </c>
      <c r="U464" s="3157" t="e">
        <v>#VALUE!</v>
      </c>
      <c r="V464" s="1834"/>
      <c r="W464" s="1834"/>
      <c r="X464" s="1834"/>
      <c r="Y464" s="1834"/>
    </row>
    <row r="466" spans="1:18" ht="18" customHeight="1">
      <c r="A466" s="2494"/>
      <c r="B466" s="2494"/>
      <c r="C466" s="2494"/>
      <c r="D466" s="2494"/>
      <c r="E466" s="2494"/>
      <c r="F466" s="2494"/>
      <c r="G466" s="2494"/>
      <c r="H466" s="2494"/>
      <c r="I466" s="2494"/>
      <c r="J466" s="2494"/>
      <c r="K466" s="2494"/>
      <c r="L466" s="2494"/>
      <c r="M466" s="2494"/>
      <c r="N466" s="2494"/>
      <c r="O466" s="2494"/>
      <c r="P466" s="2494"/>
      <c r="Q466" s="2494"/>
      <c r="R466" s="2494"/>
    </row>
    <row r="467" spans="1:18" ht="33" customHeight="1">
      <c r="A467" s="1242" t="s">
        <v>1259</v>
      </c>
      <c r="D467" s="2557">
        <v>13</v>
      </c>
      <c r="E467" s="4418" t="s">
        <v>1254</v>
      </c>
      <c r="F467" s="4419"/>
      <c r="G467" s="1324"/>
      <c r="M467" s="4231" t="s">
        <v>846</v>
      </c>
      <c r="N467" s="4231"/>
      <c r="O467" s="4231"/>
      <c r="P467" s="4231"/>
    </row>
    <row r="468" spans="1:18" ht="18" customHeight="1">
      <c r="A468" s="4420" t="s">
        <v>346</v>
      </c>
      <c r="B468" s="4421"/>
      <c r="C468" s="4421"/>
      <c r="D468" s="4421"/>
      <c r="E468" s="4455"/>
      <c r="F468" s="4456"/>
      <c r="G468" s="485" t="s">
        <v>348</v>
      </c>
      <c r="I468" s="1308">
        <v>6.8063333333333338</v>
      </c>
      <c r="J468" s="1309" t="s">
        <v>812</v>
      </c>
      <c r="K468" s="1310"/>
      <c r="L468" s="619"/>
      <c r="M468" s="3444" t="s">
        <v>845</v>
      </c>
      <c r="N468" s="3444"/>
      <c r="O468" s="3444"/>
      <c r="P468" s="3444"/>
    </row>
    <row r="469" spans="1:18" ht="18" customHeight="1">
      <c r="A469" s="4422"/>
      <c r="B469" s="4423"/>
      <c r="C469" s="4423"/>
      <c r="D469" s="4423"/>
      <c r="E469" s="475">
        <v>6.8063333333333338</v>
      </c>
      <c r="F469" s="456" t="s">
        <v>330</v>
      </c>
      <c r="G469" s="457" t="e">
        <v>#VALUE!</v>
      </c>
      <c r="I469" s="1311"/>
      <c r="J469" s="3788" t="s">
        <v>847</v>
      </c>
      <c r="K469" s="3787"/>
      <c r="M469" s="3444"/>
      <c r="N469" s="3444"/>
      <c r="O469" s="3444"/>
      <c r="P469" s="3444"/>
    </row>
    <row r="470" spans="1:18" ht="15" customHeight="1">
      <c r="A470" s="188" t="s">
        <v>349</v>
      </c>
      <c r="B470" s="14"/>
      <c r="C470" s="14"/>
      <c r="D470" s="14"/>
      <c r="E470" s="14"/>
      <c r="F470" s="417"/>
      <c r="G470" s="458"/>
      <c r="H470" s="216"/>
      <c r="I470" s="428"/>
      <c r="J470" s="3788"/>
      <c r="K470" s="3787"/>
      <c r="M470" s="4450"/>
      <c r="N470" s="4450"/>
      <c r="O470" s="4450"/>
      <c r="P470" s="4450"/>
    </row>
    <row r="471" spans="1:18" ht="15" customHeight="1">
      <c r="A471" s="459"/>
      <c r="B471" s="460" t="s">
        <v>350</v>
      </c>
      <c r="C471" s="460"/>
      <c r="D471" s="1679" t="s">
        <v>1005</v>
      </c>
      <c r="E471" s="461">
        <v>0</v>
      </c>
      <c r="F471" s="462" t="s">
        <v>351</v>
      </c>
      <c r="G471" s="458"/>
      <c r="I471" s="1311"/>
      <c r="J471" s="3788" t="s">
        <v>848</v>
      </c>
      <c r="K471" s="3787"/>
      <c r="M471" s="655" t="s">
        <v>362</v>
      </c>
      <c r="N471" s="656"/>
      <c r="O471" s="656" t="s">
        <v>478</v>
      </c>
      <c r="P471" s="569"/>
    </row>
    <row r="472" spans="1:18" ht="15" customHeight="1">
      <c r="A472" s="463" t="s">
        <v>220</v>
      </c>
      <c r="B472" s="595" t="s">
        <v>353</v>
      </c>
      <c r="C472" s="464">
        <v>0.55254649655756016</v>
      </c>
      <c r="D472" s="1680">
        <v>0.7</v>
      </c>
      <c r="E472" s="465">
        <v>0</v>
      </c>
      <c r="F472" s="466" t="s">
        <v>330</v>
      </c>
      <c r="G472" s="457" t="e">
        <v>#VALUE!</v>
      </c>
      <c r="I472" s="428"/>
      <c r="J472" s="3788"/>
      <c r="K472" s="3787"/>
      <c r="M472" s="173" t="s">
        <v>476</v>
      </c>
      <c r="N472" s="57" t="s">
        <v>481</v>
      </c>
      <c r="O472" s="36" t="s">
        <v>477</v>
      </c>
      <c r="P472" s="659" t="s">
        <v>330</v>
      </c>
    </row>
    <row r="473" spans="1:18" ht="15">
      <c r="A473" s="467" t="s">
        <v>354</v>
      </c>
      <c r="B473" s="468"/>
      <c r="C473" s="468"/>
      <c r="D473" s="468"/>
      <c r="E473" s="469">
        <v>6.8063333333333338</v>
      </c>
      <c r="F473" s="470" t="s">
        <v>330</v>
      </c>
      <c r="G473" s="458"/>
      <c r="I473" s="1312">
        <v>6.8063333333333338</v>
      </c>
      <c r="J473" s="534" t="s">
        <v>849</v>
      </c>
      <c r="K473" s="618"/>
      <c r="M473" s="654">
        <v>90</v>
      </c>
      <c r="N473" s="509">
        <v>8.9</v>
      </c>
      <c r="O473" s="508">
        <v>60</v>
      </c>
      <c r="P473" s="570">
        <v>5.9333333333333336</v>
      </c>
    </row>
    <row r="474" spans="1:18" ht="15" customHeight="1">
      <c r="A474" s="187" t="s">
        <v>355</v>
      </c>
      <c r="B474" s="2"/>
      <c r="C474" s="2"/>
      <c r="D474" s="2"/>
      <c r="E474" s="2"/>
      <c r="F474" s="417"/>
      <c r="G474" s="458"/>
      <c r="M474" s="658" t="s">
        <v>363</v>
      </c>
      <c r="N474" s="657"/>
      <c r="O474" s="656" t="s">
        <v>478</v>
      </c>
      <c r="P474" s="572"/>
    </row>
    <row r="475" spans="1:18" ht="15">
      <c r="A475" s="187"/>
      <c r="B475" s="460" t="s">
        <v>350</v>
      </c>
      <c r="C475" s="460"/>
      <c r="D475" s="1679" t="s">
        <v>1005</v>
      </c>
      <c r="E475" s="14">
        <v>0</v>
      </c>
      <c r="F475" s="462" t="s">
        <v>351</v>
      </c>
      <c r="G475" s="458"/>
      <c r="I475" s="1313"/>
      <c r="J475" s="1314" t="s">
        <v>352</v>
      </c>
      <c r="K475" s="616"/>
      <c r="M475" s="173" t="s">
        <v>476</v>
      </c>
      <c r="N475" s="657" t="s">
        <v>482</v>
      </c>
      <c r="O475" s="36" t="s">
        <v>477</v>
      </c>
      <c r="P475" s="617"/>
    </row>
    <row r="476" spans="1:18" ht="15" customHeight="1">
      <c r="A476" s="463" t="s">
        <v>220</v>
      </c>
      <c r="B476" s="476" t="s">
        <v>356</v>
      </c>
      <c r="C476" s="464">
        <v>0.33</v>
      </c>
      <c r="D476" s="1680">
        <v>0.7</v>
      </c>
      <c r="E476" s="465">
        <v>0</v>
      </c>
      <c r="F476" s="466" t="s">
        <v>330</v>
      </c>
      <c r="G476" s="457" t="e">
        <v>#VALUE!</v>
      </c>
      <c r="I476" s="428"/>
      <c r="J476" s="3788" t="s">
        <v>1151</v>
      </c>
      <c r="K476" s="3787"/>
      <c r="M476" s="654">
        <v>1000</v>
      </c>
      <c r="N476" s="509">
        <v>9.6999999999999993</v>
      </c>
      <c r="O476" s="508">
        <v>90</v>
      </c>
      <c r="P476" s="570">
        <v>0.87299999999999989</v>
      </c>
    </row>
    <row r="477" spans="1:18" ht="15">
      <c r="A477" s="467" t="s">
        <v>357</v>
      </c>
      <c r="B477" s="471"/>
      <c r="C477" s="471"/>
      <c r="D477" s="471"/>
      <c r="E477" s="3109">
        <v>6.8063333333333338</v>
      </c>
      <c r="F477" s="3119" t="s">
        <v>525</v>
      </c>
      <c r="G477" s="457" t="e">
        <v>#VALUE!</v>
      </c>
      <c r="I477" s="428"/>
      <c r="J477" s="3788"/>
      <c r="K477" s="3787"/>
      <c r="M477" s="571"/>
      <c r="N477" s="497"/>
      <c r="O477" s="497"/>
      <c r="P477" s="573">
        <v>6.8063333333333338</v>
      </c>
    </row>
    <row r="478" spans="1:18" ht="15">
      <c r="A478" s="472" t="s">
        <v>358</v>
      </c>
      <c r="B478" s="151"/>
      <c r="C478" s="473" t="s">
        <v>525</v>
      </c>
      <c r="D478" s="3110" t="s">
        <v>525</v>
      </c>
      <c r="E478" s="474" t="s">
        <v>525</v>
      </c>
      <c r="F478" s="3120" t="s">
        <v>525</v>
      </c>
      <c r="G478" s="457" t="e">
        <v>#VALUE!</v>
      </c>
      <c r="I478" s="42"/>
      <c r="J478" s="4438"/>
      <c r="K478" s="4439"/>
      <c r="M478" s="574"/>
      <c r="N478" s="497" t="s">
        <v>479</v>
      </c>
      <c r="O478" s="497"/>
      <c r="P478" s="570">
        <v>0</v>
      </c>
    </row>
    <row r="479" spans="1:18" ht="15">
      <c r="A479" s="467" t="s">
        <v>360</v>
      </c>
      <c r="B479" s="471"/>
      <c r="C479" s="471"/>
      <c r="D479" s="471"/>
      <c r="E479" s="469" t="s">
        <v>525</v>
      </c>
      <c r="F479" s="3119" t="s">
        <v>525</v>
      </c>
      <c r="G479" s="457" t="e">
        <v>#VALUE!</v>
      </c>
      <c r="M479" s="571"/>
      <c r="N479" s="497"/>
      <c r="O479" s="497"/>
      <c r="P479" s="573">
        <v>6.8063333333333338</v>
      </c>
    </row>
    <row r="480" spans="1:18" ht="15">
      <c r="A480" s="472" t="s">
        <v>257</v>
      </c>
      <c r="B480" s="364">
        <v>0.19</v>
      </c>
      <c r="C480" s="19"/>
      <c r="D480" s="19"/>
      <c r="E480" s="474" t="s">
        <v>525</v>
      </c>
      <c r="F480" s="3120" t="s">
        <v>525</v>
      </c>
      <c r="G480" s="457">
        <v>0.19</v>
      </c>
      <c r="I480" s="3117" t="s">
        <v>525</v>
      </c>
      <c r="J480" s="4442" t="s">
        <v>1458</v>
      </c>
      <c r="K480" s="4442"/>
      <c r="L480" s="142"/>
      <c r="M480" s="574"/>
      <c r="N480" s="497" t="s">
        <v>480</v>
      </c>
      <c r="O480" s="497"/>
      <c r="P480" s="570">
        <v>0</v>
      </c>
    </row>
    <row r="481" spans="1:21" ht="15">
      <c r="A481" s="3144" t="s">
        <v>1389</v>
      </c>
      <c r="B481" s="1240"/>
      <c r="C481" s="1240"/>
      <c r="D481" s="1240"/>
      <c r="E481" s="1241" t="s">
        <v>525</v>
      </c>
      <c r="F481" s="3121" t="s">
        <v>525</v>
      </c>
      <c r="G481" s="457" t="e">
        <v>#VALUE!</v>
      </c>
      <c r="J481" s="3444" t="s">
        <v>850</v>
      </c>
      <c r="K481" s="3444"/>
      <c r="M481" s="575"/>
      <c r="N481" s="576"/>
      <c r="O481" s="660" t="s">
        <v>330</v>
      </c>
      <c r="P481" s="577">
        <v>6.8063333333333338</v>
      </c>
    </row>
    <row r="482" spans="1:21" ht="15" customHeight="1" thickBot="1">
      <c r="A482" s="1243"/>
      <c r="B482" s="3114" t="s">
        <v>351</v>
      </c>
      <c r="C482" s="3115">
        <v>0</v>
      </c>
      <c r="D482" s="3116" t="s">
        <v>525</v>
      </c>
      <c r="E482" s="3145" t="s">
        <v>525</v>
      </c>
      <c r="F482" s="3122" t="s">
        <v>525</v>
      </c>
      <c r="G482" s="3111" t="s">
        <v>525</v>
      </c>
      <c r="I482" s="680"/>
      <c r="J482" s="3444"/>
      <c r="K482" s="3444"/>
      <c r="L482" s="615">
        <v>0.10960791757966955</v>
      </c>
      <c r="M482" s="615" t="s">
        <v>525</v>
      </c>
    </row>
    <row r="483" spans="1:21" ht="16.2" thickBot="1">
      <c r="C483" s="3113"/>
      <c r="D483" s="3113" t="s">
        <v>525</v>
      </c>
      <c r="E483" s="3125" t="s">
        <v>525</v>
      </c>
      <c r="F483" s="2456"/>
      <c r="J483" s="3444"/>
      <c r="K483" s="3444"/>
      <c r="L483" s="615" t="s">
        <v>525</v>
      </c>
      <c r="M483" s="615"/>
    </row>
    <row r="484" spans="1:21" ht="17.25" customHeight="1">
      <c r="A484" s="4426" t="s">
        <v>1391</v>
      </c>
      <c r="B484" s="4427"/>
      <c r="C484" s="4430" t="s">
        <v>1390</v>
      </c>
      <c r="D484" s="4430"/>
      <c r="E484" s="4430"/>
      <c r="F484" s="4430" t="s">
        <v>1386</v>
      </c>
      <c r="G484" s="4434"/>
      <c r="I484" s="3373" t="s">
        <v>1382</v>
      </c>
      <c r="J484" s="3374"/>
      <c r="K484" s="3374"/>
      <c r="L484" s="3374"/>
      <c r="M484" s="4447"/>
    </row>
    <row r="485" spans="1:21" s="142" customFormat="1" ht="17.25" customHeight="1">
      <c r="A485" s="4428"/>
      <c r="B485" s="4429"/>
      <c r="C485" s="4431"/>
      <c r="D485" s="4431"/>
      <c r="E485" s="4431"/>
      <c r="F485" s="4431"/>
      <c r="G485" s="4432"/>
      <c r="I485" s="428"/>
      <c r="J485" s="34"/>
      <c r="K485" s="365" t="s">
        <v>1006</v>
      </c>
      <c r="L485" s="34"/>
      <c r="M485" s="617" t="s">
        <v>1007</v>
      </c>
    </row>
    <row r="486" spans="1:21" ht="18" customHeight="1">
      <c r="A486" s="2508"/>
      <c r="B486" s="3127"/>
      <c r="C486" s="3108"/>
      <c r="D486" s="3146" t="s">
        <v>525</v>
      </c>
      <c r="F486" s="3126" t="s">
        <v>525</v>
      </c>
      <c r="G486" s="610"/>
      <c r="I486" s="428" t="s">
        <v>1005</v>
      </c>
      <c r="J486" s="364">
        <v>0.7</v>
      </c>
      <c r="K486" s="1677">
        <v>0.55254649655756016</v>
      </c>
      <c r="L486" s="76" t="s">
        <v>330</v>
      </c>
      <c r="M486" s="1695">
        <v>0.33</v>
      </c>
    </row>
    <row r="487" spans="1:21" ht="18" customHeight="1">
      <c r="A487" s="2508"/>
      <c r="B487" s="1165"/>
      <c r="C487" s="3403"/>
      <c r="D487" s="1165"/>
      <c r="E487" s="1165"/>
      <c r="F487" s="1165"/>
      <c r="G487" s="610"/>
      <c r="I487" s="1320" t="s">
        <v>874</v>
      </c>
      <c r="J487" s="1678"/>
      <c r="K487" s="1677" t="s">
        <v>525</v>
      </c>
      <c r="L487" s="197" t="s">
        <v>330</v>
      </c>
      <c r="M487" s="1695" t="s">
        <v>525</v>
      </c>
    </row>
    <row r="488" spans="1:21" ht="18" customHeight="1">
      <c r="A488" s="2508"/>
      <c r="B488" s="4435" t="s">
        <v>1460</v>
      </c>
      <c r="C488" s="3403"/>
      <c r="D488" s="4433" t="s">
        <v>1392</v>
      </c>
      <c r="E488" s="4433"/>
      <c r="F488" s="4435" t="s">
        <v>1387</v>
      </c>
      <c r="G488" s="4457"/>
    </row>
    <row r="489" spans="1:21" ht="18" customHeight="1">
      <c r="A489" s="3231"/>
      <c r="B489" s="4435"/>
      <c r="C489" s="1165"/>
      <c r="D489" s="4433"/>
      <c r="E489" s="4433"/>
      <c r="F489" s="4435"/>
      <c r="G489" s="4457"/>
      <c r="I489" s="3941" t="s">
        <v>525</v>
      </c>
      <c r="J489" s="3941"/>
      <c r="K489" s="3941"/>
      <c r="L489" s="3941"/>
      <c r="M489" s="3941"/>
      <c r="N489" s="615" t="s">
        <v>1383</v>
      </c>
    </row>
    <row r="490" spans="1:21" ht="14.55" customHeight="1">
      <c r="A490" s="2508"/>
      <c r="B490" s="3127"/>
      <c r="D490" s="3125" t="s">
        <v>525</v>
      </c>
      <c r="F490" s="3124">
        <v>0</v>
      </c>
      <c r="G490" s="3224" t="s">
        <v>525</v>
      </c>
      <c r="I490" s="3941"/>
      <c r="J490" s="3941"/>
      <c r="K490" s="3941"/>
      <c r="L490" s="3941"/>
      <c r="M490" s="3941"/>
      <c r="N490" s="615"/>
    </row>
    <row r="491" spans="1:21" ht="18" customHeight="1">
      <c r="A491" s="2508"/>
      <c r="G491" s="610"/>
      <c r="I491" s="3941"/>
      <c r="J491" s="3941"/>
      <c r="K491" s="3941"/>
      <c r="L491" s="3941"/>
      <c r="M491" s="3941"/>
      <c r="N491" s="615" t="s">
        <v>1384</v>
      </c>
      <c r="P491" s="34" t="s">
        <v>471</v>
      </c>
      <c r="Q491" s="34" t="s">
        <v>35</v>
      </c>
      <c r="R491" s="34" t="s">
        <v>342</v>
      </c>
      <c r="S491" s="34" t="s">
        <v>472</v>
      </c>
      <c r="T491" s="34" t="s">
        <v>473</v>
      </c>
    </row>
    <row r="492" spans="1:21" ht="18" customHeight="1">
      <c r="A492" s="2508"/>
      <c r="C492" s="3143" t="s">
        <v>1388</v>
      </c>
      <c r="D492" s="3129"/>
      <c r="E492" s="3129"/>
      <c r="F492" s="3129"/>
      <c r="G492" s="3225"/>
      <c r="I492" s="3941"/>
      <c r="J492" s="3941"/>
      <c r="K492" s="3941"/>
      <c r="L492" s="3941"/>
      <c r="M492" s="3941"/>
      <c r="P492" s="1698">
        <v>6.8063333333333338</v>
      </c>
      <c r="Q492" s="1698">
        <v>0</v>
      </c>
      <c r="R492" s="1698">
        <v>0</v>
      </c>
      <c r="S492" s="1698" t="s">
        <v>525</v>
      </c>
      <c r="T492" s="1698" t="s">
        <v>525</v>
      </c>
    </row>
    <row r="493" spans="1:21" ht="18" customHeight="1">
      <c r="A493" s="2508"/>
      <c r="C493" s="3131"/>
      <c r="D493" s="4425" t="s">
        <v>1385</v>
      </c>
      <c r="E493" s="4425"/>
      <c r="F493" s="3132">
        <v>0</v>
      </c>
      <c r="G493" s="3226"/>
      <c r="I493" s="3941"/>
      <c r="J493" s="3941"/>
      <c r="K493" s="3941"/>
      <c r="L493" s="3941"/>
      <c r="M493" s="3941"/>
    </row>
    <row r="494" spans="1:21" ht="18" customHeight="1">
      <c r="A494" s="2508"/>
      <c r="C494" s="3131"/>
      <c r="D494" s="3134" t="s">
        <v>1461</v>
      </c>
      <c r="E494" s="3135" t="s">
        <v>525</v>
      </c>
      <c r="F494" s="3136" t="s">
        <v>1462</v>
      </c>
      <c r="G494" s="3226"/>
      <c r="I494" s="4424" t="s">
        <v>525</v>
      </c>
      <c r="J494" s="4424"/>
      <c r="K494" s="4424"/>
      <c r="L494" s="4424"/>
      <c r="M494" s="4424"/>
      <c r="N494" s="3118" t="s">
        <v>525</v>
      </c>
    </row>
    <row r="495" spans="1:21" ht="18" customHeight="1">
      <c r="A495" s="2508"/>
      <c r="C495" s="3131"/>
      <c r="D495" s="3136" t="s">
        <v>1463</v>
      </c>
      <c r="E495" s="3137"/>
      <c r="F495" s="3138"/>
      <c r="G495" s="3226"/>
    </row>
    <row r="496" spans="1:21" ht="18" customHeight="1" thickBot="1">
      <c r="A496" s="2509"/>
      <c r="B496" s="774"/>
      <c r="C496" s="3227"/>
      <c r="D496" s="3228"/>
      <c r="E496" s="3229"/>
      <c r="F496" s="3229"/>
      <c r="G496" s="3230"/>
      <c r="R496" s="3147" t="s">
        <v>851</v>
      </c>
      <c r="S496" s="775"/>
      <c r="T496" s="3148"/>
      <c r="U496" s="3149"/>
    </row>
    <row r="497" spans="1:25" ht="18" customHeight="1">
      <c r="R497" s="4451" t="s">
        <v>860</v>
      </c>
      <c r="S497" s="4452"/>
      <c r="T497" s="4452"/>
      <c r="U497" s="3150">
        <v>1</v>
      </c>
    </row>
    <row r="498" spans="1:25" ht="18" customHeight="1">
      <c r="R498" s="4453" t="s">
        <v>856</v>
      </c>
      <c r="S498" s="4454"/>
      <c r="T498" s="4454"/>
      <c r="U498" s="3151" t="s">
        <v>525</v>
      </c>
    </row>
    <row r="499" spans="1:25" ht="18" customHeight="1">
      <c r="R499" s="4451" t="s">
        <v>857</v>
      </c>
      <c r="S499" s="4452"/>
      <c r="T499" s="4452"/>
      <c r="U499" s="3151" t="e">
        <v>#VALUE!</v>
      </c>
    </row>
    <row r="500" spans="1:25" ht="18" customHeight="1">
      <c r="R500" s="4451"/>
      <c r="S500" s="4452"/>
      <c r="T500" s="4452"/>
      <c r="U500" s="3152"/>
      <c r="V500" s="1834"/>
      <c r="W500" s="1834"/>
      <c r="X500" s="1834"/>
      <c r="Y500" s="1834"/>
    </row>
    <row r="501" spans="1:25" ht="18" customHeight="1">
      <c r="R501" s="4448" t="s">
        <v>858</v>
      </c>
      <c r="S501" s="4449"/>
      <c r="T501" s="4449"/>
      <c r="U501" s="3153" t="e">
        <v>#VALUE!</v>
      </c>
      <c r="V501" s="1834"/>
      <c r="W501" s="1834"/>
      <c r="X501" s="1834"/>
      <c r="Y501" s="1834"/>
    </row>
    <row r="502" spans="1:25" ht="18" customHeight="1">
      <c r="R502" s="3154" t="s">
        <v>859</v>
      </c>
      <c r="S502" s="3155" t="s">
        <v>525</v>
      </c>
      <c r="T502" s="3156" t="s">
        <v>48</v>
      </c>
      <c r="U502" s="3157" t="e">
        <v>#VALUE!</v>
      </c>
      <c r="V502" s="1834"/>
      <c r="W502" s="1834"/>
      <c r="X502" s="1834"/>
      <c r="Y502" s="1834"/>
    </row>
    <row r="503" spans="1:25" ht="18" customHeight="1">
      <c r="A503" s="216"/>
      <c r="B503" s="216"/>
      <c r="C503" s="216"/>
      <c r="D503" s="216"/>
      <c r="E503" s="216"/>
      <c r="F503" s="216"/>
      <c r="G503" s="216"/>
      <c r="H503" s="216"/>
      <c r="I503" s="216"/>
      <c r="J503" s="216"/>
      <c r="K503" s="216"/>
      <c r="L503" s="216"/>
      <c r="M503" s="216"/>
      <c r="N503" s="216"/>
      <c r="O503" s="216"/>
      <c r="P503" s="216"/>
      <c r="Q503" s="216"/>
      <c r="R503" s="216"/>
    </row>
    <row r="504" spans="1:25" ht="18" customHeight="1">
      <c r="A504" s="2494"/>
      <c r="B504" s="2494"/>
      <c r="C504" s="2494"/>
      <c r="D504" s="2494"/>
      <c r="E504" s="2494"/>
      <c r="F504" s="2494"/>
      <c r="G504" s="2494"/>
      <c r="H504" s="2494"/>
      <c r="I504" s="2494"/>
      <c r="J504" s="2494"/>
      <c r="K504" s="2494"/>
      <c r="L504" s="2494"/>
      <c r="M504" s="2494"/>
      <c r="N504" s="2494"/>
      <c r="O504" s="2494"/>
      <c r="P504" s="2494"/>
      <c r="Q504" s="2494"/>
      <c r="R504" s="2494"/>
    </row>
    <row r="505" spans="1:25" ht="33" customHeight="1">
      <c r="A505" s="1242" t="s">
        <v>1259</v>
      </c>
      <c r="D505" s="2557">
        <v>14</v>
      </c>
      <c r="E505" s="4418" t="s">
        <v>1254</v>
      </c>
      <c r="F505" s="4419"/>
      <c r="G505" s="1324"/>
      <c r="M505" s="4231" t="s">
        <v>846</v>
      </c>
      <c r="N505" s="4231"/>
      <c r="O505" s="4231"/>
      <c r="P505" s="4231"/>
    </row>
    <row r="506" spans="1:25" ht="18" customHeight="1">
      <c r="A506" s="4420" t="s">
        <v>346</v>
      </c>
      <c r="B506" s="4421"/>
      <c r="C506" s="4421"/>
      <c r="D506" s="4421"/>
      <c r="E506" s="4455"/>
      <c r="F506" s="4456"/>
      <c r="G506" s="485" t="s">
        <v>348</v>
      </c>
      <c r="I506" s="1308">
        <v>6.8063333333333338</v>
      </c>
      <c r="J506" s="1309" t="s">
        <v>812</v>
      </c>
      <c r="K506" s="1310"/>
      <c r="L506" s="619"/>
      <c r="M506" s="3444" t="s">
        <v>845</v>
      </c>
      <c r="N506" s="3444"/>
      <c r="O506" s="3444"/>
      <c r="P506" s="3444"/>
    </row>
    <row r="507" spans="1:25" ht="18" customHeight="1">
      <c r="A507" s="4422"/>
      <c r="B507" s="4423"/>
      <c r="C507" s="4423"/>
      <c r="D507" s="4423"/>
      <c r="E507" s="475">
        <v>6.8063333333333338</v>
      </c>
      <c r="F507" s="456" t="s">
        <v>330</v>
      </c>
      <c r="G507" s="457" t="e">
        <v>#VALUE!</v>
      </c>
      <c r="I507" s="1311"/>
      <c r="J507" s="3788" t="s">
        <v>847</v>
      </c>
      <c r="K507" s="3787"/>
      <c r="M507" s="3444"/>
      <c r="N507" s="3444"/>
      <c r="O507" s="3444"/>
      <c r="P507" s="3444"/>
    </row>
    <row r="508" spans="1:25" ht="15" customHeight="1">
      <c r="A508" s="188" t="s">
        <v>349</v>
      </c>
      <c r="B508" s="14"/>
      <c r="C508" s="14"/>
      <c r="D508" s="14"/>
      <c r="E508" s="14"/>
      <c r="F508" s="417"/>
      <c r="G508" s="458"/>
      <c r="H508" s="216"/>
      <c r="I508" s="428"/>
      <c r="J508" s="3788"/>
      <c r="K508" s="3787"/>
      <c r="M508" s="4450"/>
      <c r="N508" s="4450"/>
      <c r="O508" s="4450"/>
      <c r="P508" s="4450"/>
    </row>
    <row r="509" spans="1:25" ht="15" customHeight="1">
      <c r="A509" s="459"/>
      <c r="B509" s="460" t="s">
        <v>350</v>
      </c>
      <c r="C509" s="460"/>
      <c r="D509" s="1679" t="s">
        <v>1005</v>
      </c>
      <c r="E509" s="461">
        <v>0</v>
      </c>
      <c r="F509" s="462" t="s">
        <v>351</v>
      </c>
      <c r="G509" s="458"/>
      <c r="I509" s="1311"/>
      <c r="J509" s="3788" t="s">
        <v>848</v>
      </c>
      <c r="K509" s="3787"/>
      <c r="M509" s="655" t="s">
        <v>362</v>
      </c>
      <c r="N509" s="656"/>
      <c r="O509" s="656" t="s">
        <v>478</v>
      </c>
      <c r="P509" s="569"/>
    </row>
    <row r="510" spans="1:25" ht="15" customHeight="1">
      <c r="A510" s="463" t="s">
        <v>220</v>
      </c>
      <c r="B510" s="595" t="s">
        <v>353</v>
      </c>
      <c r="C510" s="464">
        <v>0.55254649655756016</v>
      </c>
      <c r="D510" s="1680">
        <v>0.7</v>
      </c>
      <c r="E510" s="465">
        <v>0</v>
      </c>
      <c r="F510" s="466" t="s">
        <v>330</v>
      </c>
      <c r="G510" s="457" t="e">
        <v>#VALUE!</v>
      </c>
      <c r="I510" s="428"/>
      <c r="J510" s="3788"/>
      <c r="K510" s="3787"/>
      <c r="M510" s="173" t="s">
        <v>476</v>
      </c>
      <c r="N510" s="57" t="s">
        <v>481</v>
      </c>
      <c r="O510" s="36" t="s">
        <v>477</v>
      </c>
      <c r="P510" s="659" t="s">
        <v>330</v>
      </c>
    </row>
    <row r="511" spans="1:25" ht="15">
      <c r="A511" s="467" t="s">
        <v>354</v>
      </c>
      <c r="B511" s="468"/>
      <c r="C511" s="468"/>
      <c r="D511" s="468"/>
      <c r="E511" s="469">
        <v>6.8063333333333338</v>
      </c>
      <c r="F511" s="470" t="s">
        <v>330</v>
      </c>
      <c r="G511" s="458"/>
      <c r="I511" s="1312">
        <v>6.8063333333333338</v>
      </c>
      <c r="J511" s="534" t="s">
        <v>849</v>
      </c>
      <c r="K511" s="618"/>
      <c r="M511" s="654">
        <v>90</v>
      </c>
      <c r="N511" s="509">
        <v>8.9</v>
      </c>
      <c r="O511" s="508">
        <v>60</v>
      </c>
      <c r="P511" s="570">
        <v>5.9333333333333336</v>
      </c>
    </row>
    <row r="512" spans="1:25" ht="15" customHeight="1">
      <c r="A512" s="187" t="s">
        <v>355</v>
      </c>
      <c r="B512" s="2"/>
      <c r="C512" s="2"/>
      <c r="D512" s="2"/>
      <c r="E512" s="2"/>
      <c r="F512" s="417"/>
      <c r="G512" s="458"/>
      <c r="M512" s="658" t="s">
        <v>363</v>
      </c>
      <c r="N512" s="657"/>
      <c r="O512" s="656" t="s">
        <v>478</v>
      </c>
      <c r="P512" s="572"/>
    </row>
    <row r="513" spans="1:16" ht="15">
      <c r="A513" s="187"/>
      <c r="B513" s="460" t="s">
        <v>350</v>
      </c>
      <c r="C513" s="460"/>
      <c r="D513" s="1679" t="s">
        <v>1005</v>
      </c>
      <c r="E513" s="14">
        <v>0</v>
      </c>
      <c r="F513" s="462" t="s">
        <v>351</v>
      </c>
      <c r="G513" s="458"/>
      <c r="I513" s="1313"/>
      <c r="J513" s="1314" t="s">
        <v>352</v>
      </c>
      <c r="K513" s="616"/>
      <c r="M513" s="173" t="s">
        <v>476</v>
      </c>
      <c r="N513" s="657" t="s">
        <v>482</v>
      </c>
      <c r="O513" s="36" t="s">
        <v>477</v>
      </c>
      <c r="P513" s="617"/>
    </row>
    <row r="514" spans="1:16" ht="15" customHeight="1">
      <c r="A514" s="463" t="s">
        <v>220</v>
      </c>
      <c r="B514" s="476" t="s">
        <v>356</v>
      </c>
      <c r="C514" s="464">
        <v>0.33</v>
      </c>
      <c r="D514" s="1680">
        <v>0.7</v>
      </c>
      <c r="E514" s="465">
        <v>0</v>
      </c>
      <c r="F514" s="466" t="s">
        <v>330</v>
      </c>
      <c r="G514" s="457" t="e">
        <v>#VALUE!</v>
      </c>
      <c r="I514" s="428"/>
      <c r="J514" s="3788" t="s">
        <v>1151</v>
      </c>
      <c r="K514" s="3787"/>
      <c r="M514" s="654">
        <v>1000</v>
      </c>
      <c r="N514" s="509">
        <v>9.6999999999999993</v>
      </c>
      <c r="O514" s="508">
        <v>90</v>
      </c>
      <c r="P514" s="570">
        <v>0.87299999999999989</v>
      </c>
    </row>
    <row r="515" spans="1:16" ht="15">
      <c r="A515" s="467" t="s">
        <v>357</v>
      </c>
      <c r="B515" s="471"/>
      <c r="C515" s="471"/>
      <c r="D515" s="471"/>
      <c r="E515" s="3109">
        <v>6.8063333333333338</v>
      </c>
      <c r="F515" s="3119" t="s">
        <v>525</v>
      </c>
      <c r="G515" s="457" t="e">
        <v>#VALUE!</v>
      </c>
      <c r="I515" s="428"/>
      <c r="J515" s="3788"/>
      <c r="K515" s="3787"/>
      <c r="M515" s="571"/>
      <c r="N515" s="497"/>
      <c r="O515" s="497"/>
      <c r="P515" s="573">
        <v>6.8063333333333338</v>
      </c>
    </row>
    <row r="516" spans="1:16" ht="15">
      <c r="A516" s="472" t="s">
        <v>358</v>
      </c>
      <c r="B516" s="151"/>
      <c r="C516" s="473" t="s">
        <v>525</v>
      </c>
      <c r="D516" s="3110" t="s">
        <v>525</v>
      </c>
      <c r="E516" s="474" t="s">
        <v>525</v>
      </c>
      <c r="F516" s="3120" t="s">
        <v>525</v>
      </c>
      <c r="G516" s="457" t="e">
        <v>#VALUE!</v>
      </c>
      <c r="I516" s="42"/>
      <c r="J516" s="4438"/>
      <c r="K516" s="4439"/>
      <c r="M516" s="574"/>
      <c r="N516" s="497" t="s">
        <v>479</v>
      </c>
      <c r="O516" s="497"/>
      <c r="P516" s="570">
        <v>0</v>
      </c>
    </row>
    <row r="517" spans="1:16" ht="15">
      <c r="A517" s="467" t="s">
        <v>360</v>
      </c>
      <c r="B517" s="471"/>
      <c r="C517" s="471"/>
      <c r="D517" s="471"/>
      <c r="E517" s="469" t="s">
        <v>525</v>
      </c>
      <c r="F517" s="3119" t="s">
        <v>525</v>
      </c>
      <c r="G517" s="457" t="e">
        <v>#VALUE!</v>
      </c>
      <c r="M517" s="571"/>
      <c r="N517" s="497"/>
      <c r="O517" s="497"/>
      <c r="P517" s="573">
        <v>6.8063333333333338</v>
      </c>
    </row>
    <row r="518" spans="1:16" ht="15">
      <c r="A518" s="472" t="s">
        <v>257</v>
      </c>
      <c r="B518" s="364">
        <v>0.19</v>
      </c>
      <c r="C518" s="19"/>
      <c r="D518" s="19"/>
      <c r="E518" s="474" t="s">
        <v>525</v>
      </c>
      <c r="F518" s="3120" t="s">
        <v>525</v>
      </c>
      <c r="G518" s="457">
        <v>0.19</v>
      </c>
      <c r="I518" s="3117" t="s">
        <v>525</v>
      </c>
      <c r="J518" s="4442" t="s">
        <v>1458</v>
      </c>
      <c r="K518" s="4442"/>
      <c r="L518" s="142"/>
      <c r="M518" s="574"/>
      <c r="N518" s="497" t="s">
        <v>480</v>
      </c>
      <c r="O518" s="497"/>
      <c r="P518" s="570">
        <v>0</v>
      </c>
    </row>
    <row r="519" spans="1:16" ht="15">
      <c r="A519" s="3144" t="s">
        <v>1389</v>
      </c>
      <c r="B519" s="1240"/>
      <c r="C519" s="1240"/>
      <c r="D519" s="1240"/>
      <c r="E519" s="1241" t="s">
        <v>525</v>
      </c>
      <c r="F519" s="3121" t="s">
        <v>525</v>
      </c>
      <c r="G519" s="457" t="e">
        <v>#VALUE!</v>
      </c>
      <c r="J519" s="3444" t="s">
        <v>850</v>
      </c>
      <c r="K519" s="3444"/>
      <c r="M519" s="575"/>
      <c r="N519" s="576"/>
      <c r="O519" s="660" t="s">
        <v>330</v>
      </c>
      <c r="P519" s="577">
        <v>6.8063333333333338</v>
      </c>
    </row>
    <row r="520" spans="1:16" ht="15" customHeight="1" thickBot="1">
      <c r="A520" s="1243"/>
      <c r="B520" s="3114" t="s">
        <v>351</v>
      </c>
      <c r="C520" s="3115">
        <v>0</v>
      </c>
      <c r="D520" s="3116" t="s">
        <v>525</v>
      </c>
      <c r="E520" s="3145" t="s">
        <v>525</v>
      </c>
      <c r="F520" s="3122" t="s">
        <v>525</v>
      </c>
      <c r="G520" s="3111" t="s">
        <v>525</v>
      </c>
      <c r="I520" s="680"/>
      <c r="J520" s="3444"/>
      <c r="K520" s="3444"/>
      <c r="L520" s="615">
        <v>0.10960791757966955</v>
      </c>
      <c r="M520" s="615" t="s">
        <v>525</v>
      </c>
    </row>
    <row r="521" spans="1:16" ht="16.2" thickBot="1">
      <c r="C521" s="3113"/>
      <c r="D521" s="3113" t="s">
        <v>525</v>
      </c>
      <c r="E521" s="3125" t="s">
        <v>525</v>
      </c>
      <c r="F521" s="2456"/>
      <c r="J521" s="3444"/>
      <c r="K521" s="3444"/>
      <c r="L521" s="615" t="s">
        <v>525</v>
      </c>
      <c r="M521" s="615"/>
    </row>
    <row r="522" spans="1:16" ht="17.25" customHeight="1">
      <c r="A522" s="4426" t="s">
        <v>1391</v>
      </c>
      <c r="B522" s="4427"/>
      <c r="C522" s="4430" t="s">
        <v>1390</v>
      </c>
      <c r="D522" s="4430"/>
      <c r="E522" s="4430"/>
      <c r="F522" s="4430" t="s">
        <v>1386</v>
      </c>
      <c r="G522" s="4434"/>
      <c r="I522" s="3373" t="s">
        <v>1382</v>
      </c>
      <c r="J522" s="3374"/>
      <c r="K522" s="3374"/>
      <c r="L522" s="3374"/>
      <c r="M522" s="4447"/>
    </row>
    <row r="523" spans="1:16" s="142" customFormat="1" ht="17.25" customHeight="1">
      <c r="A523" s="4428"/>
      <c r="B523" s="4429"/>
      <c r="C523" s="4431"/>
      <c r="D523" s="4431"/>
      <c r="E523" s="4431"/>
      <c r="F523" s="4431"/>
      <c r="G523" s="4432"/>
      <c r="I523" s="428"/>
      <c r="J523" s="34"/>
      <c r="K523" s="365" t="s">
        <v>1006</v>
      </c>
      <c r="L523" s="34"/>
      <c r="M523" s="617" t="s">
        <v>1007</v>
      </c>
    </row>
    <row r="524" spans="1:16" ht="18" customHeight="1">
      <c r="A524" s="2508"/>
      <c r="B524" s="3127"/>
      <c r="C524" s="3108"/>
      <c r="D524" s="3146" t="s">
        <v>525</v>
      </c>
      <c r="F524" s="3126" t="s">
        <v>525</v>
      </c>
      <c r="G524" s="610"/>
      <c r="I524" s="428" t="s">
        <v>1005</v>
      </c>
      <c r="J524" s="364">
        <v>0.7</v>
      </c>
      <c r="K524" s="1677">
        <v>0.55254649655756016</v>
      </c>
      <c r="L524" s="76" t="s">
        <v>330</v>
      </c>
      <c r="M524" s="1695">
        <v>0.33</v>
      </c>
    </row>
    <row r="525" spans="1:16" ht="18" customHeight="1">
      <c r="A525" s="2508"/>
      <c r="B525" s="1165"/>
      <c r="C525" s="3403"/>
      <c r="D525" s="1165"/>
      <c r="E525" s="1165"/>
      <c r="F525" s="1165"/>
      <c r="G525" s="610"/>
      <c r="I525" s="1320" t="s">
        <v>874</v>
      </c>
      <c r="J525" s="1678"/>
      <c r="K525" s="1677" t="s">
        <v>525</v>
      </c>
      <c r="L525" s="197" t="s">
        <v>330</v>
      </c>
      <c r="M525" s="1695" t="s">
        <v>525</v>
      </c>
    </row>
    <row r="526" spans="1:16" ht="18" customHeight="1">
      <c r="A526" s="2508"/>
      <c r="B526" s="4435" t="s">
        <v>1460</v>
      </c>
      <c r="C526" s="3403"/>
      <c r="D526" s="4433" t="s">
        <v>1392</v>
      </c>
      <c r="E526" s="4433"/>
      <c r="F526" s="4435" t="s">
        <v>1387</v>
      </c>
      <c r="G526" s="4457"/>
    </row>
    <row r="527" spans="1:16" ht="18" customHeight="1">
      <c r="A527" s="3231"/>
      <c r="B527" s="4435"/>
      <c r="C527" s="1165"/>
      <c r="D527" s="4433"/>
      <c r="E527" s="4433"/>
      <c r="F527" s="4435"/>
      <c r="G527" s="4457"/>
      <c r="I527" s="3941" t="s">
        <v>525</v>
      </c>
      <c r="J527" s="3941"/>
      <c r="K527" s="3941"/>
      <c r="L527" s="3941"/>
      <c r="M527" s="3941"/>
      <c r="N527" s="615" t="s">
        <v>1383</v>
      </c>
    </row>
    <row r="528" spans="1:16" ht="14.55" customHeight="1">
      <c r="A528" s="2508"/>
      <c r="B528" s="3127"/>
      <c r="D528" s="3125" t="s">
        <v>525</v>
      </c>
      <c r="F528" s="3124">
        <v>0</v>
      </c>
      <c r="G528" s="3224" t="s">
        <v>525</v>
      </c>
      <c r="I528" s="3941"/>
      <c r="J528" s="3941"/>
      <c r="K528" s="3941"/>
      <c r="L528" s="3941"/>
      <c r="M528" s="3941"/>
      <c r="N528" s="615"/>
    </row>
    <row r="529" spans="1:25" ht="18" customHeight="1">
      <c r="A529" s="2508"/>
      <c r="G529" s="610"/>
      <c r="I529" s="3941"/>
      <c r="J529" s="3941"/>
      <c r="K529" s="3941"/>
      <c r="L529" s="3941"/>
      <c r="M529" s="3941"/>
      <c r="N529" s="615" t="s">
        <v>1384</v>
      </c>
      <c r="P529" s="34" t="s">
        <v>471</v>
      </c>
      <c r="Q529" s="34" t="s">
        <v>35</v>
      </c>
      <c r="R529" s="34" t="s">
        <v>342</v>
      </c>
      <c r="S529" s="34" t="s">
        <v>472</v>
      </c>
      <c r="T529" s="34" t="s">
        <v>473</v>
      </c>
    </row>
    <row r="530" spans="1:25" ht="18" customHeight="1">
      <c r="A530" s="2508"/>
      <c r="C530" s="3143" t="s">
        <v>1388</v>
      </c>
      <c r="D530" s="3129"/>
      <c r="E530" s="3129"/>
      <c r="F530" s="3129"/>
      <c r="G530" s="3225"/>
      <c r="I530" s="3941"/>
      <c r="J530" s="3941"/>
      <c r="K530" s="3941"/>
      <c r="L530" s="3941"/>
      <c r="M530" s="3941"/>
      <c r="P530" s="1698">
        <v>6.8063333333333338</v>
      </c>
      <c r="Q530" s="1698">
        <v>0</v>
      </c>
      <c r="R530" s="1698">
        <v>0</v>
      </c>
      <c r="S530" s="1698" t="s">
        <v>525</v>
      </c>
      <c r="T530" s="1698" t="s">
        <v>525</v>
      </c>
    </row>
    <row r="531" spans="1:25" ht="18" customHeight="1">
      <c r="A531" s="2508"/>
      <c r="C531" s="3131"/>
      <c r="D531" s="4425" t="s">
        <v>1385</v>
      </c>
      <c r="E531" s="4425"/>
      <c r="F531" s="3132">
        <v>0</v>
      </c>
      <c r="G531" s="3226"/>
      <c r="I531" s="3941"/>
      <c r="J531" s="3941"/>
      <c r="K531" s="3941"/>
      <c r="L531" s="3941"/>
      <c r="M531" s="3941"/>
    </row>
    <row r="532" spans="1:25" ht="18" customHeight="1">
      <c r="A532" s="2508"/>
      <c r="C532" s="3131"/>
      <c r="D532" s="3134" t="s">
        <v>1461</v>
      </c>
      <c r="E532" s="3135" t="s">
        <v>525</v>
      </c>
      <c r="F532" s="3136" t="s">
        <v>1462</v>
      </c>
      <c r="G532" s="3226"/>
      <c r="I532" s="4424" t="s">
        <v>525</v>
      </c>
      <c r="J532" s="4424"/>
      <c r="K532" s="4424"/>
      <c r="L532" s="4424"/>
      <c r="M532" s="4424"/>
      <c r="N532" s="3118" t="s">
        <v>525</v>
      </c>
    </row>
    <row r="533" spans="1:25" ht="18" customHeight="1">
      <c r="A533" s="2508"/>
      <c r="C533" s="3131"/>
      <c r="D533" s="3136" t="s">
        <v>1463</v>
      </c>
      <c r="E533" s="3137"/>
      <c r="F533" s="3138"/>
      <c r="G533" s="3226"/>
    </row>
    <row r="534" spans="1:25" ht="18" customHeight="1" thickBot="1">
      <c r="A534" s="2509"/>
      <c r="B534" s="774"/>
      <c r="C534" s="3227"/>
      <c r="D534" s="3228"/>
      <c r="E534" s="3229"/>
      <c r="F534" s="3229"/>
      <c r="G534" s="3230"/>
      <c r="R534" s="3147" t="s">
        <v>851</v>
      </c>
      <c r="S534" s="775"/>
      <c r="T534" s="3148"/>
      <c r="U534" s="3149"/>
    </row>
    <row r="535" spans="1:25" ht="18" customHeight="1">
      <c r="R535" s="4451" t="s">
        <v>860</v>
      </c>
      <c r="S535" s="4452"/>
      <c r="T535" s="4452"/>
      <c r="U535" s="3150">
        <v>1</v>
      </c>
    </row>
    <row r="536" spans="1:25" ht="18" customHeight="1">
      <c r="R536" s="4453" t="s">
        <v>856</v>
      </c>
      <c r="S536" s="4454"/>
      <c r="T536" s="4454"/>
      <c r="U536" s="3151" t="s">
        <v>525</v>
      </c>
    </row>
    <row r="537" spans="1:25" ht="18" customHeight="1">
      <c r="R537" s="4451" t="s">
        <v>857</v>
      </c>
      <c r="S537" s="4452"/>
      <c r="T537" s="4452"/>
      <c r="U537" s="3151" t="e">
        <v>#VALUE!</v>
      </c>
    </row>
    <row r="538" spans="1:25" ht="18" customHeight="1">
      <c r="R538" s="4451"/>
      <c r="S538" s="4452"/>
      <c r="T538" s="4452"/>
      <c r="U538" s="3152"/>
      <c r="V538" s="1834"/>
      <c r="W538" s="1834"/>
      <c r="X538" s="1834"/>
      <c r="Y538" s="1834"/>
    </row>
    <row r="539" spans="1:25" ht="18" customHeight="1">
      <c r="R539" s="4448" t="s">
        <v>858</v>
      </c>
      <c r="S539" s="4449"/>
      <c r="T539" s="4449"/>
      <c r="U539" s="3153" t="e">
        <v>#VALUE!</v>
      </c>
      <c r="V539" s="1834"/>
      <c r="W539" s="1834"/>
      <c r="X539" s="1834"/>
      <c r="Y539" s="1834"/>
    </row>
    <row r="540" spans="1:25" ht="18" customHeight="1">
      <c r="R540" s="3154" t="s">
        <v>859</v>
      </c>
      <c r="S540" s="3155" t="s">
        <v>525</v>
      </c>
      <c r="T540" s="3156" t="s">
        <v>48</v>
      </c>
      <c r="U540" s="3157" t="e">
        <v>#VALUE!</v>
      </c>
      <c r="V540" s="1834"/>
      <c r="W540" s="1834"/>
      <c r="X540" s="1834"/>
      <c r="Y540" s="1834"/>
    </row>
    <row r="542" spans="1:25" ht="18" customHeight="1">
      <c r="A542" s="2494"/>
      <c r="B542" s="2494"/>
      <c r="C542" s="2494"/>
      <c r="D542" s="2494"/>
      <c r="E542" s="2494"/>
      <c r="F542" s="2494"/>
      <c r="G542" s="2494"/>
      <c r="H542" s="2494"/>
      <c r="I542" s="2494"/>
      <c r="J542" s="2494"/>
      <c r="K542" s="2494"/>
      <c r="L542" s="2494"/>
      <c r="M542" s="2494"/>
      <c r="N542" s="2494"/>
      <c r="O542" s="2494"/>
      <c r="P542" s="2494"/>
      <c r="Q542" s="2494"/>
      <c r="R542" s="2494"/>
    </row>
    <row r="543" spans="1:25" ht="33" customHeight="1">
      <c r="A543" s="1242" t="s">
        <v>1259</v>
      </c>
      <c r="D543" s="2557">
        <v>15</v>
      </c>
      <c r="E543" s="4418" t="s">
        <v>1254</v>
      </c>
      <c r="F543" s="4419"/>
      <c r="G543" s="1324"/>
      <c r="M543" s="4231" t="s">
        <v>846</v>
      </c>
      <c r="N543" s="4231"/>
      <c r="O543" s="4231"/>
      <c r="P543" s="4231"/>
    </row>
    <row r="544" spans="1:25" ht="18" customHeight="1">
      <c r="A544" s="4420" t="s">
        <v>346</v>
      </c>
      <c r="B544" s="4421"/>
      <c r="C544" s="4421"/>
      <c r="D544" s="4421"/>
      <c r="E544" s="4455"/>
      <c r="F544" s="4456"/>
      <c r="G544" s="485" t="s">
        <v>348</v>
      </c>
      <c r="I544" s="1308">
        <v>6.8063333333333338</v>
      </c>
      <c r="J544" s="1309" t="s">
        <v>812</v>
      </c>
      <c r="K544" s="1310"/>
      <c r="L544" s="619"/>
      <c r="M544" s="3444" t="s">
        <v>845</v>
      </c>
      <c r="N544" s="3444"/>
      <c r="O544" s="3444"/>
      <c r="P544" s="3444"/>
    </row>
    <row r="545" spans="1:16" ht="18" customHeight="1">
      <c r="A545" s="4422"/>
      <c r="B545" s="4423"/>
      <c r="C545" s="4423"/>
      <c r="D545" s="4423"/>
      <c r="E545" s="475">
        <v>6.8063333333333338</v>
      </c>
      <c r="F545" s="456" t="s">
        <v>330</v>
      </c>
      <c r="G545" s="457" t="e">
        <v>#VALUE!</v>
      </c>
      <c r="I545" s="1311"/>
      <c r="J545" s="3788" t="s">
        <v>847</v>
      </c>
      <c r="K545" s="3787"/>
      <c r="M545" s="3444"/>
      <c r="N545" s="3444"/>
      <c r="O545" s="3444"/>
      <c r="P545" s="3444"/>
    </row>
    <row r="546" spans="1:16" ht="15" customHeight="1">
      <c r="A546" s="188" t="s">
        <v>349</v>
      </c>
      <c r="B546" s="14"/>
      <c r="C546" s="14"/>
      <c r="D546" s="14"/>
      <c r="E546" s="14"/>
      <c r="F546" s="417"/>
      <c r="G546" s="458"/>
      <c r="H546" s="216"/>
      <c r="I546" s="428"/>
      <c r="J546" s="3788"/>
      <c r="K546" s="3787"/>
      <c r="M546" s="4450"/>
      <c r="N546" s="4450"/>
      <c r="O546" s="4450"/>
      <c r="P546" s="4450"/>
    </row>
    <row r="547" spans="1:16" ht="15" customHeight="1">
      <c r="A547" s="459"/>
      <c r="B547" s="460" t="s">
        <v>350</v>
      </c>
      <c r="C547" s="460"/>
      <c r="D547" s="1679" t="s">
        <v>1005</v>
      </c>
      <c r="E547" s="461">
        <v>0</v>
      </c>
      <c r="F547" s="462" t="s">
        <v>351</v>
      </c>
      <c r="G547" s="458"/>
      <c r="I547" s="1311"/>
      <c r="J547" s="3788" t="s">
        <v>848</v>
      </c>
      <c r="K547" s="3787"/>
      <c r="M547" s="655" t="s">
        <v>362</v>
      </c>
      <c r="N547" s="656"/>
      <c r="O547" s="656" t="s">
        <v>478</v>
      </c>
      <c r="P547" s="569"/>
    </row>
    <row r="548" spans="1:16" ht="15" customHeight="1">
      <c r="A548" s="463" t="s">
        <v>220</v>
      </c>
      <c r="B548" s="595" t="s">
        <v>353</v>
      </c>
      <c r="C548" s="464">
        <v>0.55254649655756016</v>
      </c>
      <c r="D548" s="1680">
        <v>0.7</v>
      </c>
      <c r="E548" s="465">
        <v>0</v>
      </c>
      <c r="F548" s="466" t="s">
        <v>330</v>
      </c>
      <c r="G548" s="457" t="e">
        <v>#VALUE!</v>
      </c>
      <c r="I548" s="428"/>
      <c r="J548" s="3788"/>
      <c r="K548" s="3787"/>
      <c r="M548" s="173" t="s">
        <v>476</v>
      </c>
      <c r="N548" s="57" t="s">
        <v>481</v>
      </c>
      <c r="O548" s="36" t="s">
        <v>477</v>
      </c>
      <c r="P548" s="659" t="s">
        <v>330</v>
      </c>
    </row>
    <row r="549" spans="1:16" ht="15">
      <c r="A549" s="467" t="s">
        <v>354</v>
      </c>
      <c r="B549" s="468"/>
      <c r="C549" s="468"/>
      <c r="D549" s="468"/>
      <c r="E549" s="469">
        <v>6.8063333333333338</v>
      </c>
      <c r="F549" s="470" t="s">
        <v>330</v>
      </c>
      <c r="G549" s="458"/>
      <c r="I549" s="1312">
        <v>6.8063333333333338</v>
      </c>
      <c r="J549" s="534" t="s">
        <v>849</v>
      </c>
      <c r="K549" s="618"/>
      <c r="M549" s="654">
        <v>90</v>
      </c>
      <c r="N549" s="509">
        <v>8.9</v>
      </c>
      <c r="O549" s="508">
        <v>60</v>
      </c>
      <c r="P549" s="570">
        <v>5.9333333333333336</v>
      </c>
    </row>
    <row r="550" spans="1:16" ht="15" customHeight="1">
      <c r="A550" s="187" t="s">
        <v>355</v>
      </c>
      <c r="B550" s="2"/>
      <c r="C550" s="2"/>
      <c r="D550" s="2"/>
      <c r="E550" s="2"/>
      <c r="F550" s="417"/>
      <c r="G550" s="458"/>
      <c r="M550" s="658" t="s">
        <v>363</v>
      </c>
      <c r="N550" s="657"/>
      <c r="O550" s="656" t="s">
        <v>478</v>
      </c>
      <c r="P550" s="572"/>
    </row>
    <row r="551" spans="1:16" ht="15">
      <c r="A551" s="187"/>
      <c r="B551" s="460" t="s">
        <v>350</v>
      </c>
      <c r="C551" s="460"/>
      <c r="D551" s="1679" t="s">
        <v>1005</v>
      </c>
      <c r="E551" s="14">
        <v>0</v>
      </c>
      <c r="F551" s="462" t="s">
        <v>351</v>
      </c>
      <c r="G551" s="458"/>
      <c r="I551" s="1313"/>
      <c r="J551" s="1314" t="s">
        <v>352</v>
      </c>
      <c r="K551" s="616"/>
      <c r="M551" s="173" t="s">
        <v>476</v>
      </c>
      <c r="N551" s="657" t="s">
        <v>482</v>
      </c>
      <c r="O551" s="36" t="s">
        <v>477</v>
      </c>
      <c r="P551" s="617"/>
    </row>
    <row r="552" spans="1:16" ht="15" customHeight="1">
      <c r="A552" s="463" t="s">
        <v>220</v>
      </c>
      <c r="B552" s="476" t="s">
        <v>356</v>
      </c>
      <c r="C552" s="464">
        <v>0.33</v>
      </c>
      <c r="D552" s="1680">
        <v>0.7</v>
      </c>
      <c r="E552" s="465">
        <v>0</v>
      </c>
      <c r="F552" s="466" t="s">
        <v>330</v>
      </c>
      <c r="G552" s="457" t="e">
        <v>#VALUE!</v>
      </c>
      <c r="I552" s="428"/>
      <c r="J552" s="3788" t="s">
        <v>1151</v>
      </c>
      <c r="K552" s="3787"/>
      <c r="M552" s="654">
        <v>1000</v>
      </c>
      <c r="N552" s="509">
        <v>9.6999999999999993</v>
      </c>
      <c r="O552" s="508">
        <v>90</v>
      </c>
      <c r="P552" s="570">
        <v>0.87299999999999989</v>
      </c>
    </row>
    <row r="553" spans="1:16" ht="15">
      <c r="A553" s="467" t="s">
        <v>357</v>
      </c>
      <c r="B553" s="471"/>
      <c r="C553" s="471"/>
      <c r="D553" s="471"/>
      <c r="E553" s="3109">
        <v>6.8063333333333338</v>
      </c>
      <c r="F553" s="3119" t="s">
        <v>525</v>
      </c>
      <c r="G553" s="457" t="e">
        <v>#VALUE!</v>
      </c>
      <c r="I553" s="428"/>
      <c r="J553" s="3788"/>
      <c r="K553" s="3787"/>
      <c r="M553" s="571"/>
      <c r="N553" s="497"/>
      <c r="O553" s="497"/>
      <c r="P553" s="573">
        <v>6.8063333333333338</v>
      </c>
    </row>
    <row r="554" spans="1:16" ht="15">
      <c r="A554" s="472" t="s">
        <v>358</v>
      </c>
      <c r="B554" s="151"/>
      <c r="C554" s="473" t="s">
        <v>525</v>
      </c>
      <c r="D554" s="3110" t="s">
        <v>525</v>
      </c>
      <c r="E554" s="474" t="s">
        <v>525</v>
      </c>
      <c r="F554" s="3120" t="s">
        <v>525</v>
      </c>
      <c r="G554" s="457" t="e">
        <v>#VALUE!</v>
      </c>
      <c r="I554" s="42"/>
      <c r="J554" s="4438"/>
      <c r="K554" s="4439"/>
      <c r="M554" s="574"/>
      <c r="N554" s="497" t="s">
        <v>479</v>
      </c>
      <c r="O554" s="497"/>
      <c r="P554" s="570">
        <v>0</v>
      </c>
    </row>
    <row r="555" spans="1:16" ht="15">
      <c r="A555" s="467" t="s">
        <v>360</v>
      </c>
      <c r="B555" s="471"/>
      <c r="C555" s="471"/>
      <c r="D555" s="471"/>
      <c r="E555" s="469" t="s">
        <v>525</v>
      </c>
      <c r="F555" s="3119" t="s">
        <v>525</v>
      </c>
      <c r="G555" s="457" t="e">
        <v>#VALUE!</v>
      </c>
      <c r="M555" s="571"/>
      <c r="N555" s="497"/>
      <c r="O555" s="497"/>
      <c r="P555" s="573">
        <v>6.8063333333333338</v>
      </c>
    </row>
    <row r="556" spans="1:16" ht="15">
      <c r="A556" s="472" t="s">
        <v>257</v>
      </c>
      <c r="B556" s="364">
        <v>0.19</v>
      </c>
      <c r="C556" s="19"/>
      <c r="D556" s="19"/>
      <c r="E556" s="474" t="s">
        <v>525</v>
      </c>
      <c r="F556" s="3120" t="s">
        <v>525</v>
      </c>
      <c r="G556" s="457">
        <v>0.19</v>
      </c>
      <c r="I556" s="3117" t="s">
        <v>525</v>
      </c>
      <c r="J556" s="4442" t="s">
        <v>1458</v>
      </c>
      <c r="K556" s="4442"/>
      <c r="L556" s="142"/>
      <c r="M556" s="574"/>
      <c r="N556" s="497" t="s">
        <v>480</v>
      </c>
      <c r="O556" s="497"/>
      <c r="P556" s="570">
        <v>0</v>
      </c>
    </row>
    <row r="557" spans="1:16" ht="15">
      <c r="A557" s="3144" t="s">
        <v>1389</v>
      </c>
      <c r="B557" s="1240"/>
      <c r="C557" s="1240"/>
      <c r="D557" s="1240"/>
      <c r="E557" s="1241" t="s">
        <v>525</v>
      </c>
      <c r="F557" s="3121" t="s">
        <v>525</v>
      </c>
      <c r="G557" s="457" t="e">
        <v>#VALUE!</v>
      </c>
      <c r="J557" s="3444" t="s">
        <v>850</v>
      </c>
      <c r="K557" s="3444"/>
      <c r="M557" s="575"/>
      <c r="N557" s="576"/>
      <c r="O557" s="660" t="s">
        <v>330</v>
      </c>
      <c r="P557" s="577">
        <v>6.8063333333333338</v>
      </c>
    </row>
    <row r="558" spans="1:16" ht="15" customHeight="1" thickBot="1">
      <c r="A558" s="1243"/>
      <c r="B558" s="3114" t="s">
        <v>351</v>
      </c>
      <c r="C558" s="3115">
        <v>0</v>
      </c>
      <c r="D558" s="3116" t="s">
        <v>525</v>
      </c>
      <c r="E558" s="3145" t="s">
        <v>525</v>
      </c>
      <c r="F558" s="3122" t="s">
        <v>525</v>
      </c>
      <c r="G558" s="3111" t="s">
        <v>525</v>
      </c>
      <c r="I558" s="680"/>
      <c r="J558" s="3444"/>
      <c r="K558" s="3444"/>
      <c r="L558" s="615">
        <v>0.10960791757966955</v>
      </c>
      <c r="M558" s="615" t="s">
        <v>525</v>
      </c>
    </row>
    <row r="559" spans="1:16" ht="16.2" thickBot="1">
      <c r="C559" s="3113"/>
      <c r="D559" s="3113" t="s">
        <v>525</v>
      </c>
      <c r="E559" s="3125" t="s">
        <v>525</v>
      </c>
      <c r="F559" s="2456"/>
      <c r="J559" s="3444"/>
      <c r="K559" s="3444"/>
      <c r="L559" s="615" t="s">
        <v>525</v>
      </c>
      <c r="M559" s="615"/>
    </row>
    <row r="560" spans="1:16" ht="17.25" customHeight="1">
      <c r="A560" s="4426" t="s">
        <v>1391</v>
      </c>
      <c r="B560" s="4427"/>
      <c r="C560" s="4430" t="s">
        <v>1390</v>
      </c>
      <c r="D560" s="4430"/>
      <c r="E560" s="4430"/>
      <c r="F560" s="4430" t="s">
        <v>1386</v>
      </c>
      <c r="G560" s="4434"/>
      <c r="I560" s="3373" t="s">
        <v>1382</v>
      </c>
      <c r="J560" s="3374"/>
      <c r="K560" s="3374"/>
      <c r="L560" s="3374"/>
      <c r="M560" s="4447"/>
    </row>
    <row r="561" spans="1:25" s="142" customFormat="1" ht="17.25" customHeight="1">
      <c r="A561" s="4428"/>
      <c r="B561" s="4429"/>
      <c r="C561" s="4431"/>
      <c r="D561" s="4431"/>
      <c r="E561" s="4431"/>
      <c r="F561" s="4431"/>
      <c r="G561" s="4432"/>
      <c r="I561" s="428"/>
      <c r="J561" s="34"/>
      <c r="K561" s="365" t="s">
        <v>1006</v>
      </c>
      <c r="L561" s="34"/>
      <c r="M561" s="617" t="s">
        <v>1007</v>
      </c>
    </row>
    <row r="562" spans="1:25" ht="18" customHeight="1">
      <c r="A562" s="2508"/>
      <c r="B562" s="3127"/>
      <c r="C562" s="3108"/>
      <c r="D562" s="3146" t="s">
        <v>525</v>
      </c>
      <c r="F562" s="3126" t="s">
        <v>525</v>
      </c>
      <c r="G562" s="610"/>
      <c r="I562" s="428" t="s">
        <v>1005</v>
      </c>
      <c r="J562" s="364">
        <v>0.7</v>
      </c>
      <c r="K562" s="1677">
        <v>0.55254649655756016</v>
      </c>
      <c r="L562" s="76" t="s">
        <v>330</v>
      </c>
      <c r="M562" s="1695">
        <v>0.33</v>
      </c>
    </row>
    <row r="563" spans="1:25" ht="18" customHeight="1">
      <c r="A563" s="2508"/>
      <c r="B563" s="1165"/>
      <c r="C563" s="3403"/>
      <c r="D563" s="1165"/>
      <c r="E563" s="1165"/>
      <c r="F563" s="1165"/>
      <c r="G563" s="610"/>
      <c r="I563" s="1320" t="s">
        <v>874</v>
      </c>
      <c r="J563" s="1678"/>
      <c r="K563" s="1677" t="s">
        <v>525</v>
      </c>
      <c r="L563" s="197" t="s">
        <v>330</v>
      </c>
      <c r="M563" s="1695" t="s">
        <v>525</v>
      </c>
    </row>
    <row r="564" spans="1:25" ht="18" customHeight="1">
      <c r="A564" s="2508"/>
      <c r="B564" s="4435" t="s">
        <v>1460</v>
      </c>
      <c r="C564" s="3403"/>
      <c r="D564" s="4433" t="s">
        <v>1392</v>
      </c>
      <c r="E564" s="4433"/>
      <c r="F564" s="4435" t="s">
        <v>1387</v>
      </c>
      <c r="G564" s="4457"/>
    </row>
    <row r="565" spans="1:25" ht="18" customHeight="1">
      <c r="A565" s="3231"/>
      <c r="B565" s="4435"/>
      <c r="C565" s="1165"/>
      <c r="D565" s="4433"/>
      <c r="E565" s="4433"/>
      <c r="F565" s="4435"/>
      <c r="G565" s="4457"/>
      <c r="I565" s="3941" t="s">
        <v>525</v>
      </c>
      <c r="J565" s="3941"/>
      <c r="K565" s="3941"/>
      <c r="L565" s="3941"/>
      <c r="M565" s="3941"/>
      <c r="N565" s="615" t="s">
        <v>1383</v>
      </c>
    </row>
    <row r="566" spans="1:25" ht="14.55" customHeight="1">
      <c r="A566" s="2508"/>
      <c r="B566" s="3127"/>
      <c r="D566" s="3125" t="s">
        <v>525</v>
      </c>
      <c r="F566" s="3124">
        <v>0</v>
      </c>
      <c r="G566" s="3224" t="s">
        <v>525</v>
      </c>
      <c r="I566" s="3941"/>
      <c r="J566" s="3941"/>
      <c r="K566" s="3941"/>
      <c r="L566" s="3941"/>
      <c r="M566" s="3941"/>
      <c r="N566" s="615"/>
    </row>
    <row r="567" spans="1:25" ht="18" customHeight="1">
      <c r="A567" s="2508"/>
      <c r="G567" s="610"/>
      <c r="I567" s="3941"/>
      <c r="J567" s="3941"/>
      <c r="K567" s="3941"/>
      <c r="L567" s="3941"/>
      <c r="M567" s="3941"/>
      <c r="N567" s="615" t="s">
        <v>1384</v>
      </c>
      <c r="P567" s="34" t="s">
        <v>471</v>
      </c>
      <c r="Q567" s="34" t="s">
        <v>35</v>
      </c>
      <c r="R567" s="34" t="s">
        <v>342</v>
      </c>
      <c r="S567" s="34" t="s">
        <v>472</v>
      </c>
      <c r="T567" s="34" t="s">
        <v>473</v>
      </c>
    </row>
    <row r="568" spans="1:25" ht="18" customHeight="1">
      <c r="A568" s="2508"/>
      <c r="C568" s="3143" t="s">
        <v>1388</v>
      </c>
      <c r="D568" s="3129"/>
      <c r="E568" s="3129"/>
      <c r="F568" s="3129"/>
      <c r="G568" s="3225"/>
      <c r="I568" s="3941"/>
      <c r="J568" s="3941"/>
      <c r="K568" s="3941"/>
      <c r="L568" s="3941"/>
      <c r="M568" s="3941"/>
      <c r="P568" s="1698">
        <v>6.8063333333333338</v>
      </c>
      <c r="Q568" s="1698">
        <v>0</v>
      </c>
      <c r="R568" s="1698">
        <v>0</v>
      </c>
      <c r="S568" s="1698" t="s">
        <v>525</v>
      </c>
      <c r="T568" s="1698" t="s">
        <v>525</v>
      </c>
    </row>
    <row r="569" spans="1:25" ht="18" customHeight="1">
      <c r="A569" s="2508"/>
      <c r="C569" s="3131"/>
      <c r="D569" s="4425" t="s">
        <v>1385</v>
      </c>
      <c r="E569" s="4425"/>
      <c r="F569" s="3132">
        <v>0</v>
      </c>
      <c r="G569" s="3226"/>
      <c r="I569" s="3941"/>
      <c r="J569" s="3941"/>
      <c r="K569" s="3941"/>
      <c r="L569" s="3941"/>
      <c r="M569" s="3941"/>
    </row>
    <row r="570" spans="1:25" ht="18" customHeight="1">
      <c r="A570" s="2508"/>
      <c r="C570" s="3131"/>
      <c r="D570" s="3134" t="s">
        <v>1461</v>
      </c>
      <c r="E570" s="3135" t="s">
        <v>525</v>
      </c>
      <c r="F570" s="3136" t="s">
        <v>1462</v>
      </c>
      <c r="G570" s="3226"/>
      <c r="I570" s="4424" t="s">
        <v>525</v>
      </c>
      <c r="J570" s="4424"/>
      <c r="K570" s="4424"/>
      <c r="L570" s="4424"/>
      <c r="M570" s="4424"/>
      <c r="N570" s="3118" t="s">
        <v>525</v>
      </c>
    </row>
    <row r="571" spans="1:25" ht="18" customHeight="1">
      <c r="A571" s="2508"/>
      <c r="C571" s="3131"/>
      <c r="D571" s="3136" t="s">
        <v>1463</v>
      </c>
      <c r="E571" s="3137"/>
      <c r="F571" s="3138"/>
      <c r="G571" s="3226"/>
    </row>
    <row r="572" spans="1:25" ht="18" customHeight="1" thickBot="1">
      <c r="A572" s="2509"/>
      <c r="B572" s="774"/>
      <c r="C572" s="3227"/>
      <c r="D572" s="3228"/>
      <c r="E572" s="3229"/>
      <c r="F572" s="3229"/>
      <c r="G572" s="3230"/>
      <c r="R572" s="3147" t="s">
        <v>851</v>
      </c>
      <c r="S572" s="775"/>
      <c r="T572" s="3148"/>
      <c r="U572" s="3149"/>
    </row>
    <row r="573" spans="1:25" ht="18" customHeight="1">
      <c r="R573" s="4451" t="s">
        <v>860</v>
      </c>
      <c r="S573" s="4452"/>
      <c r="T573" s="4452"/>
      <c r="U573" s="3150">
        <v>1</v>
      </c>
    </row>
    <row r="574" spans="1:25" ht="18" customHeight="1">
      <c r="R574" s="4453" t="s">
        <v>856</v>
      </c>
      <c r="S574" s="4454"/>
      <c r="T574" s="4454"/>
      <c r="U574" s="3151" t="s">
        <v>525</v>
      </c>
    </row>
    <row r="575" spans="1:25" ht="18" customHeight="1">
      <c r="R575" s="4451" t="s">
        <v>857</v>
      </c>
      <c r="S575" s="4452"/>
      <c r="T575" s="4452"/>
      <c r="U575" s="3151" t="e">
        <v>#VALUE!</v>
      </c>
    </row>
    <row r="576" spans="1:25" ht="18" customHeight="1">
      <c r="R576" s="4451"/>
      <c r="S576" s="4452"/>
      <c r="T576" s="4452"/>
      <c r="U576" s="3152"/>
      <c r="V576" s="1834"/>
      <c r="W576" s="1834"/>
      <c r="X576" s="1834"/>
      <c r="Y576" s="1834"/>
    </row>
    <row r="577" spans="1:25" ht="18" customHeight="1">
      <c r="R577" s="4448" t="s">
        <v>858</v>
      </c>
      <c r="S577" s="4449"/>
      <c r="T577" s="4449"/>
      <c r="U577" s="3153" t="e">
        <v>#VALUE!</v>
      </c>
      <c r="V577" s="1834"/>
      <c r="W577" s="1834"/>
      <c r="X577" s="1834"/>
      <c r="Y577" s="1834"/>
    </row>
    <row r="578" spans="1:25" ht="18" customHeight="1">
      <c r="R578" s="3154" t="s">
        <v>859</v>
      </c>
      <c r="S578" s="3155" t="s">
        <v>525</v>
      </c>
      <c r="T578" s="3156" t="s">
        <v>48</v>
      </c>
      <c r="U578" s="3157" t="e">
        <v>#VALUE!</v>
      </c>
      <c r="V578" s="1834"/>
      <c r="W578" s="1834"/>
      <c r="X578" s="1834"/>
      <c r="Y578" s="1834"/>
    </row>
    <row r="579" spans="1:25" ht="18" customHeight="1">
      <c r="A579" s="216"/>
      <c r="B579" s="216"/>
      <c r="C579" s="216"/>
      <c r="D579" s="216"/>
      <c r="E579" s="216"/>
      <c r="F579" s="216"/>
      <c r="G579" s="216"/>
      <c r="H579" s="216"/>
      <c r="I579" s="216"/>
      <c r="J579" s="216"/>
      <c r="K579" s="216"/>
      <c r="L579" s="216"/>
      <c r="M579" s="216"/>
      <c r="N579" s="216"/>
      <c r="O579" s="216"/>
      <c r="P579" s="216"/>
      <c r="Q579" s="216"/>
      <c r="R579" s="216"/>
    </row>
    <row r="580" spans="1:25" ht="18" customHeight="1">
      <c r="A580" s="2494"/>
      <c r="B580" s="2494"/>
      <c r="C580" s="2494"/>
      <c r="D580" s="2494"/>
      <c r="E580" s="2494"/>
      <c r="F580" s="2494"/>
      <c r="G580" s="2494"/>
      <c r="H580" s="2494"/>
      <c r="I580" s="2494"/>
      <c r="J580" s="2494"/>
      <c r="K580" s="2494"/>
      <c r="L580" s="2494"/>
      <c r="M580" s="2494"/>
      <c r="N580" s="2494"/>
      <c r="O580" s="2494"/>
      <c r="P580" s="2494"/>
      <c r="Q580" s="2494"/>
      <c r="R580" s="2494"/>
    </row>
    <row r="581" spans="1:25" ht="33" customHeight="1">
      <c r="A581" s="1242" t="s">
        <v>1259</v>
      </c>
      <c r="D581" s="2557">
        <v>16</v>
      </c>
      <c r="E581" s="4418" t="s">
        <v>1254</v>
      </c>
      <c r="F581" s="4419"/>
      <c r="G581" s="1324"/>
      <c r="M581" s="4231" t="s">
        <v>846</v>
      </c>
      <c r="N581" s="4231"/>
      <c r="O581" s="4231"/>
      <c r="P581" s="4231"/>
    </row>
    <row r="582" spans="1:25" ht="18" customHeight="1">
      <c r="A582" s="4420" t="s">
        <v>346</v>
      </c>
      <c r="B582" s="4421"/>
      <c r="C582" s="4421"/>
      <c r="D582" s="4421"/>
      <c r="E582" s="4455"/>
      <c r="F582" s="4456"/>
      <c r="G582" s="485" t="s">
        <v>348</v>
      </c>
      <c r="I582" s="1308">
        <v>6.8063333333333338</v>
      </c>
      <c r="J582" s="1309" t="s">
        <v>812</v>
      </c>
      <c r="K582" s="1310"/>
      <c r="L582" s="619"/>
      <c r="M582" s="3444" t="s">
        <v>845</v>
      </c>
      <c r="N582" s="3444"/>
      <c r="O582" s="3444"/>
      <c r="P582" s="3444"/>
    </row>
    <row r="583" spans="1:25" ht="18" customHeight="1">
      <c r="A583" s="4422"/>
      <c r="B583" s="4423"/>
      <c r="C583" s="4423"/>
      <c r="D583" s="4423"/>
      <c r="E583" s="475">
        <v>6.8063333333333338</v>
      </c>
      <c r="F583" s="456" t="s">
        <v>330</v>
      </c>
      <c r="G583" s="457" t="e">
        <v>#VALUE!</v>
      </c>
      <c r="I583" s="1311"/>
      <c r="J583" s="3788" t="s">
        <v>847</v>
      </c>
      <c r="K583" s="3787"/>
      <c r="M583" s="3444"/>
      <c r="N583" s="3444"/>
      <c r="O583" s="3444"/>
      <c r="P583" s="3444"/>
    </row>
    <row r="584" spans="1:25" ht="15" customHeight="1">
      <c r="A584" s="188" t="s">
        <v>349</v>
      </c>
      <c r="B584" s="14"/>
      <c r="C584" s="14"/>
      <c r="D584" s="14"/>
      <c r="E584" s="14"/>
      <c r="F584" s="417"/>
      <c r="G584" s="458"/>
      <c r="H584" s="216"/>
      <c r="I584" s="428"/>
      <c r="J584" s="3788"/>
      <c r="K584" s="3787"/>
      <c r="M584" s="4450"/>
      <c r="N584" s="4450"/>
      <c r="O584" s="4450"/>
      <c r="P584" s="4450"/>
    </row>
    <row r="585" spans="1:25" ht="15" customHeight="1">
      <c r="A585" s="459"/>
      <c r="B585" s="460" t="s">
        <v>350</v>
      </c>
      <c r="C585" s="460"/>
      <c r="D585" s="1679" t="s">
        <v>1005</v>
      </c>
      <c r="E585" s="461">
        <v>0</v>
      </c>
      <c r="F585" s="462" t="s">
        <v>351</v>
      </c>
      <c r="G585" s="458"/>
      <c r="I585" s="1311"/>
      <c r="J585" s="3788" t="s">
        <v>848</v>
      </c>
      <c r="K585" s="3787"/>
      <c r="M585" s="655" t="s">
        <v>362</v>
      </c>
      <c r="N585" s="656"/>
      <c r="O585" s="656" t="s">
        <v>478</v>
      </c>
      <c r="P585" s="569"/>
    </row>
    <row r="586" spans="1:25" ht="15" customHeight="1">
      <c r="A586" s="463" t="s">
        <v>220</v>
      </c>
      <c r="B586" s="595" t="s">
        <v>353</v>
      </c>
      <c r="C586" s="464">
        <v>0.55254649655756016</v>
      </c>
      <c r="D586" s="1680">
        <v>0.7</v>
      </c>
      <c r="E586" s="465">
        <v>0</v>
      </c>
      <c r="F586" s="466" t="s">
        <v>330</v>
      </c>
      <c r="G586" s="457" t="e">
        <v>#VALUE!</v>
      </c>
      <c r="I586" s="428"/>
      <c r="J586" s="3788"/>
      <c r="K586" s="3787"/>
      <c r="M586" s="173" t="s">
        <v>476</v>
      </c>
      <c r="N586" s="57" t="s">
        <v>481</v>
      </c>
      <c r="O586" s="36" t="s">
        <v>477</v>
      </c>
      <c r="P586" s="659" t="s">
        <v>330</v>
      </c>
    </row>
    <row r="587" spans="1:25" ht="15">
      <c r="A587" s="467" t="s">
        <v>354</v>
      </c>
      <c r="B587" s="468"/>
      <c r="C587" s="468"/>
      <c r="D587" s="468"/>
      <c r="E587" s="469">
        <v>6.8063333333333338</v>
      </c>
      <c r="F587" s="470" t="s">
        <v>330</v>
      </c>
      <c r="G587" s="458"/>
      <c r="I587" s="1312">
        <v>6.8063333333333338</v>
      </c>
      <c r="J587" s="534" t="s">
        <v>849</v>
      </c>
      <c r="K587" s="618"/>
      <c r="M587" s="654">
        <v>90</v>
      </c>
      <c r="N587" s="509">
        <v>8.9</v>
      </c>
      <c r="O587" s="508">
        <v>60</v>
      </c>
      <c r="P587" s="570">
        <v>5.9333333333333336</v>
      </c>
    </row>
    <row r="588" spans="1:25" ht="15" customHeight="1">
      <c r="A588" s="187" t="s">
        <v>355</v>
      </c>
      <c r="B588" s="2"/>
      <c r="C588" s="2"/>
      <c r="D588" s="2"/>
      <c r="E588" s="2"/>
      <c r="F588" s="417"/>
      <c r="G588" s="458"/>
      <c r="M588" s="658" t="s">
        <v>363</v>
      </c>
      <c r="N588" s="657"/>
      <c r="O588" s="656" t="s">
        <v>478</v>
      </c>
      <c r="P588" s="572"/>
    </row>
    <row r="589" spans="1:25" ht="15">
      <c r="A589" s="187"/>
      <c r="B589" s="460" t="s">
        <v>350</v>
      </c>
      <c r="C589" s="460"/>
      <c r="D589" s="1679" t="s">
        <v>1005</v>
      </c>
      <c r="E589" s="14">
        <v>0</v>
      </c>
      <c r="F589" s="462" t="s">
        <v>351</v>
      </c>
      <c r="G589" s="458"/>
      <c r="I589" s="1313"/>
      <c r="J589" s="1314" t="s">
        <v>352</v>
      </c>
      <c r="K589" s="616"/>
      <c r="M589" s="173" t="s">
        <v>476</v>
      </c>
      <c r="N589" s="657" t="s">
        <v>482</v>
      </c>
      <c r="O589" s="36" t="s">
        <v>477</v>
      </c>
      <c r="P589" s="617"/>
    </row>
    <row r="590" spans="1:25" ht="15" customHeight="1">
      <c r="A590" s="463" t="s">
        <v>220</v>
      </c>
      <c r="B590" s="476" t="s">
        <v>356</v>
      </c>
      <c r="C590" s="464">
        <v>0.33</v>
      </c>
      <c r="D590" s="1680">
        <v>0.7</v>
      </c>
      <c r="E590" s="465">
        <v>0</v>
      </c>
      <c r="F590" s="466" t="s">
        <v>330</v>
      </c>
      <c r="G590" s="457" t="e">
        <v>#VALUE!</v>
      </c>
      <c r="I590" s="428"/>
      <c r="J590" s="3788" t="s">
        <v>1151</v>
      </c>
      <c r="K590" s="3787"/>
      <c r="M590" s="654">
        <v>1000</v>
      </c>
      <c r="N590" s="509">
        <v>9.6999999999999993</v>
      </c>
      <c r="O590" s="508">
        <v>90</v>
      </c>
      <c r="P590" s="570">
        <v>0.87299999999999989</v>
      </c>
    </row>
    <row r="591" spans="1:25" ht="15">
      <c r="A591" s="467" t="s">
        <v>357</v>
      </c>
      <c r="B591" s="471"/>
      <c r="C591" s="471"/>
      <c r="D591" s="471"/>
      <c r="E591" s="3109">
        <v>6.8063333333333338</v>
      </c>
      <c r="F591" s="3119" t="s">
        <v>525</v>
      </c>
      <c r="G591" s="457" t="e">
        <v>#VALUE!</v>
      </c>
      <c r="I591" s="428"/>
      <c r="J591" s="3788"/>
      <c r="K591" s="3787"/>
      <c r="M591" s="571"/>
      <c r="N591" s="497"/>
      <c r="O591" s="497"/>
      <c r="P591" s="573">
        <v>6.8063333333333338</v>
      </c>
    </row>
    <row r="592" spans="1:25" ht="15">
      <c r="A592" s="472" t="s">
        <v>358</v>
      </c>
      <c r="B592" s="151"/>
      <c r="C592" s="473" t="s">
        <v>525</v>
      </c>
      <c r="D592" s="3110" t="s">
        <v>525</v>
      </c>
      <c r="E592" s="474" t="s">
        <v>525</v>
      </c>
      <c r="F592" s="3120" t="s">
        <v>525</v>
      </c>
      <c r="G592" s="457" t="e">
        <v>#VALUE!</v>
      </c>
      <c r="I592" s="42"/>
      <c r="J592" s="4438"/>
      <c r="K592" s="4439"/>
      <c r="M592" s="574"/>
      <c r="N592" s="497" t="s">
        <v>479</v>
      </c>
      <c r="O592" s="497"/>
      <c r="P592" s="570">
        <v>0</v>
      </c>
    </row>
    <row r="593" spans="1:20" ht="15">
      <c r="A593" s="467" t="s">
        <v>360</v>
      </c>
      <c r="B593" s="471"/>
      <c r="C593" s="471"/>
      <c r="D593" s="471"/>
      <c r="E593" s="469" t="s">
        <v>525</v>
      </c>
      <c r="F593" s="3119" t="s">
        <v>525</v>
      </c>
      <c r="G593" s="457" t="e">
        <v>#VALUE!</v>
      </c>
      <c r="M593" s="571"/>
      <c r="N593" s="497"/>
      <c r="O593" s="497"/>
      <c r="P593" s="573">
        <v>6.8063333333333338</v>
      </c>
    </row>
    <row r="594" spans="1:20" ht="15">
      <c r="A594" s="472" t="s">
        <v>257</v>
      </c>
      <c r="B594" s="364">
        <v>0.19</v>
      </c>
      <c r="C594" s="19"/>
      <c r="D594" s="19"/>
      <c r="E594" s="474" t="s">
        <v>525</v>
      </c>
      <c r="F594" s="3120" t="s">
        <v>525</v>
      </c>
      <c r="G594" s="457">
        <v>0.19</v>
      </c>
      <c r="I594" s="3117" t="s">
        <v>525</v>
      </c>
      <c r="J594" s="4442" t="s">
        <v>1458</v>
      </c>
      <c r="K594" s="4442"/>
      <c r="L594" s="142"/>
      <c r="M594" s="574"/>
      <c r="N594" s="497" t="s">
        <v>480</v>
      </c>
      <c r="O594" s="497"/>
      <c r="P594" s="570">
        <v>0</v>
      </c>
    </row>
    <row r="595" spans="1:20" ht="15">
      <c r="A595" s="3144" t="s">
        <v>1389</v>
      </c>
      <c r="B595" s="1240"/>
      <c r="C595" s="1240"/>
      <c r="D595" s="1240"/>
      <c r="E595" s="1241" t="s">
        <v>525</v>
      </c>
      <c r="F595" s="3121" t="s">
        <v>525</v>
      </c>
      <c r="G595" s="457" t="e">
        <v>#VALUE!</v>
      </c>
      <c r="J595" s="3444" t="s">
        <v>850</v>
      </c>
      <c r="K595" s="3444"/>
      <c r="M595" s="575"/>
      <c r="N595" s="576"/>
      <c r="O595" s="660" t="s">
        <v>330</v>
      </c>
      <c r="P595" s="577">
        <v>6.8063333333333338</v>
      </c>
    </row>
    <row r="596" spans="1:20" ht="15" customHeight="1" thickBot="1">
      <c r="A596" s="1243"/>
      <c r="B596" s="3114" t="s">
        <v>351</v>
      </c>
      <c r="C596" s="3115">
        <v>0</v>
      </c>
      <c r="D596" s="3116" t="s">
        <v>525</v>
      </c>
      <c r="E596" s="3145" t="s">
        <v>525</v>
      </c>
      <c r="F596" s="3122" t="s">
        <v>525</v>
      </c>
      <c r="G596" s="3111" t="s">
        <v>525</v>
      </c>
      <c r="I596" s="680"/>
      <c r="J596" s="3444"/>
      <c r="K596" s="3444"/>
      <c r="L596" s="615">
        <v>0.10960791757966955</v>
      </c>
      <c r="M596" s="615" t="s">
        <v>525</v>
      </c>
    </row>
    <row r="597" spans="1:20" ht="15.6">
      <c r="C597" s="3113"/>
      <c r="D597" s="3113" t="s">
        <v>525</v>
      </c>
      <c r="E597" s="3125" t="s">
        <v>525</v>
      </c>
      <c r="F597" s="2456"/>
      <c r="J597" s="3444"/>
      <c r="K597" s="3444"/>
      <c r="L597" s="615" t="s">
        <v>525</v>
      </c>
      <c r="M597" s="615"/>
    </row>
    <row r="598" spans="1:20" ht="17.25" customHeight="1">
      <c r="A598" s="4429" t="s">
        <v>1391</v>
      </c>
      <c r="B598" s="4429"/>
      <c r="C598" s="4431" t="s">
        <v>1390</v>
      </c>
      <c r="D598" s="4431"/>
      <c r="E598" s="4431"/>
      <c r="F598" s="4431" t="s">
        <v>1386</v>
      </c>
      <c r="G598" s="4431"/>
      <c r="I598" s="3373" t="s">
        <v>1382</v>
      </c>
      <c r="J598" s="3374"/>
      <c r="K598" s="3374"/>
      <c r="L598" s="3374"/>
      <c r="M598" s="4447"/>
    </row>
    <row r="599" spans="1:20" s="142" customFormat="1" ht="17.25" customHeight="1">
      <c r="A599" s="4429"/>
      <c r="B599" s="4429"/>
      <c r="C599" s="4431"/>
      <c r="D599" s="4431"/>
      <c r="E599" s="4431"/>
      <c r="F599" s="4431"/>
      <c r="G599" s="4431"/>
      <c r="I599" s="428"/>
      <c r="J599" s="34"/>
      <c r="K599" s="365" t="s">
        <v>1006</v>
      </c>
      <c r="L599" s="34"/>
      <c r="M599" s="617" t="s">
        <v>1007</v>
      </c>
    </row>
    <row r="600" spans="1:20" ht="18" customHeight="1">
      <c r="B600" s="3127"/>
      <c r="C600" s="3108"/>
      <c r="D600" s="3146" t="s">
        <v>525</v>
      </c>
      <c r="F600" s="3126" t="s">
        <v>525</v>
      </c>
      <c r="I600" s="428" t="s">
        <v>1005</v>
      </c>
      <c r="J600" s="364">
        <v>0.7</v>
      </c>
      <c r="K600" s="1677">
        <v>0.55254649655756016</v>
      </c>
      <c r="L600" s="76" t="s">
        <v>330</v>
      </c>
      <c r="M600" s="1695">
        <v>0.33</v>
      </c>
    </row>
    <row r="601" spans="1:20" ht="18" customHeight="1">
      <c r="A601" s="1165"/>
      <c r="B601" s="1165"/>
      <c r="C601" s="3403"/>
      <c r="D601" s="1165"/>
      <c r="E601" s="1165"/>
      <c r="F601" s="1165"/>
      <c r="I601" s="1320" t="s">
        <v>874</v>
      </c>
      <c r="J601" s="1678"/>
      <c r="K601" s="1677" t="s">
        <v>525</v>
      </c>
      <c r="L601" s="197" t="s">
        <v>330</v>
      </c>
      <c r="M601" s="1695" t="s">
        <v>525</v>
      </c>
    </row>
    <row r="602" spans="1:20" ht="18" customHeight="1">
      <c r="A602" s="4429" t="s">
        <v>1460</v>
      </c>
      <c r="B602" s="4429"/>
      <c r="C602" s="3403"/>
      <c r="D602" s="4433" t="s">
        <v>1392</v>
      </c>
      <c r="E602" s="4433"/>
      <c r="F602" s="4431" t="s">
        <v>1387</v>
      </c>
      <c r="G602" s="4431"/>
    </row>
    <row r="603" spans="1:20" ht="18" customHeight="1">
      <c r="A603" s="4429"/>
      <c r="B603" s="4429"/>
      <c r="C603" s="1165"/>
      <c r="D603" s="4433"/>
      <c r="E603" s="4433"/>
      <c r="F603" s="4431"/>
      <c r="G603" s="4431"/>
      <c r="I603" s="3941" t="s">
        <v>525</v>
      </c>
      <c r="J603" s="3941"/>
      <c r="K603" s="3941"/>
      <c r="L603" s="3941"/>
      <c r="M603" s="3941"/>
      <c r="N603" s="615" t="s">
        <v>1383</v>
      </c>
    </row>
    <row r="604" spans="1:20" ht="14.55" customHeight="1">
      <c r="B604" s="3127"/>
      <c r="D604" s="3125" t="s">
        <v>525</v>
      </c>
      <c r="F604" s="3124">
        <v>0</v>
      </c>
      <c r="G604" s="3123" t="s">
        <v>525</v>
      </c>
      <c r="I604" s="3941"/>
      <c r="J604" s="3941"/>
      <c r="K604" s="3941"/>
      <c r="L604" s="3941"/>
      <c r="M604" s="3941"/>
      <c r="N604" s="615"/>
    </row>
    <row r="605" spans="1:20" ht="18" customHeight="1">
      <c r="I605" s="3941"/>
      <c r="J605" s="3941"/>
      <c r="K605" s="3941"/>
      <c r="L605" s="3941"/>
      <c r="M605" s="3941"/>
      <c r="N605" s="615" t="s">
        <v>1384</v>
      </c>
      <c r="P605" s="34" t="s">
        <v>471</v>
      </c>
      <c r="Q605" s="34" t="s">
        <v>35</v>
      </c>
      <c r="R605" s="34" t="s">
        <v>342</v>
      </c>
      <c r="S605" s="34" t="s">
        <v>472</v>
      </c>
      <c r="T605" s="34" t="s">
        <v>473</v>
      </c>
    </row>
    <row r="606" spans="1:20" ht="18" customHeight="1">
      <c r="C606" s="3143" t="s">
        <v>1388</v>
      </c>
      <c r="D606" s="3129"/>
      <c r="E606" s="3129"/>
      <c r="F606" s="3129"/>
      <c r="G606" s="3130"/>
      <c r="I606" s="3941"/>
      <c r="J606" s="3941"/>
      <c r="K606" s="3941"/>
      <c r="L606" s="3941"/>
      <c r="M606" s="3941"/>
      <c r="P606" s="1698">
        <v>6.8063333333333338</v>
      </c>
      <c r="Q606" s="1698">
        <v>0</v>
      </c>
      <c r="R606" s="1698">
        <v>0</v>
      </c>
      <c r="S606" s="1698" t="s">
        <v>525</v>
      </c>
      <c r="T606" s="1698" t="s">
        <v>525</v>
      </c>
    </row>
    <row r="607" spans="1:20" ht="18" customHeight="1">
      <c r="C607" s="3131"/>
      <c r="D607" s="4425" t="s">
        <v>1385</v>
      </c>
      <c r="E607" s="4425"/>
      <c r="F607" s="3132">
        <v>0</v>
      </c>
      <c r="G607" s="3133"/>
      <c r="I607" s="3941"/>
      <c r="J607" s="3941"/>
      <c r="K607" s="3941"/>
      <c r="L607" s="3941"/>
      <c r="M607" s="3941"/>
    </row>
    <row r="608" spans="1:20" ht="18" customHeight="1">
      <c r="C608" s="3131"/>
      <c r="D608" s="3134" t="s">
        <v>1464</v>
      </c>
      <c r="E608" s="3135" t="s">
        <v>525</v>
      </c>
      <c r="F608" s="3136" t="s">
        <v>1462</v>
      </c>
      <c r="G608" s="3133"/>
      <c r="I608" s="4424" t="s">
        <v>525</v>
      </c>
      <c r="J608" s="4424"/>
      <c r="K608" s="4424"/>
      <c r="L608" s="4424"/>
      <c r="M608" s="4424"/>
      <c r="N608" s="3118" t="s">
        <v>525</v>
      </c>
    </row>
    <row r="609" spans="1:25" ht="18" customHeight="1">
      <c r="C609" s="3131"/>
      <c r="D609" s="3136" t="s">
        <v>1463</v>
      </c>
      <c r="E609" s="3137"/>
      <c r="F609" s="3138"/>
      <c r="G609" s="3133"/>
    </row>
    <row r="610" spans="1:25" ht="18" customHeight="1">
      <c r="C610" s="3139"/>
      <c r="D610" s="3140"/>
      <c r="E610" s="3141"/>
      <c r="F610" s="3141"/>
      <c r="G610" s="3142"/>
      <c r="R610" s="3147" t="s">
        <v>851</v>
      </c>
      <c r="S610" s="775"/>
      <c r="T610" s="3148"/>
      <c r="U610" s="3149"/>
    </row>
    <row r="611" spans="1:25" ht="18" customHeight="1">
      <c r="R611" s="4451" t="s">
        <v>860</v>
      </c>
      <c r="S611" s="4452"/>
      <c r="T611" s="4452"/>
      <c r="U611" s="3150">
        <v>1</v>
      </c>
    </row>
    <row r="612" spans="1:25" ht="18" customHeight="1">
      <c r="R612" s="4453" t="s">
        <v>856</v>
      </c>
      <c r="S612" s="4454"/>
      <c r="T612" s="4454"/>
      <c r="U612" s="3151" t="s">
        <v>525</v>
      </c>
    </row>
    <row r="613" spans="1:25" ht="18" customHeight="1">
      <c r="R613" s="4451" t="s">
        <v>857</v>
      </c>
      <c r="S613" s="4452"/>
      <c r="T613" s="4452"/>
      <c r="U613" s="3151" t="e">
        <v>#VALUE!</v>
      </c>
    </row>
    <row r="614" spans="1:25" ht="18" customHeight="1">
      <c r="R614" s="4451"/>
      <c r="S614" s="4452"/>
      <c r="T614" s="4452"/>
      <c r="U614" s="3152"/>
      <c r="V614" s="1834"/>
      <c r="W614" s="1834"/>
      <c r="X614" s="1834"/>
      <c r="Y614" s="1834"/>
    </row>
    <row r="615" spans="1:25" ht="18" customHeight="1">
      <c r="R615" s="4448" t="s">
        <v>858</v>
      </c>
      <c r="S615" s="4449"/>
      <c r="T615" s="4449"/>
      <c r="U615" s="3153" t="e">
        <v>#VALUE!</v>
      </c>
      <c r="V615" s="1834"/>
      <c r="W615" s="1834"/>
      <c r="X615" s="1834"/>
      <c r="Y615" s="1834"/>
    </row>
    <row r="616" spans="1:25" ht="18" customHeight="1">
      <c r="R616" s="3154" t="s">
        <v>859</v>
      </c>
      <c r="S616" s="3155" t="s">
        <v>525</v>
      </c>
      <c r="T616" s="3156" t="s">
        <v>48</v>
      </c>
      <c r="U616" s="3157" t="e">
        <v>#VALUE!</v>
      </c>
      <c r="V616" s="1834"/>
      <c r="W616" s="1834"/>
      <c r="X616" s="1834"/>
      <c r="Y616" s="1834"/>
    </row>
    <row r="618" spans="1:25" ht="18" customHeight="1">
      <c r="A618" s="2494"/>
      <c r="B618" s="2494"/>
      <c r="C618" s="2494"/>
      <c r="D618" s="2494"/>
      <c r="E618" s="2494"/>
      <c r="F618" s="2494"/>
      <c r="G618" s="2494"/>
      <c r="H618" s="2494"/>
      <c r="I618" s="2494"/>
      <c r="J618" s="2494"/>
      <c r="K618" s="2494"/>
      <c r="L618" s="2494"/>
      <c r="M618" s="2494"/>
      <c r="N618" s="2494"/>
      <c r="O618" s="2494"/>
      <c r="P618" s="2494"/>
      <c r="Q618" s="2494"/>
      <c r="R618" s="2494"/>
    </row>
    <row r="621" spans="1:25" ht="18" customHeight="1">
      <c r="A621" s="615" t="s">
        <v>1263</v>
      </c>
    </row>
    <row r="622" spans="1:25" ht="18" customHeight="1">
      <c r="A622" s="615" t="s">
        <v>1264</v>
      </c>
    </row>
    <row r="623" spans="1:25" ht="18" customHeight="1">
      <c r="A623" s="615" t="s">
        <v>1265</v>
      </c>
    </row>
  </sheetData>
  <sheetProtection algorithmName="SHA-512" hashValue="Zepf8fWiCXYdYTKwHF3Sj5QPv8rR0mfgDcGLu/LvPRl4YfJbutJElzaAShKwaF92FRsTvz+kjmgdyDe3uywixQ==" saltValue="LDGqg8VkjWykxzsrXZCWpQ==" spinCount="100000" sheet="1" objects="1" scenarios="1"/>
  <mergeCells count="423">
    <mergeCell ref="A3:D7"/>
    <mergeCell ref="A1:E2"/>
    <mergeCell ref="G1:H1"/>
    <mergeCell ref="G2:H2"/>
    <mergeCell ref="G3:H3"/>
    <mergeCell ref="G4:H4"/>
    <mergeCell ref="G5:H5"/>
    <mergeCell ref="G6:H6"/>
    <mergeCell ref="G7:H7"/>
    <mergeCell ref="G8:H8"/>
    <mergeCell ref="L1:M1"/>
    <mergeCell ref="L2:M2"/>
    <mergeCell ref="L3:M3"/>
    <mergeCell ref="L4:M4"/>
    <mergeCell ref="L5:M5"/>
    <mergeCell ref="L6:M6"/>
    <mergeCell ref="L7:M7"/>
    <mergeCell ref="L8:M8"/>
    <mergeCell ref="M12:P14"/>
    <mergeCell ref="J13:K14"/>
    <mergeCell ref="J15:K16"/>
    <mergeCell ref="J20:K22"/>
    <mergeCell ref="E11:F11"/>
    <mergeCell ref="A12:D13"/>
    <mergeCell ref="E12:F12"/>
    <mergeCell ref="J24:K24"/>
    <mergeCell ref="I152:M152"/>
    <mergeCell ref="I114:M114"/>
    <mergeCell ref="C145:C146"/>
    <mergeCell ref="D146:E147"/>
    <mergeCell ref="F146:G147"/>
    <mergeCell ref="I147:M151"/>
    <mergeCell ref="D151:E151"/>
    <mergeCell ref="A145:A146"/>
    <mergeCell ref="B146:B147"/>
    <mergeCell ref="J25:K27"/>
    <mergeCell ref="A28:B29"/>
    <mergeCell ref="C28:E29"/>
    <mergeCell ref="F28:G29"/>
    <mergeCell ref="I28:M28"/>
    <mergeCell ref="M11:P11"/>
    <mergeCell ref="C259:C260"/>
    <mergeCell ref="D260:E261"/>
    <mergeCell ref="F260:G261"/>
    <mergeCell ref="I261:M265"/>
    <mergeCell ref="D265:E265"/>
    <mergeCell ref="I266:M266"/>
    <mergeCell ref="E277:F277"/>
    <mergeCell ref="M49:P49"/>
    <mergeCell ref="A50:D51"/>
    <mergeCell ref="E50:F50"/>
    <mergeCell ref="M50:P52"/>
    <mergeCell ref="J51:K52"/>
    <mergeCell ref="J58:K60"/>
    <mergeCell ref="J53:K54"/>
    <mergeCell ref="E49:F49"/>
    <mergeCell ref="A66:B67"/>
    <mergeCell ref="A69:A70"/>
    <mergeCell ref="B70:B71"/>
    <mergeCell ref="I76:M76"/>
    <mergeCell ref="C107:C108"/>
    <mergeCell ref="D108:E109"/>
    <mergeCell ref="F108:G109"/>
    <mergeCell ref="I109:M113"/>
    <mergeCell ref="D113:E113"/>
    <mergeCell ref="D526:E527"/>
    <mergeCell ref="F526:G527"/>
    <mergeCell ref="I527:M531"/>
    <mergeCell ref="D531:E531"/>
    <mergeCell ref="C297:C298"/>
    <mergeCell ref="D298:E299"/>
    <mergeCell ref="F298:G299"/>
    <mergeCell ref="I299:M303"/>
    <mergeCell ref="D303:E303"/>
    <mergeCell ref="I304:M304"/>
    <mergeCell ref="C487:C488"/>
    <mergeCell ref="D488:E489"/>
    <mergeCell ref="F488:G489"/>
    <mergeCell ref="I489:M493"/>
    <mergeCell ref="D493:E493"/>
    <mergeCell ref="I494:M494"/>
    <mergeCell ref="J509:K510"/>
    <mergeCell ref="J514:K516"/>
    <mergeCell ref="C525:C526"/>
    <mergeCell ref="I418:M418"/>
    <mergeCell ref="J433:K434"/>
    <mergeCell ref="J438:K440"/>
    <mergeCell ref="C449:C450"/>
    <mergeCell ref="D450:E451"/>
    <mergeCell ref="I532:M532"/>
    <mergeCell ref="M581:P581"/>
    <mergeCell ref="A582:D583"/>
    <mergeCell ref="E582:F582"/>
    <mergeCell ref="M582:P584"/>
    <mergeCell ref="J583:K584"/>
    <mergeCell ref="J547:K548"/>
    <mergeCell ref="J552:K554"/>
    <mergeCell ref="C563:C564"/>
    <mergeCell ref="D564:E565"/>
    <mergeCell ref="F564:G565"/>
    <mergeCell ref="I565:M569"/>
    <mergeCell ref="E581:F581"/>
    <mergeCell ref="D569:E569"/>
    <mergeCell ref="I570:M570"/>
    <mergeCell ref="F450:G451"/>
    <mergeCell ref="I451:M455"/>
    <mergeCell ref="D455:E455"/>
    <mergeCell ref="I456:M456"/>
    <mergeCell ref="A31:A32"/>
    <mergeCell ref="B32:B33"/>
    <mergeCell ref="C335:C336"/>
    <mergeCell ref="D336:E337"/>
    <mergeCell ref="F336:G337"/>
    <mergeCell ref="I337:M341"/>
    <mergeCell ref="D341:E341"/>
    <mergeCell ref="E315:F315"/>
    <mergeCell ref="E391:F391"/>
    <mergeCell ref="M391:P391"/>
    <mergeCell ref="J357:K358"/>
    <mergeCell ref="J362:K364"/>
    <mergeCell ref="E353:F353"/>
    <mergeCell ref="M353:P353"/>
    <mergeCell ref="A354:D355"/>
    <mergeCell ref="E354:F354"/>
    <mergeCell ref="M354:P356"/>
    <mergeCell ref="J355:K356"/>
    <mergeCell ref="J324:K326"/>
    <mergeCell ref="I342:M342"/>
    <mergeCell ref="C373:C374"/>
    <mergeCell ref="D374:E375"/>
    <mergeCell ref="F374:G375"/>
    <mergeCell ref="I375:M379"/>
    <mergeCell ref="R43:T44"/>
    <mergeCell ref="R45:T45"/>
    <mergeCell ref="C31:C32"/>
    <mergeCell ref="D32:E33"/>
    <mergeCell ref="F32:G33"/>
    <mergeCell ref="I33:M37"/>
    <mergeCell ref="D37:E37"/>
    <mergeCell ref="I38:M38"/>
    <mergeCell ref="R41:T41"/>
    <mergeCell ref="R42:T42"/>
    <mergeCell ref="J62:K62"/>
    <mergeCell ref="J63:K65"/>
    <mergeCell ref="C66:E67"/>
    <mergeCell ref="F66:G67"/>
    <mergeCell ref="I66:M66"/>
    <mergeCell ref="C69:C70"/>
    <mergeCell ref="D70:E71"/>
    <mergeCell ref="F70:G71"/>
    <mergeCell ref="I71:M75"/>
    <mergeCell ref="D75:E75"/>
    <mergeCell ref="R79:T79"/>
    <mergeCell ref="R80:T80"/>
    <mergeCell ref="R81:T82"/>
    <mergeCell ref="R83:T83"/>
    <mergeCell ref="J100:K100"/>
    <mergeCell ref="J101:K103"/>
    <mergeCell ref="A104:B105"/>
    <mergeCell ref="C104:E105"/>
    <mergeCell ref="F104:G105"/>
    <mergeCell ref="I104:M104"/>
    <mergeCell ref="J91:K92"/>
    <mergeCell ref="E87:F87"/>
    <mergeCell ref="M87:P87"/>
    <mergeCell ref="A88:D89"/>
    <mergeCell ref="E88:F88"/>
    <mergeCell ref="M88:P90"/>
    <mergeCell ref="J89:K90"/>
    <mergeCell ref="J96:K98"/>
    <mergeCell ref="R117:T117"/>
    <mergeCell ref="R118:T118"/>
    <mergeCell ref="A107:A108"/>
    <mergeCell ref="B108:B109"/>
    <mergeCell ref="R119:T120"/>
    <mergeCell ref="R121:T121"/>
    <mergeCell ref="J138:K138"/>
    <mergeCell ref="J139:K141"/>
    <mergeCell ref="A142:B143"/>
    <mergeCell ref="C142:E143"/>
    <mergeCell ref="F142:G143"/>
    <mergeCell ref="I142:M142"/>
    <mergeCell ref="E125:F125"/>
    <mergeCell ref="M125:P125"/>
    <mergeCell ref="A126:D127"/>
    <mergeCell ref="E126:F126"/>
    <mergeCell ref="M126:P128"/>
    <mergeCell ref="J127:K128"/>
    <mergeCell ref="J129:K130"/>
    <mergeCell ref="J134:K136"/>
    <mergeCell ref="R155:T155"/>
    <mergeCell ref="R156:T156"/>
    <mergeCell ref="R157:T158"/>
    <mergeCell ref="R159:T159"/>
    <mergeCell ref="J176:K176"/>
    <mergeCell ref="J177:K179"/>
    <mergeCell ref="A180:B181"/>
    <mergeCell ref="C180:E181"/>
    <mergeCell ref="F180:G181"/>
    <mergeCell ref="I180:M180"/>
    <mergeCell ref="E163:F163"/>
    <mergeCell ref="A164:D165"/>
    <mergeCell ref="E164:F164"/>
    <mergeCell ref="M164:P166"/>
    <mergeCell ref="J165:K166"/>
    <mergeCell ref="J172:K174"/>
    <mergeCell ref="J167:K168"/>
    <mergeCell ref="M163:P163"/>
    <mergeCell ref="C183:C184"/>
    <mergeCell ref="D184:E185"/>
    <mergeCell ref="F184:G185"/>
    <mergeCell ref="I185:M189"/>
    <mergeCell ref="D189:E189"/>
    <mergeCell ref="I190:M190"/>
    <mergeCell ref="R193:T193"/>
    <mergeCell ref="R194:T194"/>
    <mergeCell ref="A183:A184"/>
    <mergeCell ref="B184:B185"/>
    <mergeCell ref="R195:T196"/>
    <mergeCell ref="R197:T197"/>
    <mergeCell ref="J214:K214"/>
    <mergeCell ref="J215:K217"/>
    <mergeCell ref="A218:B219"/>
    <mergeCell ref="C218:E219"/>
    <mergeCell ref="F218:G219"/>
    <mergeCell ref="I218:M218"/>
    <mergeCell ref="C221:C222"/>
    <mergeCell ref="D222:E223"/>
    <mergeCell ref="F222:G223"/>
    <mergeCell ref="I223:M227"/>
    <mergeCell ref="D227:E227"/>
    <mergeCell ref="A202:D203"/>
    <mergeCell ref="E202:F202"/>
    <mergeCell ref="M202:P204"/>
    <mergeCell ref="J203:K204"/>
    <mergeCell ref="E201:F201"/>
    <mergeCell ref="M201:P201"/>
    <mergeCell ref="J205:K206"/>
    <mergeCell ref="J210:K212"/>
    <mergeCell ref="B222:B223"/>
    <mergeCell ref="I228:M228"/>
    <mergeCell ref="R231:T231"/>
    <mergeCell ref="R232:T232"/>
    <mergeCell ref="R233:T234"/>
    <mergeCell ref="R235:T235"/>
    <mergeCell ref="J252:K252"/>
    <mergeCell ref="J253:K255"/>
    <mergeCell ref="A256:B257"/>
    <mergeCell ref="C256:E257"/>
    <mergeCell ref="F256:G257"/>
    <mergeCell ref="I256:M256"/>
    <mergeCell ref="A240:D241"/>
    <mergeCell ref="E240:F240"/>
    <mergeCell ref="J243:K244"/>
    <mergeCell ref="J248:K250"/>
    <mergeCell ref="M240:P242"/>
    <mergeCell ref="J241:K242"/>
    <mergeCell ref="E239:F239"/>
    <mergeCell ref="M239:P239"/>
    <mergeCell ref="R269:T269"/>
    <mergeCell ref="R270:T270"/>
    <mergeCell ref="R271:T272"/>
    <mergeCell ref="R273:T273"/>
    <mergeCell ref="J290:K290"/>
    <mergeCell ref="J291:K293"/>
    <mergeCell ref="A294:B295"/>
    <mergeCell ref="C294:E295"/>
    <mergeCell ref="F294:G295"/>
    <mergeCell ref="I294:M294"/>
    <mergeCell ref="A278:D279"/>
    <mergeCell ref="E278:F278"/>
    <mergeCell ref="M278:P280"/>
    <mergeCell ref="J279:K280"/>
    <mergeCell ref="J281:K282"/>
    <mergeCell ref="J286:K288"/>
    <mergeCell ref="M277:P277"/>
    <mergeCell ref="R307:T307"/>
    <mergeCell ref="R308:T308"/>
    <mergeCell ref="R309:T310"/>
    <mergeCell ref="R311:T311"/>
    <mergeCell ref="J328:K328"/>
    <mergeCell ref="J329:K331"/>
    <mergeCell ref="A332:B333"/>
    <mergeCell ref="C332:E333"/>
    <mergeCell ref="F332:G333"/>
    <mergeCell ref="I332:M332"/>
    <mergeCell ref="J319:K320"/>
    <mergeCell ref="M315:P315"/>
    <mergeCell ref="A316:D317"/>
    <mergeCell ref="E316:F316"/>
    <mergeCell ref="M316:P318"/>
    <mergeCell ref="J317:K318"/>
    <mergeCell ref="R345:T345"/>
    <mergeCell ref="R346:T346"/>
    <mergeCell ref="R347:T348"/>
    <mergeCell ref="R349:T349"/>
    <mergeCell ref="J366:K366"/>
    <mergeCell ref="J367:K369"/>
    <mergeCell ref="A370:B371"/>
    <mergeCell ref="C370:E371"/>
    <mergeCell ref="F370:G371"/>
    <mergeCell ref="I370:M370"/>
    <mergeCell ref="D379:E379"/>
    <mergeCell ref="I380:M380"/>
    <mergeCell ref="R383:T383"/>
    <mergeCell ref="R384:T384"/>
    <mergeCell ref="R385:T386"/>
    <mergeCell ref="R387:T387"/>
    <mergeCell ref="J404:K404"/>
    <mergeCell ref="J405:K407"/>
    <mergeCell ref="A408:B409"/>
    <mergeCell ref="C408:E409"/>
    <mergeCell ref="F408:G409"/>
    <mergeCell ref="I408:M408"/>
    <mergeCell ref="C411:C412"/>
    <mergeCell ref="D412:E413"/>
    <mergeCell ref="F412:G413"/>
    <mergeCell ref="I413:M417"/>
    <mergeCell ref="D417:E417"/>
    <mergeCell ref="A392:D393"/>
    <mergeCell ref="E392:F392"/>
    <mergeCell ref="M392:P394"/>
    <mergeCell ref="J393:K394"/>
    <mergeCell ref="J395:K396"/>
    <mergeCell ref="J400:K402"/>
    <mergeCell ref="R421:T421"/>
    <mergeCell ref="R422:T422"/>
    <mergeCell ref="R423:T424"/>
    <mergeCell ref="R425:T425"/>
    <mergeCell ref="J442:K442"/>
    <mergeCell ref="J443:K445"/>
    <mergeCell ref="A446:B447"/>
    <mergeCell ref="C446:E447"/>
    <mergeCell ref="F446:G447"/>
    <mergeCell ref="I446:M446"/>
    <mergeCell ref="E429:F429"/>
    <mergeCell ref="M429:P429"/>
    <mergeCell ref="A430:D431"/>
    <mergeCell ref="E430:F430"/>
    <mergeCell ref="M430:P432"/>
    <mergeCell ref="J431:K432"/>
    <mergeCell ref="R459:T459"/>
    <mergeCell ref="R460:T460"/>
    <mergeCell ref="R461:T462"/>
    <mergeCell ref="R463:T463"/>
    <mergeCell ref="J480:K480"/>
    <mergeCell ref="J481:K483"/>
    <mergeCell ref="A484:B485"/>
    <mergeCell ref="C484:E485"/>
    <mergeCell ref="F484:G485"/>
    <mergeCell ref="I484:M484"/>
    <mergeCell ref="E467:F467"/>
    <mergeCell ref="M467:P467"/>
    <mergeCell ref="A468:D469"/>
    <mergeCell ref="E468:F468"/>
    <mergeCell ref="M468:P470"/>
    <mergeCell ref="J469:K470"/>
    <mergeCell ref="J471:K472"/>
    <mergeCell ref="J476:K478"/>
    <mergeCell ref="R497:T497"/>
    <mergeCell ref="R498:T498"/>
    <mergeCell ref="R499:T500"/>
    <mergeCell ref="R501:T501"/>
    <mergeCell ref="J518:K518"/>
    <mergeCell ref="J519:K521"/>
    <mergeCell ref="A522:B523"/>
    <mergeCell ref="C522:E523"/>
    <mergeCell ref="F522:G523"/>
    <mergeCell ref="I522:M522"/>
    <mergeCell ref="E505:F505"/>
    <mergeCell ref="M505:P505"/>
    <mergeCell ref="A506:D507"/>
    <mergeCell ref="E506:F506"/>
    <mergeCell ref="M506:P508"/>
    <mergeCell ref="J507:K508"/>
    <mergeCell ref="R535:T535"/>
    <mergeCell ref="R536:T536"/>
    <mergeCell ref="R537:T538"/>
    <mergeCell ref="R539:T539"/>
    <mergeCell ref="J556:K556"/>
    <mergeCell ref="J557:K559"/>
    <mergeCell ref="A560:B561"/>
    <mergeCell ref="C560:E561"/>
    <mergeCell ref="F560:G561"/>
    <mergeCell ref="I560:M560"/>
    <mergeCell ref="E543:F543"/>
    <mergeCell ref="M543:P543"/>
    <mergeCell ref="A544:D545"/>
    <mergeCell ref="E544:F544"/>
    <mergeCell ref="M544:P546"/>
    <mergeCell ref="J545:K546"/>
    <mergeCell ref="R573:T573"/>
    <mergeCell ref="R574:T574"/>
    <mergeCell ref="R575:T576"/>
    <mergeCell ref="R577:T577"/>
    <mergeCell ref="J594:K594"/>
    <mergeCell ref="J595:K597"/>
    <mergeCell ref="A598:B599"/>
    <mergeCell ref="C598:E599"/>
    <mergeCell ref="F598:G599"/>
    <mergeCell ref="I598:M598"/>
    <mergeCell ref="J585:K586"/>
    <mergeCell ref="J590:K592"/>
    <mergeCell ref="R613:T614"/>
    <mergeCell ref="R615:T615"/>
    <mergeCell ref="C601:C602"/>
    <mergeCell ref="A602:B603"/>
    <mergeCell ref="D602:E603"/>
    <mergeCell ref="F602:G603"/>
    <mergeCell ref="I603:M607"/>
    <mergeCell ref="D607:E607"/>
    <mergeCell ref="I608:M608"/>
    <mergeCell ref="R611:T611"/>
    <mergeCell ref="R612:T612"/>
    <mergeCell ref="B260:B261"/>
    <mergeCell ref="B298:B299"/>
    <mergeCell ref="B336:B337"/>
    <mergeCell ref="B374:B375"/>
    <mergeCell ref="B412:B413"/>
    <mergeCell ref="B450:B451"/>
    <mergeCell ref="B488:B489"/>
    <mergeCell ref="B526:B527"/>
    <mergeCell ref="B564:B565"/>
  </mergeCells>
  <pageMargins left="0.7" right="0.7" top="0.78740157499999996" bottom="0.78740157499999996" header="0.3" footer="0.3"/>
  <pageSetup paperSize="9" orientation="portrait"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18"/>
  <sheetViews>
    <sheetView showGridLines="0" workbookViewId="0"/>
  </sheetViews>
  <sheetFormatPr baseColWidth="10" defaultRowHeight="13.2"/>
  <sheetData>
    <row r="1" spans="1:11" ht="18">
      <c r="A1" s="245" t="s">
        <v>759</v>
      </c>
    </row>
    <row r="3" spans="1:11" ht="18">
      <c r="A3" s="245" t="s">
        <v>716</v>
      </c>
      <c r="B3" s="245" t="s">
        <v>760</v>
      </c>
    </row>
    <row r="5" spans="1:11" ht="18">
      <c r="A5" s="245" t="s">
        <v>717</v>
      </c>
      <c r="B5" s="245" t="s">
        <v>718</v>
      </c>
    </row>
    <row r="6" spans="1:11" ht="18">
      <c r="B6" s="245" t="s">
        <v>719</v>
      </c>
      <c r="K6" s="245"/>
    </row>
    <row r="7" spans="1:11" ht="18">
      <c r="B7" s="245" t="s">
        <v>720</v>
      </c>
    </row>
    <row r="8" spans="1:11" ht="18">
      <c r="B8" s="245" t="s">
        <v>721</v>
      </c>
    </row>
    <row r="9" spans="1:11" ht="18">
      <c r="B9" s="245" t="s">
        <v>722</v>
      </c>
    </row>
    <row r="11" spans="1:11" ht="18">
      <c r="A11" s="245" t="s">
        <v>723</v>
      </c>
      <c r="B11" s="245" t="s">
        <v>724</v>
      </c>
    </row>
    <row r="12" spans="1:11" ht="18">
      <c r="B12" s="245" t="s">
        <v>725</v>
      </c>
    </row>
    <row r="13" spans="1:11" ht="18">
      <c r="B13" s="245" t="s">
        <v>726</v>
      </c>
    </row>
    <row r="15" spans="1:11" ht="18">
      <c r="B15" s="245" t="s">
        <v>727</v>
      </c>
    </row>
    <row r="17" spans="1:2" ht="18">
      <c r="A17" s="245" t="s">
        <v>728</v>
      </c>
      <c r="B17" s="245" t="s">
        <v>729</v>
      </c>
    </row>
    <row r="18" spans="1:2" ht="18">
      <c r="B18" s="245" t="s">
        <v>730</v>
      </c>
    </row>
  </sheetData>
  <sheetProtection algorithmName="SHA-512" hashValue="SnADgzZ4IQU+oMjpNmdIjFHxbwlPhf9sL8pOaLrllE2pnW/rJrNZCwmHycV7eQdi2IVVzoM7BYjOQZlgNPQ3ZA==" saltValue="n2gWCxpOFsITWXl5lndAHQ==" spinCount="100000" sheet="1" objects="1" scenarios="1"/>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Y105"/>
  <sheetViews>
    <sheetView showGridLines="0" workbookViewId="0">
      <selection activeCell="T8" sqref="T8"/>
    </sheetView>
  </sheetViews>
  <sheetFormatPr baseColWidth="10" defaultColWidth="11" defaultRowHeight="13.2"/>
  <cols>
    <col min="1" max="1" width="3.44140625" style="34" customWidth="1"/>
    <col min="2" max="2" width="20.21875" style="34" customWidth="1"/>
    <col min="3" max="3" width="0.77734375" style="56" customWidth="1"/>
    <col min="4" max="4" width="10.21875" style="34" bestFit="1" customWidth="1"/>
    <col min="5" max="5" width="1.21875" style="34" customWidth="1"/>
    <col min="6" max="6" width="5.21875" style="36" customWidth="1"/>
    <col min="7" max="7" width="9.44140625" style="34" customWidth="1"/>
    <col min="8" max="8" width="1.21875" style="34" customWidth="1"/>
    <col min="9" max="9" width="5.44140625" style="57" customWidth="1"/>
    <col min="10" max="10" width="3.44140625" style="76" customWidth="1"/>
    <col min="11" max="11" width="12.21875" style="34" customWidth="1"/>
    <col min="12" max="12" width="13.44140625" style="34" customWidth="1"/>
    <col min="13" max="13" width="13.77734375" style="13" customWidth="1"/>
    <col min="14" max="14" width="11" style="13"/>
    <col min="15" max="15" width="13.44140625" style="34" customWidth="1"/>
    <col min="16" max="16" width="3.44140625" style="34" customWidth="1"/>
    <col min="17" max="17" width="10.44140625" style="34" customWidth="1"/>
    <col min="18" max="18" width="8.21875" style="34" customWidth="1"/>
    <col min="19" max="19" width="5.44140625" style="34" customWidth="1"/>
    <col min="20" max="20" width="11" style="34"/>
    <col min="21" max="21" width="1.77734375" style="34" customWidth="1"/>
    <col min="22" max="22" width="5.44140625" style="34" customWidth="1"/>
    <col min="23" max="23" width="3.44140625" style="34" customWidth="1"/>
    <col min="24" max="24" width="11" style="34"/>
    <col min="25" max="25" width="1.77734375" style="34" customWidth="1"/>
    <col min="26" max="27" width="5.44140625" style="34" customWidth="1"/>
    <col min="28" max="28" width="11" style="34"/>
    <col min="29" max="29" width="1.77734375" style="34" customWidth="1"/>
    <col min="30" max="30" width="5.44140625" style="34" customWidth="1"/>
    <col min="31" max="16384" width="11" style="34"/>
  </cols>
  <sheetData>
    <row r="1" spans="1:77" s="3" customFormat="1" ht="17.399999999999999">
      <c r="A1" s="1" t="s">
        <v>46</v>
      </c>
      <c r="B1" s="1"/>
      <c r="C1" s="30"/>
      <c r="E1" s="2"/>
      <c r="F1" s="31"/>
      <c r="G1" s="131" t="s">
        <v>1431</v>
      </c>
      <c r="H1" s="2"/>
      <c r="I1" s="31"/>
      <c r="K1" s="973">
        <v>45300</v>
      </c>
      <c r="M1" s="2575">
        <v>45300</v>
      </c>
      <c r="N1" s="34" t="s">
        <v>731</v>
      </c>
      <c r="O1" s="974">
        <v>45300</v>
      </c>
    </row>
    <row r="2" spans="1:77" ht="15.75" customHeight="1" thickBot="1">
      <c r="A2" s="177" t="s">
        <v>75</v>
      </c>
      <c r="B2" s="13"/>
      <c r="C2" s="32"/>
      <c r="D2" s="13"/>
      <c r="E2" s="13"/>
      <c r="F2" s="31"/>
      <c r="I2" s="34"/>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pans="1:77" ht="15.75" customHeight="1" thickBot="1">
      <c r="A3" s="13"/>
      <c r="B3" s="35" t="s">
        <v>25</v>
      </c>
      <c r="C3" s="32"/>
      <c r="D3" s="4105"/>
      <c r="E3" s="4017"/>
      <c r="F3" s="4018"/>
      <c r="G3" s="4461" t="s">
        <v>27</v>
      </c>
      <c r="H3" s="4462"/>
      <c r="I3" s="4463"/>
      <c r="J3" s="3"/>
      <c r="K3" s="3" t="s">
        <v>1270</v>
      </c>
      <c r="L3" s="3"/>
      <c r="M3" s="975">
        <v>44927</v>
      </c>
      <c r="N3" s="975" t="s">
        <v>157</v>
      </c>
      <c r="O3" s="975">
        <v>45291</v>
      </c>
      <c r="P3" s="976">
        <v>6</v>
      </c>
      <c r="Q3" s="880">
        <v>44927</v>
      </c>
      <c r="R3" s="880">
        <v>44959</v>
      </c>
      <c r="S3" s="880">
        <v>44991</v>
      </c>
      <c r="T3" s="880">
        <v>45023</v>
      </c>
      <c r="U3" s="880">
        <v>45055</v>
      </c>
      <c r="V3" s="880">
        <v>45087</v>
      </c>
      <c r="W3" s="880">
        <v>45119</v>
      </c>
      <c r="X3" s="880">
        <v>45151</v>
      </c>
      <c r="Y3" s="880">
        <v>45183</v>
      </c>
      <c r="Z3" s="880">
        <v>45215</v>
      </c>
      <c r="AA3" s="880">
        <v>45247</v>
      </c>
      <c r="AB3" s="880">
        <v>45279</v>
      </c>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row>
    <row r="4" spans="1:77" ht="15">
      <c r="D4" s="36"/>
      <c r="G4" s="164"/>
      <c r="I4" s="111"/>
      <c r="J4" s="3"/>
      <c r="K4" s="3"/>
      <c r="L4" s="3"/>
      <c r="M4" s="3"/>
      <c r="N4" s="3"/>
      <c r="O4" s="2575"/>
      <c r="P4" s="3"/>
      <c r="Q4" s="976">
        <v>17249.107813709677</v>
      </c>
      <c r="R4" s="976">
        <v>17249.107813709677</v>
      </c>
      <c r="S4" s="976">
        <v>17249.107813709677</v>
      </c>
      <c r="T4" s="976">
        <v>17249.107813709677</v>
      </c>
      <c r="U4" s="976">
        <v>18609.337813709677</v>
      </c>
      <c r="V4" s="976">
        <v>17249.107813709677</v>
      </c>
      <c r="W4" s="976">
        <v>17559.59168467742</v>
      </c>
      <c r="X4" s="976">
        <v>17784.206033064514</v>
      </c>
      <c r="Y4" s="976">
        <v>17784.206033064514</v>
      </c>
      <c r="Z4" s="976">
        <v>17784.206033064514</v>
      </c>
      <c r="AA4" s="976">
        <v>17784.206033064514</v>
      </c>
      <c r="AB4" s="976">
        <v>17784.206033064514</v>
      </c>
      <c r="AC4" s="976"/>
      <c r="AD4" s="267"/>
      <c r="AE4" s="267"/>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row>
    <row r="5" spans="1:77" ht="15">
      <c r="A5" s="36" t="s">
        <v>19</v>
      </c>
      <c r="B5" s="37"/>
      <c r="C5" s="38"/>
      <c r="D5" s="39" t="s">
        <v>6</v>
      </c>
      <c r="E5" s="39"/>
      <c r="F5" s="40" t="s">
        <v>28</v>
      </c>
      <c r="G5" s="165" t="s">
        <v>6</v>
      </c>
      <c r="H5" s="39"/>
      <c r="I5" s="40" t="s">
        <v>28</v>
      </c>
      <c r="J5" s="3"/>
      <c r="K5" s="3"/>
      <c r="L5" s="541"/>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row>
    <row r="6" spans="1:77" ht="20.25" customHeight="1">
      <c r="A6" s="41"/>
      <c r="B6" s="42" t="s">
        <v>29</v>
      </c>
      <c r="C6" s="43"/>
      <c r="D6" s="109"/>
      <c r="E6" s="44"/>
      <c r="F6" s="60"/>
      <c r="G6" s="109">
        <v>382612.56515634293</v>
      </c>
      <c r="H6" s="44"/>
      <c r="I6" s="60">
        <v>75.759357492121211</v>
      </c>
      <c r="J6" s="3"/>
      <c r="K6" s="3"/>
      <c r="L6" s="3672" t="s">
        <v>1058</v>
      </c>
      <c r="M6" s="3672"/>
      <c r="N6" s="3672"/>
      <c r="O6" s="3672"/>
      <c r="P6" s="3672"/>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row>
    <row r="7" spans="1:77" ht="20.25" customHeight="1">
      <c r="A7" s="46"/>
      <c r="B7" s="47" t="s">
        <v>30</v>
      </c>
      <c r="C7" s="48"/>
      <c r="D7" s="110"/>
      <c r="E7" s="49"/>
      <c r="F7" s="62"/>
      <c r="G7" s="109">
        <v>94636.237880797373</v>
      </c>
      <c r="H7" s="49"/>
      <c r="I7" s="62">
        <v>18.738486997652892</v>
      </c>
      <c r="J7" s="3"/>
      <c r="K7" s="3"/>
      <c r="L7" s="3672"/>
      <c r="M7" s="3672"/>
      <c r="N7" s="3672"/>
      <c r="O7" s="3672"/>
      <c r="P7" s="3672"/>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row>
    <row r="8" spans="1:77" ht="20.25" customHeight="1">
      <c r="A8" s="41"/>
      <c r="B8" s="42" t="s">
        <v>31</v>
      </c>
      <c r="C8" s="43"/>
      <c r="D8" s="110"/>
      <c r="E8" s="44"/>
      <c r="F8" s="60"/>
      <c r="G8" s="109">
        <v>477248.80303714029</v>
      </c>
      <c r="H8" s="44"/>
      <c r="I8" s="60">
        <v>94.497844489774096</v>
      </c>
      <c r="J8" s="3"/>
      <c r="K8" s="3"/>
      <c r="L8" s="3672"/>
      <c r="M8" s="3672"/>
      <c r="N8" s="3672"/>
      <c r="O8" s="3672"/>
      <c r="P8" s="3672"/>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row>
    <row r="9" spans="1:77" ht="20.25" customHeight="1">
      <c r="A9" s="51"/>
      <c r="B9" s="42" t="s">
        <v>32</v>
      </c>
      <c r="C9" s="52"/>
      <c r="D9" s="109"/>
      <c r="E9" s="44"/>
      <c r="F9" s="60"/>
      <c r="G9" s="109">
        <v>27787.905063418355</v>
      </c>
      <c r="H9" s="44"/>
      <c r="I9" s="66">
        <v>5.5021555102258946</v>
      </c>
      <c r="J9" s="3"/>
      <c r="K9" s="3"/>
      <c r="L9" s="3672"/>
      <c r="M9" s="3672"/>
      <c r="N9" s="3672"/>
      <c r="O9" s="3672"/>
      <c r="P9" s="3672"/>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row>
    <row r="10" spans="1:77" ht="20.25" customHeight="1">
      <c r="A10" s="54"/>
      <c r="B10" s="977" t="s">
        <v>33</v>
      </c>
      <c r="C10" s="55"/>
      <c r="D10" s="978"/>
      <c r="E10" s="979"/>
      <c r="F10" s="980"/>
      <c r="G10" s="978">
        <v>505036.70810055867</v>
      </c>
      <c r="H10" s="979"/>
      <c r="I10" s="980">
        <v>100</v>
      </c>
      <c r="J10" s="3"/>
      <c r="K10" s="3"/>
      <c r="L10" s="3672"/>
      <c r="M10" s="3672"/>
      <c r="N10" s="3672"/>
      <c r="O10" s="3672"/>
      <c r="P10" s="3672"/>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row>
    <row r="11" spans="1:77" ht="20.25" customHeight="1">
      <c r="A11" s="51"/>
      <c r="B11" s="47" t="s">
        <v>50</v>
      </c>
      <c r="C11" s="65"/>
      <c r="D11" s="110"/>
      <c r="E11" s="49"/>
      <c r="F11" s="66"/>
      <c r="G11" s="110">
        <v>53028.854350558657</v>
      </c>
      <c r="H11" s="49"/>
      <c r="I11" s="66">
        <v>10.5</v>
      </c>
      <c r="J11" s="3"/>
      <c r="K11" s="3"/>
      <c r="L11" s="3"/>
      <c r="M11" s="3"/>
      <c r="N11" s="3"/>
      <c r="O11" s="3"/>
      <c r="P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row>
    <row r="12" spans="1:77" ht="20.25" customHeight="1">
      <c r="A12" s="981"/>
      <c r="B12" s="977" t="s">
        <v>34</v>
      </c>
      <c r="C12" s="55"/>
      <c r="D12" s="978"/>
      <c r="E12" s="979"/>
      <c r="F12" s="982"/>
      <c r="G12" s="978">
        <v>452007.85375000001</v>
      </c>
      <c r="H12" s="979"/>
      <c r="I12" s="982">
        <v>89.5</v>
      </c>
      <c r="J12" s="3"/>
      <c r="K12" s="3"/>
      <c r="L12" s="3672" t="s">
        <v>1059</v>
      </c>
      <c r="M12" s="3672"/>
      <c r="N12" s="3672"/>
      <c r="O12" s="3672"/>
      <c r="P12" s="3672"/>
      <c r="Q12" s="3672"/>
      <c r="R12" s="3672"/>
      <c r="S12" s="3672"/>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row>
    <row r="13" spans="1:77" ht="20.25" customHeight="1">
      <c r="A13" s="51"/>
      <c r="B13" s="47" t="s">
        <v>35</v>
      </c>
      <c r="C13" s="65"/>
      <c r="D13" s="110"/>
      <c r="E13" s="49"/>
      <c r="F13" s="66"/>
      <c r="G13" s="109">
        <v>211335.49775000001</v>
      </c>
      <c r="H13" s="49"/>
      <c r="I13" s="66">
        <v>41.845571690191015</v>
      </c>
      <c r="J13" s="3"/>
      <c r="K13" s="3"/>
      <c r="L13" s="3672"/>
      <c r="M13" s="3672"/>
      <c r="N13" s="3672"/>
      <c r="O13" s="3672"/>
      <c r="P13" s="3672"/>
      <c r="Q13" s="3672"/>
      <c r="R13" s="3672"/>
      <c r="S13" s="3672"/>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row>
    <row r="14" spans="1:77" ht="20.25" customHeight="1" thickBot="1">
      <c r="A14" s="981"/>
      <c r="B14" s="983" t="s">
        <v>7</v>
      </c>
      <c r="C14" s="984"/>
      <c r="D14" s="985"/>
      <c r="E14" s="986"/>
      <c r="F14" s="987"/>
      <c r="G14" s="978">
        <v>240672.356</v>
      </c>
      <c r="H14" s="986"/>
      <c r="I14" s="987">
        <v>47.654428309808985</v>
      </c>
      <c r="J14" s="3"/>
      <c r="K14" s="3"/>
      <c r="L14" s="3672"/>
      <c r="M14" s="3672"/>
      <c r="N14" s="3672"/>
      <c r="O14" s="3672"/>
      <c r="P14" s="3672"/>
      <c r="Q14" s="3672"/>
      <c r="R14" s="3672"/>
      <c r="S14" s="3672"/>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row>
    <row r="15" spans="1:77" ht="20.25" customHeight="1">
      <c r="A15" s="46"/>
      <c r="B15" s="68" t="s">
        <v>9</v>
      </c>
      <c r="C15" s="48"/>
      <c r="D15" s="110"/>
      <c r="E15" s="49"/>
      <c r="F15" s="69"/>
      <c r="G15" s="109">
        <v>40064.055999999997</v>
      </c>
      <c r="H15" s="49"/>
      <c r="I15" s="69">
        <v>7.9328997986464742</v>
      </c>
      <c r="J15" s="3"/>
      <c r="K15" s="3"/>
      <c r="L15" s="3672"/>
      <c r="M15" s="3672"/>
      <c r="N15" s="3672"/>
      <c r="O15" s="3672"/>
      <c r="P15" s="3672"/>
      <c r="Q15" s="3672"/>
      <c r="R15" s="3672"/>
      <c r="S15" s="3672"/>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row>
    <row r="16" spans="1:77" ht="20.25" customHeight="1">
      <c r="A16" s="46"/>
      <c r="B16" s="70" t="s">
        <v>52</v>
      </c>
      <c r="C16" s="48"/>
      <c r="D16" s="110"/>
      <c r="E16" s="49"/>
      <c r="F16" s="69"/>
      <c r="G16" s="109">
        <v>11626.1</v>
      </c>
      <c r="H16" s="49"/>
      <c r="I16" s="69">
        <v>2.3020306867842781</v>
      </c>
      <c r="J16" s="3"/>
      <c r="K16" s="3"/>
      <c r="L16" s="3672"/>
      <c r="M16" s="3672"/>
      <c r="N16" s="3672"/>
      <c r="O16" s="3672"/>
      <c r="P16" s="3672"/>
      <c r="Q16" s="3672"/>
      <c r="R16" s="3672"/>
      <c r="S16" s="3672"/>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row>
    <row r="17" spans="1:77" ht="20.25" customHeight="1">
      <c r="A17" s="46"/>
      <c r="B17" s="70" t="s">
        <v>10</v>
      </c>
      <c r="C17" s="48"/>
      <c r="D17" s="110"/>
      <c r="E17" s="49"/>
      <c r="F17" s="69"/>
      <c r="G17" s="109">
        <v>3100</v>
      </c>
      <c r="H17" s="49"/>
      <c r="I17" s="69">
        <v>0.61381676822247033</v>
      </c>
      <c r="J17" s="3"/>
      <c r="K17" s="3"/>
      <c r="L17" s="3404"/>
      <c r="M17" s="3404"/>
      <c r="N17" s="3404"/>
      <c r="O17" s="3404"/>
      <c r="P17" s="3404"/>
      <c r="Q17" s="3404"/>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row>
    <row r="18" spans="1:77" ht="20.25" customHeight="1">
      <c r="A18" s="46"/>
      <c r="B18" s="70" t="s">
        <v>142</v>
      </c>
      <c r="C18" s="48"/>
      <c r="D18" s="110"/>
      <c r="E18" s="49"/>
      <c r="F18" s="69"/>
      <c r="G18" s="109">
        <v>7500</v>
      </c>
      <c r="H18" s="49"/>
      <c r="I18" s="69">
        <v>1.4850405682801702</v>
      </c>
      <c r="J18" s="3"/>
      <c r="K18" s="3"/>
      <c r="L18" s="3404"/>
      <c r="M18" s="3404"/>
      <c r="N18" s="3404"/>
      <c r="O18" s="3404"/>
      <c r="P18" s="3404"/>
      <c r="Q18" s="3404"/>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row>
    <row r="19" spans="1:77" ht="20.25" customHeight="1">
      <c r="A19" s="46"/>
      <c r="B19" s="70" t="s">
        <v>59</v>
      </c>
      <c r="C19" s="48"/>
      <c r="D19" s="110"/>
      <c r="E19" s="49"/>
      <c r="F19" s="69"/>
      <c r="G19" s="109">
        <v>8000</v>
      </c>
      <c r="H19" s="49"/>
      <c r="I19" s="69">
        <v>1.5840432728321814</v>
      </c>
      <c r="J19" s="3"/>
      <c r="K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row>
    <row r="20" spans="1:77" ht="20.25" customHeight="1">
      <c r="A20" s="46"/>
      <c r="B20" s="70" t="s">
        <v>12</v>
      </c>
      <c r="C20" s="48"/>
      <c r="D20" s="110"/>
      <c r="E20" s="49"/>
      <c r="F20" s="69"/>
      <c r="G20" s="109">
        <v>900</v>
      </c>
      <c r="H20" s="49"/>
      <c r="I20" s="69">
        <v>0.17820486819362039</v>
      </c>
      <c r="J20" s="3"/>
      <c r="K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row>
    <row r="21" spans="1:77" ht="20.25" customHeight="1">
      <c r="A21" s="46"/>
      <c r="B21" s="70" t="s">
        <v>13</v>
      </c>
      <c r="C21" s="48"/>
      <c r="D21" s="110"/>
      <c r="E21" s="49"/>
      <c r="F21" s="69"/>
      <c r="G21" s="109">
        <v>1200</v>
      </c>
      <c r="H21" s="49"/>
      <c r="I21" s="69">
        <v>0.23760649092482719</v>
      </c>
      <c r="J21" s="3"/>
      <c r="K21" s="365" t="s">
        <v>525</v>
      </c>
      <c r="M21" s="988" t="s">
        <v>525</v>
      </c>
      <c r="N21" s="34" t="s">
        <v>525</v>
      </c>
      <c r="O21" s="365" t="s">
        <v>525</v>
      </c>
      <c r="Q21" s="252" t="s">
        <v>525</v>
      </c>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row>
    <row r="22" spans="1:77" ht="20.25" customHeight="1">
      <c r="A22" s="46"/>
      <c r="B22" s="70" t="s">
        <v>14</v>
      </c>
      <c r="C22" s="48"/>
      <c r="D22" s="110"/>
      <c r="E22" s="49"/>
      <c r="F22" s="69"/>
      <c r="G22" s="109">
        <v>11300</v>
      </c>
      <c r="H22" s="49"/>
      <c r="I22" s="69">
        <v>2.2374611228754562</v>
      </c>
      <c r="J22" s="3"/>
      <c r="K22" s="3"/>
      <c r="L22" s="3"/>
      <c r="M22" s="3"/>
      <c r="N22" s="3"/>
      <c r="O22" s="3"/>
      <c r="P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row>
    <row r="23" spans="1:77" ht="20.25" customHeight="1">
      <c r="A23" s="46"/>
      <c r="B23" s="70" t="s">
        <v>15</v>
      </c>
      <c r="C23" s="48"/>
      <c r="D23" s="110"/>
      <c r="E23" s="49"/>
      <c r="F23" s="69"/>
      <c r="G23" s="109">
        <v>60000</v>
      </c>
      <c r="H23" s="49"/>
      <c r="I23" s="69">
        <v>11.880324546241361</v>
      </c>
      <c r="J23" s="3"/>
      <c r="K23" s="3"/>
      <c r="L23" s="3"/>
      <c r="M23" s="3" t="s">
        <v>525</v>
      </c>
      <c r="N23" s="3" t="s">
        <v>525</v>
      </c>
      <c r="O23" s="3"/>
      <c r="P23" s="3"/>
      <c r="Q23" s="3" t="s">
        <v>525</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row>
    <row r="24" spans="1:77" ht="20.25" customHeight="1" thickBot="1">
      <c r="A24" s="51"/>
      <c r="B24" s="181" t="s">
        <v>16</v>
      </c>
      <c r="C24" s="71"/>
      <c r="D24" s="109"/>
      <c r="E24" s="44"/>
      <c r="F24" s="66"/>
      <c r="G24" s="109">
        <v>143690.15599999999</v>
      </c>
      <c r="H24" s="44"/>
      <c r="I24" s="66">
        <v>28.451428123000838</v>
      </c>
      <c r="J24" s="3"/>
      <c r="K24" s="3"/>
      <c r="L24" s="3"/>
      <c r="M24" s="3"/>
      <c r="N24" s="3"/>
      <c r="O24" s="3"/>
      <c r="P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row>
    <row r="25" spans="1:77" ht="20.25" customHeight="1">
      <c r="A25" s="54"/>
      <c r="B25" s="72" t="s">
        <v>18</v>
      </c>
      <c r="C25" s="55"/>
      <c r="D25" s="978"/>
      <c r="E25" s="979"/>
      <c r="F25" s="980"/>
      <c r="G25" s="978">
        <v>96982.200000000012</v>
      </c>
      <c r="H25" s="979"/>
      <c r="I25" s="980">
        <v>19.203000186808151</v>
      </c>
      <c r="J25" s="3"/>
      <c r="K25" s="3"/>
      <c r="L25" s="3"/>
      <c r="M25" s="3"/>
      <c r="N25" s="3"/>
      <c r="O25" s="3"/>
      <c r="P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row>
    <row r="26" spans="1:77" ht="20.25" customHeight="1">
      <c r="A26" s="46"/>
      <c r="B26" s="47" t="s">
        <v>36</v>
      </c>
      <c r="C26" s="73"/>
      <c r="D26" s="989"/>
      <c r="E26" s="990"/>
      <c r="F26" s="991"/>
      <c r="G26" s="989">
        <v>0</v>
      </c>
      <c r="H26" s="49"/>
      <c r="I26" s="69"/>
      <c r="J26" s="3"/>
      <c r="K26" s="3"/>
      <c r="L26" s="3"/>
      <c r="M26" s="3"/>
      <c r="N26" s="3"/>
      <c r="O26" s="3"/>
      <c r="P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row>
    <row r="27" spans="1:77" ht="20.25" customHeight="1">
      <c r="A27" s="46"/>
      <c r="B27" s="47" t="s">
        <v>37</v>
      </c>
      <c r="C27" s="73"/>
      <c r="D27" s="989"/>
      <c r="E27" s="990"/>
      <c r="F27" s="991"/>
      <c r="G27" s="989">
        <v>0</v>
      </c>
      <c r="H27" s="49"/>
      <c r="I27" s="69"/>
      <c r="J27" s="3"/>
      <c r="K27" s="3"/>
      <c r="L27" s="3"/>
      <c r="M27" s="3"/>
      <c r="N27" s="3"/>
      <c r="O27" s="3"/>
      <c r="P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row>
    <row r="28" spans="1:77" ht="20.25" customHeight="1">
      <c r="A28" s="46"/>
      <c r="B28" s="992" t="s">
        <v>732</v>
      </c>
      <c r="C28" s="73"/>
      <c r="D28" s="989"/>
      <c r="E28" s="990"/>
      <c r="F28" s="991"/>
      <c r="G28" s="989">
        <v>0</v>
      </c>
      <c r="H28" s="49"/>
      <c r="I28" s="69"/>
      <c r="J28" s="3"/>
      <c r="K28" s="3"/>
      <c r="L28" s="3"/>
      <c r="M28" s="3"/>
      <c r="N28" s="3"/>
      <c r="O28" s="3"/>
      <c r="P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row>
    <row r="29" spans="1:77" ht="20.25" customHeight="1">
      <c r="A29" s="54"/>
      <c r="B29" s="977" t="s">
        <v>40</v>
      </c>
      <c r="C29" s="55"/>
      <c r="D29" s="978"/>
      <c r="E29" s="979"/>
      <c r="F29" s="980"/>
      <c r="G29" s="978">
        <v>96982.200000000012</v>
      </c>
      <c r="H29" s="979"/>
      <c r="I29" s="980">
        <v>19.203000186808151</v>
      </c>
      <c r="J29" s="3"/>
      <c r="K29" s="3"/>
      <c r="L29" s="3"/>
      <c r="M29" s="3"/>
      <c r="N29" s="3"/>
      <c r="O29" s="3"/>
      <c r="P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row>
    <row r="30" spans="1:77" ht="20.25" customHeight="1">
      <c r="A30" s="46"/>
      <c r="B30" s="47" t="s">
        <v>14</v>
      </c>
      <c r="C30" s="73"/>
      <c r="D30" s="110"/>
      <c r="E30" s="49"/>
      <c r="F30" s="69"/>
      <c r="G30" s="110">
        <v>11300</v>
      </c>
      <c r="H30" s="49"/>
      <c r="I30" s="69"/>
      <c r="J30" s="3"/>
      <c r="K30" s="3"/>
      <c r="L30" s="3"/>
      <c r="M30" s="3"/>
      <c r="N30" s="3"/>
      <c r="O30" s="3"/>
      <c r="P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row>
    <row r="31" spans="1:77" ht="20.25" customHeight="1">
      <c r="A31" s="51"/>
      <c r="B31" s="992"/>
      <c r="C31" s="71"/>
      <c r="D31" s="109"/>
      <c r="E31" s="44"/>
      <c r="F31" s="66"/>
      <c r="G31" s="109" t="s">
        <v>525</v>
      </c>
      <c r="H31" s="44"/>
      <c r="I31" s="66"/>
      <c r="J31" s="3"/>
      <c r="K31" s="3"/>
      <c r="L31" s="3"/>
      <c r="M31" s="3"/>
      <c r="N31" s="3"/>
      <c r="O31" s="3"/>
      <c r="P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row>
    <row r="32" spans="1:77" ht="20.25" customHeight="1">
      <c r="A32" s="54"/>
      <c r="B32" s="977" t="s">
        <v>42</v>
      </c>
      <c r="C32" s="55"/>
      <c r="D32" s="978"/>
      <c r="E32" s="979"/>
      <c r="F32" s="980"/>
      <c r="G32" s="978">
        <v>108282.20000000001</v>
      </c>
      <c r="H32" s="979"/>
      <c r="I32" s="980">
        <v>21.440461309683606</v>
      </c>
      <c r="J32" s="3"/>
      <c r="K32" s="3"/>
      <c r="L32" s="3"/>
      <c r="M32" s="3"/>
      <c r="N32" s="3"/>
      <c r="O32" s="3"/>
      <c r="P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row>
    <row r="33" spans="1:77" ht="20.25" customHeight="1">
      <c r="A33" s="46"/>
      <c r="B33" s="104" t="s">
        <v>1091</v>
      </c>
      <c r="C33" s="73"/>
      <c r="D33" s="110"/>
      <c r="E33" s="49"/>
      <c r="F33" s="125"/>
      <c r="G33" s="110">
        <v>30778</v>
      </c>
      <c r="H33" s="49"/>
      <c r="I33" s="125">
        <v>6.0942104814036098</v>
      </c>
      <c r="J33" s="3"/>
      <c r="K33" s="3"/>
      <c r="L33" s="3"/>
      <c r="M33" s="3"/>
      <c r="N33" s="3"/>
      <c r="O33" s="3"/>
      <c r="P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row>
    <row r="34" spans="1:77" ht="20.25" customHeight="1">
      <c r="A34" s="46"/>
      <c r="B34" s="104" t="s">
        <v>1092</v>
      </c>
      <c r="C34" s="73"/>
      <c r="D34" s="110"/>
      <c r="E34" s="49"/>
      <c r="F34" s="125"/>
      <c r="G34" s="110">
        <v>59222</v>
      </c>
      <c r="H34" s="49"/>
      <c r="I34" s="125">
        <v>11.72627633795843</v>
      </c>
      <c r="J34" s="3"/>
      <c r="K34" s="3"/>
      <c r="L34" s="3"/>
      <c r="M34" s="3"/>
      <c r="N34" s="3"/>
      <c r="O34" s="3"/>
      <c r="P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row>
    <row r="35" spans="1:77" ht="20.25" customHeight="1">
      <c r="A35" s="46"/>
      <c r="B35" s="171" t="s">
        <v>111</v>
      </c>
      <c r="C35" s="73"/>
      <c r="D35" s="110"/>
      <c r="E35" s="49"/>
      <c r="F35" s="125"/>
      <c r="G35" s="110">
        <v>13282.2</v>
      </c>
      <c r="H35" s="49"/>
      <c r="I35" s="125">
        <v>2.6299474448014499</v>
      </c>
      <c r="J35" s="3"/>
      <c r="K35" s="3"/>
      <c r="L35" s="3"/>
      <c r="M35" s="3"/>
      <c r="N35" s="3"/>
      <c r="O35" s="3"/>
      <c r="P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row>
    <row r="36" spans="1:77" ht="20.25" customHeight="1">
      <c r="A36" s="51"/>
      <c r="B36" s="42" t="s">
        <v>43</v>
      </c>
      <c r="C36" s="71"/>
      <c r="D36" s="109"/>
      <c r="E36" s="44"/>
      <c r="F36" s="75"/>
      <c r="G36" s="109">
        <v>0</v>
      </c>
      <c r="H36" s="44"/>
      <c r="I36" s="75"/>
      <c r="J36" s="3"/>
      <c r="K36" s="3"/>
      <c r="L36" s="3"/>
      <c r="M36" s="3"/>
      <c r="N36" s="3"/>
      <c r="O36" s="3"/>
      <c r="P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row>
    <row r="37" spans="1:77" ht="22.2">
      <c r="A37" s="981"/>
      <c r="B37" s="993" t="s">
        <v>773</v>
      </c>
      <c r="C37" s="994"/>
      <c r="D37" s="995"/>
      <c r="E37" s="986"/>
      <c r="F37" s="980"/>
      <c r="G37" s="995">
        <v>5000.0000000000109</v>
      </c>
      <c r="H37" s="986"/>
      <c r="I37" s="980">
        <v>0.99002704552011556</v>
      </c>
      <c r="J37" s="3"/>
      <c r="K37" s="3"/>
      <c r="L37" s="3"/>
      <c r="M37" s="3"/>
      <c r="N37" s="3"/>
      <c r="O37" s="3"/>
      <c r="P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row>
    <row r="38" spans="1:77" ht="15">
      <c r="A38" s="996"/>
      <c r="B38" s="997"/>
      <c r="C38" s="998"/>
      <c r="D38" s="999"/>
      <c r="E38" s="1000"/>
      <c r="F38" s="1001"/>
      <c r="G38" s="999"/>
      <c r="H38" s="1000"/>
      <c r="I38" s="1001"/>
      <c r="J38" s="3"/>
      <c r="K38" s="3"/>
      <c r="L38" s="3"/>
      <c r="M38" s="3"/>
      <c r="N38" s="3"/>
      <c r="O38" s="3"/>
      <c r="P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row>
    <row r="39" spans="1:77" ht="15">
      <c r="A39" s="13"/>
      <c r="B39" s="13"/>
      <c r="C39" s="32"/>
      <c r="D39" s="13"/>
      <c r="E39" s="13"/>
      <c r="F39" s="31"/>
      <c r="G39" s="13"/>
      <c r="H39" s="13"/>
      <c r="I39" s="136" t="s">
        <v>28</v>
      </c>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row>
    <row r="40" spans="1:77" ht="1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row>
    <row r="41" spans="1:77" ht="1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row>
    <row r="42" spans="1:77" ht="1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row>
    <row r="43" spans="1:77" ht="1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row>
    <row r="44" spans="1:77" ht="1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row>
    <row r="45" spans="1:77" ht="1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row>
    <row r="46" spans="1:77" ht="1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row>
    <row r="47" spans="1:77" ht="1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row>
    <row r="48" spans="1:77" ht="1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row>
    <row r="49" spans="1:77" ht="1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row>
    <row r="50" spans="1:77" ht="1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row>
    <row r="51" spans="1:77" ht="1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row>
    <row r="52" spans="1:77" ht="1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row>
    <row r="53" spans="1:77" ht="1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row>
    <row r="54" spans="1:77" s="3" customFormat="1" ht="15"/>
    <row r="55" spans="1:77"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row>
    <row r="56" spans="1:77"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row>
    <row r="57" spans="1:77" ht="1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row>
    <row r="58" spans="1:77" ht="1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row>
    <row r="59" spans="1:77" ht="20.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row>
    <row r="60" spans="1:77" ht="20.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row>
    <row r="61" spans="1:77" ht="20.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row>
    <row r="62" spans="1:77" ht="20.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row>
    <row r="63" spans="1:77" ht="20.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row>
    <row r="64" spans="1:77" ht="20.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row>
    <row r="65" spans="1:77" ht="20.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row>
    <row r="66" spans="1:77" ht="20.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row>
    <row r="67" spans="1:77" ht="20.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row>
    <row r="68" spans="1:77" ht="20.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row>
    <row r="69" spans="1:77" ht="20.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row>
    <row r="70" spans="1:77" ht="20.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row>
    <row r="71" spans="1:77" ht="20.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row>
    <row r="72" spans="1:77" ht="20.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row>
    <row r="73" spans="1:77" ht="20.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row>
    <row r="74" spans="1:77" ht="20.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row>
    <row r="75" spans="1:77" ht="20.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row>
    <row r="76" spans="1:77" ht="20.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row>
    <row r="77" spans="1:77" ht="20.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row>
    <row r="78" spans="1:77" ht="20.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row>
    <row r="79" spans="1:77" ht="20.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row>
    <row r="80" spans="1:77" ht="20.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row>
    <row r="81" spans="1:77" ht="20.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row>
    <row r="82" spans="1:77" ht="20.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row>
    <row r="83" spans="1:77" ht="20.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row>
    <row r="84" spans="1:77" ht="20.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row>
    <row r="85" spans="1:77" ht="20.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row>
    <row r="86" spans="1:77" ht="20.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row>
    <row r="87" spans="1:77" ht="20.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row>
    <row r="88" spans="1:77" ht="20.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row>
    <row r="89" spans="1:77" ht="20.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row>
    <row r="90" spans="1:77" ht="1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row>
    <row r="91" spans="1:77" ht="1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row>
    <row r="92" spans="1:77" ht="1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row>
    <row r="93" spans="1:77" ht="15">
      <c r="A93" s="3"/>
      <c r="B93" s="3"/>
      <c r="C93" s="3"/>
      <c r="D93" s="3"/>
      <c r="E93" s="3"/>
      <c r="F93" s="3"/>
      <c r="G93" s="3"/>
      <c r="H93" s="3"/>
      <c r="I93" s="3"/>
      <c r="J93" s="3"/>
      <c r="K93" s="3"/>
      <c r="L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1:77" ht="15">
      <c r="A94" s="3"/>
      <c r="B94" s="3"/>
      <c r="C94" s="3"/>
      <c r="D94" s="3"/>
      <c r="E94" s="3"/>
      <c r="F94" s="3"/>
      <c r="G94" s="3"/>
      <c r="H94" s="3"/>
      <c r="I94" s="3"/>
      <c r="J94" s="3"/>
      <c r="K94" s="3"/>
      <c r="L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1:77" ht="15">
      <c r="A95" s="3"/>
      <c r="B95" s="3"/>
      <c r="C95" s="3"/>
      <c r="D95" s="3"/>
      <c r="E95" s="3"/>
      <c r="F95" s="3"/>
      <c r="G95" s="3"/>
      <c r="H95" s="3"/>
      <c r="I95" s="3"/>
      <c r="J95" s="3"/>
      <c r="K95" s="3"/>
      <c r="L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1:77" ht="15">
      <c r="A96" s="3"/>
      <c r="B96" s="3"/>
      <c r="C96" s="3"/>
      <c r="D96" s="3"/>
      <c r="E96" s="3"/>
      <c r="F96" s="3"/>
      <c r="G96" s="3"/>
      <c r="H96" s="3"/>
      <c r="I96" s="3"/>
      <c r="J96" s="3"/>
      <c r="K96" s="3"/>
    </row>
    <row r="97" spans="1:11" ht="15">
      <c r="A97" s="3"/>
      <c r="B97" s="3"/>
      <c r="C97" s="3"/>
      <c r="D97" s="3"/>
      <c r="E97" s="3"/>
      <c r="F97" s="3"/>
      <c r="G97" s="3"/>
      <c r="H97" s="3"/>
      <c r="I97" s="3"/>
      <c r="J97" s="3"/>
      <c r="K97" s="3"/>
    </row>
    <row r="98" spans="1:11" ht="15">
      <c r="A98" s="3"/>
      <c r="B98" s="3"/>
      <c r="C98" s="3"/>
      <c r="D98" s="3"/>
      <c r="E98" s="3"/>
      <c r="F98" s="3"/>
      <c r="G98" s="3"/>
      <c r="H98" s="3"/>
      <c r="I98" s="3"/>
      <c r="J98" s="3"/>
      <c r="K98" s="3"/>
    </row>
    <row r="99" spans="1:11" ht="15">
      <c r="A99" s="3"/>
      <c r="B99" s="3"/>
      <c r="C99" s="3"/>
      <c r="D99" s="3"/>
      <c r="E99" s="3"/>
      <c r="F99" s="3"/>
      <c r="G99" s="3"/>
      <c r="H99" s="3"/>
      <c r="I99" s="3"/>
      <c r="J99" s="3"/>
      <c r="K99" s="3"/>
    </row>
    <row r="100" spans="1:11" ht="15">
      <c r="A100" s="3"/>
      <c r="B100" s="3"/>
      <c r="C100" s="3"/>
      <c r="D100" s="3"/>
      <c r="E100" s="3"/>
      <c r="F100" s="3"/>
      <c r="G100" s="3"/>
      <c r="H100" s="3"/>
      <c r="I100" s="3"/>
      <c r="J100" s="3"/>
      <c r="K100" s="3"/>
    </row>
    <row r="101" spans="1:11" ht="15">
      <c r="A101" s="3"/>
      <c r="B101" s="3"/>
      <c r="C101" s="3"/>
      <c r="D101" s="3"/>
      <c r="E101" s="3"/>
      <c r="F101" s="3"/>
      <c r="G101" s="3"/>
      <c r="H101" s="3"/>
      <c r="I101" s="3"/>
      <c r="J101" s="3"/>
      <c r="K101" s="3"/>
    </row>
    <row r="102" spans="1:11" ht="15">
      <c r="A102" s="3"/>
      <c r="B102" s="3"/>
      <c r="C102" s="3"/>
      <c r="D102" s="3"/>
      <c r="E102" s="3"/>
      <c r="F102" s="3"/>
      <c r="G102" s="3"/>
      <c r="H102" s="3"/>
      <c r="I102" s="3"/>
      <c r="J102" s="3"/>
      <c r="K102" s="3"/>
    </row>
    <row r="103" spans="1:11" ht="15">
      <c r="A103" s="3"/>
      <c r="B103" s="3"/>
      <c r="C103" s="3"/>
      <c r="D103" s="3"/>
      <c r="E103" s="3"/>
      <c r="F103" s="3"/>
      <c r="G103" s="3"/>
      <c r="H103" s="3"/>
      <c r="I103" s="3"/>
      <c r="J103" s="3"/>
      <c r="K103" s="3"/>
    </row>
    <row r="104" spans="1:11" ht="15">
      <c r="A104" s="3"/>
      <c r="B104" s="3"/>
      <c r="C104" s="3"/>
      <c r="D104" s="3"/>
      <c r="E104" s="3"/>
      <c r="F104" s="3"/>
      <c r="G104" s="3"/>
      <c r="H104" s="3"/>
      <c r="I104" s="3"/>
      <c r="J104" s="3"/>
      <c r="K104" s="3"/>
    </row>
    <row r="105" spans="1:11" ht="15">
      <c r="A105" s="3"/>
      <c r="B105" s="3"/>
      <c r="C105" s="3"/>
      <c r="D105" s="3"/>
      <c r="E105" s="3"/>
      <c r="F105" s="3"/>
      <c r="G105" s="3"/>
      <c r="H105" s="3"/>
      <c r="I105" s="3"/>
      <c r="J105" s="3"/>
      <c r="K105" s="3"/>
    </row>
  </sheetData>
  <customSheetViews>
    <customSheetView guid="{91EE9386-9500-473B-B86C-27DB8DF0BA46}">
      <selection activeCell="B3" sqref="B3"/>
      <pageMargins left="0.7" right="0.7" top="0.78740157499999996" bottom="0.78740157499999996" header="0.3" footer="0.3"/>
      <pageSetup paperSize="9" orientation="portrait" r:id="rId1"/>
    </customSheetView>
    <customSheetView guid="{B8019777-F14C-4393-8CE3-CE0081D0CD28}">
      <selection activeCell="B3" sqref="B3"/>
      <pageMargins left="0.7" right="0.7" top="0.78740157499999996" bottom="0.78740157499999996" header="0.3" footer="0.3"/>
      <pageSetup paperSize="9" orientation="portrait" r:id="rId2"/>
    </customSheetView>
  </customSheetViews>
  <mergeCells count="5">
    <mergeCell ref="D3:F3"/>
    <mergeCell ref="G3:I3"/>
    <mergeCell ref="L6:P10"/>
    <mergeCell ref="L12:S16"/>
    <mergeCell ref="L17:Q18"/>
  </mergeCells>
  <pageMargins left="0.7" right="0.7" top="0.78740157499999996" bottom="0.78740157499999996" header="0.3" footer="0.3"/>
  <pageSetup paperSize="9" orientation="portrait" r:id="rId3"/>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V132"/>
  <sheetViews>
    <sheetView showGridLines="0" zoomScale="120" zoomScaleNormal="120" workbookViewId="0">
      <selection activeCell="F13" sqref="F13"/>
    </sheetView>
  </sheetViews>
  <sheetFormatPr baseColWidth="10" defaultColWidth="11.44140625" defaultRowHeight="13.2"/>
  <cols>
    <col min="1" max="1" width="23" style="1026" bestFit="1" customWidth="1"/>
    <col min="2" max="2" width="8.21875" style="389" customWidth="1"/>
    <col min="3" max="3" width="4.77734375" style="389" customWidth="1"/>
    <col min="4" max="15" width="8.21875" style="389" customWidth="1"/>
    <col min="16" max="17" width="4.44140625" style="389" customWidth="1"/>
    <col min="18" max="37" width="3.44140625" style="389" customWidth="1"/>
    <col min="38" max="38" width="4" style="389" customWidth="1"/>
    <col min="39" max="40" width="3.44140625" style="389" customWidth="1"/>
    <col min="41" max="41" width="11.44140625" style="389"/>
    <col min="42" max="42" width="10.5546875" style="389" customWidth="1"/>
    <col min="43" max="47" width="6.5546875" style="389" customWidth="1"/>
    <col min="48" max="48" width="8.44140625" style="389" customWidth="1"/>
    <col min="49" max="49" width="9.44140625" style="389" customWidth="1"/>
    <col min="50" max="50" width="10.21875" style="389" customWidth="1"/>
    <col min="51" max="75" width="6.77734375" style="389" customWidth="1"/>
    <col min="76" max="76" width="6" style="389" customWidth="1"/>
    <col min="77" max="77" width="6.5546875" style="389" customWidth="1"/>
    <col min="78" max="78" width="5.5546875" style="389" customWidth="1"/>
    <col min="79" max="16384" width="11.44140625" style="389"/>
  </cols>
  <sheetData>
    <row r="1" spans="1:74" ht="27.75" customHeight="1">
      <c r="A1" s="625" t="s">
        <v>749</v>
      </c>
    </row>
    <row r="2" spans="1:74" ht="18.75" customHeight="1">
      <c r="A2" s="1002" t="s">
        <v>750</v>
      </c>
      <c r="B2" s="1927"/>
      <c r="C2" s="1028"/>
      <c r="D2" s="1028">
        <v>44927</v>
      </c>
      <c r="E2" s="1028">
        <v>44959</v>
      </c>
      <c r="F2" s="1028">
        <v>44991</v>
      </c>
      <c r="G2" s="1028">
        <v>45023</v>
      </c>
      <c r="H2" s="1028">
        <v>45055</v>
      </c>
      <c r="I2" s="1028">
        <v>45087</v>
      </c>
      <c r="J2" s="1028">
        <v>45119</v>
      </c>
      <c r="K2" s="1028">
        <v>45151</v>
      </c>
      <c r="L2" s="1028">
        <v>45183</v>
      </c>
      <c r="M2" s="1028">
        <v>45215</v>
      </c>
      <c r="N2" s="1028">
        <v>45247</v>
      </c>
      <c r="O2" s="1028">
        <v>45279</v>
      </c>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row>
    <row r="3" spans="1:74" ht="18.75" customHeight="1">
      <c r="A3" s="1004" t="s">
        <v>733</v>
      </c>
      <c r="B3" s="1928">
        <v>592</v>
      </c>
      <c r="C3" s="1029" t="s">
        <v>28</v>
      </c>
      <c r="D3" s="1918">
        <v>25</v>
      </c>
      <c r="E3" s="1918">
        <v>24</v>
      </c>
      <c r="F3" s="1918">
        <v>25</v>
      </c>
      <c r="G3" s="1918">
        <v>24</v>
      </c>
      <c r="H3" s="1918">
        <v>25</v>
      </c>
      <c r="I3" s="1918">
        <v>24</v>
      </c>
      <c r="J3" s="1918">
        <v>27</v>
      </c>
      <c r="K3" s="1918">
        <v>26</v>
      </c>
      <c r="L3" s="1918">
        <v>24</v>
      </c>
      <c r="M3" s="1918">
        <v>25</v>
      </c>
      <c r="N3" s="1918">
        <v>24</v>
      </c>
      <c r="O3" s="1918">
        <v>25</v>
      </c>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row>
    <row r="4" spans="1:74" ht="18.75" customHeight="1">
      <c r="A4" s="1005" t="s">
        <v>405</v>
      </c>
      <c r="B4" s="1929">
        <v>474045.7909362198</v>
      </c>
      <c r="C4" s="1030">
        <v>94.49784448977411</v>
      </c>
      <c r="D4" s="1919">
        <v>40037.651261505052</v>
      </c>
      <c r="E4" s="110">
        <v>36834.639160584651</v>
      </c>
      <c r="F4" s="110">
        <v>40037.651261505052</v>
      </c>
      <c r="G4" s="110">
        <v>38436.145211044852</v>
      </c>
      <c r="H4" s="110">
        <v>40037.651261505052</v>
      </c>
      <c r="I4" s="110">
        <v>38436.145211044852</v>
      </c>
      <c r="J4" s="110">
        <v>43240.663362425461</v>
      </c>
      <c r="K4" s="110">
        <v>40037.651261505052</v>
      </c>
      <c r="L4" s="110">
        <v>38436.145211044852</v>
      </c>
      <c r="M4" s="110">
        <v>40037.651261505052</v>
      </c>
      <c r="N4" s="110">
        <v>38436.145211044852</v>
      </c>
      <c r="O4" s="110">
        <v>40037.651261505052</v>
      </c>
      <c r="R4" s="1003"/>
      <c r="S4" s="1003"/>
      <c r="T4" s="1003"/>
      <c r="U4" s="1003"/>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row>
    <row r="5" spans="1:74" ht="18.75" customHeight="1">
      <c r="A5" s="1005" t="s">
        <v>404</v>
      </c>
      <c r="B5" s="1929">
        <v>27601.409056281325</v>
      </c>
      <c r="C5" s="1030">
        <v>5.5021555102258972</v>
      </c>
      <c r="D5" s="1919">
        <v>2331.2000892129495</v>
      </c>
      <c r="E5" s="110">
        <v>2144.7040820759134</v>
      </c>
      <c r="F5" s="110">
        <v>2331.2000892129495</v>
      </c>
      <c r="G5" s="110">
        <v>2237.9520856444315</v>
      </c>
      <c r="H5" s="110">
        <v>2331.2000892129495</v>
      </c>
      <c r="I5" s="110">
        <v>2237.9520856444315</v>
      </c>
      <c r="J5" s="110">
        <v>2517.6960963499851</v>
      </c>
      <c r="K5" s="110">
        <v>2331.2000892129495</v>
      </c>
      <c r="L5" s="110">
        <v>2237.9520856444315</v>
      </c>
      <c r="M5" s="110">
        <v>2331.2000892129495</v>
      </c>
      <c r="N5" s="110">
        <v>2237.9520856444315</v>
      </c>
      <c r="O5" s="110">
        <v>2331.2000892129495</v>
      </c>
      <c r="R5" s="1003"/>
      <c r="S5" s="1003"/>
      <c r="T5" s="1003"/>
      <c r="U5" s="1003"/>
      <c r="V5" s="1003"/>
      <c r="W5" s="1003"/>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row>
    <row r="6" spans="1:74" ht="18.75" customHeight="1">
      <c r="A6" s="1007" t="s">
        <v>33</v>
      </c>
      <c r="B6" s="1930">
        <v>501647.19999250112</v>
      </c>
      <c r="C6" s="1032">
        <v>100</v>
      </c>
      <c r="D6" s="1920">
        <v>42368.851350718003</v>
      </c>
      <c r="E6" s="1031">
        <v>38979.343242660565</v>
      </c>
      <c r="F6" s="1031">
        <v>42368.851350718003</v>
      </c>
      <c r="G6" s="1031">
        <v>40674.09729668928</v>
      </c>
      <c r="H6" s="1031">
        <v>42368.851350718003</v>
      </c>
      <c r="I6" s="1031">
        <v>40674.09729668928</v>
      </c>
      <c r="J6" s="1031">
        <v>45758.359458775449</v>
      </c>
      <c r="K6" s="1031">
        <v>42368.851350718003</v>
      </c>
      <c r="L6" s="1031">
        <v>40674.09729668928</v>
      </c>
      <c r="M6" s="1031">
        <v>42368.851350718003</v>
      </c>
      <c r="N6" s="1031">
        <v>40674.09729668928</v>
      </c>
      <c r="O6" s="1031">
        <v>42368.851350718003</v>
      </c>
      <c r="R6" s="1003"/>
      <c r="S6" s="1003"/>
      <c r="T6" s="1003"/>
      <c r="U6" s="1003"/>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3"/>
      <c r="AR6" s="1003"/>
      <c r="AS6" s="1003"/>
      <c r="AT6" s="1003"/>
      <c r="AU6" s="1003"/>
      <c r="AV6" s="1003"/>
      <c r="AW6" s="1003"/>
      <c r="AX6" s="1003"/>
      <c r="AY6" s="1003"/>
      <c r="AZ6" s="1003"/>
      <c r="BA6" s="1003"/>
      <c r="BB6" s="1003"/>
      <c r="BC6" s="1003"/>
      <c r="BD6" s="1003"/>
      <c r="BE6" s="1003"/>
      <c r="BF6" s="1003"/>
      <c r="BG6" s="1003"/>
      <c r="BH6" s="1003"/>
      <c r="BI6" s="1003"/>
      <c r="BJ6" s="1003"/>
      <c r="BK6" s="1003"/>
      <c r="BL6" s="1003"/>
      <c r="BM6" s="1003"/>
      <c r="BN6" s="1003"/>
      <c r="BO6" s="1003"/>
      <c r="BP6" s="1003"/>
      <c r="BQ6" s="1003"/>
      <c r="BR6" s="1003"/>
      <c r="BS6" s="1003"/>
      <c r="BT6" s="1003"/>
      <c r="BU6" s="1003"/>
      <c r="BV6" s="1003"/>
    </row>
    <row r="7" spans="1:74" ht="18.75" customHeight="1">
      <c r="A7" s="47" t="s">
        <v>50</v>
      </c>
      <c r="B7" s="1929">
        <v>52984.834699934188</v>
      </c>
      <c r="C7" s="1030">
        <v>10.56217092425239</v>
      </c>
      <c r="D7" s="1919">
        <v>4379.3380863542443</v>
      </c>
      <c r="E7" s="110">
        <v>4379.3380863542443</v>
      </c>
      <c r="F7" s="110">
        <v>3379</v>
      </c>
      <c r="G7" s="110">
        <v>5379</v>
      </c>
      <c r="H7" s="110">
        <v>4000</v>
      </c>
      <c r="I7" s="110">
        <v>4379.3380863542443</v>
      </c>
      <c r="J7" s="110">
        <v>4425.9709870633405</v>
      </c>
      <c r="K7" s="110">
        <v>5000</v>
      </c>
      <c r="L7" s="110">
        <v>4459.7067768598481</v>
      </c>
      <c r="M7" s="110">
        <v>4401.0475589827529</v>
      </c>
      <c r="N7" s="110">
        <v>4401.0475589827529</v>
      </c>
      <c r="O7" s="110">
        <v>4401.0475589827529</v>
      </c>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row>
    <row r="8" spans="1:74" ht="18.75" customHeight="1">
      <c r="A8" s="1007" t="s">
        <v>34</v>
      </c>
      <c r="B8" s="1931">
        <v>448662.36529256694</v>
      </c>
      <c r="C8" s="1032">
        <v>89.437829075747615</v>
      </c>
      <c r="D8" s="1921">
        <v>37989.513264363763</v>
      </c>
      <c r="E8" s="1008">
        <v>34600.005156306317</v>
      </c>
      <c r="F8" s="1008">
        <v>38989.851350718003</v>
      </c>
      <c r="G8" s="1008">
        <v>35295.09729668928</v>
      </c>
      <c r="H8" s="1008">
        <v>38368.851350718003</v>
      </c>
      <c r="I8" s="1008">
        <v>36294.759210335033</v>
      </c>
      <c r="J8" s="1008">
        <v>41332.388471712111</v>
      </c>
      <c r="K8" s="1008">
        <v>37368.851350718003</v>
      </c>
      <c r="L8" s="1008">
        <v>36214.390519829431</v>
      </c>
      <c r="M8" s="1008">
        <v>37967.803791735249</v>
      </c>
      <c r="N8" s="1008">
        <v>36273.049737706526</v>
      </c>
      <c r="O8" s="1008">
        <v>37967.803791735249</v>
      </c>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row>
    <row r="9" spans="1:74" ht="18.75" customHeight="1">
      <c r="A9" s="47" t="s">
        <v>35</v>
      </c>
      <c r="B9" s="1929">
        <v>211335.49873225807</v>
      </c>
      <c r="C9" s="1030">
        <v>42.128312235255613</v>
      </c>
      <c r="D9" s="1919">
        <v>17249.107813709677</v>
      </c>
      <c r="E9" s="110">
        <v>17249.107813709677</v>
      </c>
      <c r="F9" s="110">
        <v>17249.107813709677</v>
      </c>
      <c r="G9" s="110">
        <v>17249.107813709677</v>
      </c>
      <c r="H9" s="110">
        <v>18609.337813709677</v>
      </c>
      <c r="I9" s="110">
        <v>17249.107813709677</v>
      </c>
      <c r="J9" s="110">
        <v>17559.59168467742</v>
      </c>
      <c r="K9" s="110">
        <v>17784.206033064514</v>
      </c>
      <c r="L9" s="110">
        <v>17784.206033064514</v>
      </c>
      <c r="M9" s="110">
        <v>17784.206033064514</v>
      </c>
      <c r="N9" s="110">
        <v>17784.206033064514</v>
      </c>
      <c r="O9" s="110">
        <v>17784.206033064514</v>
      </c>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row>
    <row r="10" spans="1:74" ht="18.75" customHeight="1">
      <c r="A10" s="1010" t="s">
        <v>7</v>
      </c>
      <c r="B10" s="1931">
        <v>237326.86656030887</v>
      </c>
      <c r="C10" s="1032">
        <v>47.309516840491995</v>
      </c>
      <c r="D10" s="1921">
        <v>20740.405450654085</v>
      </c>
      <c r="E10" s="1008">
        <v>17350.89734259664</v>
      </c>
      <c r="F10" s="1008">
        <v>21740.743537008326</v>
      </c>
      <c r="G10" s="1008">
        <v>18045.989482979603</v>
      </c>
      <c r="H10" s="1008">
        <v>19759.513537008326</v>
      </c>
      <c r="I10" s="1008">
        <v>19045.651396625355</v>
      </c>
      <c r="J10" s="1008">
        <v>23772.796787034691</v>
      </c>
      <c r="K10" s="1008">
        <v>19584.645317653489</v>
      </c>
      <c r="L10" s="1008">
        <v>18430.184486764916</v>
      </c>
      <c r="M10" s="1008">
        <v>20183.597758670734</v>
      </c>
      <c r="N10" s="1008">
        <v>18488.843704642011</v>
      </c>
      <c r="O10" s="1008">
        <v>20183.597758670734</v>
      </c>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1003"/>
      <c r="BU10" s="1003"/>
      <c r="BV10" s="1003"/>
    </row>
    <row r="11" spans="1:74" ht="18.75" customHeight="1">
      <c r="A11" s="1011" t="s">
        <v>9</v>
      </c>
      <c r="B11" s="1929">
        <v>40064.05599999999</v>
      </c>
      <c r="C11" s="1030">
        <v>7.9865004729616524</v>
      </c>
      <c r="D11" s="1919">
        <v>3338.6713333333332</v>
      </c>
      <c r="E11" s="110">
        <v>3338.6713333333332</v>
      </c>
      <c r="F11" s="110">
        <v>3338.6713333333332</v>
      </c>
      <c r="G11" s="110">
        <v>3338.6713333333332</v>
      </c>
      <c r="H11" s="110">
        <v>3338.6713333333332</v>
      </c>
      <c r="I11" s="110">
        <v>3338.6713333333332</v>
      </c>
      <c r="J11" s="110">
        <v>3338.6713333333332</v>
      </c>
      <c r="K11" s="110">
        <v>3338.6713333333332</v>
      </c>
      <c r="L11" s="110">
        <v>3338.6713333333332</v>
      </c>
      <c r="M11" s="110">
        <v>3338.6713333333332</v>
      </c>
      <c r="N11" s="110">
        <v>3338.6713333333332</v>
      </c>
      <c r="O11" s="110">
        <v>3338.6713333333332</v>
      </c>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1003"/>
      <c r="BU11" s="1003"/>
      <c r="BV11" s="1003"/>
    </row>
    <row r="12" spans="1:74" ht="18.75" customHeight="1">
      <c r="A12" s="1012" t="s">
        <v>52</v>
      </c>
      <c r="B12" s="1929">
        <v>11626.100000000004</v>
      </c>
      <c r="C12" s="1030">
        <v>2.3175849481814703</v>
      </c>
      <c r="D12" s="1919">
        <v>968.8416666666667</v>
      </c>
      <c r="E12" s="110">
        <v>968.8416666666667</v>
      </c>
      <c r="F12" s="110">
        <v>968.8416666666667</v>
      </c>
      <c r="G12" s="110">
        <v>968.8416666666667</v>
      </c>
      <c r="H12" s="110">
        <v>968.8416666666667</v>
      </c>
      <c r="I12" s="110">
        <v>968.8416666666667</v>
      </c>
      <c r="J12" s="110">
        <v>968.8416666666667</v>
      </c>
      <c r="K12" s="110">
        <v>968.8416666666667</v>
      </c>
      <c r="L12" s="110">
        <v>968.8416666666667</v>
      </c>
      <c r="M12" s="110">
        <v>968.8416666666667</v>
      </c>
      <c r="N12" s="110">
        <v>968.8416666666667</v>
      </c>
      <c r="O12" s="110">
        <v>968.8416666666667</v>
      </c>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1003"/>
      <c r="BU12" s="1003"/>
      <c r="BV12" s="1003"/>
    </row>
    <row r="13" spans="1:74" ht="18.75" customHeight="1">
      <c r="A13" s="1012" t="s">
        <v>10</v>
      </c>
      <c r="B13" s="1929">
        <v>3100.0000000000005</v>
      </c>
      <c r="C13" s="1030">
        <v>0.61796417881856835</v>
      </c>
      <c r="D13" s="1919">
        <v>258.33333333333331</v>
      </c>
      <c r="E13" s="110">
        <v>258.33333333333331</v>
      </c>
      <c r="F13" s="110">
        <v>258.33333333333331</v>
      </c>
      <c r="G13" s="110">
        <v>258.33333333333331</v>
      </c>
      <c r="H13" s="110">
        <v>258.33333333333331</v>
      </c>
      <c r="I13" s="110">
        <v>258.33333333333331</v>
      </c>
      <c r="J13" s="110">
        <v>258.33333333333331</v>
      </c>
      <c r="K13" s="110">
        <v>258.33333333333331</v>
      </c>
      <c r="L13" s="110">
        <v>258.33333333333331</v>
      </c>
      <c r="M13" s="110">
        <v>258.33333333333331</v>
      </c>
      <c r="N13" s="110">
        <v>258.33333333333331</v>
      </c>
      <c r="O13" s="110">
        <v>258.33333333333331</v>
      </c>
      <c r="R13" s="1003"/>
      <c r="S13" s="1003"/>
      <c r="T13" s="1003"/>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1003"/>
      <c r="AV13" s="1003"/>
      <c r="AW13" s="1003"/>
      <c r="AX13" s="1003"/>
      <c r="AY13" s="1003"/>
      <c r="AZ13" s="1003"/>
      <c r="BA13" s="1003"/>
      <c r="BB13" s="1003"/>
      <c r="BC13" s="1003"/>
      <c r="BD13" s="1003"/>
      <c r="BE13" s="1003"/>
      <c r="BF13" s="1003"/>
      <c r="BG13" s="1003"/>
      <c r="BH13" s="1003"/>
      <c r="BI13" s="1003"/>
      <c r="BJ13" s="1003"/>
      <c r="BK13" s="1003"/>
      <c r="BL13" s="1003"/>
      <c r="BM13" s="1003"/>
      <c r="BN13" s="1003"/>
      <c r="BO13" s="1003"/>
      <c r="BP13" s="1003"/>
      <c r="BQ13" s="1003"/>
      <c r="BR13" s="1003"/>
      <c r="BS13" s="1003"/>
      <c r="BT13" s="1003"/>
      <c r="BU13" s="1003"/>
      <c r="BV13" s="1003"/>
    </row>
    <row r="14" spans="1:74" ht="18.75" customHeight="1">
      <c r="A14" s="1012" t="s">
        <v>142</v>
      </c>
      <c r="B14" s="1929">
        <v>7500</v>
      </c>
      <c r="C14" s="1030">
        <v>1.4950746261739554</v>
      </c>
      <c r="D14" s="1919">
        <v>625</v>
      </c>
      <c r="E14" s="110">
        <v>625</v>
      </c>
      <c r="F14" s="110">
        <v>625</v>
      </c>
      <c r="G14" s="110">
        <v>625</v>
      </c>
      <c r="H14" s="110">
        <v>625</v>
      </c>
      <c r="I14" s="110">
        <v>625</v>
      </c>
      <c r="J14" s="110">
        <v>625</v>
      </c>
      <c r="K14" s="110">
        <v>625</v>
      </c>
      <c r="L14" s="110">
        <v>625</v>
      </c>
      <c r="M14" s="110">
        <v>625</v>
      </c>
      <c r="N14" s="110">
        <v>625</v>
      </c>
      <c r="O14" s="110">
        <v>625</v>
      </c>
      <c r="R14" s="1003"/>
      <c r="S14" s="1003"/>
      <c r="T14" s="1003"/>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c r="BN14" s="1003"/>
      <c r="BO14" s="1003"/>
      <c r="BP14" s="1003"/>
      <c r="BQ14" s="1003"/>
      <c r="BR14" s="1003"/>
      <c r="BS14" s="1003"/>
      <c r="BT14" s="1003"/>
      <c r="BU14" s="1003"/>
      <c r="BV14" s="1003"/>
    </row>
    <row r="15" spans="1:74" ht="18.75" customHeight="1">
      <c r="A15" s="1012" t="s">
        <v>59</v>
      </c>
      <c r="B15" s="1929">
        <v>8000.0000000000009</v>
      </c>
      <c r="C15" s="1030">
        <v>1.5947462679188857</v>
      </c>
      <c r="D15" s="1919">
        <v>666.66666666666663</v>
      </c>
      <c r="E15" s="110">
        <v>666.66666666666663</v>
      </c>
      <c r="F15" s="110">
        <v>666.66666666666663</v>
      </c>
      <c r="G15" s="110">
        <v>666.66666666666663</v>
      </c>
      <c r="H15" s="110">
        <v>666.66666666666663</v>
      </c>
      <c r="I15" s="110">
        <v>666.66666666666663</v>
      </c>
      <c r="J15" s="110">
        <v>666.66666666666663</v>
      </c>
      <c r="K15" s="110">
        <v>666.66666666666663</v>
      </c>
      <c r="L15" s="110">
        <v>666.66666666666663</v>
      </c>
      <c r="M15" s="110">
        <v>666.66666666666663</v>
      </c>
      <c r="N15" s="110">
        <v>666.66666666666663</v>
      </c>
      <c r="O15" s="110">
        <v>666.66666666666663</v>
      </c>
      <c r="R15" s="1003"/>
      <c r="S15" s="1003"/>
      <c r="T15" s="1003"/>
      <c r="U15" s="1003"/>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1003"/>
      <c r="AV15" s="1003"/>
      <c r="AW15" s="1003"/>
      <c r="AX15" s="1003"/>
      <c r="AY15" s="1003"/>
      <c r="AZ15" s="1003"/>
      <c r="BA15" s="1003"/>
      <c r="BB15" s="1003"/>
      <c r="BC15" s="1003"/>
      <c r="BD15" s="1003"/>
      <c r="BE15" s="1003"/>
      <c r="BF15" s="1003"/>
      <c r="BG15" s="1003"/>
      <c r="BH15" s="1003"/>
      <c r="BI15" s="1003"/>
      <c r="BJ15" s="1003"/>
      <c r="BK15" s="1003"/>
      <c r="BL15" s="1003"/>
      <c r="BM15" s="1003"/>
      <c r="BN15" s="1003"/>
      <c r="BO15" s="1003"/>
      <c r="BP15" s="1003"/>
      <c r="BQ15" s="1003"/>
      <c r="BR15" s="1003"/>
      <c r="BS15" s="1003"/>
      <c r="BT15" s="1003"/>
      <c r="BU15" s="1003"/>
      <c r="BV15" s="1003"/>
    </row>
    <row r="16" spans="1:74" ht="18.75" customHeight="1">
      <c r="A16" s="1012" t="s">
        <v>12</v>
      </c>
      <c r="B16" s="1929">
        <v>900</v>
      </c>
      <c r="C16" s="1030">
        <v>0.17940895514087463</v>
      </c>
      <c r="D16" s="1919">
        <v>75</v>
      </c>
      <c r="E16" s="110">
        <v>75</v>
      </c>
      <c r="F16" s="110">
        <v>75</v>
      </c>
      <c r="G16" s="110">
        <v>75</v>
      </c>
      <c r="H16" s="110">
        <v>75</v>
      </c>
      <c r="I16" s="110">
        <v>75</v>
      </c>
      <c r="J16" s="110">
        <v>75</v>
      </c>
      <c r="K16" s="110">
        <v>75</v>
      </c>
      <c r="L16" s="110">
        <v>75</v>
      </c>
      <c r="M16" s="110">
        <v>75</v>
      </c>
      <c r="N16" s="110">
        <v>75</v>
      </c>
      <c r="O16" s="110">
        <v>75</v>
      </c>
      <c r="R16" s="1003"/>
      <c r="S16" s="1003"/>
      <c r="T16" s="1003"/>
      <c r="U16" s="1003"/>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row>
    <row r="17" spans="1:74" ht="18.75" customHeight="1">
      <c r="A17" s="1012" t="s">
        <v>13</v>
      </c>
      <c r="B17" s="1929">
        <v>1200</v>
      </c>
      <c r="C17" s="1030">
        <v>0.23921194018783287</v>
      </c>
      <c r="D17" s="1919">
        <v>100</v>
      </c>
      <c r="E17" s="110">
        <v>100</v>
      </c>
      <c r="F17" s="110">
        <v>100</v>
      </c>
      <c r="G17" s="110">
        <v>100</v>
      </c>
      <c r="H17" s="110">
        <v>100</v>
      </c>
      <c r="I17" s="110">
        <v>100</v>
      </c>
      <c r="J17" s="110">
        <v>100</v>
      </c>
      <c r="K17" s="110">
        <v>100</v>
      </c>
      <c r="L17" s="110">
        <v>100</v>
      </c>
      <c r="M17" s="110">
        <v>100</v>
      </c>
      <c r="N17" s="110">
        <v>100</v>
      </c>
      <c r="O17" s="110">
        <v>100</v>
      </c>
      <c r="R17" s="1003"/>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row>
    <row r="18" spans="1:74" ht="18.75" customHeight="1">
      <c r="A18" s="1012" t="s">
        <v>14</v>
      </c>
      <c r="B18" s="1929">
        <v>11299.999999999998</v>
      </c>
      <c r="C18" s="1030">
        <v>2.2525791034354254</v>
      </c>
      <c r="D18" s="1919">
        <v>941.66666666666663</v>
      </c>
      <c r="E18" s="110">
        <v>941.66666666666663</v>
      </c>
      <c r="F18" s="110">
        <v>941.66666666666663</v>
      </c>
      <c r="G18" s="110">
        <v>941.66666666666663</v>
      </c>
      <c r="H18" s="110">
        <v>941.66666666666663</v>
      </c>
      <c r="I18" s="110">
        <v>941.66666666666663</v>
      </c>
      <c r="J18" s="110">
        <v>941.66666666666663</v>
      </c>
      <c r="K18" s="110">
        <v>941.66666666666663</v>
      </c>
      <c r="L18" s="110">
        <v>941.66666666666663</v>
      </c>
      <c r="M18" s="110">
        <v>941.66666666666663</v>
      </c>
      <c r="N18" s="110">
        <v>941.66666666666663</v>
      </c>
      <c r="O18" s="110">
        <v>941.66666666666663</v>
      </c>
      <c r="R18" s="1003"/>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row>
    <row r="19" spans="1:74" ht="18.75" customHeight="1" thickBot="1">
      <c r="A19" s="1013" t="s">
        <v>230</v>
      </c>
      <c r="B19" s="1932">
        <v>60000</v>
      </c>
      <c r="C19" s="1033">
        <v>11.960597009391643</v>
      </c>
      <c r="D19" s="1922">
        <v>5000</v>
      </c>
      <c r="E19" s="1014">
        <v>5000</v>
      </c>
      <c r="F19" s="1014">
        <v>5000</v>
      </c>
      <c r="G19" s="1014">
        <v>5000</v>
      </c>
      <c r="H19" s="1014">
        <v>5000</v>
      </c>
      <c r="I19" s="1014">
        <v>5000</v>
      </c>
      <c r="J19" s="1014">
        <v>5000</v>
      </c>
      <c r="K19" s="1014">
        <v>5000</v>
      </c>
      <c r="L19" s="1014">
        <v>5000</v>
      </c>
      <c r="M19" s="1014">
        <v>5000</v>
      </c>
      <c r="N19" s="1014">
        <v>5000</v>
      </c>
      <c r="O19" s="1014">
        <v>5000</v>
      </c>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3"/>
      <c r="BJ19" s="1003"/>
      <c r="BK19" s="1003"/>
      <c r="BL19" s="1003"/>
      <c r="BM19" s="1003"/>
      <c r="BN19" s="1003"/>
      <c r="BO19" s="1003"/>
      <c r="BP19" s="1003"/>
      <c r="BQ19" s="1003"/>
      <c r="BR19" s="1003"/>
      <c r="BS19" s="1003"/>
      <c r="BT19" s="1003"/>
      <c r="BU19" s="1003"/>
      <c r="BV19" s="1003"/>
    </row>
    <row r="20" spans="1:74" ht="18.75" customHeight="1" thickTop="1">
      <c r="A20" s="1034" t="s">
        <v>16</v>
      </c>
      <c r="B20" s="1933">
        <v>143690.15600000002</v>
      </c>
      <c r="C20" s="1035">
        <v>28.643667502210313</v>
      </c>
      <c r="D20" s="1923">
        <v>11974.179666666667</v>
      </c>
      <c r="E20" s="109">
        <v>11974.179666666667</v>
      </c>
      <c r="F20" s="109">
        <v>11974.179666666667</v>
      </c>
      <c r="G20" s="109">
        <v>11974.179666666667</v>
      </c>
      <c r="H20" s="109">
        <v>11974.179666666667</v>
      </c>
      <c r="I20" s="109">
        <v>11974.179666666667</v>
      </c>
      <c r="J20" s="109">
        <v>11974.179666666667</v>
      </c>
      <c r="K20" s="109">
        <v>11974.179666666667</v>
      </c>
      <c r="L20" s="109">
        <v>11974.179666666667</v>
      </c>
      <c r="M20" s="109">
        <v>11974.179666666667</v>
      </c>
      <c r="N20" s="109">
        <v>11974.179666666667</v>
      </c>
      <c r="O20" s="109">
        <v>11974.179666666667</v>
      </c>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row>
    <row r="21" spans="1:74" ht="18.75" customHeight="1">
      <c r="A21" s="1016" t="s">
        <v>18</v>
      </c>
      <c r="B21" s="1934">
        <v>93636.710560308857</v>
      </c>
      <c r="C21" s="1037">
        <v>18.665849338281681</v>
      </c>
      <c r="D21" s="1924">
        <v>8766.2257839874183</v>
      </c>
      <c r="E21" s="1036">
        <v>5376.7176759299728</v>
      </c>
      <c r="F21" s="1036">
        <v>9766.5638703416589</v>
      </c>
      <c r="G21" s="1036">
        <v>6071.8098163129362</v>
      </c>
      <c r="H21" s="1036">
        <v>7785.3338703416593</v>
      </c>
      <c r="I21" s="1036">
        <v>7071.4717299586882</v>
      </c>
      <c r="J21" s="1036">
        <v>11798.617120368024</v>
      </c>
      <c r="K21" s="1036">
        <v>7610.4656509868219</v>
      </c>
      <c r="L21" s="1036">
        <v>6456.0048200982492</v>
      </c>
      <c r="M21" s="1036">
        <v>8209.4180920040671</v>
      </c>
      <c r="N21" s="1036">
        <v>6514.6640379753444</v>
      </c>
      <c r="O21" s="1036">
        <v>8209.4180920040671</v>
      </c>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row>
    <row r="22" spans="1:74" ht="18.75" customHeight="1">
      <c r="A22" s="47" t="s">
        <v>36</v>
      </c>
      <c r="B22" s="1929">
        <v>0</v>
      </c>
      <c r="C22" s="1030">
        <v>0</v>
      </c>
      <c r="D22" s="1919">
        <v>0</v>
      </c>
      <c r="E22" s="110">
        <v>0</v>
      </c>
      <c r="F22" s="110">
        <v>0</v>
      </c>
      <c r="G22" s="110">
        <v>0</v>
      </c>
      <c r="H22" s="110">
        <v>0</v>
      </c>
      <c r="I22" s="110">
        <v>0</v>
      </c>
      <c r="J22" s="110">
        <v>0</v>
      </c>
      <c r="K22" s="110">
        <v>0</v>
      </c>
      <c r="L22" s="110">
        <v>0</v>
      </c>
      <c r="M22" s="110">
        <v>0</v>
      </c>
      <c r="N22" s="110">
        <v>0</v>
      </c>
      <c r="O22" s="110">
        <v>0</v>
      </c>
      <c r="R22" s="1003"/>
      <c r="S22" s="1003"/>
      <c r="T22" s="1003"/>
      <c r="U22" s="1003"/>
      <c r="V22" s="1003"/>
      <c r="W22" s="1003"/>
      <c r="X22" s="1003"/>
      <c r="Y22" s="1003"/>
      <c r="Z22" s="1003"/>
      <c r="AA22" s="1003"/>
      <c r="AB22" s="1003"/>
      <c r="AC22" s="1003"/>
      <c r="AD22" s="1003"/>
      <c r="AE22" s="1003"/>
      <c r="AF22" s="1003"/>
      <c r="AG22" s="1003"/>
      <c r="AH22" s="1003"/>
      <c r="AI22" s="1003"/>
      <c r="AJ22" s="1003"/>
      <c r="AK22" s="1003"/>
      <c r="AL22" s="1003"/>
      <c r="AM22" s="1003"/>
      <c r="AN22" s="1003"/>
      <c r="AO22" s="1003"/>
      <c r="AP22" s="1003"/>
      <c r="AQ22" s="1003"/>
      <c r="AR22" s="1003"/>
      <c r="AS22" s="1003"/>
      <c r="AT22" s="1003"/>
      <c r="AU22" s="1003"/>
      <c r="AV22" s="1003"/>
      <c r="AW22" s="1003"/>
      <c r="AX22" s="1003"/>
      <c r="AY22" s="1003"/>
      <c r="AZ22" s="1003"/>
      <c r="BA22" s="1003"/>
      <c r="BB22" s="1003"/>
      <c r="BC22" s="1003"/>
      <c r="BD22" s="1003"/>
      <c r="BE22" s="1003"/>
      <c r="BF22" s="1003"/>
      <c r="BG22" s="1003"/>
      <c r="BH22" s="1003"/>
      <c r="BI22" s="1003"/>
      <c r="BJ22" s="1003"/>
      <c r="BK22" s="1003"/>
      <c r="BL22" s="1003"/>
      <c r="BM22" s="1003"/>
      <c r="BN22" s="1003"/>
      <c r="BO22" s="1003"/>
      <c r="BP22" s="1003"/>
      <c r="BQ22" s="1003"/>
      <c r="BR22" s="1003"/>
      <c r="BS22" s="1003"/>
      <c r="BT22" s="1003"/>
      <c r="BU22" s="1003"/>
      <c r="BV22" s="1003"/>
    </row>
    <row r="23" spans="1:74" ht="18.75" customHeight="1">
      <c r="A23" s="47" t="s">
        <v>37</v>
      </c>
      <c r="B23" s="1929">
        <v>0</v>
      </c>
      <c r="C23" s="1030">
        <v>0</v>
      </c>
      <c r="D23" s="1919">
        <v>0</v>
      </c>
      <c r="E23" s="110">
        <v>0</v>
      </c>
      <c r="F23" s="110">
        <v>0</v>
      </c>
      <c r="G23" s="110">
        <v>0</v>
      </c>
      <c r="H23" s="110">
        <v>0</v>
      </c>
      <c r="I23" s="110">
        <v>0</v>
      </c>
      <c r="J23" s="110">
        <v>0</v>
      </c>
      <c r="K23" s="110">
        <v>0</v>
      </c>
      <c r="L23" s="110">
        <v>0</v>
      </c>
      <c r="M23" s="110">
        <v>0</v>
      </c>
      <c r="N23" s="110">
        <v>0</v>
      </c>
      <c r="O23" s="110">
        <v>0</v>
      </c>
      <c r="R23" s="1003"/>
      <c r="S23" s="1003"/>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1003"/>
      <c r="AV23" s="1003"/>
      <c r="AW23" s="1003"/>
      <c r="AX23" s="1003"/>
      <c r="AY23" s="1003"/>
      <c r="AZ23" s="1003"/>
      <c r="BA23" s="1003"/>
      <c r="BB23" s="1003"/>
      <c r="BC23" s="1003"/>
      <c r="BD23" s="1003"/>
      <c r="BE23" s="1003"/>
      <c r="BF23" s="1003"/>
      <c r="BG23" s="1003"/>
      <c r="BH23" s="1003"/>
      <c r="BI23" s="1003"/>
      <c r="BJ23" s="1003"/>
      <c r="BK23" s="1003"/>
      <c r="BL23" s="1003"/>
      <c r="BM23" s="1003"/>
      <c r="BN23" s="1003"/>
      <c r="BO23" s="1003"/>
      <c r="BP23" s="1003"/>
      <c r="BQ23" s="1003"/>
      <c r="BR23" s="1003"/>
      <c r="BS23" s="1003"/>
      <c r="BT23" s="1003"/>
      <c r="BU23" s="1003"/>
      <c r="BV23" s="1003"/>
    </row>
    <row r="24" spans="1:74" ht="18.75" customHeight="1">
      <c r="A24" s="47" t="s">
        <v>646</v>
      </c>
      <c r="B24" s="1929">
        <v>0</v>
      </c>
      <c r="C24" s="1939">
        <v>0</v>
      </c>
      <c r="D24" s="1937">
        <v>0</v>
      </c>
      <c r="E24" s="1938">
        <v>0</v>
      </c>
      <c r="F24" s="1938">
        <v>0</v>
      </c>
      <c r="G24" s="1938">
        <v>0</v>
      </c>
      <c r="H24" s="1938">
        <v>0</v>
      </c>
      <c r="I24" s="1938">
        <v>0</v>
      </c>
      <c r="J24" s="1938">
        <v>0</v>
      </c>
      <c r="K24" s="1938">
        <v>0</v>
      </c>
      <c r="L24" s="1938">
        <v>0</v>
      </c>
      <c r="M24" s="1938">
        <v>0</v>
      </c>
      <c r="N24" s="1938">
        <v>0</v>
      </c>
      <c r="O24" s="1938">
        <v>0</v>
      </c>
      <c r="R24" s="1003"/>
      <c r="S24" s="1003"/>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1003"/>
      <c r="AV24" s="1003"/>
      <c r="AW24" s="1003"/>
      <c r="AX24" s="1003"/>
      <c r="AY24" s="1003"/>
      <c r="AZ24" s="1003"/>
      <c r="BA24" s="1003"/>
      <c r="BB24" s="1003"/>
      <c r="BC24" s="1003"/>
      <c r="BD24" s="1003"/>
      <c r="BE24" s="1003"/>
      <c r="BF24" s="1003"/>
      <c r="BG24" s="1003"/>
      <c r="BH24" s="1003"/>
      <c r="BI24" s="1003"/>
      <c r="BJ24" s="1003"/>
      <c r="BK24" s="1003"/>
      <c r="BL24" s="1003"/>
      <c r="BM24" s="1003"/>
      <c r="BN24" s="1003"/>
      <c r="BO24" s="1003"/>
      <c r="BP24" s="1003"/>
      <c r="BQ24" s="1003"/>
      <c r="BR24" s="1003"/>
      <c r="BS24" s="1003"/>
      <c r="BT24" s="1003"/>
      <c r="BU24" s="1003"/>
      <c r="BV24" s="1003"/>
    </row>
    <row r="25" spans="1:74" ht="18.75" customHeight="1">
      <c r="A25" s="1007" t="s">
        <v>40</v>
      </c>
      <c r="B25" s="1931">
        <v>93636.710560308857</v>
      </c>
      <c r="C25" s="1032">
        <v>18.665849338281681</v>
      </c>
      <c r="D25" s="1921">
        <v>8766.2257839874183</v>
      </c>
      <c r="E25" s="1008">
        <v>5376.7176759299728</v>
      </c>
      <c r="F25" s="1008">
        <v>9766.5638703416589</v>
      </c>
      <c r="G25" s="1008">
        <v>6071.8098163129362</v>
      </c>
      <c r="H25" s="1008">
        <v>7785.3338703416593</v>
      </c>
      <c r="I25" s="1008">
        <v>7071.4717299586882</v>
      </c>
      <c r="J25" s="1008">
        <v>11798.617120368024</v>
      </c>
      <c r="K25" s="1008">
        <v>7610.4656509868219</v>
      </c>
      <c r="L25" s="1008">
        <v>6456.0048200982492</v>
      </c>
      <c r="M25" s="1008">
        <v>8209.4180920040671</v>
      </c>
      <c r="N25" s="1008">
        <v>6514.6640379753444</v>
      </c>
      <c r="O25" s="1008">
        <v>8209.4180920040671</v>
      </c>
      <c r="R25" s="1003"/>
      <c r="S25" s="1003"/>
      <c r="T25" s="1003"/>
      <c r="U25" s="1003"/>
      <c r="V25" s="1003"/>
      <c r="W25" s="1003"/>
      <c r="X25" s="1003"/>
      <c r="Y25" s="1003"/>
      <c r="Z25" s="1003"/>
      <c r="AA25" s="1003"/>
      <c r="AB25" s="1003"/>
      <c r="AC25" s="1003"/>
      <c r="AD25" s="1003"/>
      <c r="AE25" s="1003"/>
      <c r="AF25" s="1003"/>
      <c r="AG25" s="1003"/>
      <c r="AH25" s="1003"/>
      <c r="AI25" s="1003"/>
      <c r="AJ25" s="1003"/>
      <c r="AK25" s="1003"/>
      <c r="AL25" s="1003"/>
      <c r="AM25" s="1003"/>
      <c r="AN25" s="1003"/>
      <c r="AO25" s="1003"/>
      <c r="AP25" s="1003"/>
      <c r="AQ25" s="1003"/>
      <c r="AR25" s="1003"/>
      <c r="AS25" s="1003"/>
      <c r="AT25" s="1003"/>
      <c r="AU25" s="1003"/>
      <c r="AV25" s="1003"/>
      <c r="AW25" s="1003"/>
      <c r="AX25" s="1003"/>
      <c r="AY25" s="1003"/>
      <c r="AZ25" s="1003"/>
      <c r="BA25" s="1003"/>
      <c r="BB25" s="1003"/>
      <c r="BC25" s="1003"/>
      <c r="BD25" s="1003"/>
      <c r="BE25" s="1003"/>
      <c r="BF25" s="1003"/>
      <c r="BG25" s="1003"/>
      <c r="BH25" s="1003"/>
      <c r="BI25" s="1003"/>
      <c r="BJ25" s="1003"/>
      <c r="BK25" s="1003"/>
      <c r="BL25" s="1003"/>
      <c r="BM25" s="1003"/>
      <c r="BN25" s="1003"/>
      <c r="BO25" s="1003"/>
      <c r="BP25" s="1003"/>
      <c r="BQ25" s="1003"/>
      <c r="BR25" s="1003"/>
      <c r="BS25" s="1003"/>
      <c r="BT25" s="1003"/>
      <c r="BU25" s="1003"/>
      <c r="BV25" s="1003"/>
    </row>
    <row r="26" spans="1:74" ht="18.75" customHeight="1">
      <c r="A26" s="47" t="s">
        <v>14</v>
      </c>
      <c r="B26" s="1929">
        <v>11299.999999999998</v>
      </c>
      <c r="C26" s="1030">
        <v>2.2525791034354254</v>
      </c>
      <c r="D26" s="1919">
        <v>941.66666666666663</v>
      </c>
      <c r="E26" s="110">
        <v>941.66666666666663</v>
      </c>
      <c r="F26" s="110">
        <v>941.66666666666663</v>
      </c>
      <c r="G26" s="110">
        <v>941.66666666666663</v>
      </c>
      <c r="H26" s="110">
        <v>941.66666666666663</v>
      </c>
      <c r="I26" s="110">
        <v>941.66666666666663</v>
      </c>
      <c r="J26" s="110">
        <v>941.66666666666663</v>
      </c>
      <c r="K26" s="110">
        <v>941.66666666666663</v>
      </c>
      <c r="L26" s="110">
        <v>941.66666666666663</v>
      </c>
      <c r="M26" s="110">
        <v>941.66666666666663</v>
      </c>
      <c r="N26" s="110">
        <v>941.66666666666663</v>
      </c>
      <c r="O26" s="110">
        <v>941.66666666666663</v>
      </c>
      <c r="R26" s="1003"/>
      <c r="S26" s="1003"/>
      <c r="T26" s="1003"/>
      <c r="U26" s="1003"/>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1003"/>
      <c r="AV26" s="1003"/>
      <c r="AW26" s="1003"/>
      <c r="AX26" s="1003"/>
      <c r="AY26" s="1003"/>
      <c r="AZ26" s="1003"/>
      <c r="BA26" s="1003"/>
      <c r="BB26" s="1003"/>
      <c r="BC26" s="1003"/>
      <c r="BD26" s="1003"/>
      <c r="BE26" s="1003"/>
      <c r="BF26" s="1003"/>
      <c r="BG26" s="1003"/>
      <c r="BH26" s="1003"/>
      <c r="BI26" s="1003"/>
      <c r="BJ26" s="1003"/>
      <c r="BK26" s="1003"/>
      <c r="BL26" s="1003"/>
      <c r="BM26" s="1003"/>
      <c r="BN26" s="1003"/>
      <c r="BO26" s="1003"/>
      <c r="BP26" s="1003"/>
      <c r="BQ26" s="1003"/>
      <c r="BR26" s="1003"/>
      <c r="BS26" s="1003"/>
      <c r="BT26" s="1003"/>
      <c r="BU26" s="1003"/>
      <c r="BV26" s="1003"/>
    </row>
    <row r="27" spans="1:74" ht="18.75" customHeight="1">
      <c r="A27" s="1007" t="s">
        <v>42</v>
      </c>
      <c r="B27" s="1931">
        <v>104936.71056030886</v>
      </c>
      <c r="C27" s="1032">
        <v>20.918428441717108</v>
      </c>
      <c r="D27" s="1921">
        <v>9707.8924506540843</v>
      </c>
      <c r="E27" s="1008">
        <v>6318.3843425966397</v>
      </c>
      <c r="F27" s="1008">
        <v>10708.230537008325</v>
      </c>
      <c r="G27" s="1008">
        <v>7013.4764829796031</v>
      </c>
      <c r="H27" s="1008">
        <v>8727.0005370083254</v>
      </c>
      <c r="I27" s="1008">
        <v>8013.1383966253552</v>
      </c>
      <c r="J27" s="1008">
        <v>12740.28378703469</v>
      </c>
      <c r="K27" s="1008">
        <v>8552.1323176534879</v>
      </c>
      <c r="L27" s="1008">
        <v>7397.6714867649162</v>
      </c>
      <c r="M27" s="1008">
        <v>9151.0847586707332</v>
      </c>
      <c r="N27" s="1008">
        <v>7456.3307046420114</v>
      </c>
      <c r="O27" s="1008">
        <v>9151.0847586707332</v>
      </c>
      <c r="R27" s="1003"/>
      <c r="S27" s="1003"/>
      <c r="T27" s="1003"/>
      <c r="U27" s="1003"/>
      <c r="V27" s="1003"/>
      <c r="W27" s="1003"/>
      <c r="X27" s="1003"/>
      <c r="Y27" s="1003"/>
      <c r="Z27" s="1003"/>
      <c r="AA27" s="1003"/>
      <c r="AB27" s="1003"/>
      <c r="AC27" s="1003"/>
      <c r="AD27" s="1003"/>
      <c r="AE27" s="1003"/>
      <c r="AF27" s="1003"/>
      <c r="AG27" s="1003"/>
      <c r="AH27" s="1003"/>
      <c r="AI27" s="1003"/>
      <c r="AJ27" s="1003"/>
      <c r="AK27" s="1003"/>
      <c r="AL27" s="1003"/>
      <c r="AM27" s="1003"/>
      <c r="AN27" s="1003"/>
      <c r="AO27" s="1003"/>
      <c r="AP27" s="1003"/>
      <c r="AQ27" s="1003"/>
      <c r="AR27" s="1003"/>
      <c r="AS27" s="1003"/>
      <c r="AT27" s="1003"/>
      <c r="AU27" s="1003"/>
      <c r="AV27" s="1003"/>
      <c r="AW27" s="1003"/>
      <c r="AX27" s="1003"/>
      <c r="AY27" s="1003"/>
      <c r="AZ27" s="1003"/>
      <c r="BA27" s="1003"/>
      <c r="BB27" s="1003"/>
      <c r="BC27" s="1003"/>
      <c r="BD27" s="1003"/>
      <c r="BE27" s="1003"/>
      <c r="BF27" s="1003"/>
      <c r="BG27" s="1003"/>
      <c r="BH27" s="1003"/>
      <c r="BI27" s="1003"/>
      <c r="BJ27" s="1003"/>
      <c r="BK27" s="1003"/>
      <c r="BL27" s="1003"/>
      <c r="BM27" s="1003"/>
      <c r="BN27" s="1003"/>
      <c r="BO27" s="1003"/>
      <c r="BP27" s="1003"/>
      <c r="BQ27" s="1003"/>
      <c r="BR27" s="1003"/>
      <c r="BS27" s="1003"/>
      <c r="BT27" s="1003"/>
      <c r="BU27" s="1003"/>
      <c r="BV27" s="1003"/>
    </row>
    <row r="28" spans="1:74" ht="18.75" customHeight="1">
      <c r="A28" s="1126" t="s">
        <v>1093</v>
      </c>
      <c r="B28" s="1935">
        <v>30777.999999999996</v>
      </c>
      <c r="C28" s="1038">
        <v>6.1353875792509323</v>
      </c>
      <c r="D28" s="1925">
        <v>2564.8333333333335</v>
      </c>
      <c r="E28" s="1018">
        <v>2564.8333333333335</v>
      </c>
      <c r="F28" s="1018">
        <v>2564.8333333333335</v>
      </c>
      <c r="G28" s="1018">
        <v>2564.8333333333335</v>
      </c>
      <c r="H28" s="1018">
        <v>2564.8333333333335</v>
      </c>
      <c r="I28" s="1018">
        <v>2564.8333333333335</v>
      </c>
      <c r="J28" s="1018">
        <v>2564.8333333333335</v>
      </c>
      <c r="K28" s="1018">
        <v>2564.8333333333335</v>
      </c>
      <c r="L28" s="1018">
        <v>2564.8333333333335</v>
      </c>
      <c r="M28" s="1018">
        <v>2564.8333333333335</v>
      </c>
      <c r="N28" s="1018">
        <v>2564.8333333333335</v>
      </c>
      <c r="O28" s="1018">
        <v>2564.8333333333335</v>
      </c>
      <c r="R28" s="1003"/>
      <c r="S28" s="1003"/>
      <c r="T28" s="1003"/>
      <c r="U28" s="1003"/>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1003"/>
      <c r="AV28" s="1003"/>
      <c r="AW28" s="1003"/>
      <c r="AX28" s="1003"/>
      <c r="AY28" s="1003"/>
      <c r="AZ28" s="1003"/>
      <c r="BA28" s="1003"/>
      <c r="BB28" s="1003"/>
      <c r="BC28" s="1003"/>
      <c r="BD28" s="1003"/>
      <c r="BE28" s="1003"/>
      <c r="BF28" s="1003"/>
      <c r="BG28" s="1003"/>
      <c r="BH28" s="1003"/>
      <c r="BI28" s="1003"/>
      <c r="BJ28" s="1003"/>
      <c r="BK28" s="1003"/>
      <c r="BL28" s="1003"/>
      <c r="BM28" s="1003"/>
      <c r="BN28" s="1003"/>
      <c r="BO28" s="1003"/>
      <c r="BP28" s="1003"/>
      <c r="BQ28" s="1003"/>
      <c r="BR28" s="1003"/>
      <c r="BS28" s="1003"/>
      <c r="BT28" s="1003"/>
      <c r="BU28" s="1003"/>
      <c r="BV28" s="1003"/>
    </row>
    <row r="29" spans="1:74" ht="18.75" customHeight="1">
      <c r="A29" s="1126" t="s">
        <v>1094</v>
      </c>
      <c r="B29" s="1935">
        <v>59222.000275255617</v>
      </c>
      <c r="C29" s="1038">
        <v>11.805507989706889</v>
      </c>
      <c r="D29" s="1925">
        <v>4833.6728747384059</v>
      </c>
      <c r="E29" s="1018">
        <v>4833.6728747384059</v>
      </c>
      <c r="F29" s="1018">
        <v>4833.6728747384059</v>
      </c>
      <c r="G29" s="1018">
        <v>4833.6728747384059</v>
      </c>
      <c r="H29" s="1018">
        <v>5214.8466099492016</v>
      </c>
      <c r="I29" s="1018">
        <v>4833.6728747384059</v>
      </c>
      <c r="J29" s="1018">
        <v>4920.6789669577238</v>
      </c>
      <c r="K29" s="1018">
        <v>4983.6220649313354</v>
      </c>
      <c r="L29" s="1018">
        <v>4983.6220649313354</v>
      </c>
      <c r="M29" s="1018">
        <v>4983.6220649313354</v>
      </c>
      <c r="N29" s="1018">
        <v>4983.6220649313354</v>
      </c>
      <c r="O29" s="1018">
        <v>4983.6220649313354</v>
      </c>
      <c r="R29" s="1003"/>
      <c r="S29" s="1003"/>
      <c r="T29" s="1003"/>
      <c r="U29" s="1003"/>
      <c r="V29" s="1003"/>
      <c r="W29" s="1003"/>
      <c r="X29" s="1003"/>
      <c r="Y29" s="1003"/>
      <c r="Z29" s="1003"/>
      <c r="AA29" s="1003"/>
      <c r="AB29" s="1003"/>
      <c r="AC29" s="1003"/>
      <c r="AD29" s="1003"/>
      <c r="AE29" s="1003"/>
      <c r="AF29" s="1003"/>
      <c r="AG29" s="1003"/>
      <c r="AH29" s="1003"/>
      <c r="AI29" s="1003"/>
      <c r="AJ29" s="1003"/>
      <c r="AK29" s="1003"/>
      <c r="AL29" s="1003"/>
      <c r="AM29" s="1003"/>
      <c r="AN29" s="1003"/>
      <c r="AO29" s="1003"/>
      <c r="AP29" s="1003"/>
      <c r="AQ29" s="1003"/>
      <c r="AR29" s="1003"/>
      <c r="AS29" s="1003"/>
      <c r="AT29" s="1003"/>
      <c r="AU29" s="1003"/>
      <c r="AV29" s="1003"/>
      <c r="AW29" s="1003"/>
      <c r="AX29" s="1003"/>
      <c r="AY29" s="1003"/>
      <c r="AZ29" s="1003"/>
      <c r="BA29" s="1003"/>
      <c r="BB29" s="1003"/>
      <c r="BC29" s="1003"/>
      <c r="BD29" s="1003"/>
      <c r="BE29" s="1003"/>
      <c r="BF29" s="1003"/>
      <c r="BG29" s="1003"/>
      <c r="BH29" s="1003"/>
      <c r="BI29" s="1003"/>
      <c r="BJ29" s="1003"/>
      <c r="BK29" s="1003"/>
      <c r="BL29" s="1003"/>
      <c r="BM29" s="1003"/>
      <c r="BN29" s="1003"/>
      <c r="BO29" s="1003"/>
      <c r="BP29" s="1003"/>
      <c r="BQ29" s="1003"/>
      <c r="BR29" s="1003"/>
      <c r="BS29" s="1003"/>
      <c r="BT29" s="1003"/>
      <c r="BU29" s="1003"/>
      <c r="BV29" s="1003"/>
    </row>
    <row r="30" spans="1:74" ht="18.75" customHeight="1">
      <c r="A30" s="171" t="s">
        <v>751</v>
      </c>
      <c r="B30" s="1929">
        <v>90000.000275255617</v>
      </c>
      <c r="C30" s="1030">
        <v>17.940895568957821</v>
      </c>
      <c r="D30" s="1919">
        <v>7398.5062080717398</v>
      </c>
      <c r="E30" s="110">
        <v>7398.5062080717398</v>
      </c>
      <c r="F30" s="110">
        <v>7398.5062080717398</v>
      </c>
      <c r="G30" s="110">
        <v>7398.5062080717398</v>
      </c>
      <c r="H30" s="110">
        <v>7779.6799432825355</v>
      </c>
      <c r="I30" s="110">
        <v>7398.5062080717398</v>
      </c>
      <c r="J30" s="110">
        <v>7485.5123002910568</v>
      </c>
      <c r="K30" s="110">
        <v>7548.4553982646685</v>
      </c>
      <c r="L30" s="110">
        <v>7548.4553982646685</v>
      </c>
      <c r="M30" s="110">
        <v>7548.4553982646685</v>
      </c>
      <c r="N30" s="110">
        <v>7548.4553982646685</v>
      </c>
      <c r="O30" s="110">
        <v>7548.4553982646685</v>
      </c>
      <c r="R30" s="1003"/>
      <c r="S30" s="1003"/>
      <c r="T30" s="1003"/>
      <c r="U30" s="1003"/>
      <c r="V30" s="1003"/>
      <c r="W30" s="1003"/>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1003"/>
      <c r="AV30" s="1003"/>
      <c r="AW30" s="1003"/>
      <c r="AX30" s="1003"/>
      <c r="AY30" s="1003"/>
      <c r="AZ30" s="1003"/>
      <c r="BA30" s="1003"/>
      <c r="BB30" s="1003"/>
      <c r="BC30" s="1003"/>
      <c r="BD30" s="1003"/>
      <c r="BE30" s="1003"/>
      <c r="BF30" s="1003"/>
      <c r="BG30" s="1003"/>
      <c r="BH30" s="1003"/>
      <c r="BI30" s="1003"/>
      <c r="BJ30" s="1003"/>
      <c r="BK30" s="1003"/>
      <c r="BL30" s="1003"/>
      <c r="BM30" s="1003"/>
      <c r="BN30" s="1003"/>
      <c r="BO30" s="1003"/>
      <c r="BP30" s="1003"/>
      <c r="BQ30" s="1003"/>
      <c r="BR30" s="1003"/>
      <c r="BS30" s="1003"/>
      <c r="BT30" s="1003"/>
      <c r="BU30" s="1003"/>
      <c r="BV30" s="1003"/>
    </row>
    <row r="31" spans="1:74" ht="18.75" customHeight="1">
      <c r="A31" s="42" t="s">
        <v>111</v>
      </c>
      <c r="B31" s="1929">
        <v>13282.200000000003</v>
      </c>
      <c r="C31" s="1035">
        <v>2.6477173599690285</v>
      </c>
      <c r="D31" s="1919">
        <v>1231.8499999999999</v>
      </c>
      <c r="E31" s="110">
        <v>1231.8499999999999</v>
      </c>
      <c r="F31" s="110">
        <v>1231.8499999999999</v>
      </c>
      <c r="G31" s="110">
        <v>1231.8499999999999</v>
      </c>
      <c r="H31" s="110">
        <v>1231.8499999999999</v>
      </c>
      <c r="I31" s="110">
        <v>1231.8499999999999</v>
      </c>
      <c r="J31" s="110">
        <v>1231.8499999999999</v>
      </c>
      <c r="K31" s="110">
        <v>1231.8499999999999</v>
      </c>
      <c r="L31" s="110">
        <v>1231.8499999999999</v>
      </c>
      <c r="M31" s="110">
        <v>731.85</v>
      </c>
      <c r="N31" s="110">
        <v>731.85</v>
      </c>
      <c r="O31" s="110">
        <v>731.85</v>
      </c>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row>
    <row r="32" spans="1:74" ht="18.75" customHeight="1">
      <c r="A32" s="42" t="s">
        <v>43</v>
      </c>
      <c r="B32" s="1929">
        <v>0</v>
      </c>
      <c r="C32" s="1035">
        <v>0</v>
      </c>
      <c r="D32" s="1919">
        <v>0</v>
      </c>
      <c r="E32" s="110">
        <v>0</v>
      </c>
      <c r="F32" s="110">
        <v>0</v>
      </c>
      <c r="G32" s="110">
        <v>0</v>
      </c>
      <c r="H32" s="110">
        <v>0</v>
      </c>
      <c r="I32" s="110">
        <v>0</v>
      </c>
      <c r="J32" s="110">
        <v>0</v>
      </c>
      <c r="K32" s="110">
        <v>0</v>
      </c>
      <c r="L32" s="110">
        <v>0</v>
      </c>
      <c r="M32" s="110">
        <v>0</v>
      </c>
      <c r="N32" s="110">
        <v>0</v>
      </c>
      <c r="O32" s="110">
        <v>0</v>
      </c>
      <c r="R32" s="1003"/>
      <c r="S32" s="1003"/>
      <c r="T32" s="1003"/>
      <c r="U32" s="1003"/>
      <c r="V32" s="1003"/>
      <c r="W32" s="1003"/>
      <c r="X32" s="1003"/>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M32" s="1003"/>
      <c r="BN32" s="1003"/>
      <c r="BO32" s="1003"/>
      <c r="BP32" s="1003"/>
      <c r="BQ32" s="1003"/>
      <c r="BR32" s="1003"/>
      <c r="BS32" s="1003"/>
      <c r="BT32" s="1003"/>
      <c r="BU32" s="1003"/>
      <c r="BV32" s="1003"/>
    </row>
    <row r="33" spans="1:74" ht="16.5" customHeight="1">
      <c r="A33" s="1040" t="s">
        <v>81</v>
      </c>
      <c r="B33" s="1936">
        <v>1751.4210815826088</v>
      </c>
      <c r="C33" s="1039">
        <v>0.34913402917604042</v>
      </c>
      <c r="D33" s="1926">
        <v>1077.5362425823446</v>
      </c>
      <c r="E33" s="1041">
        <v>-2311.9718654751</v>
      </c>
      <c r="F33" s="1041">
        <v>2077.8743289365852</v>
      </c>
      <c r="G33" s="1041">
        <v>-1616.8797250921366</v>
      </c>
      <c r="H33" s="1041">
        <v>-284.52940627421003</v>
      </c>
      <c r="I33" s="1041">
        <v>-617.21781144638453</v>
      </c>
      <c r="J33" s="1041">
        <v>4022.9214867436335</v>
      </c>
      <c r="K33" s="1041">
        <v>-2679.717682346512</v>
      </c>
      <c r="L33" s="1041">
        <v>1165.8214867649162</v>
      </c>
      <c r="M33" s="1041">
        <v>870.77936040606471</v>
      </c>
      <c r="N33" s="1041">
        <v>-823.97469362265713</v>
      </c>
      <c r="O33" s="1041">
        <v>870.77936040606471</v>
      </c>
      <c r="R33" s="1003"/>
      <c r="S33" s="1003"/>
      <c r="T33" s="1003"/>
      <c r="U33" s="1003"/>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c r="BF33" s="1003"/>
      <c r="BG33" s="1003"/>
      <c r="BH33" s="1003"/>
      <c r="BI33" s="1003"/>
      <c r="BJ33" s="1003"/>
      <c r="BK33" s="1003"/>
      <c r="BL33" s="1003"/>
      <c r="BM33" s="1003"/>
      <c r="BN33" s="1003"/>
      <c r="BO33" s="1003"/>
      <c r="BP33" s="1003"/>
      <c r="BQ33" s="1003"/>
      <c r="BR33" s="1003"/>
      <c r="BS33" s="1003"/>
      <c r="BT33" s="1003"/>
      <c r="BU33" s="1003"/>
      <c r="BV33" s="1003"/>
    </row>
    <row r="34" spans="1:74" ht="16.5" customHeight="1">
      <c r="A34" s="1040" t="s">
        <v>1095</v>
      </c>
      <c r="B34" s="1936"/>
      <c r="C34" s="1042"/>
      <c r="D34" s="1926">
        <v>2077.5362425823446</v>
      </c>
      <c r="E34" s="1041">
        <v>-234.43562289275542</v>
      </c>
      <c r="F34" s="1041">
        <v>1843.4387060438298</v>
      </c>
      <c r="G34" s="1041">
        <v>226.55898095169323</v>
      </c>
      <c r="H34" s="1041">
        <v>-57.970425322516803</v>
      </c>
      <c r="I34" s="1041">
        <v>-675.18823676890133</v>
      </c>
      <c r="J34" s="1041">
        <v>3347.7332499747322</v>
      </c>
      <c r="K34" s="1041">
        <v>668.0155676282202</v>
      </c>
      <c r="L34" s="1041">
        <v>1833.8370543931364</v>
      </c>
      <c r="M34" s="1041">
        <v>2704.6164147992013</v>
      </c>
      <c r="N34" s="1041">
        <v>1880.6417211765443</v>
      </c>
      <c r="O34" s="1041">
        <v>2751.4210815826091</v>
      </c>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3"/>
      <c r="AY34" s="1003"/>
      <c r="AZ34" s="1003"/>
      <c r="BA34" s="1003"/>
      <c r="BB34" s="1003"/>
      <c r="BC34" s="1003"/>
      <c r="BD34" s="1003"/>
      <c r="BE34" s="1003"/>
      <c r="BF34" s="1003"/>
      <c r="BG34" s="1003"/>
      <c r="BH34" s="1003"/>
      <c r="BI34" s="1003"/>
      <c r="BJ34" s="1003"/>
      <c r="BK34" s="1003"/>
      <c r="BL34" s="1003"/>
      <c r="BM34" s="1003"/>
      <c r="BN34" s="1003"/>
      <c r="BO34" s="1003"/>
      <c r="BP34" s="1003"/>
      <c r="BQ34" s="1003"/>
      <c r="BR34" s="1003"/>
      <c r="BS34" s="1003"/>
      <c r="BT34" s="1003"/>
      <c r="BU34" s="1003"/>
      <c r="BV34" s="1003"/>
    </row>
    <row r="35" spans="1:74" ht="11.25" customHeight="1">
      <c r="A35" s="1003"/>
      <c r="B35" s="1003"/>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3"/>
      <c r="AY35" s="1003"/>
      <c r="AZ35" s="1003"/>
      <c r="BA35" s="1003"/>
      <c r="BB35" s="1003"/>
      <c r="BC35" s="1003"/>
      <c r="BD35" s="1003"/>
      <c r="BE35" s="1003"/>
      <c r="BF35" s="1003"/>
      <c r="BG35" s="1003"/>
      <c r="BH35" s="1003"/>
      <c r="BI35" s="1003"/>
      <c r="BJ35" s="1003"/>
      <c r="BK35" s="1003"/>
      <c r="BL35" s="1003"/>
      <c r="BM35" s="1003"/>
      <c r="BN35" s="1003"/>
      <c r="BO35" s="1003"/>
      <c r="BP35" s="1003"/>
      <c r="BQ35" s="1003"/>
      <c r="BR35" s="1003"/>
      <c r="BS35" s="1003"/>
      <c r="BT35" s="1003"/>
      <c r="BU35" s="1003"/>
      <c r="BV35" s="1003"/>
    </row>
    <row r="36" spans="1:74" ht="11.25" customHeight="1">
      <c r="A36" s="1946" t="s">
        <v>1088</v>
      </c>
      <c r="B36" s="1946"/>
      <c r="C36" s="1946"/>
      <c r="D36" s="1947"/>
      <c r="E36" s="1948">
        <v>123717.04594409658</v>
      </c>
      <c r="F36" s="1948"/>
      <c r="G36" s="1948"/>
      <c r="H36" s="1948">
        <v>123717.04594409658</v>
      </c>
      <c r="I36" s="1948"/>
      <c r="J36" s="1948"/>
      <c r="K36" s="1948">
        <v>128801.30810618273</v>
      </c>
      <c r="L36" s="1948"/>
      <c r="M36" s="1948"/>
      <c r="N36" s="1948">
        <v>125411.79999812529</v>
      </c>
      <c r="O36" s="1111"/>
      <c r="P36" s="1111"/>
      <c r="R36" s="1003"/>
      <c r="S36" s="1003"/>
      <c r="T36" s="1003"/>
      <c r="U36" s="1003"/>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1003"/>
      <c r="AV36" s="1003"/>
      <c r="AW36" s="1003"/>
      <c r="AX36" s="1003"/>
      <c r="AY36" s="1003"/>
      <c r="AZ36" s="1003"/>
      <c r="BA36" s="1003"/>
      <c r="BB36" s="1003"/>
    </row>
    <row r="37" spans="1:74" ht="11.25" customHeight="1">
      <c r="A37" s="1946" t="s">
        <v>1089</v>
      </c>
      <c r="B37" s="1946"/>
      <c r="C37" s="1946"/>
      <c r="D37" s="1948">
        <v>41239.01531469886</v>
      </c>
      <c r="E37" s="1948">
        <v>41239.01531469886</v>
      </c>
      <c r="F37" s="1948">
        <v>41239.01531469886</v>
      </c>
      <c r="G37" s="1948">
        <v>41239.01531469886</v>
      </c>
      <c r="H37" s="1948">
        <v>41239.01531469886</v>
      </c>
      <c r="I37" s="1948">
        <v>41239.01531469886</v>
      </c>
      <c r="J37" s="1948">
        <v>42933.769368727575</v>
      </c>
      <c r="K37" s="1948">
        <v>42933.769368727575</v>
      </c>
      <c r="L37" s="1948">
        <v>42933.769368727575</v>
      </c>
      <c r="M37" s="1948">
        <v>41803.933332708431</v>
      </c>
      <c r="N37" s="1948">
        <v>41803.933332708431</v>
      </c>
      <c r="O37" s="1948">
        <v>41803.933332708431</v>
      </c>
      <c r="P37" s="1948">
        <v>41803.933332708431</v>
      </c>
      <c r="R37" s="1003"/>
      <c r="S37" s="1003"/>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row>
    <row r="38" spans="1:74" ht="11.25" customHeight="1">
      <c r="A38" s="1003"/>
      <c r="B38" s="1003"/>
      <c r="C38" s="1003"/>
      <c r="D38" s="1003"/>
      <c r="E38" s="1003"/>
      <c r="F38" s="1003"/>
      <c r="G38" s="1003"/>
      <c r="H38" s="1003"/>
      <c r="I38" s="1003"/>
      <c r="J38" s="1003"/>
      <c r="K38" s="1003"/>
      <c r="L38" s="1003"/>
      <c r="M38" s="1003"/>
      <c r="N38" s="1003"/>
      <c r="O38" s="1003"/>
      <c r="P38" s="1003"/>
      <c r="Q38" s="1003"/>
      <c r="R38" s="1003"/>
      <c r="S38" s="1003"/>
      <c r="T38" s="1003"/>
      <c r="U38" s="1003"/>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1003"/>
      <c r="AV38" s="1003"/>
      <c r="AW38" s="1003"/>
      <c r="AX38" s="1003"/>
      <c r="AY38" s="1003"/>
      <c r="AZ38" s="1003"/>
      <c r="BA38" s="1003"/>
      <c r="BB38" s="1003"/>
      <c r="BC38" s="389" t="s">
        <v>734</v>
      </c>
      <c r="BD38" s="1019"/>
      <c r="BE38" s="1019"/>
      <c r="BG38" s="1019"/>
      <c r="BH38" s="1019"/>
      <c r="BI38" s="1019"/>
      <c r="BJ38" s="1019"/>
      <c r="BK38" s="1019"/>
    </row>
    <row r="39" spans="1:74" ht="11.25" customHeight="1">
      <c r="A39" s="1003"/>
      <c r="B39" s="1003"/>
      <c r="C39" s="1003"/>
      <c r="D39" s="1003"/>
      <c r="E39" s="1003"/>
      <c r="F39" s="1003"/>
      <c r="G39" s="1003"/>
      <c r="H39" s="1003"/>
      <c r="I39" s="1003"/>
      <c r="J39" s="1003"/>
      <c r="K39" s="1003"/>
      <c r="L39" s="1003"/>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3"/>
      <c r="AW39" s="1003"/>
      <c r="AX39" s="1003"/>
      <c r="AY39" s="1003"/>
      <c r="AZ39" s="1003"/>
      <c r="BA39" s="1003"/>
      <c r="BB39" s="1003"/>
      <c r="BC39" s="389" t="e">
        <v>#DIV/0!</v>
      </c>
      <c r="BE39" s="1019"/>
      <c r="BG39" s="1019"/>
      <c r="BH39" s="1019"/>
      <c r="BI39" s="1019"/>
      <c r="BJ39" s="1019"/>
      <c r="BK39" s="1019"/>
    </row>
    <row r="40" spans="1:74" ht="11.25" customHeight="1">
      <c r="A40" s="1003"/>
      <c r="B40" s="1003"/>
      <c r="C40" s="1003"/>
      <c r="D40" s="1003"/>
      <c r="E40" s="1003"/>
      <c r="F40" s="1003"/>
      <c r="G40" s="1003"/>
      <c r="H40" s="1003"/>
      <c r="I40" s="1003"/>
      <c r="J40" s="1003"/>
      <c r="K40" s="1003"/>
      <c r="L40" s="1003"/>
      <c r="M40" s="1003"/>
      <c r="N40" s="1003"/>
      <c r="O40" s="1003"/>
      <c r="P40" s="1003"/>
      <c r="Q40" s="1003"/>
      <c r="R40" s="1003"/>
      <c r="S40" s="1003"/>
      <c r="T40" s="1003"/>
      <c r="U40" s="1003"/>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1003"/>
      <c r="AV40" s="1003"/>
      <c r="AW40" s="1003"/>
      <c r="AX40" s="1003"/>
      <c r="AY40" s="1003"/>
      <c r="AZ40" s="1003"/>
      <c r="BA40" s="1003"/>
      <c r="BB40" s="1003"/>
      <c r="BC40" s="389" t="e">
        <v>#DIV/0!</v>
      </c>
      <c r="BD40" s="1019"/>
      <c r="BE40" s="1019"/>
      <c r="BG40" s="1019"/>
      <c r="BH40" s="1019"/>
      <c r="BI40" s="1019"/>
      <c r="BJ40" s="1019"/>
      <c r="BK40" s="1019"/>
    </row>
    <row r="41" spans="1:74" ht="11.25" customHeight="1">
      <c r="A41" s="1003"/>
      <c r="B41" s="1003"/>
      <c r="C41" s="1003"/>
      <c r="D41" s="1003"/>
      <c r="E41" s="1003"/>
      <c r="F41" s="1003"/>
      <c r="G41" s="1003"/>
      <c r="H41" s="1003"/>
      <c r="I41" s="1003"/>
      <c r="J41" s="1003"/>
      <c r="K41" s="1003"/>
      <c r="L41" s="1003"/>
      <c r="M41" s="1003"/>
      <c r="N41" s="1003"/>
      <c r="O41" s="1003"/>
      <c r="P41" s="1003"/>
      <c r="Q41" s="1003"/>
      <c r="R41" s="1003"/>
      <c r="S41" s="1003"/>
      <c r="T41" s="1003"/>
      <c r="U41" s="1003"/>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1003"/>
      <c r="AV41" s="1003"/>
      <c r="AW41" s="1003"/>
      <c r="AX41" s="1003"/>
      <c r="AY41" s="1003"/>
      <c r="AZ41" s="1003"/>
      <c r="BA41" s="1003"/>
      <c r="BB41" s="1003"/>
      <c r="BC41" s="389" t="e">
        <v>#DIV/0!</v>
      </c>
      <c r="BD41" s="1019"/>
      <c r="BE41" s="1019"/>
      <c r="BG41" s="1019"/>
      <c r="BH41" s="1019"/>
      <c r="BI41" s="1019"/>
      <c r="BJ41" s="1019"/>
      <c r="BK41" s="1019"/>
    </row>
    <row r="42" spans="1:74" ht="11.25" customHeight="1">
      <c r="A42" s="1003"/>
      <c r="B42" s="1003"/>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1003"/>
      <c r="AV42" s="1003"/>
      <c r="AW42" s="1003"/>
      <c r="AX42" s="1003"/>
      <c r="AY42" s="1003"/>
      <c r="AZ42" s="1003"/>
      <c r="BA42" s="1003"/>
      <c r="BB42" s="1003"/>
      <c r="BC42" s="389" t="e">
        <v>#DIV/0!</v>
      </c>
      <c r="BD42" s="1019"/>
      <c r="BE42" s="1019"/>
      <c r="BG42" s="1019"/>
      <c r="BH42" s="1019"/>
      <c r="BI42" s="1019"/>
      <c r="BJ42" s="1019"/>
      <c r="BK42" s="1019"/>
    </row>
    <row r="43" spans="1:74" ht="11.25" customHeight="1">
      <c r="A43" s="1003"/>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1003"/>
      <c r="AV43" s="1003"/>
      <c r="AW43" s="1003"/>
      <c r="AX43" s="1003"/>
      <c r="AY43" s="1003"/>
      <c r="AZ43" s="1003"/>
      <c r="BA43" s="1003"/>
      <c r="BB43" s="1003"/>
      <c r="BC43" s="389" t="e">
        <v>#DIV/0!</v>
      </c>
      <c r="BD43" s="1019"/>
      <c r="BE43" s="1019"/>
      <c r="BG43" s="1019"/>
      <c r="BH43" s="1019"/>
      <c r="BI43" s="1019"/>
      <c r="BJ43" s="1019"/>
      <c r="BK43" s="1019"/>
    </row>
    <row r="44" spans="1:74" ht="11.25" customHeight="1">
      <c r="A44" s="1003"/>
      <c r="B44" s="1003"/>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c r="AF44" s="1003"/>
      <c r="AG44" s="1003"/>
      <c r="AH44" s="1003"/>
      <c r="AI44" s="1003"/>
      <c r="AJ44" s="1003"/>
      <c r="AK44" s="1003"/>
      <c r="AL44" s="1003"/>
      <c r="AM44" s="1003"/>
      <c r="AN44" s="1003"/>
      <c r="AO44" s="1003"/>
      <c r="AP44" s="1003"/>
      <c r="AQ44" s="1003"/>
      <c r="AR44" s="1003"/>
      <c r="AS44" s="1003"/>
      <c r="AT44" s="1003"/>
      <c r="AU44" s="1003"/>
      <c r="AV44" s="1003"/>
      <c r="AW44" s="1003"/>
      <c r="AX44" s="1003"/>
      <c r="AY44" s="1003"/>
      <c r="AZ44" s="1003"/>
      <c r="BA44" s="1003"/>
      <c r="BB44" s="1003"/>
      <c r="BC44" s="389" t="e">
        <v>#DIV/0!</v>
      </c>
    </row>
    <row r="45" spans="1:74" ht="11.25" customHeight="1">
      <c r="A45" s="1003"/>
      <c r="B45" s="1003"/>
      <c r="C45" s="1003"/>
      <c r="D45" s="1003"/>
      <c r="E45" s="1003"/>
      <c r="F45" s="1003"/>
      <c r="G45" s="1003"/>
      <c r="H45" s="1003"/>
      <c r="I45" s="1003"/>
      <c r="J45" s="1003"/>
      <c r="K45" s="1003"/>
      <c r="L45" s="1003"/>
      <c r="M45" s="1003"/>
      <c r="N45" s="1003"/>
      <c r="O45" s="1003"/>
      <c r="P45" s="1003"/>
      <c r="Q45" s="1003"/>
      <c r="R45" s="1003"/>
      <c r="S45" s="1003"/>
      <c r="T45" s="1003"/>
      <c r="U45" s="1003"/>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1003"/>
      <c r="AV45" s="1003"/>
      <c r="AW45" s="1003"/>
      <c r="AX45" s="1003"/>
      <c r="AY45" s="1003"/>
      <c r="AZ45" s="1003"/>
      <c r="BA45" s="1003"/>
      <c r="BB45" s="1003"/>
      <c r="BC45" s="389" t="e">
        <v>#DIV/0!</v>
      </c>
    </row>
    <row r="46" spans="1:74" ht="11.25" customHeight="1">
      <c r="A46" s="1003"/>
      <c r="B46" s="1003"/>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row>
    <row r="47" spans="1:74" ht="11.25" customHeight="1">
      <c r="A47" s="1003"/>
      <c r="B47" s="1003"/>
      <c r="C47" s="1003"/>
      <c r="D47" s="1003"/>
      <c r="E47" s="1003"/>
      <c r="F47" s="1003"/>
      <c r="G47" s="1003"/>
      <c r="H47" s="1003"/>
      <c r="I47" s="1003"/>
      <c r="J47" s="1003"/>
      <c r="K47" s="1003"/>
      <c r="L47" s="1003"/>
      <c r="M47" s="1003"/>
      <c r="N47" s="1003"/>
      <c r="O47" s="1003"/>
      <c r="P47" s="1003"/>
      <c r="Q47" s="1003"/>
      <c r="R47" s="1003"/>
      <c r="S47" s="1003"/>
      <c r="T47" s="1003"/>
      <c r="U47" s="1003"/>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1003"/>
      <c r="AR47" s="1003"/>
      <c r="AS47" s="1003"/>
      <c r="AT47" s="1003"/>
      <c r="AU47" s="1003"/>
      <c r="AV47" s="1003"/>
      <c r="AW47" s="1003"/>
      <c r="AX47" s="1003"/>
      <c r="AY47" s="1003"/>
      <c r="AZ47" s="1003"/>
      <c r="BA47" s="1003"/>
      <c r="BB47" s="1003"/>
    </row>
    <row r="48" spans="1:74" ht="11.25" customHeight="1">
      <c r="A48" s="1003"/>
      <c r="B48" s="1003"/>
      <c r="C48" s="1003"/>
      <c r="D48" s="1003"/>
      <c r="E48" s="1003"/>
      <c r="F48" s="1003"/>
      <c r="G48" s="1003"/>
      <c r="H48" s="1003"/>
      <c r="I48" s="1003"/>
      <c r="J48" s="1003"/>
      <c r="K48" s="1003"/>
      <c r="L48" s="1003"/>
      <c r="M48" s="1003"/>
      <c r="N48" s="1003"/>
      <c r="O48" s="1003"/>
      <c r="P48" s="1003"/>
      <c r="Q48" s="1003"/>
      <c r="R48" s="1003"/>
      <c r="S48" s="1003"/>
      <c r="T48" s="1003"/>
      <c r="U48" s="1003"/>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1003"/>
      <c r="AV48" s="1003"/>
      <c r="AW48" s="1003"/>
      <c r="AX48" s="1003"/>
      <c r="AY48" s="1003"/>
      <c r="AZ48" s="1003"/>
      <c r="BA48" s="1003"/>
      <c r="BB48" s="1003"/>
    </row>
    <row r="49" spans="1:69" ht="11.25" customHeight="1">
      <c r="A49" s="1003"/>
      <c r="B49" s="1003"/>
      <c r="C49" s="1003"/>
      <c r="D49" s="1003"/>
      <c r="E49" s="1003"/>
      <c r="F49" s="1003"/>
      <c r="G49" s="1003"/>
      <c r="H49" s="1003"/>
      <c r="I49" s="1003"/>
      <c r="J49" s="1003"/>
      <c r="K49" s="1003"/>
      <c r="L49" s="1003"/>
      <c r="M49" s="1003"/>
      <c r="N49" s="1003"/>
      <c r="O49" s="1003"/>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1003"/>
      <c r="AV49" s="1003"/>
      <c r="AW49" s="1003"/>
      <c r="AX49" s="1003"/>
      <c r="AY49" s="1003"/>
      <c r="AZ49" s="1003"/>
      <c r="BA49" s="1003"/>
      <c r="BB49" s="1003"/>
    </row>
    <row r="50" spans="1:69" ht="11.25" customHeight="1">
      <c r="A50" s="1003"/>
      <c r="B50" s="1003"/>
      <c r="C50" s="1003"/>
      <c r="D50" s="1003"/>
      <c r="E50" s="1003"/>
      <c r="F50" s="1003"/>
      <c r="G50" s="1003"/>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1003"/>
      <c r="AV50" s="1003"/>
      <c r="AW50" s="1003"/>
      <c r="AX50" s="1003"/>
      <c r="AY50" s="1003"/>
      <c r="AZ50" s="1003"/>
      <c r="BA50" s="1003"/>
      <c r="BB50" s="1003"/>
    </row>
    <row r="51" spans="1:69" ht="11.25" customHeight="1">
      <c r="A51" s="1003"/>
      <c r="B51" s="1003"/>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1003"/>
      <c r="AV51" s="1003"/>
      <c r="AW51" s="1003"/>
      <c r="AX51" s="1003"/>
      <c r="AY51" s="1003"/>
      <c r="AZ51" s="1003"/>
      <c r="BA51" s="1003"/>
      <c r="BB51" s="1003"/>
    </row>
    <row r="52" spans="1:69" ht="11.25" customHeight="1">
      <c r="A52" s="1003"/>
      <c r="B52" s="1003"/>
      <c r="C52" s="1003"/>
      <c r="D52" s="1003"/>
      <c r="E52" s="1003"/>
      <c r="F52" s="1003"/>
      <c r="G52" s="1003"/>
      <c r="H52" s="1003"/>
      <c r="I52" s="1003"/>
      <c r="J52" s="1003"/>
      <c r="K52" s="1003"/>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row>
    <row r="53" spans="1:69" ht="11.25" customHeight="1">
      <c r="A53" s="1003"/>
      <c r="B53" s="1003"/>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1003"/>
      <c r="AV53" s="1003"/>
      <c r="AW53" s="1003"/>
      <c r="AX53" s="1003"/>
      <c r="AY53" s="1003"/>
      <c r="AZ53" s="1003"/>
      <c r="BA53" s="1003"/>
      <c r="BB53" s="1003"/>
    </row>
    <row r="54" spans="1:69" ht="11.25" customHeight="1">
      <c r="A54" s="1003"/>
      <c r="B54" s="1003"/>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1003"/>
      <c r="AV54" s="1003"/>
      <c r="AW54" s="1003"/>
      <c r="AX54" s="1003"/>
      <c r="AY54" s="1003"/>
      <c r="AZ54" s="1003"/>
      <c r="BA54" s="1003"/>
      <c r="BB54" s="1003"/>
    </row>
    <row r="55" spans="1:69" ht="11.25" customHeight="1">
      <c r="A55" s="1003"/>
      <c r="B55" s="1003"/>
      <c r="C55" s="1003"/>
      <c r="D55" s="1003"/>
      <c r="E55" s="1003"/>
      <c r="F55" s="1003"/>
      <c r="G55" s="1003"/>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1003"/>
      <c r="AV55" s="1003"/>
      <c r="AW55" s="1003"/>
      <c r="AX55" s="1003"/>
      <c r="AY55" s="1003"/>
      <c r="AZ55" s="1003"/>
      <c r="BA55" s="1003"/>
      <c r="BB55" s="1003"/>
    </row>
    <row r="56" spans="1:69" ht="17.399999999999999">
      <c r="A56" s="1003"/>
      <c r="B56" s="1003"/>
      <c r="C56" s="1003"/>
      <c r="D56" s="1003"/>
      <c r="E56" s="1003"/>
      <c r="F56" s="1003"/>
      <c r="G56" s="1003"/>
      <c r="H56" s="1003"/>
      <c r="I56" s="1003"/>
      <c r="J56" s="1003"/>
      <c r="K56" s="1003"/>
      <c r="L56" s="1003"/>
      <c r="M56" s="1003"/>
      <c r="N56" s="1003"/>
      <c r="O56" s="1003"/>
      <c r="P56" s="1003"/>
      <c r="Q56" s="1003"/>
      <c r="R56" s="1003"/>
      <c r="S56" s="1003"/>
      <c r="T56" s="1003"/>
      <c r="U56" s="1003"/>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1003"/>
      <c r="AV56" s="1003"/>
      <c r="AW56" s="1003"/>
      <c r="AX56" s="1003"/>
      <c r="AY56" s="1003"/>
      <c r="AZ56" s="1003"/>
      <c r="BA56" s="1003"/>
      <c r="BB56" s="1003"/>
    </row>
    <row r="57" spans="1:69" ht="17.399999999999999">
      <c r="A57" s="1003"/>
      <c r="B57" s="1003"/>
      <c r="C57" s="1003"/>
      <c r="D57" s="1003"/>
      <c r="E57" s="1003"/>
      <c r="F57" s="1003"/>
      <c r="G57" s="1003"/>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row>
    <row r="58" spans="1:69" ht="17.399999999999999">
      <c r="A58" s="1003"/>
      <c r="B58" s="1003"/>
      <c r="C58" s="1003"/>
      <c r="D58" s="1003"/>
      <c r="E58" s="1003"/>
      <c r="F58" s="1003"/>
      <c r="G58" s="1003"/>
      <c r="H58" s="1003"/>
      <c r="I58" s="1003"/>
      <c r="J58" s="1003"/>
      <c r="K58" s="1003"/>
      <c r="L58" s="1003"/>
      <c r="M58" s="1003"/>
      <c r="N58" s="1003"/>
      <c r="O58" s="1003"/>
      <c r="P58" s="1003"/>
      <c r="Q58" s="1003"/>
      <c r="R58" s="1003"/>
      <c r="S58" s="1003"/>
      <c r="T58" s="1003"/>
      <c r="U58" s="1003"/>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row>
    <row r="59" spans="1:69" ht="17.399999999999999">
      <c r="A59" s="1003"/>
      <c r="B59" s="1003"/>
      <c r="C59" s="1003"/>
      <c r="D59" s="1003"/>
      <c r="E59" s="1003"/>
      <c r="F59" s="1003"/>
      <c r="G59" s="1003"/>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1003"/>
      <c r="AV59" s="1003"/>
      <c r="AW59" s="1003"/>
      <c r="AX59" s="1003"/>
      <c r="AY59" s="1003"/>
      <c r="AZ59" s="1003"/>
      <c r="BA59" s="1003"/>
      <c r="BB59" s="1003"/>
    </row>
    <row r="60" spans="1:69" ht="17.399999999999999">
      <c r="A60" s="1003"/>
      <c r="B60" s="1003"/>
      <c r="C60" s="1003"/>
      <c r="D60" s="1003"/>
      <c r="E60" s="1003"/>
      <c r="F60" s="1003"/>
      <c r="G60" s="1003"/>
      <c r="H60" s="1003"/>
      <c r="I60" s="1003"/>
      <c r="J60" s="1003"/>
      <c r="K60" s="1003"/>
      <c r="L60" s="1003"/>
      <c r="M60" s="1003"/>
      <c r="N60" s="1003"/>
      <c r="O60" s="1003"/>
      <c r="P60" s="1003"/>
      <c r="Q60" s="1003"/>
      <c r="R60" s="1003"/>
      <c r="S60" s="1003"/>
      <c r="T60" s="1003"/>
      <c r="U60" s="1003"/>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1003"/>
      <c r="AV60" s="1003"/>
      <c r="AW60" s="1003"/>
      <c r="AX60" s="1003"/>
      <c r="AY60" s="1003"/>
      <c r="AZ60" s="1003"/>
      <c r="BA60" s="1003"/>
      <c r="BB60" s="1003"/>
    </row>
    <row r="61" spans="1:69" ht="17.399999999999999">
      <c r="A61" s="1003"/>
      <c r="B61" s="1003"/>
      <c r="C61" s="1003"/>
      <c r="D61" s="1003"/>
      <c r="E61" s="1003"/>
      <c r="F61" s="1003"/>
      <c r="G61" s="1003"/>
      <c r="H61" s="1003"/>
      <c r="I61" s="1003"/>
      <c r="J61" s="1003"/>
      <c r="K61" s="1003"/>
      <c r="L61" s="1003"/>
      <c r="M61" s="1003"/>
      <c r="N61" s="1003"/>
      <c r="O61" s="1003"/>
      <c r="P61" s="1003"/>
      <c r="Q61" s="1003"/>
      <c r="R61" s="1003"/>
      <c r="S61" s="1003"/>
      <c r="T61" s="1003"/>
      <c r="U61" s="1003"/>
      <c r="V61" s="1003"/>
      <c r="W61" s="1003"/>
      <c r="X61" s="1003"/>
      <c r="Y61" s="1003"/>
      <c r="Z61" s="1003"/>
      <c r="AA61" s="1003"/>
      <c r="AB61" s="1003"/>
      <c r="AC61" s="1003"/>
      <c r="AD61" s="1003"/>
      <c r="AE61" s="1003"/>
      <c r="AF61" s="1003"/>
      <c r="AG61" s="1003"/>
      <c r="AH61" s="1003"/>
      <c r="AI61" s="1003"/>
      <c r="AJ61" s="1003"/>
      <c r="AK61" s="1003"/>
      <c r="AL61" s="1003"/>
      <c r="AM61" s="1003"/>
      <c r="AN61" s="1003"/>
      <c r="AO61" s="1003"/>
      <c r="AP61" s="1003"/>
      <c r="AQ61" s="1003"/>
      <c r="AR61" s="1003"/>
      <c r="AS61" s="1003"/>
      <c r="AT61" s="1003"/>
      <c r="AU61" s="1003"/>
      <c r="AV61" s="1003"/>
      <c r="AW61" s="1003"/>
      <c r="AX61" s="1003"/>
      <c r="AY61" s="1003"/>
      <c r="AZ61" s="1003"/>
      <c r="BA61" s="1003"/>
      <c r="BB61" s="1003"/>
    </row>
    <row r="62" spans="1:69" ht="17.399999999999999">
      <c r="A62" s="1003"/>
      <c r="B62" s="1003"/>
      <c r="C62" s="1003"/>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1003"/>
      <c r="AV62" s="1003"/>
      <c r="AW62" s="1003"/>
      <c r="AX62" s="1003"/>
      <c r="AY62" s="1003"/>
      <c r="AZ62" s="1003"/>
      <c r="BA62" s="1003"/>
      <c r="BB62" s="1003"/>
      <c r="BC62" s="1019"/>
    </row>
    <row r="63" spans="1:69" ht="17.399999999999999">
      <c r="A63" s="1003"/>
      <c r="B63" s="1003"/>
      <c r="C63" s="1003"/>
      <c r="D63" s="1003"/>
      <c r="E63" s="1003"/>
      <c r="F63" s="1003"/>
      <c r="G63" s="1003"/>
      <c r="H63" s="1003"/>
      <c r="I63" s="1003"/>
      <c r="J63" s="1003"/>
      <c r="K63" s="1003"/>
      <c r="L63" s="1003"/>
      <c r="M63" s="1003"/>
      <c r="N63" s="1003"/>
      <c r="O63" s="1003"/>
      <c r="P63" s="1003"/>
      <c r="Q63" s="1003"/>
      <c r="R63" s="1003"/>
      <c r="S63" s="1003"/>
      <c r="T63" s="1003"/>
      <c r="U63" s="1003"/>
      <c r="V63" s="1003"/>
      <c r="W63" s="1003"/>
      <c r="X63" s="1003"/>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1003"/>
      <c r="AV63" s="1003"/>
      <c r="AW63" s="1003"/>
      <c r="AX63" s="1003"/>
      <c r="AY63" s="1003"/>
      <c r="AZ63" s="1003"/>
      <c r="BA63" s="1003"/>
      <c r="BB63" s="1003"/>
      <c r="BC63" s="1019"/>
      <c r="BF63" s="1019"/>
      <c r="BG63" s="1019"/>
      <c r="BH63" s="1019"/>
      <c r="BI63" s="1019"/>
      <c r="BJ63" s="1019"/>
      <c r="BK63" s="1019"/>
      <c r="BL63" s="1019"/>
      <c r="BM63" s="1019"/>
      <c r="BN63" s="1019"/>
      <c r="BO63" s="1019"/>
      <c r="BP63" s="1019"/>
      <c r="BQ63" s="1019"/>
    </row>
    <row r="64" spans="1:69" ht="17.399999999999999">
      <c r="A64" s="1003"/>
      <c r="B64" s="1003"/>
      <c r="C64" s="1003"/>
      <c r="D64" s="1003"/>
      <c r="E64" s="1003"/>
      <c r="F64" s="1003"/>
      <c r="G64" s="1003"/>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19">
        <v>0</v>
      </c>
      <c r="BF64" s="1019">
        <v>24</v>
      </c>
      <c r="BG64" s="1019">
        <v>25</v>
      </c>
      <c r="BH64" s="1019">
        <v>24</v>
      </c>
      <c r="BI64" s="1019">
        <v>27</v>
      </c>
      <c r="BJ64" s="1019">
        <v>26</v>
      </c>
      <c r="BK64" s="1019">
        <v>24</v>
      </c>
      <c r="BL64" s="1019">
        <v>25</v>
      </c>
      <c r="BM64" s="1019">
        <v>24</v>
      </c>
      <c r="BN64" s="1019">
        <v>0</v>
      </c>
      <c r="BO64" s="1019">
        <v>0</v>
      </c>
      <c r="BP64" s="1019">
        <v>0</v>
      </c>
      <c r="BQ64" s="1019">
        <v>0</v>
      </c>
    </row>
    <row r="65" spans="1:69" ht="17.399999999999999">
      <c r="A65" s="1003"/>
      <c r="B65" s="1003"/>
      <c r="C65" s="1003"/>
      <c r="D65" s="1003"/>
      <c r="E65" s="1003"/>
      <c r="F65" s="1003"/>
      <c r="G65" s="1003"/>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1003"/>
      <c r="AV65" s="1003"/>
      <c r="AW65" s="1003"/>
      <c r="AX65" s="1003"/>
      <c r="AY65" s="1003"/>
      <c r="AZ65" s="1003"/>
      <c r="BA65" s="1003"/>
      <c r="BB65" s="1003"/>
      <c r="BC65" s="1019">
        <v>0</v>
      </c>
      <c r="BE65" s="389" t="s">
        <v>735</v>
      </c>
      <c r="BF65" s="1019">
        <v>0</v>
      </c>
      <c r="BG65" s="1019">
        <v>0</v>
      </c>
      <c r="BH65" s="1019">
        <v>0</v>
      </c>
      <c r="BI65" s="1019">
        <v>0</v>
      </c>
      <c r="BJ65" s="1019">
        <v>0</v>
      </c>
      <c r="BK65" s="1019">
        <v>0</v>
      </c>
      <c r="BL65" s="1019">
        <v>0</v>
      </c>
      <c r="BM65" s="1019">
        <v>0</v>
      </c>
      <c r="BN65" s="1019">
        <v>0</v>
      </c>
      <c r="BO65" s="1019">
        <v>0</v>
      </c>
      <c r="BP65" s="1019" t="e">
        <v>#REF!</v>
      </c>
      <c r="BQ65" s="1019">
        <v>0</v>
      </c>
    </row>
    <row r="66" spans="1:69" ht="17.399999999999999">
      <c r="A66" s="1003"/>
      <c r="B66" s="1003"/>
      <c r="C66" s="1003"/>
      <c r="D66" s="1003"/>
      <c r="E66" s="1003"/>
      <c r="F66" s="1003"/>
      <c r="G66" s="1003"/>
      <c r="H66" s="1003"/>
      <c r="I66" s="1003"/>
      <c r="J66" s="1003"/>
      <c r="K66" s="1003"/>
      <c r="L66" s="1003"/>
      <c r="M66" s="1003"/>
      <c r="N66" s="1003"/>
      <c r="O66" s="1003"/>
      <c r="P66" s="1003"/>
      <c r="Q66" s="1003"/>
      <c r="R66" s="1003"/>
      <c r="S66" s="1003"/>
      <c r="T66" s="1003"/>
      <c r="U66" s="1003"/>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1003"/>
      <c r="AV66" s="1003"/>
      <c r="AW66" s="1003"/>
      <c r="AX66" s="1003"/>
      <c r="AY66" s="1003"/>
      <c r="AZ66" s="1003"/>
      <c r="BA66" s="1003"/>
      <c r="BB66" s="1003"/>
      <c r="BC66" s="1019">
        <v>0</v>
      </c>
      <c r="BE66" s="389" t="s">
        <v>736</v>
      </c>
      <c r="BF66" s="1019">
        <v>0</v>
      </c>
      <c r="BG66" s="1019">
        <v>0</v>
      </c>
      <c r="BH66" s="1019">
        <v>0</v>
      </c>
      <c r="BI66" s="1019">
        <v>0</v>
      </c>
      <c r="BJ66" s="1019">
        <v>0</v>
      </c>
      <c r="BK66" s="1019">
        <v>0</v>
      </c>
      <c r="BL66" s="1019">
        <v>0</v>
      </c>
      <c r="BM66" s="1019">
        <v>0</v>
      </c>
      <c r="BN66" s="1019">
        <v>0</v>
      </c>
      <c r="BO66" s="1019">
        <v>0</v>
      </c>
      <c r="BP66" s="1019">
        <v>0</v>
      </c>
      <c r="BQ66" s="1019">
        <v>0</v>
      </c>
    </row>
    <row r="67" spans="1:69" ht="17.399999999999999">
      <c r="A67" s="1003"/>
      <c r="B67" s="1003"/>
      <c r="C67" s="1003"/>
      <c r="D67" s="1003"/>
      <c r="E67" s="1003"/>
      <c r="F67" s="1003"/>
      <c r="G67" s="1003"/>
      <c r="H67" s="1003"/>
      <c r="I67" s="1003"/>
      <c r="J67" s="1003"/>
      <c r="K67" s="1003"/>
      <c r="L67" s="1003"/>
      <c r="M67" s="1003"/>
      <c r="N67" s="1003"/>
      <c r="O67" s="1003"/>
      <c r="P67" s="1003"/>
      <c r="Q67" s="1003"/>
      <c r="R67" s="1003"/>
      <c r="S67" s="1003"/>
      <c r="T67" s="1003"/>
      <c r="U67" s="1003"/>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1003"/>
      <c r="AV67" s="1003"/>
      <c r="AW67" s="1003"/>
      <c r="AX67" s="1003"/>
      <c r="AY67" s="1003"/>
      <c r="AZ67" s="1003"/>
      <c r="BA67" s="1003"/>
      <c r="BB67" s="1003"/>
      <c r="BC67" s="1019">
        <v>0</v>
      </c>
      <c r="BE67" s="389" t="s">
        <v>737</v>
      </c>
      <c r="BF67" s="1019">
        <v>0</v>
      </c>
      <c r="BG67" s="1019">
        <v>0</v>
      </c>
      <c r="BH67" s="1019">
        <v>0</v>
      </c>
      <c r="BI67" s="1019">
        <v>0</v>
      </c>
      <c r="BJ67" s="1019">
        <v>0</v>
      </c>
      <c r="BK67" s="1019">
        <v>0</v>
      </c>
      <c r="BL67" s="1019">
        <v>0</v>
      </c>
      <c r="BM67" s="1019">
        <v>0</v>
      </c>
      <c r="BN67" s="1019">
        <v>0</v>
      </c>
      <c r="BO67" s="1019">
        <v>0</v>
      </c>
      <c r="BP67" s="1019" t="e">
        <v>#REF!</v>
      </c>
      <c r="BQ67" s="1019" t="e">
        <v>#REF!</v>
      </c>
    </row>
    <row r="68" spans="1:69" ht="17.399999999999999">
      <c r="A68" s="1003"/>
      <c r="B68" s="1003"/>
      <c r="C68" s="1003"/>
      <c r="D68" s="1003"/>
      <c r="E68" s="1003"/>
      <c r="F68" s="1003"/>
      <c r="G68" s="1003"/>
      <c r="H68" s="1003"/>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3"/>
      <c r="AH68" s="1003"/>
      <c r="AI68" s="1003"/>
      <c r="AJ68" s="1003"/>
      <c r="AK68" s="1003"/>
      <c r="AL68" s="1003"/>
      <c r="AM68" s="1003"/>
      <c r="AN68" s="1003"/>
      <c r="AO68" s="1003"/>
      <c r="AP68" s="1003"/>
      <c r="AQ68" s="1003"/>
      <c r="AR68" s="1003"/>
      <c r="AS68" s="1003"/>
      <c r="AT68" s="1003"/>
      <c r="AU68" s="1003"/>
      <c r="AV68" s="1003"/>
      <c r="AW68" s="1003"/>
      <c r="AX68" s="1003"/>
      <c r="AY68" s="1003"/>
      <c r="AZ68" s="1003"/>
      <c r="BA68" s="1003"/>
      <c r="BB68" s="1003"/>
      <c r="BC68" s="1019">
        <v>0</v>
      </c>
      <c r="BE68" s="389" t="s">
        <v>738</v>
      </c>
      <c r="BF68" s="1019">
        <v>0</v>
      </c>
      <c r="BG68" s="1019">
        <v>0</v>
      </c>
      <c r="BH68" s="1019">
        <v>0</v>
      </c>
      <c r="BI68" s="1019">
        <v>0</v>
      </c>
      <c r="BJ68" s="1019">
        <v>0</v>
      </c>
      <c r="BK68" s="1019">
        <v>0</v>
      </c>
      <c r="BL68" s="1019">
        <v>0</v>
      </c>
      <c r="BM68" s="1019">
        <v>0</v>
      </c>
      <c r="BN68" s="1019">
        <v>0</v>
      </c>
      <c r="BO68" s="1019">
        <v>0</v>
      </c>
      <c r="BP68" s="1019">
        <v>0</v>
      </c>
      <c r="BQ68" s="1019" t="e">
        <v>#REF!</v>
      </c>
    </row>
    <row r="69" spans="1:69" ht="17.399999999999999">
      <c r="A69" s="1003"/>
      <c r="B69" s="1003"/>
      <c r="C69" s="1003"/>
      <c r="D69" s="1003"/>
      <c r="E69" s="1003"/>
      <c r="F69" s="1003"/>
      <c r="G69" s="1003"/>
      <c r="H69" s="1003"/>
      <c r="I69" s="1003"/>
      <c r="J69" s="1003"/>
      <c r="K69" s="1003"/>
      <c r="L69" s="1003"/>
      <c r="M69" s="1003"/>
      <c r="N69" s="1003"/>
      <c r="O69" s="1003"/>
      <c r="P69" s="1003"/>
      <c r="Q69" s="1003"/>
      <c r="R69" s="1003"/>
      <c r="S69" s="1003"/>
      <c r="T69" s="1003"/>
      <c r="U69" s="1003"/>
      <c r="V69" s="1003"/>
      <c r="W69" s="1003"/>
      <c r="X69" s="1003"/>
      <c r="Y69" s="1003"/>
      <c r="Z69" s="1003"/>
      <c r="AA69" s="1003"/>
      <c r="AB69" s="1003"/>
      <c r="AC69" s="1003"/>
      <c r="AD69" s="1003"/>
      <c r="AE69" s="1003"/>
      <c r="AF69" s="1003"/>
      <c r="AG69" s="1003"/>
      <c r="AH69" s="1003"/>
      <c r="AI69" s="1003"/>
      <c r="AJ69" s="1003"/>
      <c r="AK69" s="1003"/>
      <c r="AL69" s="1003"/>
      <c r="AM69" s="1003"/>
      <c r="AN69" s="1003"/>
      <c r="AO69" s="1003"/>
      <c r="AP69" s="1003"/>
      <c r="AQ69" s="1003"/>
      <c r="AR69" s="1003"/>
      <c r="AS69" s="1003"/>
      <c r="AT69" s="1003"/>
      <c r="AU69" s="1003"/>
      <c r="AV69" s="1003"/>
      <c r="AW69" s="1003"/>
      <c r="AX69" s="1003"/>
      <c r="AY69" s="1003"/>
      <c r="AZ69" s="1003"/>
      <c r="BA69" s="1003"/>
      <c r="BB69" s="1003"/>
      <c r="BC69" s="1019">
        <v>0</v>
      </c>
      <c r="BE69" s="389" t="s">
        <v>739</v>
      </c>
      <c r="BF69" s="1019">
        <v>0</v>
      </c>
      <c r="BG69" s="1019">
        <v>0</v>
      </c>
      <c r="BH69" s="1019">
        <v>0</v>
      </c>
      <c r="BI69" s="1019">
        <v>0</v>
      </c>
      <c r="BJ69" s="1019">
        <v>0</v>
      </c>
      <c r="BK69" s="1019">
        <v>0</v>
      </c>
      <c r="BL69" s="1019">
        <v>0</v>
      </c>
      <c r="BM69" s="1019">
        <v>0</v>
      </c>
      <c r="BN69" s="1019">
        <v>0</v>
      </c>
      <c r="BO69" s="1019">
        <v>0</v>
      </c>
      <c r="BP69" s="1019" t="e">
        <v>#REF!</v>
      </c>
      <c r="BQ69" s="1019" t="e">
        <v>#REF!</v>
      </c>
    </row>
    <row r="70" spans="1:69" ht="17.399999999999999">
      <c r="A70" s="1003"/>
      <c r="B70" s="1003"/>
      <c r="C70" s="1003"/>
      <c r="D70" s="1003"/>
      <c r="E70" s="1003"/>
      <c r="F70" s="1003"/>
      <c r="G70" s="1003"/>
      <c r="H70" s="1003"/>
      <c r="I70" s="1003"/>
      <c r="J70" s="1003"/>
      <c r="K70" s="1003"/>
      <c r="L70" s="1003"/>
      <c r="M70" s="1003"/>
      <c r="N70" s="1003"/>
      <c r="O70" s="1003"/>
      <c r="P70" s="1003"/>
      <c r="Q70" s="1003"/>
      <c r="R70" s="1003"/>
      <c r="S70" s="1003"/>
      <c r="T70" s="1003"/>
      <c r="U70" s="1003"/>
      <c r="V70" s="1003"/>
      <c r="W70" s="1003"/>
      <c r="X70" s="1003"/>
      <c r="Y70" s="1003"/>
      <c r="Z70" s="1003"/>
      <c r="AA70" s="1003"/>
      <c r="AB70" s="1003"/>
      <c r="AC70" s="1003"/>
      <c r="AD70" s="1003"/>
      <c r="AE70" s="1003"/>
      <c r="AF70" s="1003"/>
      <c r="AG70" s="1003"/>
      <c r="AH70" s="1003"/>
      <c r="AI70" s="1003"/>
      <c r="AJ70" s="1003"/>
      <c r="AK70" s="1003"/>
      <c r="AL70" s="1003"/>
      <c r="AM70" s="1003"/>
      <c r="AN70" s="1003"/>
      <c r="AO70" s="1003"/>
      <c r="AP70" s="1003"/>
      <c r="AQ70" s="1003"/>
      <c r="AR70" s="1003"/>
      <c r="AS70" s="1003"/>
      <c r="AT70" s="1003"/>
      <c r="AU70" s="1003"/>
      <c r="AV70" s="1003"/>
      <c r="AW70" s="1003"/>
      <c r="AX70" s="1003"/>
      <c r="AY70" s="1003"/>
      <c r="AZ70" s="1003"/>
      <c r="BA70" s="1003"/>
      <c r="BB70" s="1003"/>
      <c r="BC70" s="389">
        <v>0</v>
      </c>
      <c r="BE70" s="389" t="s">
        <v>740</v>
      </c>
      <c r="BF70" s="389">
        <v>0</v>
      </c>
      <c r="BG70" s="389">
        <v>0</v>
      </c>
      <c r="BH70" s="1020">
        <v>0</v>
      </c>
      <c r="BI70" s="1019">
        <v>0</v>
      </c>
      <c r="BJ70" s="389">
        <v>0</v>
      </c>
      <c r="BK70" s="389">
        <v>0</v>
      </c>
      <c r="BL70" s="389">
        <v>0</v>
      </c>
      <c r="BM70" s="389">
        <v>0</v>
      </c>
      <c r="BN70" s="389">
        <v>0</v>
      </c>
      <c r="BO70" s="389">
        <v>0</v>
      </c>
      <c r="BP70" s="389">
        <v>0</v>
      </c>
      <c r="BQ70" s="389" t="e">
        <v>#REF!</v>
      </c>
    </row>
    <row r="71" spans="1:69" ht="17.399999999999999">
      <c r="A71" s="1003"/>
      <c r="B71" s="1003"/>
      <c r="C71" s="1003"/>
      <c r="D71" s="1003"/>
      <c r="E71" s="1003"/>
      <c r="F71" s="1003"/>
      <c r="G71" s="1003"/>
      <c r="H71" s="1003"/>
      <c r="I71" s="1003"/>
      <c r="J71" s="1003"/>
      <c r="K71" s="1003"/>
      <c r="L71" s="1003"/>
      <c r="M71" s="1003"/>
      <c r="N71" s="1003"/>
      <c r="O71" s="1003"/>
      <c r="P71" s="1003"/>
      <c r="Q71" s="1003"/>
      <c r="R71" s="1003"/>
      <c r="S71" s="1003"/>
      <c r="T71" s="1003"/>
      <c r="U71" s="1003"/>
      <c r="V71" s="1003"/>
      <c r="W71" s="1003"/>
      <c r="X71" s="1003"/>
      <c r="Y71" s="1003"/>
      <c r="Z71" s="1003"/>
      <c r="AA71" s="1003"/>
      <c r="AB71" s="1003"/>
      <c r="AC71" s="1003"/>
      <c r="AD71" s="1003"/>
      <c r="AE71" s="1003"/>
      <c r="AF71" s="1003"/>
      <c r="AG71" s="1003"/>
      <c r="AH71" s="1003"/>
      <c r="AI71" s="1003"/>
      <c r="AJ71" s="1003"/>
      <c r="AK71" s="1003"/>
      <c r="AL71" s="1003"/>
      <c r="AM71" s="1003"/>
      <c r="AN71" s="1003"/>
      <c r="AO71" s="1003"/>
      <c r="AP71" s="1003"/>
      <c r="AQ71" s="1003"/>
      <c r="AR71" s="1003"/>
      <c r="AS71" s="1003"/>
      <c r="AT71" s="1003"/>
      <c r="AU71" s="1003"/>
      <c r="AV71" s="1003"/>
      <c r="AW71" s="1003"/>
      <c r="AX71" s="1003"/>
      <c r="AY71" s="1003"/>
      <c r="AZ71" s="1003"/>
      <c r="BA71" s="1003"/>
      <c r="BB71" s="1003"/>
      <c r="BE71" s="1019"/>
      <c r="BI71" s="1019"/>
      <c r="BK71" s="1019"/>
      <c r="BL71" s="1019"/>
    </row>
    <row r="72" spans="1:69" ht="17.399999999999999">
      <c r="A72" s="1003"/>
      <c r="B72" s="1003"/>
      <c r="C72" s="1003"/>
      <c r="D72" s="1003"/>
      <c r="E72" s="1003"/>
      <c r="F72" s="1003"/>
      <c r="G72" s="1003"/>
      <c r="H72" s="1003"/>
      <c r="I72" s="1003"/>
      <c r="J72" s="1003"/>
      <c r="K72" s="1003"/>
      <c r="L72" s="1003"/>
      <c r="M72" s="1003"/>
      <c r="N72" s="1003"/>
      <c r="O72" s="1003"/>
      <c r="P72" s="1003"/>
      <c r="Q72" s="1003"/>
      <c r="R72" s="1003"/>
      <c r="S72" s="1003"/>
      <c r="T72" s="1003"/>
      <c r="U72" s="1003"/>
      <c r="V72" s="1003"/>
      <c r="W72" s="1003"/>
      <c r="X72" s="1003"/>
      <c r="Y72" s="1003"/>
      <c r="Z72" s="1003"/>
      <c r="AA72" s="1003"/>
      <c r="AB72" s="1003"/>
      <c r="AC72" s="1003"/>
      <c r="AD72" s="1003"/>
      <c r="AE72" s="1003"/>
      <c r="AF72" s="1003"/>
      <c r="AG72" s="1003"/>
      <c r="AH72" s="1003"/>
      <c r="AI72" s="1003"/>
      <c r="AJ72" s="1003"/>
      <c r="AK72" s="1003"/>
      <c r="AL72" s="1003"/>
      <c r="AM72" s="1003"/>
      <c r="AN72" s="1003"/>
      <c r="AO72" s="1003"/>
      <c r="AP72" s="1003"/>
      <c r="AQ72" s="1003"/>
      <c r="AR72" s="1003"/>
      <c r="AS72" s="1003"/>
      <c r="AT72" s="1003"/>
      <c r="AU72" s="1003"/>
      <c r="AV72" s="1003"/>
      <c r="AW72" s="1003"/>
      <c r="AX72" s="1003"/>
      <c r="AY72" s="1003"/>
      <c r="AZ72" s="1003"/>
      <c r="BA72" s="1003"/>
      <c r="BB72" s="1003"/>
      <c r="BE72" s="1019"/>
      <c r="BH72" s="1019"/>
      <c r="BI72" s="1019"/>
      <c r="BL72" s="1019"/>
    </row>
    <row r="73" spans="1:69" ht="17.399999999999999">
      <c r="A73" s="1003"/>
      <c r="B73" s="1003"/>
      <c r="C73" s="1003"/>
      <c r="D73" s="1003"/>
      <c r="E73" s="1003"/>
      <c r="F73" s="1003"/>
      <c r="G73" s="1003"/>
      <c r="H73" s="1003"/>
      <c r="I73" s="1003"/>
      <c r="J73" s="1003"/>
      <c r="K73" s="1003"/>
      <c r="L73" s="1003"/>
      <c r="M73" s="1003"/>
      <c r="N73" s="1003"/>
      <c r="O73" s="1003"/>
      <c r="P73" s="1003"/>
      <c r="Q73" s="1003"/>
      <c r="R73" s="1003"/>
      <c r="S73" s="1003"/>
      <c r="T73" s="1003"/>
      <c r="U73" s="1003"/>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1003"/>
      <c r="AV73" s="1003"/>
      <c r="AW73" s="1003"/>
      <c r="AX73" s="1003"/>
      <c r="AY73" s="1003"/>
      <c r="AZ73" s="1003"/>
      <c r="BA73" s="1003"/>
      <c r="BB73" s="1003"/>
      <c r="BC73" s="1019"/>
      <c r="BD73" s="1019"/>
      <c r="BE73" s="1019"/>
      <c r="BG73" s="1019"/>
      <c r="BH73" s="1019"/>
      <c r="BI73" s="1019"/>
      <c r="BK73" s="1019"/>
      <c r="BL73" s="1019"/>
    </row>
    <row r="74" spans="1:69" ht="17.399999999999999">
      <c r="A74" s="1003"/>
      <c r="B74" s="1003"/>
      <c r="C74" s="1003"/>
      <c r="D74" s="1003"/>
      <c r="E74" s="1003"/>
      <c r="F74" s="1003"/>
      <c r="G74" s="1003"/>
      <c r="H74" s="1003"/>
      <c r="I74" s="1003"/>
      <c r="J74" s="1003"/>
      <c r="K74" s="1003"/>
      <c r="L74" s="1003"/>
      <c r="M74" s="1003"/>
      <c r="N74" s="1003"/>
      <c r="O74" s="1003"/>
      <c r="P74" s="1003"/>
      <c r="Q74" s="1003"/>
      <c r="R74" s="1003"/>
      <c r="S74" s="1003"/>
      <c r="T74" s="1003"/>
      <c r="U74" s="1003"/>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c r="AQ74" s="1003"/>
      <c r="AR74" s="1003"/>
      <c r="AS74" s="1003"/>
      <c r="AT74" s="1003"/>
      <c r="AU74" s="1003"/>
      <c r="AV74" s="1003"/>
      <c r="AW74" s="1003"/>
      <c r="AX74" s="1003"/>
      <c r="AY74" s="1003"/>
      <c r="AZ74" s="1003"/>
      <c r="BA74" s="1003"/>
      <c r="BB74" s="1003"/>
      <c r="BC74" s="1019">
        <v>0</v>
      </c>
      <c r="BE74" s="1019"/>
      <c r="BG74" s="1021"/>
      <c r="BH74" s="1022"/>
      <c r="BI74" s="1023"/>
      <c r="BJ74" s="1023"/>
      <c r="BK74" s="1023"/>
      <c r="BL74" s="1023"/>
      <c r="BM74" s="1023"/>
      <c r="BN74" s="1021"/>
    </row>
    <row r="75" spans="1:69" ht="17.399999999999999">
      <c r="A75" s="1003"/>
      <c r="B75" s="1003"/>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c r="AA75" s="1003"/>
      <c r="AB75" s="1003"/>
      <c r="AC75" s="1003"/>
      <c r="AD75" s="1003"/>
      <c r="AE75" s="1003"/>
      <c r="AF75" s="1003"/>
      <c r="AG75" s="1003"/>
      <c r="AH75" s="1003"/>
      <c r="AI75" s="1003"/>
      <c r="AJ75" s="1003"/>
      <c r="AK75" s="1003"/>
      <c r="AL75" s="1003"/>
      <c r="AM75" s="1003"/>
      <c r="AN75" s="1003"/>
      <c r="AO75" s="1003"/>
      <c r="AP75" s="1003"/>
      <c r="AQ75" s="1003"/>
      <c r="AR75" s="1003"/>
      <c r="AS75" s="1003"/>
      <c r="AT75" s="1003"/>
      <c r="AU75" s="1003"/>
      <c r="AV75" s="1003"/>
      <c r="AW75" s="1003"/>
      <c r="AX75" s="1003"/>
      <c r="AY75" s="1003"/>
      <c r="AZ75" s="1003"/>
      <c r="BA75" s="1003"/>
      <c r="BB75" s="1003"/>
      <c r="BC75" s="1019">
        <v>0</v>
      </c>
      <c r="BG75" s="1021"/>
      <c r="BH75" s="1023" t="s">
        <v>33</v>
      </c>
      <c r="BI75" s="1023" t="s">
        <v>741</v>
      </c>
      <c r="BJ75" s="1023" t="s">
        <v>742</v>
      </c>
      <c r="BK75" s="1023" t="s">
        <v>743</v>
      </c>
      <c r="BL75" s="1023">
        <v>0</v>
      </c>
      <c r="BM75" s="1023" t="s">
        <v>744</v>
      </c>
      <c r="BN75" s="1021"/>
    </row>
    <row r="76" spans="1:69" ht="17.399999999999999">
      <c r="A76" s="1003"/>
      <c r="B76" s="1003"/>
      <c r="C76" s="1003"/>
      <c r="D76" s="1003"/>
      <c r="E76" s="1003"/>
      <c r="F76" s="1003"/>
      <c r="G76" s="1003"/>
      <c r="H76" s="1003"/>
      <c r="I76" s="1003"/>
      <c r="J76" s="1003"/>
      <c r="K76" s="1003"/>
      <c r="L76" s="1003"/>
      <c r="M76" s="1003"/>
      <c r="N76" s="1003"/>
      <c r="O76" s="1003"/>
      <c r="P76" s="1003"/>
      <c r="Q76" s="1003"/>
      <c r="R76" s="1003"/>
      <c r="S76" s="1003"/>
      <c r="T76" s="1003"/>
      <c r="U76" s="1003"/>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1003"/>
      <c r="AV76" s="1003"/>
      <c r="AW76" s="1003"/>
      <c r="AX76" s="1003"/>
      <c r="AY76" s="1003"/>
      <c r="AZ76" s="1003"/>
      <c r="BA76" s="1003"/>
      <c r="BB76" s="1003"/>
      <c r="BC76" s="1019">
        <v>0</v>
      </c>
      <c r="BE76" s="1019"/>
      <c r="BG76" s="1023" t="s">
        <v>745</v>
      </c>
      <c r="BH76" s="1023">
        <v>0</v>
      </c>
      <c r="BI76" s="1023">
        <v>0</v>
      </c>
      <c r="BJ76" s="1023">
        <v>0</v>
      </c>
      <c r="BK76" s="1023">
        <v>0</v>
      </c>
      <c r="BL76" s="1023">
        <v>0</v>
      </c>
      <c r="BM76" s="1023" t="e">
        <v>#REF!</v>
      </c>
      <c r="BN76" s="1021"/>
    </row>
    <row r="77" spans="1:69" ht="17.399999999999999">
      <c r="A77" s="1003"/>
      <c r="B77" s="1003"/>
      <c r="C77" s="1003"/>
      <c r="D77" s="1003"/>
      <c r="E77" s="1003"/>
      <c r="F77" s="1003"/>
      <c r="G77" s="1003"/>
      <c r="H77" s="1003"/>
      <c r="I77" s="1003"/>
      <c r="J77" s="1003"/>
      <c r="K77" s="1003"/>
      <c r="L77" s="1003"/>
      <c r="M77" s="1003"/>
      <c r="N77" s="1003"/>
      <c r="O77" s="1003"/>
      <c r="P77" s="1003"/>
      <c r="Q77" s="1003"/>
      <c r="R77" s="1003"/>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1003"/>
      <c r="AV77" s="1003"/>
      <c r="AW77" s="1003"/>
      <c r="AX77" s="1003"/>
      <c r="AY77" s="1003"/>
      <c r="AZ77" s="1003"/>
      <c r="BA77" s="1003"/>
      <c r="BB77" s="1003"/>
      <c r="BC77" s="1019">
        <v>0</v>
      </c>
      <c r="BD77" s="1019"/>
      <c r="BG77" s="1019" t="s">
        <v>27</v>
      </c>
      <c r="BH77" s="1019">
        <v>0</v>
      </c>
      <c r="BI77" s="1019">
        <v>0</v>
      </c>
      <c r="BJ77" s="389">
        <v>0</v>
      </c>
      <c r="BK77" s="389">
        <v>0</v>
      </c>
      <c r="BL77" s="1019">
        <v>0</v>
      </c>
      <c r="BM77" s="389" t="e">
        <v>#REF!</v>
      </c>
    </row>
    <row r="78" spans="1:69" ht="17.399999999999999">
      <c r="A78" s="1003"/>
      <c r="B78" s="1003"/>
      <c r="C78" s="1003"/>
      <c r="D78" s="1003"/>
      <c r="E78" s="1003"/>
      <c r="F78" s="1003"/>
      <c r="G78" s="1003"/>
      <c r="H78" s="1003"/>
      <c r="I78" s="1003"/>
      <c r="J78" s="1003"/>
      <c r="K78" s="1003"/>
      <c r="L78" s="1003"/>
      <c r="M78" s="1003"/>
      <c r="N78" s="1003"/>
      <c r="O78" s="1003"/>
      <c r="P78" s="1003"/>
      <c r="Q78" s="1003"/>
      <c r="R78" s="1003"/>
      <c r="S78" s="1003"/>
      <c r="T78" s="1003"/>
      <c r="U78" s="1003"/>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1003"/>
      <c r="AV78" s="1003"/>
      <c r="AW78" s="1003"/>
      <c r="AX78" s="1003"/>
      <c r="AY78" s="1003"/>
      <c r="AZ78" s="1003"/>
      <c r="BA78" s="1003"/>
      <c r="BB78" s="1003"/>
      <c r="BC78" s="1019">
        <v>0</v>
      </c>
      <c r="BE78" s="1019"/>
      <c r="BI78" s="1019"/>
    </row>
    <row r="79" spans="1:69" ht="17.399999999999999">
      <c r="A79" s="1003"/>
      <c r="B79" s="1003"/>
      <c r="C79" s="1003"/>
      <c r="D79" s="1003"/>
      <c r="E79" s="1003"/>
      <c r="F79" s="1003"/>
      <c r="G79" s="1003"/>
      <c r="H79" s="1003"/>
      <c r="I79" s="1003"/>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c r="AP79" s="1003"/>
      <c r="AQ79" s="1003"/>
      <c r="AR79" s="1003"/>
      <c r="AS79" s="1003"/>
      <c r="AT79" s="1003"/>
      <c r="AU79" s="1003"/>
      <c r="AV79" s="1003"/>
      <c r="AW79" s="1003"/>
      <c r="AX79" s="1003"/>
      <c r="AY79" s="1003"/>
      <c r="AZ79" s="1003"/>
      <c r="BA79" s="1003"/>
      <c r="BB79" s="1003"/>
      <c r="BC79" s="1019">
        <v>0</v>
      </c>
      <c r="BD79" s="1019"/>
      <c r="BG79" s="1019"/>
      <c r="BH79" s="1019"/>
      <c r="BI79" s="1019"/>
      <c r="BK79" s="1019"/>
    </row>
    <row r="80" spans="1:69" ht="17.399999999999999">
      <c r="A80" s="1003"/>
      <c r="B80" s="1003"/>
      <c r="C80" s="1003"/>
      <c r="D80" s="1003"/>
      <c r="E80" s="1003"/>
      <c r="F80" s="1003"/>
      <c r="G80" s="1003"/>
      <c r="H80" s="1003"/>
      <c r="I80" s="1003"/>
      <c r="J80" s="1003"/>
      <c r="K80" s="1003"/>
      <c r="L80" s="1003"/>
      <c r="M80" s="1003"/>
      <c r="N80" s="1003"/>
      <c r="O80" s="1003"/>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c r="AR80" s="1003"/>
      <c r="AS80" s="1003"/>
      <c r="AT80" s="1003"/>
      <c r="AU80" s="1003"/>
      <c r="AV80" s="1003"/>
      <c r="AW80" s="1003"/>
      <c r="AX80" s="1003"/>
      <c r="AY80" s="1003"/>
      <c r="AZ80" s="1003"/>
      <c r="BA80" s="1003"/>
      <c r="BB80" s="1003"/>
      <c r="BC80" s="1019">
        <v>0</v>
      </c>
      <c r="BE80" s="1019"/>
      <c r="BI80" s="1019"/>
    </row>
    <row r="81" spans="1:70" ht="17.399999999999999">
      <c r="A81" s="1003"/>
      <c r="B81" s="1003"/>
      <c r="C81" s="1003"/>
      <c r="D81" s="1003"/>
      <c r="E81" s="1003"/>
      <c r="F81" s="1003"/>
      <c r="G81" s="1003"/>
      <c r="H81" s="1003"/>
      <c r="I81" s="1003"/>
      <c r="J81" s="1003"/>
      <c r="K81" s="1003"/>
      <c r="L81" s="1003"/>
      <c r="M81" s="1003"/>
      <c r="N81" s="1003"/>
      <c r="O81" s="1003"/>
      <c r="P81" s="1003"/>
      <c r="Q81" s="1003"/>
      <c r="R81" s="1003"/>
      <c r="S81" s="1003"/>
      <c r="T81" s="1003"/>
      <c r="U81" s="1003"/>
      <c r="V81" s="1003"/>
      <c r="W81" s="1003"/>
      <c r="X81" s="1003"/>
      <c r="Y81" s="1003"/>
      <c r="Z81" s="1003"/>
      <c r="AA81" s="1003"/>
      <c r="AB81" s="1003"/>
      <c r="AC81" s="1003"/>
      <c r="AD81" s="1003"/>
      <c r="AE81" s="1003"/>
      <c r="AF81" s="1003"/>
      <c r="AG81" s="1003"/>
      <c r="AH81" s="1003"/>
      <c r="AI81" s="1003"/>
      <c r="AJ81" s="1003"/>
      <c r="AK81" s="1003"/>
      <c r="AL81" s="1003"/>
      <c r="AM81" s="1003"/>
      <c r="AN81" s="1003"/>
      <c r="AO81" s="1003"/>
      <c r="AP81" s="1003"/>
      <c r="AQ81" s="1003"/>
      <c r="AR81" s="1003"/>
      <c r="AS81" s="1003"/>
      <c r="AT81" s="1003"/>
      <c r="AU81" s="1003"/>
      <c r="AV81" s="1003"/>
      <c r="AW81" s="1003"/>
      <c r="AX81" s="1003"/>
      <c r="AY81" s="1003"/>
      <c r="AZ81" s="1003"/>
      <c r="BA81" s="1003"/>
      <c r="BB81" s="1003"/>
      <c r="BC81" s="1019">
        <v>0</v>
      </c>
      <c r="BD81" s="1019"/>
      <c r="BG81" s="1019"/>
      <c r="BH81" s="1019"/>
      <c r="BI81" s="1019"/>
      <c r="BK81" s="1019"/>
    </row>
    <row r="82" spans="1:70" ht="17.399999999999999">
      <c r="A82" s="1003"/>
      <c r="B82" s="1003"/>
      <c r="C82" s="1003"/>
      <c r="D82" s="1003"/>
      <c r="E82" s="1003"/>
      <c r="F82" s="1003"/>
      <c r="G82" s="1003"/>
      <c r="H82" s="1003"/>
      <c r="I82" s="1003"/>
      <c r="J82" s="1003"/>
      <c r="K82" s="1003"/>
      <c r="L82" s="1003"/>
      <c r="M82" s="1003"/>
      <c r="N82" s="1003"/>
      <c r="O82" s="1003"/>
      <c r="P82" s="1003"/>
      <c r="Q82" s="1003"/>
      <c r="R82" s="1003"/>
      <c r="S82" s="1003"/>
      <c r="T82" s="1003"/>
      <c r="U82" s="1003"/>
      <c r="V82" s="1003"/>
      <c r="W82" s="1003"/>
      <c r="X82" s="1003"/>
      <c r="Y82" s="1003"/>
      <c r="Z82" s="1003"/>
      <c r="AA82" s="1003"/>
      <c r="AB82" s="1003"/>
      <c r="AC82" s="1003"/>
      <c r="AD82" s="1003"/>
      <c r="AE82" s="1003"/>
      <c r="AF82" s="1003"/>
      <c r="AG82" s="1003"/>
      <c r="AH82" s="1003"/>
      <c r="AI82" s="1003"/>
      <c r="AJ82" s="1003"/>
      <c r="AK82" s="1003"/>
      <c r="AL82" s="1003"/>
      <c r="AM82" s="1003"/>
      <c r="AN82" s="1003"/>
      <c r="AO82" s="1003"/>
      <c r="AP82" s="1003"/>
      <c r="AQ82" s="1003"/>
      <c r="AR82" s="1003"/>
      <c r="AS82" s="1003"/>
      <c r="AT82" s="1003"/>
      <c r="AU82" s="1003"/>
      <c r="AV82" s="1003"/>
      <c r="AW82" s="1003"/>
      <c r="AX82" s="1003"/>
      <c r="AY82" s="1003"/>
      <c r="AZ82" s="1003"/>
      <c r="BA82" s="1003"/>
      <c r="BB82" s="1003"/>
      <c r="BC82" s="1019">
        <v>0</v>
      </c>
      <c r="BE82" s="1019"/>
      <c r="BI82" s="1019"/>
    </row>
    <row r="83" spans="1:70" ht="17.399999999999999">
      <c r="A83" s="1003"/>
      <c r="B83" s="1003"/>
      <c r="C83" s="1003"/>
      <c r="D83" s="1003"/>
      <c r="E83" s="1003"/>
      <c r="F83" s="1003"/>
      <c r="G83" s="1003"/>
      <c r="H83" s="1003"/>
      <c r="I83" s="1003"/>
      <c r="J83" s="1003"/>
      <c r="K83" s="1003"/>
      <c r="L83" s="1003"/>
      <c r="M83" s="1003"/>
      <c r="N83" s="1003"/>
      <c r="O83" s="1003"/>
      <c r="P83" s="1003"/>
      <c r="Q83" s="1003"/>
      <c r="R83" s="1003"/>
      <c r="S83" s="1003"/>
      <c r="T83" s="1003"/>
      <c r="U83" s="1003"/>
      <c r="V83" s="1003"/>
      <c r="W83" s="1003"/>
      <c r="X83" s="1003"/>
      <c r="Y83" s="1003"/>
      <c r="Z83" s="1003"/>
      <c r="AA83" s="1003"/>
      <c r="AB83" s="1003"/>
      <c r="AC83" s="1003"/>
      <c r="AD83" s="1003"/>
      <c r="AE83" s="1003"/>
      <c r="AF83" s="1003"/>
      <c r="AG83" s="1003"/>
      <c r="AH83" s="1003"/>
      <c r="AI83" s="1003"/>
      <c r="AJ83" s="1003"/>
      <c r="AK83" s="1003"/>
      <c r="AL83" s="1003"/>
      <c r="AM83" s="1003"/>
      <c r="AN83" s="1003"/>
      <c r="AO83" s="1003"/>
      <c r="AP83" s="1003"/>
      <c r="AQ83" s="1003"/>
      <c r="AR83" s="1003"/>
      <c r="AS83" s="1003"/>
      <c r="AT83" s="1003"/>
      <c r="AU83" s="1003"/>
      <c r="AV83" s="1003"/>
      <c r="AW83" s="1003"/>
      <c r="AX83" s="1003"/>
      <c r="AY83" s="1003"/>
      <c r="AZ83" s="1003"/>
      <c r="BA83" s="1003"/>
      <c r="BB83" s="1003"/>
      <c r="BC83" s="1019" t="e">
        <v>#REF!</v>
      </c>
    </row>
    <row r="84" spans="1:70" ht="17.399999999999999">
      <c r="A84" s="1003"/>
      <c r="B84" s="1003"/>
      <c r="C84" s="1003"/>
      <c r="D84" s="1003"/>
      <c r="E84" s="1003"/>
      <c r="F84" s="1003"/>
      <c r="G84" s="1003"/>
      <c r="H84" s="1003"/>
      <c r="I84" s="1003"/>
      <c r="J84" s="1003"/>
      <c r="K84" s="1003"/>
      <c r="L84" s="1003"/>
      <c r="M84" s="1003"/>
      <c r="N84" s="1003"/>
      <c r="O84" s="1003"/>
      <c r="P84" s="1003"/>
      <c r="Q84" s="1003"/>
      <c r="R84" s="1003"/>
      <c r="S84" s="1003"/>
      <c r="T84" s="1003"/>
      <c r="U84" s="1003"/>
      <c r="V84" s="1003"/>
      <c r="W84" s="1003"/>
      <c r="X84" s="1003"/>
      <c r="Y84" s="1003"/>
      <c r="Z84" s="1003"/>
      <c r="AA84" s="1003"/>
      <c r="AB84" s="1003"/>
      <c r="AC84" s="1003"/>
      <c r="AD84" s="1003"/>
      <c r="AE84" s="1003"/>
      <c r="AF84" s="1003"/>
      <c r="AG84" s="1003"/>
      <c r="AH84" s="1003"/>
      <c r="AI84" s="1003"/>
      <c r="AJ84" s="1003"/>
      <c r="AK84" s="1003"/>
      <c r="AL84" s="1003"/>
      <c r="AM84" s="1003"/>
      <c r="AN84" s="1003"/>
      <c r="AO84" s="1003"/>
      <c r="AP84" s="1003"/>
      <c r="AQ84" s="1003"/>
      <c r="AR84" s="1003"/>
      <c r="AS84" s="1003"/>
      <c r="AT84" s="1003"/>
      <c r="AU84" s="1003"/>
      <c r="AV84" s="1003"/>
      <c r="AW84" s="1003"/>
      <c r="AX84" s="1003"/>
      <c r="AY84" s="1003"/>
      <c r="AZ84" s="1003"/>
      <c r="BA84" s="1003"/>
      <c r="BB84" s="1003"/>
      <c r="BC84" s="389" t="e">
        <v>#REF!</v>
      </c>
    </row>
    <row r="85" spans="1:70" ht="17.399999999999999">
      <c r="A85" s="1003"/>
      <c r="B85" s="1003"/>
      <c r="C85" s="1003"/>
      <c r="D85" s="1003"/>
      <c r="E85" s="1003"/>
      <c r="F85" s="1003"/>
      <c r="G85" s="1003"/>
      <c r="H85" s="1003"/>
      <c r="I85" s="1003"/>
      <c r="J85" s="1003"/>
      <c r="K85" s="1003"/>
      <c r="L85" s="1003"/>
      <c r="M85" s="1003"/>
      <c r="N85" s="1003"/>
      <c r="O85" s="1003"/>
      <c r="P85" s="1003"/>
      <c r="Q85" s="1003"/>
      <c r="R85" s="1003"/>
      <c r="S85" s="1003"/>
      <c r="T85" s="1003"/>
      <c r="U85" s="1003"/>
      <c r="V85" s="1003"/>
      <c r="W85" s="1003"/>
      <c r="X85" s="1003"/>
      <c r="Y85" s="1003"/>
      <c r="Z85" s="1003"/>
      <c r="AA85" s="1003"/>
      <c r="AB85" s="1003"/>
      <c r="AC85" s="1003"/>
      <c r="AD85" s="1003"/>
      <c r="AE85" s="1003"/>
      <c r="AF85" s="1003"/>
      <c r="AG85" s="1003"/>
      <c r="AH85" s="1003"/>
      <c r="AI85" s="1003"/>
      <c r="AJ85" s="1003"/>
      <c r="AK85" s="1003"/>
      <c r="AL85" s="1003"/>
      <c r="AM85" s="1003"/>
      <c r="AN85" s="1003"/>
      <c r="AO85" s="1003"/>
      <c r="AP85" s="1003"/>
      <c r="AQ85" s="1003"/>
      <c r="AR85" s="1003"/>
      <c r="AS85" s="1003"/>
      <c r="AT85" s="1003"/>
      <c r="AU85" s="1003"/>
      <c r="AV85" s="1003"/>
      <c r="AW85" s="1003"/>
      <c r="AX85" s="1003"/>
      <c r="AY85" s="1003"/>
      <c r="AZ85" s="1003"/>
      <c r="BA85" s="1003"/>
      <c r="BB85" s="1003"/>
      <c r="BC85" s="1024"/>
    </row>
    <row r="86" spans="1:70" ht="17.399999999999999">
      <c r="A86" s="1003"/>
      <c r="B86" s="1003"/>
      <c r="C86" s="1003"/>
      <c r="D86" s="1003"/>
      <c r="E86" s="1003"/>
      <c r="F86" s="1003"/>
      <c r="G86" s="1003"/>
      <c r="H86" s="1003"/>
      <c r="I86" s="1003"/>
      <c r="J86" s="1003"/>
      <c r="K86" s="1003"/>
      <c r="L86" s="1003"/>
      <c r="M86" s="1003"/>
      <c r="N86" s="1003"/>
      <c r="O86" s="1003"/>
      <c r="P86" s="1003"/>
      <c r="Q86" s="1003"/>
      <c r="R86" s="1003"/>
      <c r="S86" s="1003"/>
      <c r="T86" s="1003"/>
      <c r="U86" s="1003"/>
      <c r="V86" s="1003"/>
      <c r="W86" s="1003"/>
      <c r="X86" s="1003"/>
      <c r="Y86" s="1003"/>
      <c r="Z86" s="1003"/>
      <c r="AA86" s="1003"/>
      <c r="AB86" s="1003"/>
      <c r="AC86" s="1003"/>
      <c r="AD86" s="1003"/>
      <c r="AE86" s="1003"/>
      <c r="AF86" s="1003"/>
      <c r="AG86" s="1003"/>
      <c r="AH86" s="1003"/>
      <c r="AI86" s="1003"/>
      <c r="AJ86" s="1003"/>
      <c r="AK86" s="1003"/>
      <c r="AL86" s="1003"/>
      <c r="AM86" s="1003"/>
      <c r="AN86" s="1003"/>
      <c r="AO86" s="1003"/>
      <c r="AP86" s="1003"/>
      <c r="AQ86" s="1003"/>
      <c r="AR86" s="1003"/>
      <c r="AS86" s="1003"/>
      <c r="AT86" s="1003"/>
      <c r="AU86" s="1003"/>
      <c r="AV86" s="1003"/>
      <c r="AW86" s="1003"/>
      <c r="AX86" s="1003"/>
      <c r="AY86" s="1003"/>
      <c r="AZ86" s="1003"/>
      <c r="BA86" s="1003"/>
      <c r="BB86" s="1003"/>
      <c r="BC86" s="1025"/>
    </row>
    <row r="87" spans="1:70" ht="17.399999999999999">
      <c r="A87" s="1003"/>
      <c r="B87" s="1003"/>
      <c r="C87" s="1003"/>
      <c r="D87" s="1003"/>
      <c r="E87" s="1003"/>
      <c r="F87" s="1003"/>
      <c r="G87" s="1003"/>
      <c r="H87" s="1003"/>
      <c r="I87" s="1003"/>
      <c r="J87" s="1003"/>
      <c r="K87" s="1003"/>
      <c r="L87" s="1003"/>
      <c r="M87" s="1003"/>
      <c r="N87" s="1003"/>
      <c r="O87" s="1003"/>
      <c r="P87" s="1003"/>
      <c r="Q87" s="1003"/>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3"/>
      <c r="BA87" s="1003"/>
      <c r="BB87" s="1003"/>
      <c r="BC87" s="1025">
        <v>0</v>
      </c>
      <c r="BE87" s="1019"/>
      <c r="BF87" s="1019"/>
      <c r="BG87" s="1019"/>
      <c r="BH87" s="1019"/>
      <c r="BI87" s="1019"/>
      <c r="BJ87" s="1019"/>
      <c r="BK87" s="1019"/>
      <c r="BL87" s="1019"/>
      <c r="BM87" s="1019"/>
      <c r="BN87" s="1019"/>
      <c r="BO87" s="1019"/>
      <c r="BP87" s="1019"/>
      <c r="BQ87" s="1019"/>
    </row>
    <row r="88" spans="1:70" ht="17.399999999999999">
      <c r="A88" s="1003"/>
      <c r="B88" s="1003"/>
      <c r="C88" s="1003"/>
      <c r="D88" s="1003"/>
      <c r="E88" s="1003"/>
      <c r="F88" s="1003"/>
      <c r="G88" s="1003"/>
      <c r="H88" s="1003"/>
      <c r="I88" s="1003"/>
      <c r="J88" s="1003"/>
      <c r="K88" s="1003"/>
      <c r="L88" s="1003"/>
      <c r="M88" s="1003"/>
      <c r="N88" s="1003"/>
      <c r="O88" s="1003"/>
      <c r="P88" s="1003"/>
      <c r="Q88" s="1003"/>
      <c r="R88" s="1003"/>
      <c r="S88" s="1003"/>
      <c r="T88" s="1003"/>
      <c r="U88" s="1003"/>
      <c r="V88" s="1003"/>
      <c r="W88" s="1003"/>
      <c r="X88" s="1003"/>
      <c r="Y88" s="1003"/>
      <c r="Z88" s="1003"/>
      <c r="AA88" s="1003"/>
      <c r="AB88" s="1003"/>
      <c r="AC88" s="1003"/>
      <c r="AD88" s="1003"/>
      <c r="AE88" s="1003"/>
      <c r="AF88" s="1003"/>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25">
        <v>0</v>
      </c>
      <c r="BD88" s="389" t="s">
        <v>746</v>
      </c>
      <c r="BE88" s="1019" t="s">
        <v>525</v>
      </c>
      <c r="BF88" s="1019" t="s">
        <v>525</v>
      </c>
      <c r="BG88" s="1019" t="s">
        <v>525</v>
      </c>
      <c r="BH88" s="1019" t="s">
        <v>525</v>
      </c>
      <c r="BI88" s="1019" t="s">
        <v>525</v>
      </c>
      <c r="BJ88" s="1019" t="s">
        <v>525</v>
      </c>
      <c r="BK88" s="1019" t="s">
        <v>525</v>
      </c>
      <c r="BL88" s="1019" t="s">
        <v>525</v>
      </c>
      <c r="BM88" s="1019" t="s">
        <v>525</v>
      </c>
      <c r="BN88" s="1019" t="s">
        <v>525</v>
      </c>
      <c r="BO88" s="1019" t="s">
        <v>525</v>
      </c>
      <c r="BP88" s="1019" t="s">
        <v>525</v>
      </c>
      <c r="BQ88" s="1019">
        <v>0</v>
      </c>
      <c r="BR88" s="389">
        <v>0</v>
      </c>
    </row>
    <row r="89" spans="1:70" ht="17.399999999999999">
      <c r="A89" s="1003"/>
      <c r="B89" s="1003"/>
      <c r="C89" s="1003"/>
      <c r="D89" s="1003"/>
      <c r="E89" s="1003"/>
      <c r="F89" s="1003"/>
      <c r="G89" s="1003"/>
      <c r="H89" s="1003"/>
      <c r="I89" s="1003"/>
      <c r="J89" s="1003"/>
      <c r="K89" s="1003"/>
      <c r="L89" s="1003"/>
      <c r="M89" s="1003"/>
      <c r="N89" s="1003"/>
      <c r="O89" s="1003"/>
      <c r="P89" s="1003"/>
      <c r="Q89" s="1003"/>
      <c r="R89" s="1003"/>
      <c r="S89" s="1003"/>
      <c r="T89" s="1003"/>
      <c r="U89" s="1003"/>
      <c r="V89" s="1003"/>
      <c r="W89" s="1003"/>
      <c r="X89" s="1003"/>
      <c r="Y89" s="1003"/>
      <c r="Z89" s="1003"/>
      <c r="AA89" s="1003"/>
      <c r="AB89" s="1003"/>
      <c r="AC89" s="1003"/>
      <c r="AD89" s="1003"/>
      <c r="AE89" s="1003"/>
      <c r="AF89" s="1003"/>
      <c r="AG89" s="1003"/>
      <c r="AH89" s="1003"/>
      <c r="AI89" s="1003"/>
      <c r="AJ89" s="1003"/>
      <c r="AK89" s="1003"/>
      <c r="AL89" s="1003"/>
      <c r="AM89" s="1003"/>
      <c r="AN89" s="1003"/>
      <c r="AO89" s="1003"/>
      <c r="AP89" s="1003"/>
      <c r="AQ89" s="1003"/>
      <c r="AR89" s="1003"/>
      <c r="AS89" s="1003"/>
      <c r="AT89" s="1003"/>
      <c r="AU89" s="1003"/>
      <c r="AV89" s="1003"/>
      <c r="AW89" s="1003"/>
      <c r="AX89" s="1003"/>
      <c r="AY89" s="1003"/>
      <c r="AZ89" s="1003"/>
      <c r="BA89" s="1003"/>
      <c r="BB89" s="1003"/>
      <c r="BC89" s="1025">
        <v>0</v>
      </c>
      <c r="BD89" s="389" t="s">
        <v>745</v>
      </c>
      <c r="BE89" s="1019" t="s">
        <v>525</v>
      </c>
      <c r="BF89" s="1019" t="s">
        <v>525</v>
      </c>
      <c r="BG89" s="1019" t="s">
        <v>525</v>
      </c>
      <c r="BH89" s="1019" t="s">
        <v>525</v>
      </c>
      <c r="BI89" s="1019" t="s">
        <v>525</v>
      </c>
      <c r="BJ89" s="1019" t="s">
        <v>525</v>
      </c>
      <c r="BK89" s="1019" t="s">
        <v>525</v>
      </c>
      <c r="BL89" s="1019" t="s">
        <v>525</v>
      </c>
      <c r="BM89" s="1019" t="s">
        <v>525</v>
      </c>
      <c r="BN89" s="1019" t="s">
        <v>525</v>
      </c>
      <c r="BO89" s="1019" t="s">
        <v>525</v>
      </c>
      <c r="BP89" s="1019" t="s">
        <v>525</v>
      </c>
      <c r="BQ89" s="1019">
        <v>0</v>
      </c>
      <c r="BR89" s="389">
        <v>0</v>
      </c>
    </row>
    <row r="90" spans="1:70" ht="17.399999999999999">
      <c r="A90" s="1003"/>
      <c r="B90" s="1003"/>
      <c r="C90" s="1003"/>
      <c r="D90" s="1003"/>
      <c r="E90" s="1003"/>
      <c r="F90" s="1003"/>
      <c r="G90" s="1003"/>
      <c r="H90" s="1003"/>
      <c r="I90" s="1003"/>
      <c r="J90" s="1003"/>
      <c r="K90" s="1003"/>
      <c r="L90" s="1003"/>
      <c r="M90" s="1003"/>
      <c r="N90" s="1003"/>
      <c r="O90" s="1003"/>
      <c r="P90" s="1003"/>
      <c r="Q90" s="1003"/>
      <c r="R90" s="1003"/>
      <c r="S90" s="1003"/>
      <c r="T90" s="1003"/>
      <c r="U90" s="1003"/>
      <c r="V90" s="1003"/>
      <c r="W90" s="1003"/>
      <c r="X90" s="1003"/>
      <c r="Y90" s="1003"/>
      <c r="Z90" s="1003"/>
      <c r="AA90" s="1003"/>
      <c r="AB90" s="1003"/>
      <c r="AC90" s="1003"/>
      <c r="AD90" s="1003"/>
      <c r="AE90" s="1003"/>
      <c r="AF90" s="1003"/>
      <c r="AG90" s="1003"/>
      <c r="AH90" s="1003"/>
      <c r="AI90" s="1003"/>
      <c r="AJ90" s="1003"/>
      <c r="AK90" s="1003"/>
      <c r="AL90" s="1003"/>
      <c r="AM90" s="1003"/>
      <c r="AN90" s="1003"/>
      <c r="AO90" s="1003"/>
      <c r="AP90" s="1003"/>
      <c r="AQ90" s="1003"/>
      <c r="AR90" s="1003"/>
      <c r="AS90" s="1003"/>
      <c r="AT90" s="1003"/>
      <c r="AU90" s="1003"/>
      <c r="AV90" s="1003"/>
      <c r="AW90" s="1003"/>
      <c r="AX90" s="1003"/>
      <c r="AY90" s="1003"/>
      <c r="AZ90" s="1003"/>
      <c r="BA90" s="1003"/>
      <c r="BB90" s="1003"/>
      <c r="BC90" s="1025">
        <v>0</v>
      </c>
      <c r="BD90" s="389" t="s">
        <v>746</v>
      </c>
      <c r="BE90" s="1019" t="s">
        <v>525</v>
      </c>
      <c r="BF90" s="1019" t="s">
        <v>525</v>
      </c>
      <c r="BG90" s="1019" t="s">
        <v>525</v>
      </c>
      <c r="BH90" s="1019" t="s">
        <v>525</v>
      </c>
      <c r="BI90" s="1019" t="s">
        <v>525</v>
      </c>
      <c r="BJ90" s="1019" t="s">
        <v>525</v>
      </c>
      <c r="BK90" s="1019" t="s">
        <v>525</v>
      </c>
      <c r="BL90" s="1019" t="s">
        <v>525</v>
      </c>
      <c r="BM90" s="1019" t="s">
        <v>525</v>
      </c>
      <c r="BN90" s="1019" t="s">
        <v>525</v>
      </c>
      <c r="BO90" s="1019" t="s">
        <v>525</v>
      </c>
      <c r="BP90" s="1019" t="s">
        <v>525</v>
      </c>
      <c r="BQ90" s="1019">
        <v>0</v>
      </c>
      <c r="BR90" s="389">
        <v>0</v>
      </c>
    </row>
    <row r="91" spans="1:70" ht="17.399999999999999">
      <c r="A91" s="1003"/>
      <c r="B91" s="1003"/>
      <c r="C91" s="1003"/>
      <c r="D91" s="1003"/>
      <c r="E91" s="1003"/>
      <c r="F91" s="1003"/>
      <c r="G91" s="1003"/>
      <c r="H91" s="1003"/>
      <c r="I91" s="1003"/>
      <c r="J91" s="1003"/>
      <c r="K91" s="1003"/>
      <c r="L91" s="1003"/>
      <c r="M91" s="1003"/>
      <c r="N91" s="1003"/>
      <c r="O91" s="1003"/>
      <c r="P91" s="1003"/>
      <c r="Q91" s="1003"/>
      <c r="R91" s="1003"/>
      <c r="S91" s="1003"/>
      <c r="T91" s="1003"/>
      <c r="U91" s="1003"/>
      <c r="V91" s="1003"/>
      <c r="W91" s="1003"/>
      <c r="X91" s="1003"/>
      <c r="Y91" s="1003"/>
      <c r="Z91" s="1003"/>
      <c r="AA91" s="1003"/>
      <c r="AB91" s="1003"/>
      <c r="AC91" s="1003"/>
      <c r="AD91" s="1003"/>
      <c r="AE91" s="1003"/>
      <c r="AF91" s="1003"/>
      <c r="AG91" s="1003"/>
      <c r="AH91" s="1003"/>
      <c r="AI91" s="1003"/>
      <c r="AJ91" s="1003"/>
      <c r="AK91" s="1003"/>
      <c r="AL91" s="1003"/>
      <c r="AM91" s="1003"/>
      <c r="AN91" s="1003"/>
      <c r="AO91" s="1003"/>
      <c r="AP91" s="1003"/>
      <c r="AQ91" s="1003"/>
      <c r="AR91" s="1003"/>
      <c r="AS91" s="1003"/>
      <c r="AT91" s="1003"/>
      <c r="AU91" s="1003"/>
      <c r="AV91" s="1003"/>
      <c r="AW91" s="1003"/>
      <c r="AX91" s="1003"/>
      <c r="AY91" s="1003"/>
      <c r="AZ91" s="1003"/>
      <c r="BA91" s="1003"/>
      <c r="BB91" s="1003"/>
      <c r="BC91" s="1025">
        <v>0</v>
      </c>
      <c r="BD91" s="389" t="s">
        <v>745</v>
      </c>
      <c r="BE91" s="1019" t="s">
        <v>525</v>
      </c>
      <c r="BF91" s="1019" t="s">
        <v>525</v>
      </c>
      <c r="BG91" s="1019" t="s">
        <v>525</v>
      </c>
      <c r="BH91" s="1019" t="s">
        <v>525</v>
      </c>
      <c r="BI91" s="1019" t="s">
        <v>525</v>
      </c>
      <c r="BJ91" s="1019" t="s">
        <v>525</v>
      </c>
      <c r="BK91" s="1019" t="s">
        <v>525</v>
      </c>
      <c r="BL91" s="1019" t="s">
        <v>525</v>
      </c>
      <c r="BM91" s="1019" t="s">
        <v>525</v>
      </c>
      <c r="BN91" s="1019" t="s">
        <v>525</v>
      </c>
      <c r="BO91" s="1019" t="s">
        <v>525</v>
      </c>
      <c r="BP91" s="1019" t="s">
        <v>525</v>
      </c>
      <c r="BQ91" s="1019">
        <v>0</v>
      </c>
      <c r="BR91" s="389">
        <v>0</v>
      </c>
    </row>
    <row r="92" spans="1:70" ht="17.399999999999999">
      <c r="A92" s="1003"/>
      <c r="B92" s="1003"/>
      <c r="C92" s="1003"/>
      <c r="D92" s="1003"/>
      <c r="E92" s="1003"/>
      <c r="F92" s="1003"/>
      <c r="G92" s="1003"/>
      <c r="H92" s="1003"/>
      <c r="I92" s="1003"/>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c r="AP92" s="1003"/>
      <c r="AQ92" s="1003"/>
      <c r="AR92" s="1003"/>
      <c r="AS92" s="1003"/>
      <c r="AT92" s="1003"/>
      <c r="AU92" s="1003"/>
      <c r="AV92" s="1003"/>
      <c r="AW92" s="1003"/>
      <c r="AX92" s="1003"/>
      <c r="AY92" s="1003"/>
      <c r="AZ92" s="1003"/>
      <c r="BA92" s="1003"/>
      <c r="BB92" s="1003"/>
      <c r="BC92" s="1025">
        <v>0</v>
      </c>
      <c r="BD92" s="389" t="s">
        <v>746</v>
      </c>
      <c r="BE92" s="1019" t="s">
        <v>525</v>
      </c>
      <c r="BF92" s="1019" t="s">
        <v>525</v>
      </c>
      <c r="BG92" s="1019" t="s">
        <v>525</v>
      </c>
      <c r="BH92" s="1019" t="s">
        <v>525</v>
      </c>
      <c r="BI92" s="1019" t="s">
        <v>525</v>
      </c>
      <c r="BJ92" s="1019" t="s">
        <v>525</v>
      </c>
      <c r="BK92" s="1019" t="s">
        <v>525</v>
      </c>
      <c r="BL92" s="1019" t="s">
        <v>525</v>
      </c>
      <c r="BM92" s="1019" t="s">
        <v>525</v>
      </c>
      <c r="BN92" s="1019" t="s">
        <v>525</v>
      </c>
      <c r="BO92" s="1019" t="s">
        <v>525</v>
      </c>
      <c r="BP92" s="1019" t="s">
        <v>525</v>
      </c>
      <c r="BQ92" s="1019">
        <v>0</v>
      </c>
      <c r="BR92" s="389">
        <v>0</v>
      </c>
    </row>
    <row r="93" spans="1:70" ht="17.399999999999999">
      <c r="A93" s="1003"/>
      <c r="B93" s="1003"/>
      <c r="C93" s="1003"/>
      <c r="D93" s="1003"/>
      <c r="E93" s="1003"/>
      <c r="F93" s="1003"/>
      <c r="G93" s="1003"/>
      <c r="H93" s="1003"/>
      <c r="I93" s="1003"/>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25">
        <v>0</v>
      </c>
      <c r="BD93" s="389" t="s">
        <v>745</v>
      </c>
      <c r="BE93" s="1019" t="s">
        <v>525</v>
      </c>
      <c r="BF93" s="1019" t="s">
        <v>525</v>
      </c>
      <c r="BG93" s="1019" t="s">
        <v>525</v>
      </c>
      <c r="BH93" s="1019" t="s">
        <v>525</v>
      </c>
      <c r="BI93" s="1019" t="s">
        <v>525</v>
      </c>
      <c r="BJ93" s="1019" t="s">
        <v>525</v>
      </c>
      <c r="BK93" s="1019" t="s">
        <v>525</v>
      </c>
      <c r="BL93" s="1019" t="s">
        <v>525</v>
      </c>
      <c r="BM93" s="1019" t="s">
        <v>525</v>
      </c>
      <c r="BN93" s="1019" t="s">
        <v>525</v>
      </c>
      <c r="BO93" s="1019" t="s">
        <v>525</v>
      </c>
      <c r="BP93" s="1019" t="s">
        <v>525</v>
      </c>
      <c r="BQ93" s="1019">
        <v>0</v>
      </c>
      <c r="BR93" s="389">
        <v>0</v>
      </c>
    </row>
    <row r="94" spans="1:70" ht="17.399999999999999">
      <c r="A94" s="1003"/>
      <c r="B94" s="1003"/>
      <c r="C94" s="1003"/>
      <c r="D94" s="1003"/>
      <c r="E94" s="1003"/>
      <c r="F94" s="1003"/>
      <c r="G94" s="1003"/>
      <c r="H94" s="1003"/>
      <c r="I94" s="1003"/>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25">
        <v>0</v>
      </c>
      <c r="BE94" s="1019"/>
      <c r="BF94" s="1019"/>
      <c r="BG94" s="1019"/>
      <c r="BH94" s="1019"/>
      <c r="BI94" s="1019"/>
      <c r="BJ94" s="1019"/>
      <c r="BK94" s="1019"/>
      <c r="BL94" s="1019"/>
      <c r="BM94" s="1019"/>
      <c r="BN94" s="1019"/>
      <c r="BO94" s="1019"/>
      <c r="BP94" s="1019"/>
      <c r="BQ94" s="1019"/>
      <c r="BR94" s="389">
        <v>0</v>
      </c>
    </row>
    <row r="95" spans="1:70" ht="17.399999999999999">
      <c r="A95" s="1003"/>
      <c r="B95" s="1003"/>
      <c r="C95" s="1003"/>
      <c r="D95" s="1003"/>
      <c r="E95" s="1003"/>
      <c r="F95" s="1003"/>
      <c r="G95" s="1003"/>
      <c r="H95" s="1003"/>
      <c r="I95" s="1003"/>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25">
        <v>0</v>
      </c>
      <c r="BD95" s="389" t="s">
        <v>746</v>
      </c>
      <c r="BE95" s="1019" t="s">
        <v>525</v>
      </c>
      <c r="BF95" s="1019" t="s">
        <v>525</v>
      </c>
      <c r="BG95" s="1019" t="s">
        <v>525</v>
      </c>
      <c r="BH95" s="1019" t="s">
        <v>525</v>
      </c>
      <c r="BI95" s="1019" t="s">
        <v>525</v>
      </c>
      <c r="BJ95" s="1019" t="s">
        <v>525</v>
      </c>
      <c r="BK95" s="1019" t="s">
        <v>525</v>
      </c>
      <c r="BL95" s="1019" t="s">
        <v>525</v>
      </c>
      <c r="BM95" s="1019" t="s">
        <v>525</v>
      </c>
      <c r="BN95" s="1019" t="s">
        <v>525</v>
      </c>
      <c r="BO95" s="1019" t="s">
        <v>525</v>
      </c>
      <c r="BP95" s="1019" t="s">
        <v>525</v>
      </c>
      <c r="BQ95" s="1019">
        <v>0</v>
      </c>
      <c r="BR95" s="389">
        <v>0</v>
      </c>
    </row>
    <row r="96" spans="1:70" ht="17.399999999999999">
      <c r="A96" s="1003"/>
      <c r="B96" s="1003"/>
      <c r="C96" s="1003"/>
      <c r="D96" s="1003"/>
      <c r="E96" s="1003"/>
      <c r="F96" s="1003"/>
      <c r="G96" s="1003"/>
      <c r="H96" s="1003"/>
      <c r="I96" s="1003"/>
      <c r="J96" s="1003"/>
      <c r="K96" s="1003"/>
      <c r="L96" s="1003"/>
      <c r="M96" s="1003"/>
      <c r="N96" s="1003"/>
      <c r="O96" s="1003"/>
      <c r="P96" s="1003"/>
      <c r="Q96" s="1003"/>
      <c r="R96" s="1003"/>
      <c r="S96" s="1003"/>
      <c r="T96" s="1003"/>
      <c r="U96" s="1003"/>
      <c r="V96" s="1003"/>
      <c r="W96" s="1003"/>
      <c r="X96" s="1003"/>
      <c r="Y96" s="1003"/>
      <c r="Z96" s="1003"/>
      <c r="AA96" s="1003"/>
      <c r="AB96" s="1003"/>
      <c r="AC96" s="1003"/>
      <c r="AD96" s="1003"/>
      <c r="AE96" s="1003"/>
      <c r="AF96" s="1003"/>
      <c r="AG96" s="1003"/>
      <c r="AH96" s="1003"/>
      <c r="AI96" s="1003"/>
      <c r="AJ96" s="1003"/>
      <c r="AK96" s="1003"/>
      <c r="AL96" s="1003"/>
      <c r="AM96" s="1003"/>
      <c r="AN96" s="1003"/>
      <c r="AO96" s="1003"/>
      <c r="AP96" s="1003"/>
      <c r="AQ96" s="1003"/>
      <c r="AR96" s="1003"/>
      <c r="AS96" s="1003"/>
      <c r="AT96" s="1003"/>
      <c r="AU96" s="1003"/>
      <c r="AV96" s="1003"/>
      <c r="AW96" s="1003"/>
      <c r="AX96" s="1003"/>
      <c r="AY96" s="1003"/>
      <c r="AZ96" s="1003"/>
      <c r="BA96" s="1003"/>
      <c r="BB96" s="1003"/>
      <c r="BC96" s="1025">
        <v>0</v>
      </c>
      <c r="BD96" s="389" t="s">
        <v>745</v>
      </c>
      <c r="BE96" s="1019" t="s">
        <v>525</v>
      </c>
      <c r="BF96" s="1019" t="s">
        <v>525</v>
      </c>
      <c r="BG96" s="1019" t="s">
        <v>525</v>
      </c>
      <c r="BH96" s="1019" t="s">
        <v>525</v>
      </c>
      <c r="BI96" s="1019" t="s">
        <v>525</v>
      </c>
      <c r="BJ96" s="1019" t="s">
        <v>525</v>
      </c>
      <c r="BK96" s="1019" t="s">
        <v>525</v>
      </c>
      <c r="BL96" s="1019" t="s">
        <v>525</v>
      </c>
      <c r="BM96" s="1019" t="s">
        <v>525</v>
      </c>
      <c r="BN96" s="1019" t="s">
        <v>525</v>
      </c>
      <c r="BO96" s="1019" t="s">
        <v>525</v>
      </c>
      <c r="BP96" s="1019" t="s">
        <v>525</v>
      </c>
      <c r="BQ96" s="1019">
        <v>0</v>
      </c>
      <c r="BR96" s="389">
        <v>0</v>
      </c>
    </row>
    <row r="97" spans="1:70" ht="17.399999999999999">
      <c r="A97" s="1003"/>
      <c r="B97" s="1003"/>
      <c r="C97" s="1003"/>
      <c r="D97" s="1003"/>
      <c r="E97" s="1003"/>
      <c r="F97" s="1003"/>
      <c r="G97" s="1003"/>
      <c r="H97" s="1003"/>
      <c r="I97" s="1003"/>
      <c r="J97" s="1003"/>
      <c r="K97" s="1003"/>
      <c r="L97" s="1003"/>
      <c r="M97" s="1003"/>
      <c r="N97" s="1003"/>
      <c r="O97" s="1003"/>
      <c r="P97" s="1003"/>
      <c r="Q97" s="1003"/>
      <c r="R97" s="1003"/>
      <c r="S97" s="1003"/>
      <c r="T97" s="1003"/>
      <c r="U97" s="1003"/>
      <c r="V97" s="1003"/>
      <c r="W97" s="1003"/>
      <c r="X97" s="1003"/>
      <c r="Y97" s="1003"/>
      <c r="Z97" s="1003"/>
      <c r="AA97" s="1003"/>
      <c r="AB97" s="1003"/>
      <c r="AC97" s="1003"/>
      <c r="AD97" s="1003"/>
      <c r="AE97" s="1003"/>
      <c r="AF97" s="1003"/>
      <c r="AG97" s="1003"/>
      <c r="AH97" s="1003"/>
      <c r="AI97" s="1003"/>
      <c r="AJ97" s="1003"/>
      <c r="AK97" s="1003"/>
      <c r="AL97" s="1003"/>
      <c r="AM97" s="1003"/>
      <c r="AN97" s="1003"/>
      <c r="AO97" s="1003"/>
      <c r="AP97" s="1003"/>
      <c r="AQ97" s="1003"/>
      <c r="AR97" s="1003"/>
      <c r="AS97" s="1003"/>
      <c r="AT97" s="1003"/>
      <c r="AU97" s="1003"/>
      <c r="AV97" s="1003"/>
      <c r="AW97" s="1003"/>
      <c r="AX97" s="1003"/>
      <c r="AY97" s="1003"/>
      <c r="AZ97" s="1003"/>
      <c r="BA97" s="1003"/>
      <c r="BB97" s="1003"/>
      <c r="BC97" s="1025">
        <v>0</v>
      </c>
      <c r="BD97" s="389" t="s">
        <v>746</v>
      </c>
      <c r="BE97" s="1019" t="s">
        <v>525</v>
      </c>
      <c r="BF97" s="1019" t="s">
        <v>525</v>
      </c>
      <c r="BG97" s="1019" t="s">
        <v>525</v>
      </c>
      <c r="BH97" s="1019" t="s">
        <v>525</v>
      </c>
      <c r="BI97" s="1019" t="s">
        <v>525</v>
      </c>
      <c r="BJ97" s="1019" t="s">
        <v>525</v>
      </c>
      <c r="BK97" s="1019" t="s">
        <v>525</v>
      </c>
      <c r="BL97" s="1019" t="s">
        <v>525</v>
      </c>
      <c r="BM97" s="1019" t="s">
        <v>525</v>
      </c>
      <c r="BN97" s="1019" t="s">
        <v>525</v>
      </c>
      <c r="BO97" s="1019" t="s">
        <v>525</v>
      </c>
      <c r="BP97" s="1019" t="s">
        <v>525</v>
      </c>
      <c r="BQ97" s="1019">
        <v>0</v>
      </c>
      <c r="BR97" s="389">
        <v>0</v>
      </c>
    </row>
    <row r="98" spans="1:70" ht="17.399999999999999">
      <c r="A98" s="1003"/>
      <c r="B98" s="1003"/>
      <c r="C98" s="1003"/>
      <c r="D98" s="1003"/>
      <c r="E98" s="1003"/>
      <c r="F98" s="1003"/>
      <c r="G98" s="1003"/>
      <c r="H98" s="1003"/>
      <c r="I98" s="1003"/>
      <c r="J98" s="1003"/>
      <c r="K98" s="1003"/>
      <c r="L98" s="1003"/>
      <c r="M98" s="1003"/>
      <c r="N98" s="1003"/>
      <c r="O98" s="1003"/>
      <c r="P98" s="1003"/>
      <c r="Q98" s="1003"/>
      <c r="R98" s="1003"/>
      <c r="S98" s="1003"/>
      <c r="T98" s="1003"/>
      <c r="U98" s="1003"/>
      <c r="V98" s="1003"/>
      <c r="W98" s="1003"/>
      <c r="X98" s="1003"/>
      <c r="Y98" s="1003"/>
      <c r="Z98" s="1003"/>
      <c r="AA98" s="1003"/>
      <c r="AB98" s="1003"/>
      <c r="AC98" s="1003"/>
      <c r="AD98" s="1003"/>
      <c r="AE98" s="1003"/>
      <c r="AF98" s="1003"/>
      <c r="AG98" s="1003"/>
      <c r="AH98" s="1003"/>
      <c r="AI98" s="1003"/>
      <c r="AJ98" s="1003"/>
      <c r="AK98" s="1003"/>
      <c r="AL98" s="1003"/>
      <c r="AM98" s="1003"/>
      <c r="AN98" s="1003"/>
      <c r="AO98" s="1003"/>
      <c r="AP98" s="1003"/>
      <c r="AQ98" s="1003"/>
      <c r="AR98" s="1003"/>
      <c r="AS98" s="1003"/>
      <c r="AT98" s="1003"/>
      <c r="AU98" s="1003"/>
      <c r="AV98" s="1003"/>
      <c r="AW98" s="1003"/>
      <c r="AX98" s="1003"/>
      <c r="AY98" s="1003"/>
      <c r="AZ98" s="1003"/>
      <c r="BA98" s="1003"/>
      <c r="BB98" s="1003"/>
      <c r="BC98" s="1025">
        <v>0</v>
      </c>
      <c r="BD98" s="389" t="s">
        <v>745</v>
      </c>
      <c r="BE98" s="1019" t="s">
        <v>525</v>
      </c>
      <c r="BF98" s="1019" t="s">
        <v>525</v>
      </c>
      <c r="BG98" s="1019" t="s">
        <v>525</v>
      </c>
      <c r="BH98" s="1019" t="s">
        <v>525</v>
      </c>
      <c r="BI98" s="1019" t="s">
        <v>525</v>
      </c>
      <c r="BJ98" s="1019" t="s">
        <v>525</v>
      </c>
      <c r="BK98" s="1019" t="s">
        <v>525</v>
      </c>
      <c r="BL98" s="1019" t="s">
        <v>525</v>
      </c>
      <c r="BM98" s="1019" t="s">
        <v>525</v>
      </c>
      <c r="BN98" s="1019" t="s">
        <v>525</v>
      </c>
      <c r="BO98" s="1019" t="s">
        <v>525</v>
      </c>
      <c r="BP98" s="1019" t="s">
        <v>525</v>
      </c>
      <c r="BQ98" s="1019">
        <v>0</v>
      </c>
      <c r="BR98" s="389">
        <v>0</v>
      </c>
    </row>
    <row r="99" spans="1:70" ht="17.399999999999999">
      <c r="A99" s="1003"/>
      <c r="B99" s="1003"/>
      <c r="C99" s="1003"/>
      <c r="D99" s="1003"/>
      <c r="E99" s="1003"/>
      <c r="F99" s="1003"/>
      <c r="G99" s="1003"/>
      <c r="H99" s="1003"/>
      <c r="I99" s="1003"/>
      <c r="J99" s="1003"/>
      <c r="K99" s="1003"/>
      <c r="L99" s="1003"/>
      <c r="M99" s="1003"/>
      <c r="N99" s="1003"/>
      <c r="O99" s="1003"/>
      <c r="P99" s="1003"/>
      <c r="Q99" s="1003"/>
      <c r="R99" s="1003"/>
      <c r="S99" s="1003"/>
      <c r="T99" s="1003"/>
      <c r="U99" s="1003"/>
      <c r="V99" s="1003"/>
      <c r="W99" s="1003"/>
      <c r="X99" s="1003"/>
      <c r="Y99" s="1003"/>
      <c r="Z99" s="1003"/>
      <c r="AA99" s="1003"/>
      <c r="AB99" s="1003"/>
      <c r="AC99" s="1003"/>
      <c r="AD99" s="1003"/>
      <c r="AE99" s="1003"/>
      <c r="AF99" s="1003"/>
      <c r="AG99" s="1003"/>
      <c r="AH99" s="1003"/>
      <c r="AI99" s="1003"/>
      <c r="AJ99" s="1003"/>
      <c r="AK99" s="1003"/>
      <c r="AL99" s="1003"/>
      <c r="AM99" s="1003"/>
      <c r="AN99" s="1003"/>
      <c r="AO99" s="1003"/>
      <c r="AP99" s="1003"/>
      <c r="AQ99" s="1003"/>
      <c r="AR99" s="1003"/>
      <c r="AS99" s="1003"/>
      <c r="AT99" s="1003"/>
      <c r="AU99" s="1003"/>
      <c r="AV99" s="1003"/>
      <c r="AW99" s="1003"/>
      <c r="AX99" s="1003"/>
      <c r="AY99" s="1003"/>
      <c r="AZ99" s="1003"/>
      <c r="BA99" s="1003"/>
      <c r="BB99" s="1003"/>
      <c r="BC99" s="1025" t="e">
        <v>#REF!</v>
      </c>
      <c r="BD99" s="389" t="s">
        <v>746</v>
      </c>
      <c r="BE99" s="1019" t="s">
        <v>525</v>
      </c>
      <c r="BF99" s="1019" t="s">
        <v>525</v>
      </c>
      <c r="BG99" s="1019" t="s">
        <v>525</v>
      </c>
      <c r="BH99" s="1019" t="s">
        <v>525</v>
      </c>
      <c r="BI99" s="1019" t="s">
        <v>525</v>
      </c>
      <c r="BJ99" s="1019" t="s">
        <v>525</v>
      </c>
      <c r="BK99" s="1019" t="s">
        <v>525</v>
      </c>
      <c r="BL99" s="1019" t="s">
        <v>525</v>
      </c>
      <c r="BM99" s="1019" t="s">
        <v>525</v>
      </c>
      <c r="BN99" s="1019" t="s">
        <v>525</v>
      </c>
      <c r="BO99" s="1019" t="s">
        <v>525</v>
      </c>
      <c r="BP99" s="1019" t="e">
        <v>#REF!</v>
      </c>
      <c r="BQ99" s="1019" t="e">
        <v>#REF!</v>
      </c>
      <c r="BR99" s="389">
        <v>0</v>
      </c>
    </row>
    <row r="100" spans="1:70" ht="17.399999999999999">
      <c r="A100" s="1003"/>
      <c r="B100" s="1003"/>
      <c r="C100" s="1003"/>
      <c r="D100" s="1003"/>
      <c r="E100" s="1003"/>
      <c r="F100" s="1003"/>
      <c r="G100" s="1003"/>
      <c r="H100" s="1003"/>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c r="AE100" s="1003"/>
      <c r="AF100" s="1003"/>
      <c r="AG100" s="1003"/>
      <c r="AH100" s="1003"/>
      <c r="AI100" s="1003"/>
      <c r="AJ100" s="1003"/>
      <c r="AK100" s="1003"/>
      <c r="AL100" s="1003"/>
      <c r="AM100" s="1003"/>
      <c r="AN100" s="1003"/>
      <c r="AO100" s="1003"/>
      <c r="AP100" s="1003"/>
      <c r="AQ100" s="1003"/>
      <c r="AR100" s="1003"/>
      <c r="AS100" s="1003"/>
      <c r="AT100" s="1003"/>
      <c r="AU100" s="1003"/>
      <c r="AV100" s="1003"/>
      <c r="AW100" s="1003"/>
      <c r="AX100" s="1003"/>
      <c r="AY100" s="1003"/>
      <c r="AZ100" s="1003"/>
      <c r="BA100" s="1003"/>
      <c r="BB100" s="1003"/>
      <c r="BC100" s="1025" t="e">
        <v>#REF!</v>
      </c>
      <c r="BD100" s="389" t="s">
        <v>745</v>
      </c>
      <c r="BE100" s="1019" t="s">
        <v>525</v>
      </c>
      <c r="BF100" s="1019" t="s">
        <v>525</v>
      </c>
      <c r="BG100" s="1019" t="s">
        <v>525</v>
      </c>
      <c r="BH100" s="1019" t="s">
        <v>525</v>
      </c>
      <c r="BI100" s="1019" t="s">
        <v>525</v>
      </c>
      <c r="BJ100" s="1019" t="s">
        <v>525</v>
      </c>
      <c r="BK100" s="1019" t="s">
        <v>525</v>
      </c>
      <c r="BL100" s="1019" t="s">
        <v>525</v>
      </c>
      <c r="BM100" s="1019" t="s">
        <v>525</v>
      </c>
      <c r="BN100" s="1019" t="s">
        <v>525</v>
      </c>
      <c r="BO100" s="1019" t="s">
        <v>525</v>
      </c>
      <c r="BP100" s="1019" t="e">
        <v>#REF!</v>
      </c>
      <c r="BQ100" s="1019" t="e">
        <v>#REF!</v>
      </c>
      <c r="BR100" s="389">
        <v>0</v>
      </c>
    </row>
    <row r="101" spans="1:70" ht="17.399999999999999">
      <c r="A101" s="1003"/>
      <c r="B101" s="1003"/>
      <c r="C101" s="1003"/>
      <c r="D101" s="1003"/>
      <c r="E101" s="1003"/>
      <c r="F101" s="1003"/>
      <c r="G101" s="1003"/>
      <c r="H101" s="1003"/>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c r="AE101" s="1003"/>
      <c r="AF101" s="1003"/>
      <c r="AG101" s="1003"/>
      <c r="AH101" s="1003"/>
      <c r="AI101" s="1003"/>
      <c r="AJ101" s="1003"/>
      <c r="AK101" s="1003"/>
      <c r="AL101" s="1003"/>
      <c r="AM101" s="1003"/>
      <c r="AN101" s="1003"/>
      <c r="AO101" s="1003"/>
      <c r="AP101" s="1003"/>
      <c r="AQ101" s="1003"/>
      <c r="AR101" s="1003"/>
      <c r="AS101" s="1003"/>
      <c r="AT101" s="1003"/>
      <c r="AU101" s="1003"/>
      <c r="AV101" s="1003"/>
      <c r="AW101" s="1003"/>
      <c r="AX101" s="1003"/>
      <c r="AY101" s="1003"/>
      <c r="AZ101" s="1003"/>
      <c r="BA101" s="1003"/>
      <c r="BB101" s="1003"/>
      <c r="BC101" s="1025">
        <v>0</v>
      </c>
      <c r="BE101" s="1019"/>
      <c r="BF101" s="1019"/>
      <c r="BG101" s="1019"/>
      <c r="BH101" s="1019"/>
      <c r="BI101" s="1019"/>
      <c r="BJ101" s="1019"/>
      <c r="BK101" s="1019"/>
      <c r="BL101" s="1019"/>
      <c r="BM101" s="1019"/>
      <c r="BN101" s="1019"/>
      <c r="BO101" s="1019"/>
      <c r="BP101" s="1019"/>
      <c r="BQ101" s="1019"/>
      <c r="BR101" s="389">
        <v>0</v>
      </c>
    </row>
    <row r="102" spans="1:70" ht="17.399999999999999">
      <c r="A102" s="1003"/>
      <c r="B102" s="1003"/>
      <c r="C102" s="1003"/>
      <c r="D102" s="1003"/>
      <c r="E102" s="1003"/>
      <c r="F102" s="1003"/>
      <c r="G102" s="1003"/>
      <c r="H102" s="1003"/>
      <c r="I102" s="1003"/>
      <c r="J102" s="1003"/>
      <c r="K102" s="1003"/>
      <c r="L102" s="1003"/>
      <c r="M102" s="1003"/>
      <c r="N102" s="1003"/>
      <c r="O102" s="1003"/>
      <c r="P102" s="1003"/>
      <c r="Q102" s="1003"/>
      <c r="R102" s="1003"/>
      <c r="S102" s="1003"/>
      <c r="T102" s="1003"/>
      <c r="U102" s="1003"/>
      <c r="V102" s="1003"/>
      <c r="W102" s="1003"/>
      <c r="X102" s="1003"/>
      <c r="Y102" s="1003"/>
      <c r="Z102" s="1003"/>
      <c r="AA102" s="1003"/>
      <c r="AB102" s="1003"/>
      <c r="AC102" s="1003"/>
      <c r="AD102" s="1003"/>
      <c r="AE102" s="1003"/>
      <c r="AF102" s="1003"/>
      <c r="AG102" s="1003"/>
      <c r="AH102" s="1003"/>
      <c r="AI102" s="1003"/>
      <c r="AJ102" s="1003"/>
      <c r="AK102" s="1003"/>
      <c r="AL102" s="1003"/>
      <c r="AM102" s="1003"/>
      <c r="AN102" s="1003"/>
      <c r="AO102" s="1003"/>
      <c r="AP102" s="1003"/>
      <c r="AQ102" s="1003"/>
      <c r="AR102" s="1003"/>
      <c r="AS102" s="1003"/>
      <c r="AT102" s="1003"/>
      <c r="AU102" s="1003"/>
      <c r="AV102" s="1003"/>
      <c r="AW102" s="1003"/>
      <c r="AX102" s="1003"/>
      <c r="AY102" s="1003"/>
      <c r="AZ102" s="1003"/>
      <c r="BA102" s="1003"/>
      <c r="BB102" s="1003"/>
      <c r="BC102" s="1025">
        <v>0</v>
      </c>
      <c r="BD102" s="389" t="s">
        <v>746</v>
      </c>
      <c r="BE102" s="1019" t="s">
        <v>525</v>
      </c>
      <c r="BF102" s="1019" t="s">
        <v>525</v>
      </c>
      <c r="BG102" s="1019" t="s">
        <v>525</v>
      </c>
      <c r="BH102" s="1019" t="s">
        <v>525</v>
      </c>
      <c r="BI102" s="1019" t="s">
        <v>525</v>
      </c>
      <c r="BJ102" s="1019" t="s">
        <v>525</v>
      </c>
      <c r="BK102" s="1019" t="s">
        <v>525</v>
      </c>
      <c r="BL102" s="1019" t="s">
        <v>525</v>
      </c>
      <c r="BM102" s="1019" t="s">
        <v>525</v>
      </c>
      <c r="BN102" s="1019" t="s">
        <v>525</v>
      </c>
      <c r="BO102" s="1019" t="s">
        <v>525</v>
      </c>
      <c r="BP102" s="1019" t="s">
        <v>525</v>
      </c>
      <c r="BQ102" s="1019">
        <v>0</v>
      </c>
      <c r="BR102" s="389">
        <v>0</v>
      </c>
    </row>
    <row r="103" spans="1:70" ht="17.399999999999999">
      <c r="A103" s="1003"/>
      <c r="B103" s="1003"/>
      <c r="C103" s="1003"/>
      <c r="D103" s="1003"/>
      <c r="E103" s="1003"/>
      <c r="F103" s="1003"/>
      <c r="G103" s="1003"/>
      <c r="H103" s="1003"/>
      <c r="I103" s="1003"/>
      <c r="J103" s="1003"/>
      <c r="K103" s="1003"/>
      <c r="L103" s="1003"/>
      <c r="M103" s="1003"/>
      <c r="N103" s="1003"/>
      <c r="O103" s="1003"/>
      <c r="P103" s="1003"/>
      <c r="Q103" s="1003"/>
      <c r="R103" s="1003"/>
      <c r="S103" s="1003"/>
      <c r="T103" s="1003"/>
      <c r="U103" s="1003"/>
      <c r="V103" s="1003"/>
      <c r="W103" s="1003"/>
      <c r="X103" s="1003"/>
      <c r="Y103" s="1003"/>
      <c r="Z103" s="1003"/>
      <c r="AA103" s="1003"/>
      <c r="AB103" s="1003"/>
      <c r="AC103" s="1003"/>
      <c r="AD103" s="1003"/>
      <c r="AE103" s="1003"/>
      <c r="AF103" s="1003"/>
      <c r="AG103" s="1003"/>
      <c r="AH103" s="1003"/>
      <c r="AI103" s="1003"/>
      <c r="AJ103" s="1003"/>
      <c r="AK103" s="1003"/>
      <c r="AL103" s="1003"/>
      <c r="AM103" s="1003"/>
      <c r="AN103" s="1003"/>
      <c r="AO103" s="1003"/>
      <c r="AP103" s="1003"/>
      <c r="AQ103" s="1003"/>
      <c r="AR103" s="1003"/>
      <c r="AS103" s="1003"/>
      <c r="AT103" s="1003"/>
      <c r="AU103" s="1003"/>
      <c r="AV103" s="1003"/>
      <c r="AW103" s="1003"/>
      <c r="AX103" s="1003"/>
      <c r="AY103" s="1003"/>
      <c r="AZ103" s="1003"/>
      <c r="BA103" s="1003"/>
      <c r="BB103" s="1003"/>
      <c r="BC103" s="1025">
        <v>0</v>
      </c>
      <c r="BD103" s="389" t="s">
        <v>745</v>
      </c>
      <c r="BE103" s="1019" t="s">
        <v>525</v>
      </c>
      <c r="BF103" s="1019" t="s">
        <v>525</v>
      </c>
      <c r="BG103" s="1019" t="s">
        <v>525</v>
      </c>
      <c r="BH103" s="1019" t="s">
        <v>525</v>
      </c>
      <c r="BI103" s="1019" t="s">
        <v>525</v>
      </c>
      <c r="BJ103" s="1019" t="s">
        <v>525</v>
      </c>
      <c r="BK103" s="1019" t="s">
        <v>525</v>
      </c>
      <c r="BL103" s="1019" t="s">
        <v>525</v>
      </c>
      <c r="BM103" s="1019" t="s">
        <v>525</v>
      </c>
      <c r="BN103" s="1019" t="s">
        <v>525</v>
      </c>
      <c r="BO103" s="1019" t="s">
        <v>525</v>
      </c>
      <c r="BP103" s="1019" t="s">
        <v>525</v>
      </c>
      <c r="BQ103" s="1019">
        <v>0</v>
      </c>
      <c r="BR103" s="389">
        <v>0</v>
      </c>
    </row>
    <row r="104" spans="1:70" ht="17.399999999999999">
      <c r="A104" s="1003"/>
      <c r="B104" s="1003"/>
      <c r="C104" s="1003"/>
      <c r="D104" s="1003"/>
      <c r="E104" s="1003"/>
      <c r="F104" s="1003"/>
      <c r="G104" s="1003"/>
      <c r="H104" s="1003"/>
      <c r="I104" s="1003"/>
      <c r="J104" s="1003"/>
      <c r="K104" s="1003"/>
      <c r="L104" s="1003"/>
      <c r="M104" s="1003"/>
      <c r="N104" s="1003"/>
      <c r="O104" s="1003"/>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3"/>
      <c r="AK104" s="1003"/>
      <c r="AL104" s="1003"/>
      <c r="AM104" s="1003"/>
      <c r="AN104" s="1003"/>
      <c r="AO104" s="1003"/>
      <c r="AP104" s="1003"/>
      <c r="AQ104" s="1003"/>
      <c r="AR104" s="1003"/>
      <c r="AS104" s="1003"/>
      <c r="AT104" s="1003"/>
      <c r="AU104" s="1003"/>
      <c r="AV104" s="1003"/>
      <c r="AW104" s="1003"/>
      <c r="AX104" s="1003"/>
      <c r="AY104" s="1003"/>
      <c r="AZ104" s="1003"/>
      <c r="BA104" s="1003"/>
      <c r="BB104" s="1003"/>
      <c r="BC104" s="1025">
        <v>0</v>
      </c>
      <c r="BD104" s="389" t="s">
        <v>746</v>
      </c>
      <c r="BE104" s="1019" t="s">
        <v>525</v>
      </c>
      <c r="BF104" s="1019" t="s">
        <v>525</v>
      </c>
      <c r="BG104" s="1019" t="s">
        <v>525</v>
      </c>
      <c r="BH104" s="1019" t="s">
        <v>525</v>
      </c>
      <c r="BI104" s="1019" t="s">
        <v>525</v>
      </c>
      <c r="BJ104" s="1019" t="s">
        <v>525</v>
      </c>
      <c r="BK104" s="1019" t="s">
        <v>525</v>
      </c>
      <c r="BL104" s="1019" t="s">
        <v>525</v>
      </c>
      <c r="BM104" s="1019" t="s">
        <v>525</v>
      </c>
      <c r="BN104" s="1019" t="s">
        <v>525</v>
      </c>
      <c r="BO104" s="1019" t="s">
        <v>525</v>
      </c>
      <c r="BP104" s="1019" t="s">
        <v>525</v>
      </c>
      <c r="BQ104" s="1019">
        <v>0</v>
      </c>
      <c r="BR104" s="389">
        <v>0</v>
      </c>
    </row>
    <row r="105" spans="1:70" ht="17.399999999999999">
      <c r="A105" s="1003"/>
      <c r="B105" s="1003"/>
      <c r="C105" s="1003"/>
      <c r="D105" s="1003"/>
      <c r="E105" s="1003"/>
      <c r="F105" s="1003"/>
      <c r="G105" s="1003"/>
      <c r="H105" s="1003"/>
      <c r="I105" s="1003"/>
      <c r="J105" s="1003"/>
      <c r="K105" s="1003"/>
      <c r="L105" s="1003"/>
      <c r="M105" s="1003"/>
      <c r="N105" s="1003"/>
      <c r="O105" s="1003"/>
      <c r="P105" s="1003"/>
      <c r="Q105" s="1003"/>
      <c r="R105" s="1003"/>
      <c r="S105" s="1003"/>
      <c r="T105" s="1003"/>
      <c r="U105" s="1003"/>
      <c r="V105" s="1003"/>
      <c r="W105" s="1003"/>
      <c r="X105" s="1003"/>
      <c r="Y105" s="1003"/>
      <c r="Z105" s="1003"/>
      <c r="AA105" s="1003"/>
      <c r="AB105" s="1003"/>
      <c r="AC105" s="1003"/>
      <c r="AD105" s="1003"/>
      <c r="AE105" s="1003"/>
      <c r="AF105" s="1003"/>
      <c r="AG105" s="1003"/>
      <c r="AH105" s="1003"/>
      <c r="AI105" s="1003"/>
      <c r="AJ105" s="1003"/>
      <c r="AK105" s="1003"/>
      <c r="AL105" s="1003"/>
      <c r="AM105" s="1003"/>
      <c r="AN105" s="1003"/>
      <c r="AO105" s="1003"/>
      <c r="AP105" s="1003"/>
      <c r="AQ105" s="1003"/>
      <c r="AR105" s="1003"/>
      <c r="AS105" s="1003"/>
      <c r="AT105" s="1003"/>
      <c r="AU105" s="1003"/>
      <c r="AV105" s="1003"/>
      <c r="AW105" s="1003"/>
      <c r="AX105" s="1003"/>
      <c r="AY105" s="1003"/>
      <c r="AZ105" s="1003"/>
      <c r="BA105" s="1003"/>
      <c r="BB105" s="1003"/>
      <c r="BC105" s="1025">
        <v>0</v>
      </c>
      <c r="BD105" s="389" t="s">
        <v>745</v>
      </c>
      <c r="BE105" s="1019" t="s">
        <v>525</v>
      </c>
      <c r="BF105" s="1019" t="s">
        <v>525</v>
      </c>
      <c r="BG105" s="1019" t="s">
        <v>525</v>
      </c>
      <c r="BH105" s="1019" t="s">
        <v>525</v>
      </c>
      <c r="BI105" s="1019" t="s">
        <v>525</v>
      </c>
      <c r="BJ105" s="1019" t="s">
        <v>525</v>
      </c>
      <c r="BK105" s="1019" t="s">
        <v>525</v>
      </c>
      <c r="BL105" s="1019" t="s">
        <v>525</v>
      </c>
      <c r="BM105" s="1019" t="s">
        <v>525</v>
      </c>
      <c r="BN105" s="1019" t="s">
        <v>525</v>
      </c>
      <c r="BO105" s="1019" t="s">
        <v>525</v>
      </c>
      <c r="BP105" s="1019" t="s">
        <v>525</v>
      </c>
      <c r="BQ105" s="1019">
        <v>0</v>
      </c>
      <c r="BR105" s="389">
        <v>0</v>
      </c>
    </row>
    <row r="106" spans="1:70" ht="17.399999999999999">
      <c r="A106" s="1003"/>
      <c r="B106" s="1003"/>
      <c r="C106" s="1003"/>
      <c r="D106" s="1003"/>
      <c r="E106" s="1003"/>
      <c r="F106" s="1003"/>
      <c r="G106" s="1003"/>
      <c r="H106" s="1003"/>
      <c r="I106" s="1003"/>
      <c r="J106" s="1003"/>
      <c r="K106" s="1003"/>
      <c r="L106" s="1003"/>
      <c r="M106" s="1003"/>
      <c r="N106" s="1003"/>
      <c r="O106" s="1003"/>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3"/>
      <c r="AK106" s="1003"/>
      <c r="AL106" s="1003"/>
      <c r="AM106" s="1003"/>
      <c r="AN106" s="1003"/>
      <c r="AO106" s="1003"/>
      <c r="AP106" s="1003"/>
      <c r="AQ106" s="1003"/>
      <c r="AR106" s="1003"/>
      <c r="AS106" s="1003"/>
      <c r="AT106" s="1003"/>
      <c r="AU106" s="1003"/>
      <c r="AV106" s="1003"/>
      <c r="AW106" s="1003"/>
      <c r="AX106" s="1003"/>
      <c r="AY106" s="1003"/>
      <c r="AZ106" s="1003"/>
      <c r="BA106" s="1003"/>
      <c r="BB106" s="1003"/>
      <c r="BC106" s="1025">
        <v>0</v>
      </c>
      <c r="BD106" s="389" t="s">
        <v>746</v>
      </c>
      <c r="BE106" s="1019" t="s">
        <v>525</v>
      </c>
      <c r="BF106" s="1019" t="s">
        <v>525</v>
      </c>
      <c r="BG106" s="1019" t="s">
        <v>525</v>
      </c>
      <c r="BH106" s="1019" t="s">
        <v>525</v>
      </c>
      <c r="BI106" s="1019" t="s">
        <v>525</v>
      </c>
      <c r="BJ106" s="1019" t="s">
        <v>525</v>
      </c>
      <c r="BK106" s="1019" t="s">
        <v>525</v>
      </c>
      <c r="BL106" s="1019" t="s">
        <v>525</v>
      </c>
      <c r="BM106" s="1019" t="s">
        <v>525</v>
      </c>
      <c r="BN106" s="1019" t="s">
        <v>525</v>
      </c>
      <c r="BO106" s="1019" t="s">
        <v>525</v>
      </c>
      <c r="BP106" s="1019" t="s">
        <v>525</v>
      </c>
      <c r="BQ106" s="1019">
        <v>0</v>
      </c>
      <c r="BR106" s="389">
        <v>0</v>
      </c>
    </row>
    <row r="107" spans="1:70" ht="17.399999999999999">
      <c r="A107" s="1003"/>
      <c r="B107" s="1003"/>
      <c r="C107" s="1003"/>
      <c r="D107" s="1003"/>
      <c r="E107" s="1003"/>
      <c r="F107" s="1003"/>
      <c r="G107" s="1003"/>
      <c r="H107" s="1003"/>
      <c r="I107" s="1003"/>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c r="AP107" s="1003"/>
      <c r="AQ107" s="1003"/>
      <c r="AR107" s="1003"/>
      <c r="AS107" s="1003"/>
      <c r="AT107" s="1003"/>
      <c r="AU107" s="1003"/>
      <c r="AV107" s="1003"/>
      <c r="AW107" s="1003"/>
      <c r="AX107" s="1003"/>
      <c r="AY107" s="1003"/>
      <c r="AZ107" s="1003"/>
      <c r="BA107" s="1003"/>
      <c r="BB107" s="1003"/>
      <c r="BC107" s="389">
        <v>0</v>
      </c>
      <c r="BD107" s="389" t="s">
        <v>745</v>
      </c>
      <c r="BE107" s="389" t="s">
        <v>525</v>
      </c>
      <c r="BF107" s="389" t="s">
        <v>525</v>
      </c>
      <c r="BG107" s="389" t="s">
        <v>525</v>
      </c>
      <c r="BH107" s="389" t="s">
        <v>525</v>
      </c>
      <c r="BI107" s="389" t="s">
        <v>525</v>
      </c>
      <c r="BJ107" s="389" t="s">
        <v>525</v>
      </c>
      <c r="BK107" s="389" t="s">
        <v>525</v>
      </c>
      <c r="BL107" s="389" t="s">
        <v>525</v>
      </c>
      <c r="BM107" s="389" t="s">
        <v>525</v>
      </c>
      <c r="BN107" s="389" t="s">
        <v>525</v>
      </c>
      <c r="BO107" s="389" t="s">
        <v>525</v>
      </c>
      <c r="BP107" s="389" t="s">
        <v>525</v>
      </c>
      <c r="BQ107" s="389">
        <v>0</v>
      </c>
      <c r="BR107" s="389">
        <v>0</v>
      </c>
    </row>
    <row r="108" spans="1:70" ht="17.399999999999999">
      <c r="A108" s="1003"/>
      <c r="B108" s="1003"/>
      <c r="C108" s="1003"/>
      <c r="D108" s="1003"/>
      <c r="E108" s="1003"/>
      <c r="F108" s="1003"/>
      <c r="G108" s="1003"/>
      <c r="H108" s="1003"/>
      <c r="I108" s="1003"/>
      <c r="J108" s="1003"/>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3"/>
      <c r="AL108" s="1003"/>
      <c r="AM108" s="1003"/>
      <c r="AN108" s="1003"/>
      <c r="AO108" s="1003"/>
      <c r="AP108" s="1003"/>
      <c r="AQ108" s="1003"/>
      <c r="AR108" s="1003"/>
      <c r="AS108" s="1003"/>
      <c r="AT108" s="1003"/>
      <c r="AU108" s="1003"/>
      <c r="AV108" s="1003"/>
      <c r="AW108" s="1003"/>
      <c r="AX108" s="1003"/>
      <c r="AY108" s="1003"/>
      <c r="AZ108" s="1003"/>
      <c r="BA108" s="1003"/>
      <c r="BB108" s="1003"/>
    </row>
    <row r="109" spans="1:70" ht="17.399999999999999">
      <c r="A109" s="1003"/>
      <c r="B109" s="1003"/>
      <c r="C109" s="1003"/>
      <c r="D109" s="1003"/>
      <c r="E109" s="1003"/>
      <c r="F109" s="1003"/>
      <c r="G109" s="1003"/>
      <c r="H109" s="1003"/>
      <c r="I109" s="1003"/>
      <c r="J109" s="1003"/>
      <c r="K109" s="1003"/>
      <c r="L109" s="1003"/>
      <c r="M109" s="1003"/>
      <c r="N109" s="1003"/>
      <c r="O109" s="1003"/>
      <c r="P109" s="1003"/>
      <c r="Q109" s="1003"/>
      <c r="R109" s="1003"/>
      <c r="S109" s="1003"/>
      <c r="T109" s="1003"/>
      <c r="U109" s="1003"/>
      <c r="V109" s="1003"/>
      <c r="W109" s="1003"/>
      <c r="X109" s="1003"/>
      <c r="Y109" s="1003"/>
      <c r="Z109" s="1003"/>
      <c r="AA109" s="1003"/>
      <c r="AB109" s="1003"/>
      <c r="AC109" s="1003"/>
      <c r="AD109" s="1003"/>
      <c r="AE109" s="1003"/>
      <c r="AF109" s="1003"/>
      <c r="AG109" s="1003"/>
      <c r="AH109" s="1003"/>
      <c r="AI109" s="1003"/>
      <c r="AJ109" s="1003"/>
      <c r="AK109" s="1003"/>
      <c r="AL109" s="1003"/>
      <c r="AM109" s="1003"/>
      <c r="AN109" s="1003"/>
      <c r="AO109" s="1003"/>
      <c r="AP109" s="1003"/>
      <c r="AQ109" s="1003"/>
      <c r="AR109" s="1003"/>
      <c r="AS109" s="1003"/>
      <c r="AT109" s="1003"/>
      <c r="AU109" s="1003"/>
      <c r="AV109" s="1003"/>
      <c r="AW109" s="1003"/>
      <c r="AX109" s="1003"/>
      <c r="AY109" s="1003"/>
      <c r="AZ109" s="1003"/>
      <c r="BA109" s="1003"/>
      <c r="BB109" s="1003"/>
    </row>
    <row r="110" spans="1:70" ht="17.399999999999999">
      <c r="A110" s="1003"/>
      <c r="B110" s="1003"/>
      <c r="C110" s="1003"/>
      <c r="D110" s="1003"/>
      <c r="E110" s="1003"/>
      <c r="F110" s="1003"/>
      <c r="G110" s="1003"/>
      <c r="H110" s="1003"/>
      <c r="I110" s="1003"/>
      <c r="J110" s="1003"/>
      <c r="K110" s="1003"/>
      <c r="L110" s="1003"/>
      <c r="M110" s="1003"/>
      <c r="N110" s="1003"/>
      <c r="O110" s="1003"/>
      <c r="P110" s="1003"/>
      <c r="Q110" s="1003"/>
      <c r="R110" s="1003"/>
      <c r="S110" s="1003"/>
      <c r="T110" s="1003"/>
      <c r="U110" s="1003"/>
      <c r="V110" s="1003"/>
      <c r="W110" s="1003"/>
      <c r="X110" s="1003"/>
      <c r="Y110" s="1003"/>
      <c r="Z110" s="1003"/>
      <c r="AA110" s="1003"/>
      <c r="AB110" s="1003"/>
      <c r="AC110" s="1003"/>
      <c r="AD110" s="1003"/>
      <c r="AE110" s="1003"/>
      <c r="AF110" s="1003"/>
      <c r="AG110" s="1003"/>
      <c r="AH110" s="1003"/>
      <c r="AI110" s="1003"/>
      <c r="AJ110" s="1003"/>
      <c r="AK110" s="1003"/>
      <c r="AL110" s="1003"/>
      <c r="AM110" s="1003"/>
      <c r="AN110" s="1003"/>
      <c r="AO110" s="1003"/>
      <c r="AP110" s="1003"/>
      <c r="AQ110" s="1003"/>
      <c r="AR110" s="1003"/>
      <c r="AS110" s="1003"/>
      <c r="AT110" s="1003"/>
      <c r="AU110" s="1003"/>
      <c r="AV110" s="1003"/>
      <c r="AW110" s="1003"/>
      <c r="AX110" s="1003"/>
      <c r="AY110" s="1003"/>
      <c r="AZ110" s="1003"/>
      <c r="BA110" s="1003"/>
      <c r="BB110" s="1003"/>
    </row>
    <row r="111" spans="1:70" ht="17.399999999999999">
      <c r="A111" s="1003"/>
      <c r="B111" s="1003"/>
      <c r="C111" s="1003"/>
      <c r="D111" s="1003"/>
      <c r="E111" s="1003"/>
      <c r="F111" s="1003"/>
      <c r="G111" s="1003"/>
      <c r="H111" s="1003"/>
      <c r="I111" s="1003"/>
      <c r="J111" s="1003"/>
      <c r="K111" s="1003"/>
      <c r="L111" s="1003"/>
      <c r="M111" s="1003"/>
      <c r="N111" s="1003"/>
      <c r="O111" s="1003"/>
      <c r="P111" s="1003"/>
      <c r="Q111" s="1003"/>
      <c r="R111" s="1003"/>
      <c r="S111" s="1003"/>
      <c r="T111" s="1003"/>
      <c r="U111" s="1003"/>
      <c r="V111" s="1003"/>
      <c r="W111" s="1003"/>
      <c r="X111" s="1003"/>
      <c r="Y111" s="1003"/>
      <c r="Z111" s="1003"/>
      <c r="AA111" s="1003"/>
      <c r="AB111" s="1003"/>
      <c r="AC111" s="1003"/>
      <c r="AD111" s="1003"/>
      <c r="AE111" s="1003"/>
      <c r="AF111" s="1003"/>
      <c r="AG111" s="1003"/>
      <c r="AH111" s="1003"/>
      <c r="AI111" s="1003"/>
      <c r="AJ111" s="1003"/>
      <c r="AK111" s="1003"/>
      <c r="AL111" s="1003"/>
      <c r="AM111" s="1003"/>
      <c r="AN111" s="1003"/>
      <c r="AO111" s="1003"/>
      <c r="AP111" s="1003"/>
      <c r="AQ111" s="1003"/>
      <c r="AR111" s="1003"/>
      <c r="AS111" s="1003"/>
      <c r="AT111" s="1003"/>
      <c r="AU111" s="1003"/>
      <c r="AV111" s="1003"/>
      <c r="AW111" s="1003"/>
      <c r="AX111" s="1003"/>
      <c r="AY111" s="1003"/>
      <c r="AZ111" s="1003"/>
      <c r="BA111" s="1003"/>
      <c r="BB111" s="1003"/>
    </row>
    <row r="112" spans="1:70" ht="17.399999999999999">
      <c r="A112" s="1003"/>
      <c r="B112" s="1003"/>
      <c r="C112" s="1003"/>
      <c r="D112" s="1003"/>
      <c r="E112" s="1003"/>
      <c r="F112" s="1003"/>
      <c r="G112" s="1003"/>
      <c r="H112" s="1003"/>
      <c r="I112" s="1003"/>
      <c r="J112" s="1003"/>
      <c r="K112" s="1003"/>
      <c r="L112" s="1003"/>
      <c r="M112" s="1003"/>
      <c r="N112" s="1003"/>
      <c r="O112" s="1003"/>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1003"/>
      <c r="AK112" s="1003"/>
      <c r="AL112" s="1003"/>
      <c r="AM112" s="1003"/>
      <c r="AN112" s="1003"/>
      <c r="AO112" s="1003"/>
      <c r="AP112" s="1003"/>
      <c r="AQ112" s="1003"/>
      <c r="AR112" s="1003"/>
      <c r="AS112" s="1003"/>
      <c r="AT112" s="1003"/>
      <c r="AU112" s="1003"/>
      <c r="AV112" s="1003"/>
      <c r="AW112" s="1003"/>
      <c r="AX112" s="1003"/>
      <c r="AY112" s="1003"/>
      <c r="AZ112" s="1003"/>
      <c r="BA112" s="1003"/>
      <c r="BB112" s="1003"/>
    </row>
    <row r="113" spans="1:54" ht="17.399999999999999">
      <c r="A113" s="1003"/>
      <c r="B113" s="1003"/>
      <c r="C113" s="1003"/>
      <c r="D113" s="1003"/>
      <c r="E113" s="1003"/>
      <c r="F113" s="1003"/>
      <c r="G113" s="1003"/>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3"/>
      <c r="AB113" s="1003"/>
      <c r="AC113" s="1003"/>
      <c r="AD113" s="1003"/>
      <c r="AE113" s="1003"/>
      <c r="AF113" s="1003"/>
      <c r="AG113" s="1003"/>
      <c r="AH113" s="1003"/>
      <c r="AI113" s="1003"/>
      <c r="AJ113" s="1003"/>
      <c r="AK113" s="1003"/>
      <c r="AL113" s="1003"/>
      <c r="AM113" s="1003"/>
      <c r="AN113" s="1003"/>
      <c r="AO113" s="1003"/>
      <c r="AP113" s="1003"/>
      <c r="AQ113" s="1003"/>
      <c r="AR113" s="1003"/>
      <c r="AS113" s="1003"/>
      <c r="AT113" s="1003"/>
      <c r="AU113" s="1003"/>
      <c r="AV113" s="1003"/>
      <c r="AW113" s="1003"/>
      <c r="AX113" s="1003"/>
      <c r="AY113" s="1003"/>
      <c r="AZ113" s="1003"/>
      <c r="BA113" s="1003"/>
      <c r="BB113" s="1003"/>
    </row>
    <row r="114" spans="1:54" ht="17.399999999999999">
      <c r="A114" s="1003"/>
      <c r="B114" s="1003"/>
      <c r="C114" s="1003"/>
      <c r="D114" s="1003"/>
      <c r="E114" s="1003"/>
      <c r="F114" s="1003"/>
      <c r="G114" s="1003"/>
      <c r="H114" s="1003"/>
      <c r="I114" s="1003"/>
      <c r="J114" s="1003"/>
      <c r="K114" s="1003"/>
      <c r="L114" s="1003"/>
      <c r="M114" s="1003"/>
      <c r="N114" s="1003"/>
      <c r="O114" s="1003"/>
      <c r="P114" s="1003"/>
      <c r="Q114" s="1003"/>
      <c r="R114" s="1003"/>
      <c r="S114" s="1003"/>
      <c r="T114" s="1003"/>
      <c r="U114" s="1003"/>
      <c r="V114" s="1003"/>
      <c r="W114" s="1003"/>
      <c r="X114" s="1003"/>
      <c r="Y114" s="1003"/>
      <c r="Z114" s="1003"/>
      <c r="AA114" s="1003"/>
      <c r="AB114" s="1003"/>
      <c r="AC114" s="1003"/>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row>
    <row r="115" spans="1:54" ht="17.399999999999999">
      <c r="A115" s="1003"/>
      <c r="B115" s="1003"/>
      <c r="C115" s="1003"/>
      <c r="D115" s="1003"/>
      <c r="E115" s="1003"/>
      <c r="F115" s="1003"/>
      <c r="G115" s="1003"/>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1003"/>
      <c r="AR115" s="1003"/>
      <c r="AS115" s="1003"/>
      <c r="AT115" s="1003"/>
      <c r="AU115" s="1003"/>
      <c r="AV115" s="1003"/>
      <c r="AW115" s="1003"/>
      <c r="AX115" s="1003"/>
      <c r="AY115" s="1003"/>
      <c r="AZ115" s="1003"/>
      <c r="BA115" s="1003"/>
      <c r="BB115" s="1003"/>
    </row>
    <row r="116" spans="1:54" ht="17.399999999999999">
      <c r="A116" s="1003"/>
      <c r="B116" s="1003"/>
      <c r="C116" s="1003"/>
      <c r="D116" s="1003"/>
      <c r="E116" s="1003"/>
      <c r="F116" s="1003"/>
      <c r="G116" s="1003"/>
      <c r="H116" s="1003"/>
      <c r="I116" s="1003"/>
      <c r="J116" s="1003"/>
      <c r="K116" s="1003"/>
      <c r="L116" s="1003"/>
      <c r="M116" s="1003"/>
      <c r="N116" s="1003"/>
      <c r="O116" s="1003"/>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3"/>
      <c r="BB116" s="1003"/>
    </row>
    <row r="117" spans="1:54" ht="17.399999999999999">
      <c r="A117" s="1003"/>
      <c r="B117" s="1003"/>
      <c r="C117" s="1003"/>
      <c r="D117" s="1003"/>
      <c r="E117" s="1003"/>
      <c r="F117" s="1003"/>
      <c r="G117" s="1003"/>
      <c r="H117" s="1003"/>
      <c r="I117" s="1003"/>
      <c r="J117" s="1003"/>
      <c r="K117" s="1003"/>
      <c r="L117" s="1003"/>
      <c r="M117" s="1003"/>
      <c r="N117" s="1003"/>
      <c r="O117" s="1003"/>
      <c r="P117" s="1003"/>
      <c r="Q117" s="1003"/>
      <c r="R117" s="1003"/>
      <c r="S117" s="1003"/>
      <c r="T117" s="1003"/>
      <c r="U117" s="1003"/>
      <c r="V117" s="1003"/>
      <c r="W117" s="1003"/>
      <c r="X117" s="1003"/>
      <c r="Y117" s="1003"/>
      <c r="Z117" s="1003"/>
      <c r="AA117" s="1003"/>
      <c r="AB117" s="1003"/>
      <c r="AC117" s="1003"/>
      <c r="AD117" s="1003"/>
      <c r="AE117" s="1003"/>
      <c r="AF117" s="1003"/>
      <c r="AG117" s="1003"/>
      <c r="AH117" s="1003"/>
      <c r="AI117" s="1003"/>
      <c r="AJ117" s="1003"/>
      <c r="AK117" s="1003"/>
      <c r="AL117" s="1003"/>
      <c r="AM117" s="1003"/>
      <c r="AN117" s="1003"/>
      <c r="AO117" s="1003"/>
      <c r="AP117" s="1003"/>
      <c r="AQ117" s="1003"/>
      <c r="AR117" s="1003"/>
      <c r="AS117" s="1003"/>
      <c r="AT117" s="1003"/>
      <c r="AU117" s="1003"/>
      <c r="AV117" s="1003"/>
      <c r="AW117" s="1003"/>
      <c r="AX117" s="1003"/>
      <c r="AY117" s="1003"/>
      <c r="AZ117" s="1003"/>
      <c r="BA117" s="1003"/>
      <c r="BB117" s="1003"/>
    </row>
    <row r="118" spans="1:54" ht="17.399999999999999">
      <c r="A118" s="1003"/>
      <c r="B118" s="1003"/>
      <c r="C118" s="1003"/>
      <c r="D118" s="1003"/>
      <c r="E118" s="1003"/>
      <c r="F118" s="1003"/>
      <c r="G118" s="1003"/>
      <c r="H118" s="1003"/>
      <c r="I118" s="1003"/>
      <c r="J118" s="1003"/>
      <c r="K118" s="1003"/>
      <c r="L118" s="1003"/>
      <c r="M118" s="1003"/>
      <c r="N118" s="1003"/>
      <c r="O118" s="1003"/>
      <c r="P118" s="1003"/>
      <c r="Q118" s="1003"/>
      <c r="R118" s="1003"/>
      <c r="S118" s="1003"/>
      <c r="T118" s="1003"/>
      <c r="U118" s="1003"/>
      <c r="V118" s="1003"/>
      <c r="W118" s="1003"/>
      <c r="X118" s="1003"/>
      <c r="Y118" s="1003"/>
      <c r="Z118" s="1003"/>
      <c r="AA118" s="1003"/>
      <c r="AB118" s="1003"/>
      <c r="AC118" s="1003"/>
      <c r="AD118" s="1003"/>
      <c r="AE118" s="1003"/>
      <c r="AF118" s="1003"/>
      <c r="AG118" s="1003"/>
      <c r="AH118" s="1003"/>
      <c r="AI118" s="1003"/>
      <c r="AJ118" s="1003"/>
      <c r="AK118" s="1003"/>
      <c r="AL118" s="1003"/>
      <c r="AM118" s="1003"/>
      <c r="AN118" s="1003"/>
      <c r="AO118" s="1003"/>
      <c r="AP118" s="1003"/>
      <c r="AQ118" s="1003"/>
      <c r="AR118" s="1003"/>
      <c r="AS118" s="1003"/>
      <c r="AT118" s="1003"/>
      <c r="AU118" s="1003"/>
      <c r="AV118" s="1003"/>
      <c r="AW118" s="1003"/>
      <c r="AX118" s="1003"/>
      <c r="AY118" s="1003"/>
      <c r="AZ118" s="1003"/>
      <c r="BA118" s="1003"/>
      <c r="BB118" s="1003"/>
    </row>
    <row r="119" spans="1:54" ht="17.399999999999999">
      <c r="A119" s="1003"/>
      <c r="B119" s="1003"/>
      <c r="C119" s="1003"/>
      <c r="D119" s="1003"/>
      <c r="E119" s="1003"/>
      <c r="F119" s="1003"/>
      <c r="G119" s="1003"/>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c r="AF119" s="1003"/>
      <c r="AG119" s="1003"/>
      <c r="AH119" s="1003"/>
      <c r="AI119" s="1003"/>
      <c r="AJ119" s="1003"/>
      <c r="AK119" s="1003"/>
      <c r="AL119" s="1003"/>
      <c r="AM119" s="1003"/>
      <c r="AN119" s="1003"/>
      <c r="AO119" s="1003"/>
      <c r="AP119" s="1003"/>
      <c r="AQ119" s="1003"/>
      <c r="AR119" s="1003"/>
      <c r="AS119" s="1003"/>
      <c r="AT119" s="1003"/>
      <c r="AU119" s="1003"/>
      <c r="AV119" s="1003"/>
      <c r="AW119" s="1003"/>
      <c r="AX119" s="1003"/>
      <c r="AY119" s="1003"/>
      <c r="AZ119" s="1003"/>
      <c r="BA119" s="1003"/>
      <c r="BB119" s="1003"/>
    </row>
    <row r="120" spans="1:54" ht="17.399999999999999">
      <c r="A120" s="1003"/>
      <c r="B120" s="1003"/>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3"/>
      <c r="X120" s="1003"/>
      <c r="Y120" s="1003"/>
      <c r="Z120" s="1003"/>
      <c r="AA120" s="1003"/>
      <c r="AB120" s="1003"/>
      <c r="AC120" s="1003"/>
      <c r="AD120" s="1003"/>
      <c r="AE120" s="1003"/>
      <c r="AF120" s="1003"/>
      <c r="AG120" s="1003"/>
      <c r="AH120" s="1003"/>
      <c r="AI120" s="1003"/>
      <c r="AJ120" s="1003"/>
      <c r="AK120" s="1003"/>
      <c r="AL120" s="1003"/>
      <c r="AM120" s="1003"/>
      <c r="AN120" s="1003"/>
      <c r="AO120" s="1003"/>
      <c r="AP120" s="1003"/>
      <c r="AQ120" s="1003"/>
      <c r="AR120" s="1003"/>
      <c r="AS120" s="1003"/>
      <c r="AT120" s="1003"/>
      <c r="AU120" s="1003"/>
      <c r="AV120" s="1003"/>
      <c r="AW120" s="1003"/>
      <c r="AX120" s="1003"/>
      <c r="AY120" s="1003"/>
      <c r="AZ120" s="1003"/>
      <c r="BA120" s="1003"/>
      <c r="BB120" s="1003"/>
    </row>
    <row r="121" spans="1:54" ht="17.399999999999999">
      <c r="A121" s="1003"/>
      <c r="B121" s="1003"/>
      <c r="C121" s="1003"/>
      <c r="D121" s="1003"/>
      <c r="E121" s="1003"/>
      <c r="F121" s="1003"/>
      <c r="G121" s="1003"/>
      <c r="H121" s="1003"/>
      <c r="I121" s="1003"/>
      <c r="J121" s="1003"/>
      <c r="K121" s="1003"/>
      <c r="L121" s="1003"/>
      <c r="M121" s="1003"/>
      <c r="N121" s="1003"/>
      <c r="O121" s="1003"/>
      <c r="P121" s="1003"/>
      <c r="Q121" s="1003"/>
      <c r="R121" s="1003"/>
      <c r="S121" s="1003"/>
      <c r="T121" s="1003"/>
      <c r="U121" s="1003"/>
      <c r="V121" s="1003"/>
      <c r="W121" s="1003"/>
      <c r="X121" s="1003"/>
      <c r="Y121" s="1003"/>
      <c r="Z121" s="1003"/>
      <c r="AA121" s="1003"/>
      <c r="AB121" s="1003"/>
      <c r="AC121" s="1003"/>
      <c r="AD121" s="1003"/>
      <c r="AE121" s="1003"/>
      <c r="AF121" s="1003"/>
      <c r="AG121" s="1003"/>
      <c r="AH121" s="1003"/>
      <c r="AI121" s="1003"/>
      <c r="AJ121" s="1003"/>
      <c r="AK121" s="1003"/>
      <c r="AL121" s="1003"/>
      <c r="AM121" s="1003"/>
      <c r="AN121" s="1003"/>
      <c r="AO121" s="1003"/>
      <c r="AP121" s="1003"/>
      <c r="AQ121" s="1003"/>
      <c r="AR121" s="1003"/>
      <c r="AS121" s="1003"/>
      <c r="AT121" s="1003"/>
      <c r="AU121" s="1003"/>
      <c r="AV121" s="1003"/>
      <c r="AW121" s="1003"/>
      <c r="AX121" s="1003"/>
      <c r="AY121" s="1003"/>
      <c r="AZ121" s="1003"/>
      <c r="BA121" s="1003"/>
      <c r="BB121" s="1003"/>
    </row>
    <row r="122" spans="1:54" ht="17.399999999999999">
      <c r="A122" s="100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c r="AP122" s="1003"/>
      <c r="AQ122" s="1003"/>
      <c r="AR122" s="1003"/>
      <c r="AS122" s="1003"/>
      <c r="AT122" s="1003"/>
      <c r="AU122" s="1003"/>
      <c r="AV122" s="1003"/>
      <c r="AW122" s="1003"/>
      <c r="AX122" s="1003"/>
      <c r="AY122" s="1003"/>
      <c r="AZ122" s="1003"/>
      <c r="BA122" s="1003"/>
      <c r="BB122" s="1003"/>
    </row>
    <row r="123" spans="1:54" ht="17.399999999999999">
      <c r="A123" s="1003"/>
      <c r="B123" s="1003"/>
      <c r="C123" s="1003"/>
      <c r="D123" s="1003"/>
      <c r="E123" s="1003"/>
      <c r="F123" s="1003"/>
      <c r="G123" s="1003"/>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c r="AP123" s="1003"/>
      <c r="AQ123" s="1003"/>
      <c r="AR123" s="1003"/>
      <c r="AS123" s="1003"/>
      <c r="AT123" s="1003"/>
      <c r="AU123" s="1003"/>
      <c r="AV123" s="1003"/>
      <c r="AW123" s="1003"/>
      <c r="AX123" s="1003"/>
      <c r="AY123" s="1003"/>
      <c r="AZ123" s="1003"/>
      <c r="BA123" s="1003"/>
      <c r="BB123" s="1003"/>
    </row>
    <row r="124" spans="1:54" ht="17.399999999999999">
      <c r="A124" s="1003"/>
      <c r="B124" s="1003"/>
      <c r="C124" s="1003"/>
      <c r="D124" s="1003"/>
      <c r="E124" s="1003"/>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c r="AP124" s="1003"/>
      <c r="AQ124" s="1003"/>
      <c r="AR124" s="1003"/>
      <c r="AS124" s="1003"/>
      <c r="AT124" s="1003"/>
      <c r="AU124" s="1003"/>
      <c r="AV124" s="1003"/>
      <c r="AW124" s="1003"/>
      <c r="AX124" s="1003"/>
      <c r="AY124" s="1003"/>
      <c r="AZ124" s="1003"/>
      <c r="BA124" s="1003"/>
      <c r="BB124" s="1003"/>
    </row>
    <row r="125" spans="1:54" ht="17.399999999999999">
      <c r="A125" s="1003"/>
      <c r="B125" s="1003"/>
      <c r="C125" s="1003"/>
      <c r="D125" s="1003"/>
      <c r="E125" s="1003"/>
      <c r="F125" s="1003"/>
      <c r="G125" s="1003"/>
      <c r="H125" s="1003"/>
      <c r="I125" s="1003"/>
      <c r="J125" s="1003"/>
      <c r="K125" s="1003"/>
      <c r="L125" s="1003"/>
      <c r="M125" s="1003"/>
      <c r="N125" s="1003"/>
      <c r="O125" s="1003"/>
      <c r="P125" s="1003"/>
      <c r="Q125" s="1003"/>
      <c r="R125" s="1003"/>
      <c r="S125" s="1003"/>
      <c r="T125" s="1003"/>
      <c r="U125" s="1003"/>
      <c r="V125" s="1003"/>
      <c r="W125" s="1003"/>
      <c r="X125" s="1003"/>
      <c r="Y125" s="1003"/>
      <c r="Z125" s="1003"/>
      <c r="AA125" s="1003"/>
      <c r="AB125" s="1003"/>
      <c r="AC125" s="1003"/>
      <c r="AD125" s="1003"/>
      <c r="AE125" s="1003"/>
      <c r="AF125" s="1003"/>
      <c r="AG125" s="1003"/>
      <c r="AH125" s="1003"/>
      <c r="AI125" s="1003"/>
      <c r="AJ125" s="1003"/>
      <c r="AK125" s="1003"/>
      <c r="AL125" s="1003"/>
      <c r="AM125" s="1003"/>
      <c r="AN125" s="1003"/>
      <c r="AO125" s="1003"/>
      <c r="AP125" s="1003"/>
      <c r="AQ125" s="1003"/>
      <c r="AR125" s="1003"/>
      <c r="AS125" s="1003"/>
      <c r="AT125" s="1003"/>
      <c r="AU125" s="1003"/>
      <c r="AV125" s="1003"/>
      <c r="AW125" s="1003"/>
      <c r="AX125" s="1003"/>
      <c r="AY125" s="1003"/>
      <c r="AZ125" s="1003"/>
      <c r="BA125" s="1003"/>
      <c r="BB125" s="1003"/>
    </row>
    <row r="126" spans="1:54" ht="17.399999999999999">
      <c r="A126" s="1003"/>
      <c r="B126" s="1003"/>
      <c r="C126" s="1003"/>
      <c r="D126" s="1003"/>
      <c r="E126" s="1003"/>
      <c r="F126" s="1003"/>
      <c r="G126" s="1003"/>
      <c r="H126" s="1003"/>
      <c r="I126" s="1003"/>
      <c r="J126" s="1003"/>
      <c r="K126" s="1003"/>
      <c r="L126" s="1003"/>
      <c r="M126" s="1003"/>
      <c r="N126" s="1003"/>
      <c r="O126" s="1003"/>
      <c r="P126" s="1003"/>
      <c r="Q126" s="1003"/>
      <c r="R126" s="1003"/>
      <c r="S126" s="1003"/>
      <c r="T126" s="1003"/>
      <c r="U126" s="1003"/>
      <c r="V126" s="1003"/>
      <c r="W126" s="1003"/>
      <c r="X126" s="1003"/>
      <c r="Y126" s="1003"/>
      <c r="Z126" s="1003"/>
      <c r="AA126" s="1003"/>
      <c r="AB126" s="1003"/>
      <c r="AC126" s="1003"/>
      <c r="AD126" s="1003"/>
      <c r="AE126" s="1003"/>
      <c r="AF126" s="1003"/>
      <c r="AG126" s="1003"/>
      <c r="AH126" s="1003"/>
      <c r="AI126" s="1003"/>
      <c r="AJ126" s="1003"/>
      <c r="AK126" s="1003"/>
      <c r="AL126" s="1003"/>
      <c r="AM126" s="1003"/>
      <c r="AN126" s="1003"/>
      <c r="AO126" s="1003"/>
      <c r="AP126" s="1003"/>
      <c r="AQ126" s="1003"/>
      <c r="AR126" s="1003"/>
      <c r="AS126" s="1003"/>
      <c r="AT126" s="1003"/>
      <c r="AU126" s="1003"/>
      <c r="AV126" s="1003"/>
      <c r="AW126" s="1003"/>
      <c r="AX126" s="1003"/>
      <c r="AY126" s="1003"/>
      <c r="AZ126" s="1003"/>
      <c r="BA126" s="1003"/>
      <c r="BB126" s="1003"/>
    </row>
    <row r="127" spans="1:54" ht="17.399999999999999">
      <c r="A127" s="1003"/>
      <c r="B127" s="1003"/>
      <c r="C127" s="1003"/>
      <c r="D127" s="1003"/>
      <c r="E127" s="1003"/>
      <c r="F127" s="1003"/>
      <c r="G127" s="1003"/>
      <c r="H127" s="1003"/>
      <c r="I127" s="1003"/>
      <c r="J127" s="1003"/>
      <c r="K127" s="1003"/>
      <c r="L127" s="1003"/>
      <c r="M127" s="1003"/>
      <c r="N127" s="1003"/>
      <c r="O127" s="1003"/>
      <c r="P127" s="1003"/>
      <c r="Q127" s="1003"/>
      <c r="R127" s="1003"/>
      <c r="S127" s="1003"/>
      <c r="T127" s="1003"/>
      <c r="U127" s="1003"/>
      <c r="V127" s="1003"/>
      <c r="W127" s="1003"/>
      <c r="X127" s="1003"/>
      <c r="Y127" s="1003"/>
      <c r="Z127" s="1003"/>
      <c r="AA127" s="1003"/>
      <c r="AB127" s="1003"/>
      <c r="AC127" s="1003"/>
      <c r="AD127" s="1003"/>
      <c r="AE127" s="1003"/>
      <c r="AF127" s="1003"/>
      <c r="AG127" s="1003"/>
      <c r="AH127" s="1003"/>
      <c r="AI127" s="1003"/>
      <c r="AJ127" s="1003"/>
      <c r="AK127" s="1003"/>
      <c r="AL127" s="1003"/>
      <c r="AM127" s="1003"/>
      <c r="AN127" s="1003"/>
      <c r="AO127" s="1003"/>
      <c r="AP127" s="1003"/>
      <c r="AQ127" s="1003"/>
      <c r="AR127" s="1003"/>
      <c r="AS127" s="1003"/>
      <c r="AT127" s="1003"/>
      <c r="AU127" s="1003"/>
      <c r="AV127" s="1003"/>
      <c r="AW127" s="1003"/>
      <c r="AX127" s="1003"/>
      <c r="AY127" s="1003"/>
      <c r="AZ127" s="1003"/>
      <c r="BA127" s="1003"/>
      <c r="BB127" s="1003"/>
    </row>
    <row r="128" spans="1:54" ht="17.399999999999999">
      <c r="A128" s="1003"/>
      <c r="B128" s="1003"/>
      <c r="C128" s="1003"/>
      <c r="D128" s="1003"/>
      <c r="E128" s="1003"/>
      <c r="F128" s="1003"/>
      <c r="G128" s="1003"/>
      <c r="H128" s="1003"/>
      <c r="I128" s="1003"/>
      <c r="J128" s="1003"/>
      <c r="K128" s="1003"/>
      <c r="L128" s="1003"/>
      <c r="M128" s="1003"/>
      <c r="N128" s="1003"/>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c r="AP128" s="1003"/>
      <c r="AQ128" s="1003"/>
      <c r="AR128" s="1003"/>
      <c r="AS128" s="1003"/>
      <c r="AT128" s="1003"/>
      <c r="AU128" s="1003"/>
      <c r="AV128" s="1003"/>
      <c r="AW128" s="1003"/>
      <c r="AX128" s="1003"/>
      <c r="AY128" s="1003"/>
      <c r="AZ128" s="1003"/>
      <c r="BA128" s="1003"/>
      <c r="BB128" s="1003"/>
    </row>
    <row r="129" spans="1:54" ht="17.399999999999999">
      <c r="A129" s="1003"/>
      <c r="B129" s="1003"/>
      <c r="C129" s="1003"/>
      <c r="D129" s="1003"/>
      <c r="E129" s="1003"/>
      <c r="F129" s="1003"/>
      <c r="G129" s="1003"/>
      <c r="H129" s="1003"/>
      <c r="I129" s="1003"/>
      <c r="J129" s="1003"/>
      <c r="K129" s="1003"/>
      <c r="L129" s="1003"/>
      <c r="M129" s="1003"/>
      <c r="N129" s="1003"/>
      <c r="O129" s="1003"/>
      <c r="P129" s="1003"/>
      <c r="Q129" s="1003"/>
      <c r="R129" s="1003"/>
      <c r="S129" s="1003"/>
      <c r="T129" s="1003"/>
      <c r="U129" s="1003"/>
      <c r="V129" s="1003"/>
      <c r="W129" s="1003"/>
      <c r="X129" s="1003"/>
      <c r="Y129" s="1003"/>
      <c r="Z129" s="1003"/>
      <c r="AA129" s="1003"/>
      <c r="AB129" s="1003"/>
      <c r="AC129" s="1003"/>
      <c r="AD129" s="1003"/>
      <c r="AE129" s="1003"/>
      <c r="AF129" s="1003"/>
      <c r="AG129" s="1003"/>
      <c r="AH129" s="1003"/>
      <c r="AI129" s="1003"/>
      <c r="AJ129" s="1003"/>
      <c r="AK129" s="1003"/>
      <c r="AL129" s="1003"/>
      <c r="AM129" s="1003"/>
      <c r="AN129" s="1003"/>
      <c r="AO129" s="1003"/>
      <c r="AP129" s="1003"/>
      <c r="AQ129" s="1003"/>
      <c r="AR129" s="1003"/>
      <c r="AS129" s="1003"/>
      <c r="AT129" s="1003"/>
      <c r="AU129" s="1003"/>
      <c r="AV129" s="1003"/>
      <c r="AW129" s="1003"/>
      <c r="AX129" s="1003"/>
      <c r="AY129" s="1003"/>
      <c r="AZ129" s="1003"/>
      <c r="BA129" s="1003"/>
      <c r="BB129" s="1003"/>
    </row>
    <row r="130" spans="1:54" ht="17.399999999999999">
      <c r="A130" s="1003"/>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c r="AH130" s="1003"/>
      <c r="AI130" s="1003"/>
      <c r="AJ130" s="1003"/>
      <c r="AK130" s="1003"/>
      <c r="AL130" s="1003"/>
      <c r="AM130" s="1003"/>
      <c r="AN130" s="1003"/>
      <c r="AO130" s="1003"/>
      <c r="AP130" s="1003"/>
      <c r="AQ130" s="1003"/>
      <c r="AR130" s="1003"/>
      <c r="AS130" s="1003"/>
      <c r="AT130" s="1003"/>
      <c r="AU130" s="1003"/>
      <c r="AV130" s="1003"/>
      <c r="AW130" s="1003"/>
      <c r="AX130" s="1003"/>
      <c r="AY130" s="1003"/>
      <c r="AZ130" s="1003"/>
      <c r="BA130" s="1003"/>
      <c r="BB130" s="1003"/>
    </row>
    <row r="131" spans="1:54" ht="17.399999999999999">
      <c r="A131" s="1003"/>
      <c r="B131" s="1003"/>
      <c r="C131" s="1003"/>
      <c r="D131" s="1003"/>
      <c r="E131" s="1003"/>
      <c r="F131" s="1003"/>
      <c r="G131" s="1003"/>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c r="AH131" s="1003"/>
      <c r="AI131" s="1003"/>
      <c r="AJ131" s="1003"/>
      <c r="AK131" s="1003"/>
      <c r="AL131" s="1003"/>
      <c r="AM131" s="1003"/>
      <c r="AN131" s="1003"/>
      <c r="AO131" s="1003"/>
      <c r="AP131" s="1003"/>
      <c r="AQ131" s="1003"/>
      <c r="AR131" s="1003"/>
      <c r="AS131" s="1003"/>
      <c r="AT131" s="1003"/>
      <c r="AU131" s="1003"/>
      <c r="AV131" s="1003"/>
      <c r="AW131" s="1003"/>
      <c r="AX131" s="1003"/>
      <c r="AY131" s="1003"/>
      <c r="AZ131" s="1003"/>
      <c r="BA131" s="1003"/>
      <c r="BB131" s="1003"/>
    </row>
    <row r="132" spans="1:54" ht="17.399999999999999">
      <c r="B132" s="1003"/>
      <c r="C132" s="1003"/>
      <c r="D132" s="1003"/>
      <c r="E132" s="1003"/>
      <c r="F132" s="1003"/>
      <c r="G132" s="1003"/>
      <c r="H132" s="1003"/>
      <c r="I132" s="1003"/>
      <c r="J132" s="1003"/>
      <c r="K132" s="1003"/>
      <c r="L132" s="1003"/>
      <c r="M132" s="1003"/>
      <c r="N132" s="1003"/>
      <c r="O132" s="1003"/>
      <c r="P132" s="1003"/>
      <c r="Q132" s="1003"/>
    </row>
  </sheetData>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H153"/>
  <sheetViews>
    <sheetView showGridLines="0" zoomScale="120" zoomScaleNormal="120" workbookViewId="0">
      <selection activeCell="D5" sqref="D5"/>
    </sheetView>
  </sheetViews>
  <sheetFormatPr baseColWidth="10" defaultColWidth="11.44140625" defaultRowHeight="13.8"/>
  <cols>
    <col min="1" max="1" width="24.44140625" style="1101" customWidth="1"/>
    <col min="2" max="2" width="2" style="494" customWidth="1"/>
    <col min="3" max="3" width="7.44140625" style="494" customWidth="1"/>
    <col min="4" max="4" width="3.44140625" style="494" customWidth="1"/>
    <col min="5" max="5" width="8.77734375" style="494" customWidth="1"/>
    <col min="6" max="6" width="3.44140625" style="494" customWidth="1"/>
    <col min="7" max="7" width="8" style="494" customWidth="1"/>
    <col min="8" max="8" width="7.44140625" style="494" customWidth="1"/>
    <col min="9" max="9" width="3.44140625" style="494" customWidth="1"/>
    <col min="10" max="10" width="8.77734375" style="494" customWidth="1"/>
    <col min="11" max="11" width="3.44140625" style="494" customWidth="1"/>
    <col min="12" max="12" width="8" style="494" customWidth="1"/>
    <col min="13" max="13" width="7.44140625" style="494" customWidth="1"/>
    <col min="14" max="14" width="3.44140625" style="494" customWidth="1"/>
    <col min="15" max="15" width="8.77734375" style="494" customWidth="1"/>
    <col min="16" max="16" width="3.44140625" style="494" customWidth="1"/>
    <col min="17" max="17" width="8" style="494" customWidth="1"/>
    <col min="18" max="18" width="7.44140625" style="494" customWidth="1"/>
    <col min="19" max="19" width="3.44140625" style="494" customWidth="1"/>
    <col min="20" max="20" width="8.77734375" style="494" customWidth="1"/>
    <col min="21" max="21" width="3.44140625" style="494" customWidth="1"/>
    <col min="22" max="22" width="8" style="494" customWidth="1"/>
    <col min="23" max="26" width="7.77734375" style="494" customWidth="1"/>
    <col min="27" max="49" width="3.44140625" style="494" customWidth="1"/>
    <col min="50" max="50" width="4" style="494" customWidth="1"/>
    <col min="51" max="52" width="3.44140625" style="494" customWidth="1"/>
    <col min="53" max="53" width="11.44140625" style="494"/>
    <col min="54" max="54" width="10.5546875" style="494" customWidth="1"/>
    <col min="55" max="59" width="6.5546875" style="494" customWidth="1"/>
    <col min="60" max="60" width="8.44140625" style="494" customWidth="1"/>
    <col min="61" max="61" width="9.44140625" style="494" customWidth="1"/>
    <col min="62" max="62" width="10.21875" style="494" customWidth="1"/>
    <col min="63" max="87" width="6.77734375" style="494" customWidth="1"/>
    <col min="88" max="88" width="6" style="494" customWidth="1"/>
    <col min="89" max="89" width="6.5546875" style="494" customWidth="1"/>
    <col min="90" max="90" width="5.5546875" style="494" customWidth="1"/>
    <col min="91" max="16384" width="11.44140625" style="494"/>
  </cols>
  <sheetData>
    <row r="1" spans="1:86" ht="63" customHeight="1">
      <c r="A1" s="4464" t="s">
        <v>1229</v>
      </c>
      <c r="B1" s="4464"/>
      <c r="C1" s="4464"/>
      <c r="D1" s="4464"/>
      <c r="E1" s="4464"/>
      <c r="F1" s="4464"/>
      <c r="G1" s="4464"/>
      <c r="H1" s="4464"/>
      <c r="I1" s="4464"/>
      <c r="J1" s="4464"/>
      <c r="K1" s="4464"/>
      <c r="L1" s="4464"/>
      <c r="M1" s="4464"/>
      <c r="N1" s="4464"/>
      <c r="O1" s="4464"/>
      <c r="P1" s="1953"/>
      <c r="Q1" s="1954" t="s">
        <v>1105</v>
      </c>
      <c r="R1" s="2489" t="s">
        <v>673</v>
      </c>
    </row>
    <row r="2" spans="1:86" ht="15" customHeight="1">
      <c r="A2" s="1043"/>
      <c r="B2" s="1044"/>
      <c r="C2" s="4467" t="s">
        <v>1096</v>
      </c>
      <c r="D2" s="4468"/>
      <c r="E2" s="1940">
        <v>44927</v>
      </c>
      <c r="F2" s="1941" t="s">
        <v>396</v>
      </c>
      <c r="G2" s="1942">
        <v>44927</v>
      </c>
      <c r="H2" s="4467" t="s">
        <v>1096</v>
      </c>
      <c r="I2" s="4468"/>
      <c r="J2" s="1940">
        <v>44927</v>
      </c>
      <c r="K2" s="1941" t="s">
        <v>396</v>
      </c>
      <c r="L2" s="1942">
        <v>44959</v>
      </c>
      <c r="M2" s="4467" t="s">
        <v>1096</v>
      </c>
      <c r="N2" s="4468"/>
      <c r="O2" s="1940">
        <v>44927</v>
      </c>
      <c r="P2" s="1941" t="s">
        <v>396</v>
      </c>
      <c r="Q2" s="1942">
        <v>44991</v>
      </c>
    </row>
    <row r="3" spans="1:86" ht="15" customHeight="1">
      <c r="A3" s="1045" t="s">
        <v>752</v>
      </c>
      <c r="B3" s="1044"/>
      <c r="C3" s="4469" t="s">
        <v>753</v>
      </c>
      <c r="D3" s="4466"/>
      <c r="E3" s="4465" t="s">
        <v>745</v>
      </c>
      <c r="F3" s="4466"/>
      <c r="G3" s="1046" t="s">
        <v>126</v>
      </c>
      <c r="H3" s="4469" t="s">
        <v>753</v>
      </c>
      <c r="I3" s="4466"/>
      <c r="J3" s="4465" t="s">
        <v>745</v>
      </c>
      <c r="K3" s="4466"/>
      <c r="L3" s="1046" t="s">
        <v>126</v>
      </c>
      <c r="M3" s="4469" t="s">
        <v>753</v>
      </c>
      <c r="N3" s="4466"/>
      <c r="O3" s="4465" t="s">
        <v>745</v>
      </c>
      <c r="P3" s="4466"/>
      <c r="Q3" s="1046" t="s">
        <v>126</v>
      </c>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row>
    <row r="4" spans="1:86" ht="15" customHeight="1">
      <c r="A4" s="1047" t="s">
        <v>733</v>
      </c>
      <c r="B4" s="1048"/>
      <c r="C4" s="1125">
        <v>24</v>
      </c>
      <c r="D4" s="1049" t="s">
        <v>28</v>
      </c>
      <c r="E4" s="1050"/>
      <c r="F4" s="1049" t="s">
        <v>28</v>
      </c>
      <c r="G4" s="1051" t="s">
        <v>525</v>
      </c>
      <c r="H4" s="1052">
        <v>49</v>
      </c>
      <c r="I4" s="1049" t="s">
        <v>28</v>
      </c>
      <c r="J4" s="1050"/>
      <c r="K4" s="1049" t="s">
        <v>28</v>
      </c>
      <c r="L4" s="1051" t="s">
        <v>525</v>
      </c>
      <c r="M4" s="1052">
        <v>74</v>
      </c>
      <c r="N4" s="1049" t="s">
        <v>28</v>
      </c>
      <c r="O4" s="1952"/>
      <c r="P4" s="1049" t="s">
        <v>28</v>
      </c>
      <c r="Q4" s="1057" t="s">
        <v>525</v>
      </c>
      <c r="X4" s="565">
        <v>24</v>
      </c>
      <c r="Y4" s="565">
        <v>49</v>
      </c>
      <c r="Z4" s="565">
        <v>74</v>
      </c>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row>
    <row r="5" spans="1:86" ht="15" customHeight="1">
      <c r="A5" s="1053" t="s">
        <v>405</v>
      </c>
      <c r="B5" s="1051"/>
      <c r="C5" s="1054">
        <v>40037.651261505052</v>
      </c>
      <c r="D5" s="1055">
        <v>94.497844489774096</v>
      </c>
      <c r="E5" s="1056"/>
      <c r="F5" s="1055" t="s">
        <v>525</v>
      </c>
      <c r="G5" s="1051" t="s">
        <v>525</v>
      </c>
      <c r="H5" s="1054">
        <v>76872.290422089703</v>
      </c>
      <c r="I5" s="1055">
        <v>94.497844489774096</v>
      </c>
      <c r="J5" s="1056"/>
      <c r="K5" s="1055" t="s">
        <v>525</v>
      </c>
      <c r="L5" s="1051" t="s">
        <v>525</v>
      </c>
      <c r="M5" s="1054">
        <v>116909.94168359475</v>
      </c>
      <c r="N5" s="1055">
        <v>94.497844489774081</v>
      </c>
      <c r="O5" s="1056"/>
      <c r="P5" s="1055" t="s">
        <v>525</v>
      </c>
      <c r="Q5" s="1057" t="s">
        <v>525</v>
      </c>
      <c r="X5" s="565">
        <v>40037.651261505052</v>
      </c>
      <c r="Y5" s="565">
        <v>76872.290422089703</v>
      </c>
      <c r="Z5" s="565">
        <v>116909.94168359475</v>
      </c>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row>
    <row r="6" spans="1:86" ht="15" customHeight="1">
      <c r="A6" s="1053" t="s">
        <v>404</v>
      </c>
      <c r="B6" s="1051"/>
      <c r="C6" s="1054">
        <v>2331.2000892129495</v>
      </c>
      <c r="D6" s="1055">
        <v>5.5021555102258954</v>
      </c>
      <c r="E6" s="1056"/>
      <c r="F6" s="1055" t="s">
        <v>525</v>
      </c>
      <c r="G6" s="1051" t="s">
        <v>525</v>
      </c>
      <c r="H6" s="1054">
        <v>4475.9041712888629</v>
      </c>
      <c r="I6" s="1055">
        <v>5.5021555102258954</v>
      </c>
      <c r="J6" s="1056"/>
      <c r="K6" s="1055" t="s">
        <v>525</v>
      </c>
      <c r="L6" s="1051" t="s">
        <v>525</v>
      </c>
      <c r="M6" s="1054">
        <v>6807.104260501812</v>
      </c>
      <c r="N6" s="1055">
        <v>5.5021555102258954</v>
      </c>
      <c r="O6" s="1056"/>
      <c r="P6" s="1055" t="s">
        <v>525</v>
      </c>
      <c r="Q6" s="1057" t="s">
        <v>525</v>
      </c>
      <c r="X6" s="565">
        <v>2331.2000892129495</v>
      </c>
      <c r="Y6" s="565">
        <v>4475.9041712888629</v>
      </c>
      <c r="Z6" s="565">
        <v>6807.104260501812</v>
      </c>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row>
    <row r="7" spans="1:86" ht="15" customHeight="1">
      <c r="A7" s="1058" t="s">
        <v>33</v>
      </c>
      <c r="B7" s="1059"/>
      <c r="C7" s="1060">
        <v>42368.851350718003</v>
      </c>
      <c r="D7" s="1061">
        <v>100</v>
      </c>
      <c r="E7" s="1059" t="s">
        <v>525</v>
      </c>
      <c r="F7" s="1061" t="s">
        <v>525</v>
      </c>
      <c r="G7" s="1059" t="s">
        <v>525</v>
      </c>
      <c r="H7" s="1060">
        <v>81348.194593378576</v>
      </c>
      <c r="I7" s="1061">
        <v>100</v>
      </c>
      <c r="J7" s="1059" t="s">
        <v>525</v>
      </c>
      <c r="K7" s="1061" t="s">
        <v>525</v>
      </c>
      <c r="L7" s="1059" t="s">
        <v>525</v>
      </c>
      <c r="M7" s="1060">
        <v>123717.04594409658</v>
      </c>
      <c r="N7" s="1061">
        <v>100</v>
      </c>
      <c r="O7" s="1059" t="s">
        <v>525</v>
      </c>
      <c r="P7" s="1061" t="s">
        <v>525</v>
      </c>
      <c r="Q7" s="1062" t="s">
        <v>525</v>
      </c>
      <c r="X7" s="565"/>
      <c r="Y7" s="565"/>
      <c r="Z7" s="56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row>
    <row r="8" spans="1:86" ht="15" customHeight="1">
      <c r="A8" s="1063" t="s">
        <v>50</v>
      </c>
      <c r="B8" s="1051"/>
      <c r="C8" s="1054">
        <v>4379.3380863542443</v>
      </c>
      <c r="D8" s="1055">
        <v>10.336220942369328</v>
      </c>
      <c r="E8" s="1056"/>
      <c r="F8" s="1055" t="s">
        <v>525</v>
      </c>
      <c r="G8" s="1051" t="s">
        <v>525</v>
      </c>
      <c r="H8" s="1054">
        <v>8758.6761727084886</v>
      </c>
      <c r="I8" s="1055">
        <v>10.76689681496805</v>
      </c>
      <c r="J8" s="1056"/>
      <c r="K8" s="1055" t="s">
        <v>525</v>
      </c>
      <c r="L8" s="1051" t="s">
        <v>525</v>
      </c>
      <c r="M8" s="1054">
        <v>12137.676172708489</v>
      </c>
      <c r="N8" s="1055">
        <v>9.8108357503080708</v>
      </c>
      <c r="O8" s="1056"/>
      <c r="P8" s="1055" t="s">
        <v>525</v>
      </c>
      <c r="Q8" s="1057" t="s">
        <v>525</v>
      </c>
      <c r="X8" s="565">
        <v>4379.3380863542443</v>
      </c>
      <c r="Y8" s="565">
        <v>8758.6761727084886</v>
      </c>
      <c r="Z8" s="565">
        <v>12137.676172708489</v>
      </c>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row>
    <row r="9" spans="1:86" ht="15" customHeight="1">
      <c r="A9" s="1058" t="s">
        <v>34</v>
      </c>
      <c r="B9" s="1059"/>
      <c r="C9" s="1060">
        <v>37989.513264363763</v>
      </c>
      <c r="D9" s="1061">
        <v>89.663779057630677</v>
      </c>
      <c r="E9" s="1059" t="s">
        <v>525</v>
      </c>
      <c r="F9" s="1061" t="s">
        <v>525</v>
      </c>
      <c r="G9" s="1059" t="s">
        <v>525</v>
      </c>
      <c r="H9" s="1060">
        <v>72589.51842067008</v>
      </c>
      <c r="I9" s="1061">
        <v>89.233103185031936</v>
      </c>
      <c r="J9" s="1059" t="s">
        <v>525</v>
      </c>
      <c r="K9" s="1061" t="s">
        <v>525</v>
      </c>
      <c r="L9" s="1059" t="s">
        <v>525</v>
      </c>
      <c r="M9" s="1060">
        <v>111579.36977138808</v>
      </c>
      <c r="N9" s="1061">
        <v>90.189164249691927</v>
      </c>
      <c r="O9" s="1059" t="s">
        <v>525</v>
      </c>
      <c r="P9" s="1061" t="s">
        <v>525</v>
      </c>
      <c r="Q9" s="1062" t="s">
        <v>525</v>
      </c>
      <c r="X9" s="565"/>
      <c r="Y9" s="565"/>
      <c r="Z9" s="56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row>
    <row r="10" spans="1:86" ht="15" customHeight="1">
      <c r="A10" s="1063" t="s">
        <v>35</v>
      </c>
      <c r="B10" s="1051"/>
      <c r="C10" s="1054">
        <v>17249.107813709677</v>
      </c>
      <c r="D10" s="1055">
        <v>40.711766460049112</v>
      </c>
      <c r="E10" s="1056"/>
      <c r="F10" s="1055" t="s">
        <v>525</v>
      </c>
      <c r="G10" s="1051" t="s">
        <v>525</v>
      </c>
      <c r="H10" s="1054">
        <v>34498.215627419355</v>
      </c>
      <c r="I10" s="1055">
        <v>42.408090062551153</v>
      </c>
      <c r="J10" s="1056"/>
      <c r="K10" s="1055" t="s">
        <v>525</v>
      </c>
      <c r="L10" s="1051" t="s">
        <v>525</v>
      </c>
      <c r="M10" s="1054">
        <v>51747.323441129032</v>
      </c>
      <c r="N10" s="1055">
        <v>41.827157321968258</v>
      </c>
      <c r="O10" s="1056"/>
      <c r="P10" s="1055" t="s">
        <v>525</v>
      </c>
      <c r="Q10" s="1057" t="s">
        <v>525</v>
      </c>
      <c r="X10" s="565">
        <v>17249.107813709677</v>
      </c>
      <c r="Y10" s="565">
        <v>34498.215627419355</v>
      </c>
      <c r="Z10" s="565">
        <v>51747.323441129032</v>
      </c>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row>
    <row r="11" spans="1:86" ht="15" customHeight="1">
      <c r="A11" s="1064" t="s">
        <v>7</v>
      </c>
      <c r="B11" s="1065"/>
      <c r="C11" s="1066">
        <v>20740.405450654085</v>
      </c>
      <c r="D11" s="1067">
        <v>48.952012597581565</v>
      </c>
      <c r="E11" s="1059" t="s">
        <v>525</v>
      </c>
      <c r="F11" s="1067" t="s">
        <v>525</v>
      </c>
      <c r="G11" s="1065" t="s">
        <v>525</v>
      </c>
      <c r="H11" s="1066">
        <v>38091.302793250725</v>
      </c>
      <c r="I11" s="1067">
        <v>46.825013122480783</v>
      </c>
      <c r="J11" s="1059" t="s">
        <v>525</v>
      </c>
      <c r="K11" s="1067" t="s">
        <v>525</v>
      </c>
      <c r="L11" s="1065" t="s">
        <v>525</v>
      </c>
      <c r="M11" s="1066">
        <v>59832.046330259051</v>
      </c>
      <c r="N11" s="1067">
        <v>48.362006927723662</v>
      </c>
      <c r="O11" s="1059" t="s">
        <v>525</v>
      </c>
      <c r="P11" s="1067" t="s">
        <v>525</v>
      </c>
      <c r="Q11" s="1068" t="s">
        <v>525</v>
      </c>
      <c r="X11" s="565"/>
      <c r="Y11" s="565"/>
      <c r="Z11" s="56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row>
    <row r="12" spans="1:86" ht="15" customHeight="1">
      <c r="A12" s="1069" t="s">
        <v>9</v>
      </c>
      <c r="B12" s="1051"/>
      <c r="C12" s="1054">
        <v>3338.6713333333332</v>
      </c>
      <c r="D12" s="1055">
        <v>7.8800137999888316</v>
      </c>
      <c r="E12" s="1056"/>
      <c r="F12" s="1055" t="s">
        <v>525</v>
      </c>
      <c r="G12" s="1051" t="s">
        <v>525</v>
      </c>
      <c r="H12" s="1054">
        <v>6677.3426666666664</v>
      </c>
      <c r="I12" s="1055">
        <v>8.2083477083216998</v>
      </c>
      <c r="J12" s="1056"/>
      <c r="K12" s="1055" t="s">
        <v>525</v>
      </c>
      <c r="L12" s="1051" t="s">
        <v>525</v>
      </c>
      <c r="M12" s="1054">
        <v>10016.013999999999</v>
      </c>
      <c r="N12" s="1055">
        <v>8.0959045890296206</v>
      </c>
      <c r="O12" s="1056"/>
      <c r="P12" s="1055" t="s">
        <v>525</v>
      </c>
      <c r="Q12" s="1057" t="s">
        <v>525</v>
      </c>
      <c r="X12" s="565">
        <v>3338.6713333333332</v>
      </c>
      <c r="Y12" s="565">
        <v>6677.3426666666664</v>
      </c>
      <c r="Z12" s="565">
        <v>10016.013999999999</v>
      </c>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row>
    <row r="13" spans="1:86" ht="15" customHeight="1">
      <c r="A13" s="1070" t="s">
        <v>52</v>
      </c>
      <c r="B13" s="1051"/>
      <c r="C13" s="1054">
        <v>968.8416666666667</v>
      </c>
      <c r="D13" s="1055">
        <v>2.2866838155390501</v>
      </c>
      <c r="E13" s="1056"/>
      <c r="F13" s="1055" t="s">
        <v>525</v>
      </c>
      <c r="G13" s="1051" t="s">
        <v>525</v>
      </c>
      <c r="H13" s="1054">
        <v>1937.6833333333334</v>
      </c>
      <c r="I13" s="1055">
        <v>2.3819623078531764</v>
      </c>
      <c r="J13" s="1056"/>
      <c r="K13" s="1055" t="s">
        <v>525</v>
      </c>
      <c r="L13" s="1051" t="s">
        <v>525</v>
      </c>
      <c r="M13" s="1054">
        <v>2906.5250000000001</v>
      </c>
      <c r="N13" s="1055">
        <v>2.3493326871976539</v>
      </c>
      <c r="O13" s="1056"/>
      <c r="P13" s="1055" t="s">
        <v>525</v>
      </c>
      <c r="Q13" s="1057" t="s">
        <v>525</v>
      </c>
      <c r="X13" s="565">
        <v>968.8416666666667</v>
      </c>
      <c r="Y13" s="565">
        <v>1937.6833333333334</v>
      </c>
      <c r="Z13" s="565">
        <v>2906.5250000000001</v>
      </c>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row>
    <row r="14" spans="1:86" ht="15" customHeight="1">
      <c r="A14" s="1070" t="s">
        <v>10</v>
      </c>
      <c r="B14" s="1051"/>
      <c r="C14" s="1054">
        <v>258.33333333333331</v>
      </c>
      <c r="D14" s="1055">
        <v>0.60972465643432061</v>
      </c>
      <c r="E14" s="1056"/>
      <c r="F14" s="1055" t="s">
        <v>525</v>
      </c>
      <c r="G14" s="1051" t="s">
        <v>525</v>
      </c>
      <c r="H14" s="1054">
        <v>516.66666666666663</v>
      </c>
      <c r="I14" s="1055">
        <v>0.63512985045241721</v>
      </c>
      <c r="J14" s="1056"/>
      <c r="K14" s="1055" t="s">
        <v>525</v>
      </c>
      <c r="L14" s="1051" t="s">
        <v>525</v>
      </c>
      <c r="M14" s="1054">
        <v>775</v>
      </c>
      <c r="N14" s="1055">
        <v>0.62642944154211011</v>
      </c>
      <c r="O14" s="1056"/>
      <c r="P14" s="1055" t="s">
        <v>525</v>
      </c>
      <c r="Q14" s="1057" t="s">
        <v>525</v>
      </c>
      <c r="X14" s="565">
        <v>258.33333333333331</v>
      </c>
      <c r="Y14" s="565">
        <v>516.66666666666663</v>
      </c>
      <c r="Z14" s="565">
        <v>775</v>
      </c>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row>
    <row r="15" spans="1:86" ht="15" customHeight="1">
      <c r="A15" s="1070" t="s">
        <v>142</v>
      </c>
      <c r="B15" s="1051"/>
      <c r="C15" s="1054">
        <v>625</v>
      </c>
      <c r="D15" s="1055">
        <v>1.4751402978249692</v>
      </c>
      <c r="E15" s="1056"/>
      <c r="F15" s="1055" t="s">
        <v>525</v>
      </c>
      <c r="G15" s="1051" t="s">
        <v>525</v>
      </c>
      <c r="H15" s="1054">
        <v>1250</v>
      </c>
      <c r="I15" s="1055">
        <v>1.5366044769010092</v>
      </c>
      <c r="J15" s="1056"/>
      <c r="K15" s="1055" t="s">
        <v>525</v>
      </c>
      <c r="L15" s="1051" t="s">
        <v>525</v>
      </c>
      <c r="M15" s="1054">
        <v>1875</v>
      </c>
      <c r="N15" s="1055">
        <v>1.5155551005051051</v>
      </c>
      <c r="O15" s="1056"/>
      <c r="P15" s="1055" t="s">
        <v>525</v>
      </c>
      <c r="Q15" s="1057" t="s">
        <v>525</v>
      </c>
      <c r="X15" s="565">
        <v>625</v>
      </c>
      <c r="Y15" s="565">
        <v>1250</v>
      </c>
      <c r="Z15" s="565">
        <v>1875</v>
      </c>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row>
    <row r="16" spans="1:86" ht="15" customHeight="1">
      <c r="A16" s="1070" t="s">
        <v>59</v>
      </c>
      <c r="B16" s="1051"/>
      <c r="C16" s="1054">
        <v>666.66666666666663</v>
      </c>
      <c r="D16" s="1055">
        <v>1.5734829843466338</v>
      </c>
      <c r="E16" s="1056"/>
      <c r="F16" s="1055" t="s">
        <v>525</v>
      </c>
      <c r="G16" s="1051" t="s">
        <v>525</v>
      </c>
      <c r="H16" s="1054">
        <v>1333.3333333333333</v>
      </c>
      <c r="I16" s="1055">
        <v>1.6390447753610766</v>
      </c>
      <c r="J16" s="1056"/>
      <c r="K16" s="1055" t="s">
        <v>525</v>
      </c>
      <c r="L16" s="1051" t="s">
        <v>525</v>
      </c>
      <c r="M16" s="1054">
        <v>2000</v>
      </c>
      <c r="N16" s="1055">
        <v>1.6165921072054457</v>
      </c>
      <c r="O16" s="1056"/>
      <c r="P16" s="1055" t="s">
        <v>525</v>
      </c>
      <c r="Q16" s="1057" t="s">
        <v>525</v>
      </c>
      <c r="X16" s="565">
        <v>666.66666666666663</v>
      </c>
      <c r="Y16" s="565">
        <v>1333.3333333333333</v>
      </c>
      <c r="Z16" s="565">
        <v>2000</v>
      </c>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row>
    <row r="17" spans="1:86" ht="15" customHeight="1">
      <c r="A17" s="1070" t="s">
        <v>12</v>
      </c>
      <c r="B17" s="1051"/>
      <c r="C17" s="1054">
        <v>75</v>
      </c>
      <c r="D17" s="1055">
        <v>0.17701683573899629</v>
      </c>
      <c r="E17" s="1056"/>
      <c r="F17" s="1055" t="s">
        <v>525</v>
      </c>
      <c r="G17" s="1051" t="s">
        <v>525</v>
      </c>
      <c r="H17" s="1054">
        <v>150</v>
      </c>
      <c r="I17" s="1055">
        <v>0.18439253722812113</v>
      </c>
      <c r="J17" s="1056"/>
      <c r="K17" s="1055" t="s">
        <v>525</v>
      </c>
      <c r="L17" s="1051" t="s">
        <v>525</v>
      </c>
      <c r="M17" s="1054">
        <v>225</v>
      </c>
      <c r="N17" s="1055">
        <v>0.18186661206061264</v>
      </c>
      <c r="O17" s="1056"/>
      <c r="P17" s="1055" t="s">
        <v>525</v>
      </c>
      <c r="Q17" s="1057" t="s">
        <v>525</v>
      </c>
      <c r="X17" s="565">
        <v>75</v>
      </c>
      <c r="Y17" s="565">
        <v>150</v>
      </c>
      <c r="Z17" s="565">
        <v>225</v>
      </c>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row>
    <row r="18" spans="1:86" ht="15" customHeight="1">
      <c r="A18" s="1070" t="s">
        <v>13</v>
      </c>
      <c r="B18" s="1051"/>
      <c r="C18" s="1054">
        <v>100</v>
      </c>
      <c r="D18" s="1055">
        <v>0.23602244765199504</v>
      </c>
      <c r="E18" s="1056"/>
      <c r="F18" s="1055" t="s">
        <v>525</v>
      </c>
      <c r="G18" s="1051" t="s">
        <v>525</v>
      </c>
      <c r="H18" s="1054">
        <v>200</v>
      </c>
      <c r="I18" s="1055">
        <v>0.2458567163041615</v>
      </c>
      <c r="J18" s="1056"/>
      <c r="K18" s="1055" t="s">
        <v>525</v>
      </c>
      <c r="L18" s="1051" t="s">
        <v>525</v>
      </c>
      <c r="M18" s="1054">
        <v>300</v>
      </c>
      <c r="N18" s="1055">
        <v>0.24248881608081679</v>
      </c>
      <c r="O18" s="1056"/>
      <c r="P18" s="1055" t="s">
        <v>525</v>
      </c>
      <c r="Q18" s="1057" t="s">
        <v>525</v>
      </c>
      <c r="X18" s="565">
        <v>100</v>
      </c>
      <c r="Y18" s="565">
        <v>200</v>
      </c>
      <c r="Z18" s="565">
        <v>300</v>
      </c>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row>
    <row r="19" spans="1:86" ht="15" customHeight="1">
      <c r="A19" s="1070" t="s">
        <v>14</v>
      </c>
      <c r="B19" s="1051"/>
      <c r="C19" s="1054">
        <v>941.66666666666663</v>
      </c>
      <c r="D19" s="1055">
        <v>2.2225447153896201</v>
      </c>
      <c r="E19" s="1056"/>
      <c r="F19" s="1055" t="s">
        <v>525</v>
      </c>
      <c r="G19" s="1051" t="s">
        <v>525</v>
      </c>
      <c r="H19" s="1054">
        <v>1883.3333333333333</v>
      </c>
      <c r="I19" s="1055">
        <v>2.3151507451975206</v>
      </c>
      <c r="J19" s="1056"/>
      <c r="K19" s="1055" t="s">
        <v>525</v>
      </c>
      <c r="L19" s="1051" t="s">
        <v>525</v>
      </c>
      <c r="M19" s="1054">
        <v>2825</v>
      </c>
      <c r="N19" s="1055">
        <v>2.2834363514276914</v>
      </c>
      <c r="O19" s="1056"/>
      <c r="P19" s="1055" t="s">
        <v>525</v>
      </c>
      <c r="Q19" s="1057" t="s">
        <v>525</v>
      </c>
      <c r="X19" s="565">
        <v>941.66666666666663</v>
      </c>
      <c r="Y19" s="565">
        <v>1883.3333333333333</v>
      </c>
      <c r="Z19" s="565">
        <v>2825</v>
      </c>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row>
    <row r="20" spans="1:86" ht="15" customHeight="1">
      <c r="A20" s="1070" t="s">
        <v>15</v>
      </c>
      <c r="B20" s="1051"/>
      <c r="C20" s="1054">
        <v>5000</v>
      </c>
      <c r="D20" s="1055">
        <v>11.801122382599754</v>
      </c>
      <c r="E20" s="1056"/>
      <c r="F20" s="1055" t="s">
        <v>525</v>
      </c>
      <c r="G20" s="1051" t="s">
        <v>525</v>
      </c>
      <c r="H20" s="1054">
        <v>10000</v>
      </c>
      <c r="I20" s="1055">
        <v>12.292835815208074</v>
      </c>
      <c r="J20" s="1056"/>
      <c r="K20" s="1055" t="s">
        <v>525</v>
      </c>
      <c r="L20" s="1051" t="s">
        <v>525</v>
      </c>
      <c r="M20" s="1054">
        <v>15000</v>
      </c>
      <c r="N20" s="1055">
        <v>12.124440804040841</v>
      </c>
      <c r="O20" s="1056"/>
      <c r="P20" s="1055" t="s">
        <v>525</v>
      </c>
      <c r="Q20" s="1057" t="s">
        <v>525</v>
      </c>
      <c r="X20" s="565">
        <v>5000</v>
      </c>
      <c r="Y20" s="565">
        <v>10000</v>
      </c>
      <c r="Z20" s="565">
        <v>15000</v>
      </c>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row>
    <row r="21" spans="1:86" ht="15" customHeight="1" thickBot="1">
      <c r="A21" s="1071" t="s">
        <v>16</v>
      </c>
      <c r="B21" s="1072"/>
      <c r="C21" s="1073">
        <v>11974.179666666667</v>
      </c>
      <c r="D21" s="1055">
        <v>28.26175193551417</v>
      </c>
      <c r="E21" s="1074" t="s">
        <v>525</v>
      </c>
      <c r="F21" s="1055" t="s">
        <v>525</v>
      </c>
      <c r="G21" s="1074" t="s">
        <v>525</v>
      </c>
      <c r="H21" s="1073">
        <v>23948.359333333334</v>
      </c>
      <c r="I21" s="1055">
        <v>29.439324932827262</v>
      </c>
      <c r="J21" s="1074" t="s">
        <v>525</v>
      </c>
      <c r="K21" s="1055" t="s">
        <v>525</v>
      </c>
      <c r="L21" s="1074" t="s">
        <v>525</v>
      </c>
      <c r="M21" s="1073">
        <v>35922.539000000004</v>
      </c>
      <c r="N21" s="1055">
        <v>29.036046509089903</v>
      </c>
      <c r="O21" s="1074" t="s">
        <v>525</v>
      </c>
      <c r="P21" s="1055" t="s">
        <v>525</v>
      </c>
      <c r="Q21" s="1075" t="s">
        <v>525</v>
      </c>
      <c r="X21" s="565">
        <v>11974.179666666667</v>
      </c>
      <c r="Y21" s="565">
        <v>23948.359333333334</v>
      </c>
      <c r="Z21" s="565">
        <v>35922.539000000004</v>
      </c>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row>
    <row r="22" spans="1:86" ht="15" customHeight="1">
      <c r="A22" s="1076" t="s">
        <v>18</v>
      </c>
      <c r="B22" s="1059"/>
      <c r="C22" s="1060">
        <v>8766.2257839874183</v>
      </c>
      <c r="D22" s="1061">
        <v>20.690260662067399</v>
      </c>
      <c r="E22" s="1059" t="s">
        <v>525</v>
      </c>
      <c r="F22" s="1061" t="s">
        <v>525</v>
      </c>
      <c r="G22" s="1059" t="s">
        <v>525</v>
      </c>
      <c r="H22" s="1060">
        <v>14142.943459917391</v>
      </c>
      <c r="I22" s="1061">
        <v>17.385688189653532</v>
      </c>
      <c r="J22" s="1059" t="s">
        <v>525</v>
      </c>
      <c r="K22" s="1061" t="s">
        <v>525</v>
      </c>
      <c r="L22" s="1059" t="s">
        <v>525</v>
      </c>
      <c r="M22" s="1060">
        <v>23909.50733025905</v>
      </c>
      <c r="N22" s="1061">
        <v>19.325960418633763</v>
      </c>
      <c r="O22" s="1059" t="s">
        <v>525</v>
      </c>
      <c r="P22" s="1061" t="s">
        <v>525</v>
      </c>
      <c r="Q22" s="1062" t="s">
        <v>525</v>
      </c>
      <c r="X22" s="565"/>
      <c r="Y22" s="565"/>
      <c r="Z22" s="56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row>
    <row r="23" spans="1:86" ht="15" customHeight="1">
      <c r="A23" s="1063" t="s">
        <v>36</v>
      </c>
      <c r="B23" s="1051"/>
      <c r="C23" s="1054">
        <v>0</v>
      </c>
      <c r="D23" s="1077"/>
      <c r="E23" s="1056"/>
      <c r="F23" s="1077"/>
      <c r="G23" s="1051" t="s">
        <v>525</v>
      </c>
      <c r="H23" s="1054">
        <v>0</v>
      </c>
      <c r="I23" s="1077"/>
      <c r="J23" s="1056"/>
      <c r="K23" s="1077"/>
      <c r="L23" s="1051" t="s">
        <v>525</v>
      </c>
      <c r="M23" s="1054">
        <v>0</v>
      </c>
      <c r="N23" s="1077"/>
      <c r="O23" s="1056"/>
      <c r="P23" s="1077"/>
      <c r="Q23" s="1057" t="s">
        <v>525</v>
      </c>
      <c r="X23" s="565">
        <v>0</v>
      </c>
      <c r="Y23" s="565">
        <v>0</v>
      </c>
      <c r="Z23" s="565">
        <v>0</v>
      </c>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row>
    <row r="24" spans="1:86" ht="15" customHeight="1">
      <c r="A24" s="1063" t="s">
        <v>37</v>
      </c>
      <c r="B24" s="1051"/>
      <c r="C24" s="1054">
        <v>0</v>
      </c>
      <c r="D24" s="1077"/>
      <c r="E24" s="1056"/>
      <c r="F24" s="1077"/>
      <c r="G24" s="1051" t="s">
        <v>525</v>
      </c>
      <c r="H24" s="1054">
        <v>0</v>
      </c>
      <c r="I24" s="1077"/>
      <c r="J24" s="1056"/>
      <c r="K24" s="1077"/>
      <c r="L24" s="1051" t="s">
        <v>525</v>
      </c>
      <c r="M24" s="1054">
        <v>0</v>
      </c>
      <c r="N24" s="1077"/>
      <c r="O24" s="1056"/>
      <c r="P24" s="1077"/>
      <c r="Q24" s="1057" t="s">
        <v>525</v>
      </c>
      <c r="X24" s="565">
        <v>0</v>
      </c>
      <c r="Y24" s="565">
        <v>0</v>
      </c>
      <c r="Z24" s="565">
        <v>0</v>
      </c>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row>
    <row r="25" spans="1:86" ht="15" customHeight="1">
      <c r="A25" s="1063" t="s">
        <v>646</v>
      </c>
      <c r="B25" s="1051"/>
      <c r="C25" s="1054">
        <v>0</v>
      </c>
      <c r="D25" s="1077"/>
      <c r="E25" s="1056"/>
      <c r="F25" s="1077"/>
      <c r="G25" s="1051"/>
      <c r="H25" s="1054">
        <v>0</v>
      </c>
      <c r="I25" s="1077"/>
      <c r="J25" s="1056"/>
      <c r="K25" s="1077"/>
      <c r="L25" s="1051"/>
      <c r="M25" s="1054">
        <v>0</v>
      </c>
      <c r="N25" s="1077"/>
      <c r="O25" s="1056"/>
      <c r="P25" s="1077"/>
      <c r="Q25" s="1057"/>
      <c r="X25" s="565"/>
      <c r="Y25" s="565"/>
      <c r="Z25" s="56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row>
    <row r="26" spans="1:86" ht="15" customHeight="1">
      <c r="A26" s="1058" t="s">
        <v>40</v>
      </c>
      <c r="B26" s="1059"/>
      <c r="C26" s="1060">
        <v>8766.2257839874183</v>
      </c>
      <c r="D26" s="1078"/>
      <c r="E26" s="1059" t="s">
        <v>525</v>
      </c>
      <c r="F26" s="1078"/>
      <c r="G26" s="1059" t="s">
        <v>525</v>
      </c>
      <c r="H26" s="1060">
        <v>14142.943459917391</v>
      </c>
      <c r="I26" s="1078"/>
      <c r="J26" s="1059" t="s">
        <v>525</v>
      </c>
      <c r="K26" s="1078"/>
      <c r="L26" s="1059" t="s">
        <v>525</v>
      </c>
      <c r="M26" s="1060">
        <v>23909.50733025905</v>
      </c>
      <c r="N26" s="1078"/>
      <c r="O26" s="1059" t="s">
        <v>525</v>
      </c>
      <c r="P26" s="1078"/>
      <c r="Q26" s="1062" t="s">
        <v>525</v>
      </c>
      <c r="X26" s="565"/>
      <c r="Y26" s="565"/>
      <c r="Z26" s="56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row>
    <row r="27" spans="1:86" ht="15" customHeight="1">
      <c r="A27" s="1063" t="s">
        <v>14</v>
      </c>
      <c r="B27" s="1051"/>
      <c r="C27" s="1054">
        <v>941.66666666666663</v>
      </c>
      <c r="D27" s="1077"/>
      <c r="E27" s="1079" t="s">
        <v>525</v>
      </c>
      <c r="F27" s="1077"/>
      <c r="G27" s="1051" t="s">
        <v>525</v>
      </c>
      <c r="H27" s="1054">
        <v>1883.3333333333333</v>
      </c>
      <c r="I27" s="1077"/>
      <c r="J27" s="1079" t="s">
        <v>525</v>
      </c>
      <c r="K27" s="1077"/>
      <c r="L27" s="1051" t="s">
        <v>525</v>
      </c>
      <c r="M27" s="1054">
        <v>2825</v>
      </c>
      <c r="N27" s="1077"/>
      <c r="O27" s="1079" t="s">
        <v>525</v>
      </c>
      <c r="P27" s="1077"/>
      <c r="Q27" s="1057" t="s">
        <v>525</v>
      </c>
      <c r="X27" s="565">
        <v>941.66666666666663</v>
      </c>
      <c r="Y27" s="565">
        <v>1883.3333333333333</v>
      </c>
      <c r="Z27" s="565">
        <v>2825</v>
      </c>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row>
    <row r="28" spans="1:86" ht="15" customHeight="1">
      <c r="A28" s="1058" t="s">
        <v>42</v>
      </c>
      <c r="B28" s="1059"/>
      <c r="C28" s="1060">
        <v>9707.8924506540843</v>
      </c>
      <c r="D28" s="1078"/>
      <c r="E28" s="1059" t="s">
        <v>525</v>
      </c>
      <c r="F28" s="1078"/>
      <c r="G28" s="1059" t="s">
        <v>525</v>
      </c>
      <c r="H28" s="1060">
        <v>16026.276793250723</v>
      </c>
      <c r="I28" s="1078"/>
      <c r="J28" s="1059" t="s">
        <v>525</v>
      </c>
      <c r="K28" s="1078"/>
      <c r="L28" s="1059" t="s">
        <v>525</v>
      </c>
      <c r="M28" s="1060">
        <v>26734.507330259046</v>
      </c>
      <c r="N28" s="1078"/>
      <c r="O28" s="1059" t="s">
        <v>525</v>
      </c>
      <c r="P28" s="1078"/>
      <c r="Q28" s="1062" t="s">
        <v>525</v>
      </c>
      <c r="X28" s="565"/>
      <c r="Y28" s="565"/>
      <c r="Z28" s="56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row>
    <row r="29" spans="1:86" ht="15" customHeight="1">
      <c r="A29" s="1080" t="s">
        <v>1093</v>
      </c>
      <c r="B29" s="1051"/>
      <c r="C29" s="1054">
        <v>2564.8333333333335</v>
      </c>
      <c r="D29" s="1077"/>
      <c r="E29" s="1079"/>
      <c r="F29" s="1077"/>
      <c r="G29" s="1051" t="s">
        <v>525</v>
      </c>
      <c r="H29" s="1054">
        <v>5129.666666666667</v>
      </c>
      <c r="I29" s="1077"/>
      <c r="J29" s="1079"/>
      <c r="K29" s="1077"/>
      <c r="L29" s="1051" t="s">
        <v>525</v>
      </c>
      <c r="M29" s="1054">
        <v>7694.5</v>
      </c>
      <c r="N29" s="1077"/>
      <c r="O29" s="1079"/>
      <c r="P29" s="1077"/>
      <c r="Q29" s="1057" t="s">
        <v>525</v>
      </c>
      <c r="X29" s="565">
        <v>2564.8333333333335</v>
      </c>
      <c r="Y29" s="565">
        <v>5129.666666666667</v>
      </c>
      <c r="Z29" s="565">
        <v>7694.5</v>
      </c>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row>
    <row r="30" spans="1:86" ht="15" customHeight="1">
      <c r="A30" s="1080" t="s">
        <v>1094</v>
      </c>
      <c r="B30" s="1051"/>
      <c r="C30" s="1054">
        <v>4833.6728747384059</v>
      </c>
      <c r="D30" s="1077"/>
      <c r="E30" s="1079"/>
      <c r="F30" s="1077"/>
      <c r="G30" s="1051" t="s">
        <v>525</v>
      </c>
      <c r="H30" s="1054">
        <v>9667.3457494768118</v>
      </c>
      <c r="I30" s="1077"/>
      <c r="J30" s="1079"/>
      <c r="K30" s="1077"/>
      <c r="L30" s="1051" t="s">
        <v>525</v>
      </c>
      <c r="M30" s="1054">
        <v>14501.018624215218</v>
      </c>
      <c r="N30" s="1077"/>
      <c r="O30" s="1079"/>
      <c r="P30" s="1077"/>
      <c r="Q30" s="1057" t="s">
        <v>525</v>
      </c>
      <c r="X30" s="565">
        <v>4833.6728747384059</v>
      </c>
      <c r="Y30" s="565">
        <v>9667.3457494768118</v>
      </c>
      <c r="Z30" s="565">
        <v>14501.018624215218</v>
      </c>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row>
    <row r="31" spans="1:86" ht="15" customHeight="1">
      <c r="A31" s="1081" t="s">
        <v>751</v>
      </c>
      <c r="B31" s="1051"/>
      <c r="C31" s="1054">
        <v>7398.5062080717398</v>
      </c>
      <c r="D31" s="1077"/>
      <c r="E31" s="1056"/>
      <c r="F31" s="1077"/>
      <c r="G31" s="1051" t="s">
        <v>525</v>
      </c>
      <c r="H31" s="1054">
        <v>14797.01241614348</v>
      </c>
      <c r="I31" s="1077"/>
      <c r="J31" s="1056"/>
      <c r="K31" s="1077"/>
      <c r="L31" s="1051" t="s">
        <v>525</v>
      </c>
      <c r="M31" s="1054">
        <v>22195.518624215219</v>
      </c>
      <c r="N31" s="1077"/>
      <c r="O31" s="1056"/>
      <c r="P31" s="1077"/>
      <c r="Q31" s="1057" t="s">
        <v>525</v>
      </c>
      <c r="X31" s="565">
        <v>7398.5062080717398</v>
      </c>
      <c r="Y31" s="565">
        <v>14797.01241614348</v>
      </c>
      <c r="Z31" s="565">
        <v>22195.518624215219</v>
      </c>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row>
    <row r="32" spans="1:86" ht="15" customHeight="1">
      <c r="A32" s="1082" t="s">
        <v>111</v>
      </c>
      <c r="B32" s="1051"/>
      <c r="C32" s="1054">
        <v>1231.8499999999999</v>
      </c>
      <c r="D32" s="1077"/>
      <c r="E32" s="1056"/>
      <c r="F32" s="1077"/>
      <c r="G32" s="1051" t="s">
        <v>525</v>
      </c>
      <c r="H32" s="1054">
        <v>2463.6999999999998</v>
      </c>
      <c r="I32" s="1077"/>
      <c r="J32" s="1056"/>
      <c r="K32" s="1077"/>
      <c r="L32" s="1051" t="s">
        <v>525</v>
      </c>
      <c r="M32" s="1054">
        <v>3695.5499999999997</v>
      </c>
      <c r="N32" s="1077"/>
      <c r="O32" s="1056"/>
      <c r="P32" s="1077"/>
      <c r="Q32" s="1057" t="s">
        <v>525</v>
      </c>
      <c r="X32" s="565">
        <v>1231.8499999999999</v>
      </c>
      <c r="Y32" s="565">
        <v>2463.6999999999998</v>
      </c>
      <c r="Z32" s="565">
        <v>3695.5499999999997</v>
      </c>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row>
    <row r="33" spans="1:86" ht="15" customHeight="1">
      <c r="A33" s="1083" t="s">
        <v>43</v>
      </c>
      <c r="B33" s="1084"/>
      <c r="C33" s="1054">
        <v>0</v>
      </c>
      <c r="D33" s="1077"/>
      <c r="E33" s="1056"/>
      <c r="F33" s="1077"/>
      <c r="G33" s="1051" t="s">
        <v>525</v>
      </c>
      <c r="H33" s="1054">
        <v>0</v>
      </c>
      <c r="I33" s="1077"/>
      <c r="J33" s="1056"/>
      <c r="K33" s="1077"/>
      <c r="L33" s="1051" t="s">
        <v>525</v>
      </c>
      <c r="M33" s="1054">
        <v>0</v>
      </c>
      <c r="N33" s="1077"/>
      <c r="O33" s="1056"/>
      <c r="P33" s="1077"/>
      <c r="Q33" s="1057" t="s">
        <v>525</v>
      </c>
      <c r="X33" s="565">
        <v>0</v>
      </c>
      <c r="Y33" s="565">
        <v>0</v>
      </c>
      <c r="Z33" s="565">
        <v>0</v>
      </c>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row>
    <row r="34" spans="1:86" ht="15" customHeight="1">
      <c r="A34" s="1085" t="s">
        <v>748</v>
      </c>
      <c r="B34" s="1059"/>
      <c r="C34" s="1060">
        <v>1077.5362425823446</v>
      </c>
      <c r="D34" s="1078"/>
      <c r="E34" s="1059" t="s">
        <v>525</v>
      </c>
      <c r="F34" s="1078"/>
      <c r="G34" s="1059" t="s">
        <v>525</v>
      </c>
      <c r="H34" s="1060">
        <v>-1234.4356228927554</v>
      </c>
      <c r="I34" s="1078"/>
      <c r="J34" s="1059" t="s">
        <v>525</v>
      </c>
      <c r="K34" s="1078"/>
      <c r="L34" s="1059" t="s">
        <v>525</v>
      </c>
      <c r="M34" s="1060">
        <v>843.43870604382982</v>
      </c>
      <c r="N34" s="1078"/>
      <c r="O34" s="1059" t="s">
        <v>525</v>
      </c>
      <c r="P34" s="1078"/>
      <c r="Q34" s="1062" t="s">
        <v>525</v>
      </c>
      <c r="X34" s="565"/>
      <c r="Y34" s="565"/>
      <c r="Z34" s="56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row>
    <row r="35" spans="1:86" ht="11.55" customHeight="1">
      <c r="A35" s="567"/>
      <c r="B35" s="2486"/>
      <c r="C35" s="2486"/>
      <c r="D35" s="2486"/>
      <c r="E35" s="2486"/>
      <c r="F35" s="2486"/>
      <c r="G35" s="2486"/>
      <c r="H35" s="2486"/>
      <c r="I35" s="2486"/>
      <c r="J35" s="2486"/>
      <c r="K35" s="2486"/>
      <c r="L35" s="2486"/>
      <c r="M35" s="2486"/>
      <c r="N35" s="2486"/>
      <c r="O35" s="2486"/>
      <c r="P35" s="2486"/>
      <c r="Q35" s="2487"/>
      <c r="R35" s="2488"/>
      <c r="S35" s="2488"/>
      <c r="T35" s="2488"/>
      <c r="X35" s="565"/>
      <c r="Y35" s="565"/>
      <c r="Z35" s="56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row>
    <row r="36" spans="1:86" ht="15" customHeight="1">
      <c r="A36" s="1043"/>
      <c r="B36" s="1086"/>
      <c r="C36" s="4467" t="s">
        <v>1096</v>
      </c>
      <c r="D36" s="4468"/>
      <c r="E36" s="1940">
        <v>44927</v>
      </c>
      <c r="F36" s="1941" t="s">
        <v>396</v>
      </c>
      <c r="G36" s="1942">
        <v>45023</v>
      </c>
      <c r="H36" s="4467" t="s">
        <v>1096</v>
      </c>
      <c r="I36" s="4468"/>
      <c r="J36" s="1940">
        <v>44927</v>
      </c>
      <c r="K36" s="1941" t="s">
        <v>396</v>
      </c>
      <c r="L36" s="1942">
        <v>45055</v>
      </c>
      <c r="M36" s="4467" t="s">
        <v>1096</v>
      </c>
      <c r="N36" s="4468"/>
      <c r="O36" s="1940">
        <v>44927</v>
      </c>
      <c r="P36" s="1941" t="s">
        <v>396</v>
      </c>
      <c r="Q36" s="1942">
        <v>45087</v>
      </c>
      <c r="X36" s="565"/>
      <c r="Y36" s="565"/>
      <c r="Z36" s="565"/>
    </row>
    <row r="37" spans="1:86" ht="15" customHeight="1">
      <c r="A37" s="1045" t="s">
        <v>752</v>
      </c>
      <c r="B37" s="1086"/>
      <c r="C37" s="4469" t="s">
        <v>753</v>
      </c>
      <c r="D37" s="4466"/>
      <c r="E37" s="4465" t="s">
        <v>745</v>
      </c>
      <c r="F37" s="4466"/>
      <c r="G37" s="1046" t="s">
        <v>126</v>
      </c>
      <c r="H37" s="4469" t="s">
        <v>753</v>
      </c>
      <c r="I37" s="4466"/>
      <c r="J37" s="4465" t="s">
        <v>745</v>
      </c>
      <c r="K37" s="4466"/>
      <c r="L37" s="1046" t="s">
        <v>126</v>
      </c>
      <c r="M37" s="4469" t="s">
        <v>753</v>
      </c>
      <c r="N37" s="4466"/>
      <c r="O37" s="4465" t="s">
        <v>745</v>
      </c>
      <c r="P37" s="4466"/>
      <c r="Q37" s="1046" t="s">
        <v>126</v>
      </c>
      <c r="X37" s="565"/>
      <c r="Y37" s="565"/>
      <c r="Z37" s="56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row>
    <row r="38" spans="1:86" ht="15" customHeight="1">
      <c r="A38" s="1047" t="s">
        <v>733</v>
      </c>
      <c r="B38" s="1087"/>
      <c r="C38" s="1088">
        <v>98</v>
      </c>
      <c r="D38" s="1049" t="s">
        <v>28</v>
      </c>
      <c r="E38" s="1050"/>
      <c r="F38" s="1049" t="s">
        <v>28</v>
      </c>
      <c r="G38" s="1051" t="s">
        <v>525</v>
      </c>
      <c r="H38" s="1088">
        <v>123</v>
      </c>
      <c r="I38" s="1049" t="s">
        <v>28</v>
      </c>
      <c r="J38" s="1050"/>
      <c r="K38" s="1049" t="s">
        <v>28</v>
      </c>
      <c r="L38" s="1051" t="s">
        <v>525</v>
      </c>
      <c r="M38" s="1088">
        <v>147</v>
      </c>
      <c r="N38" s="1049" t="s">
        <v>28</v>
      </c>
      <c r="O38" s="1050"/>
      <c r="P38" s="1049" t="s">
        <v>28</v>
      </c>
      <c r="Q38" s="1051" t="s">
        <v>525</v>
      </c>
      <c r="X38" s="565">
        <v>98</v>
      </c>
      <c r="Y38" s="565">
        <v>123</v>
      </c>
      <c r="Z38" s="565">
        <v>147</v>
      </c>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row>
    <row r="39" spans="1:86" ht="15" customHeight="1">
      <c r="A39" s="1053" t="s">
        <v>405</v>
      </c>
      <c r="B39" s="1051"/>
      <c r="C39" s="1054">
        <v>155346.08689463959</v>
      </c>
      <c r="D39" s="1055">
        <v>94.497844489774081</v>
      </c>
      <c r="E39" s="1056"/>
      <c r="F39" s="1055" t="s">
        <v>525</v>
      </c>
      <c r="G39" s="1051" t="s">
        <v>525</v>
      </c>
      <c r="H39" s="1054">
        <v>195383.73815614465</v>
      </c>
      <c r="I39" s="1055">
        <v>94.497844489774096</v>
      </c>
      <c r="J39" s="1056"/>
      <c r="K39" s="1055" t="s">
        <v>525</v>
      </c>
      <c r="L39" s="1051" t="s">
        <v>525</v>
      </c>
      <c r="M39" s="1054">
        <v>233819.8833671895</v>
      </c>
      <c r="N39" s="1055">
        <v>94.497844489774081</v>
      </c>
      <c r="O39" s="1056"/>
      <c r="P39" s="1055" t="s">
        <v>525</v>
      </c>
      <c r="Q39" s="1057" t="s">
        <v>525</v>
      </c>
      <c r="X39" s="565">
        <v>155346.08689463959</v>
      </c>
      <c r="Y39" s="565">
        <v>195383.73815614465</v>
      </c>
      <c r="Z39" s="565">
        <v>233819.8833671895</v>
      </c>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row>
    <row r="40" spans="1:86" ht="15" customHeight="1">
      <c r="A40" s="1053" t="s">
        <v>404</v>
      </c>
      <c r="B40" s="1051"/>
      <c r="C40" s="1054">
        <v>9045.0563461462443</v>
      </c>
      <c r="D40" s="1055">
        <v>5.5021555102258954</v>
      </c>
      <c r="E40" s="1056"/>
      <c r="F40" s="1055" t="s">
        <v>525</v>
      </c>
      <c r="G40" s="1051" t="s">
        <v>525</v>
      </c>
      <c r="H40" s="1054">
        <v>11376.256435359193</v>
      </c>
      <c r="I40" s="1055">
        <v>5.5021555102258954</v>
      </c>
      <c r="J40" s="1056"/>
      <c r="K40" s="1055" t="s">
        <v>525</v>
      </c>
      <c r="L40" s="1051" t="s">
        <v>525</v>
      </c>
      <c r="M40" s="1054">
        <v>13614.208521003624</v>
      </c>
      <c r="N40" s="1055">
        <v>5.5021555102258954</v>
      </c>
      <c r="O40" s="1056"/>
      <c r="P40" s="1055" t="s">
        <v>525</v>
      </c>
      <c r="Q40" s="1057" t="s">
        <v>525</v>
      </c>
      <c r="X40" s="565">
        <v>9045.0563461462443</v>
      </c>
      <c r="Y40" s="565">
        <v>11376.256435359193</v>
      </c>
      <c r="Z40" s="565">
        <v>13614.208521003624</v>
      </c>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row>
    <row r="41" spans="1:86" ht="15" customHeight="1">
      <c r="A41" s="1058" t="s">
        <v>33</v>
      </c>
      <c r="B41" s="1059"/>
      <c r="C41" s="1060">
        <v>164391.14324078587</v>
      </c>
      <c r="D41" s="1061">
        <v>100</v>
      </c>
      <c r="E41" s="1059" t="s">
        <v>525</v>
      </c>
      <c r="F41" s="1061" t="s">
        <v>525</v>
      </c>
      <c r="G41" s="1059" t="s">
        <v>525</v>
      </c>
      <c r="H41" s="1060">
        <v>206759.99459150387</v>
      </c>
      <c r="I41" s="1061">
        <v>100</v>
      </c>
      <c r="J41" s="1059" t="s">
        <v>525</v>
      </c>
      <c r="K41" s="1061" t="s">
        <v>525</v>
      </c>
      <c r="L41" s="1059" t="s">
        <v>525</v>
      </c>
      <c r="M41" s="1060">
        <v>247434.09188819316</v>
      </c>
      <c r="N41" s="1061">
        <v>100</v>
      </c>
      <c r="O41" s="1059" t="s">
        <v>525</v>
      </c>
      <c r="P41" s="1061" t="s">
        <v>525</v>
      </c>
      <c r="Q41" s="1062" t="s">
        <v>525</v>
      </c>
      <c r="X41" s="565"/>
      <c r="Y41" s="565"/>
      <c r="Z41" s="56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row>
    <row r="42" spans="1:86" ht="15" customHeight="1">
      <c r="A42" s="1063" t="s">
        <v>50</v>
      </c>
      <c r="B42" s="1051"/>
      <c r="C42" s="1054">
        <v>17516.676172708489</v>
      </c>
      <c r="D42" s="1055">
        <v>10.655486559304221</v>
      </c>
      <c r="E42" s="1056"/>
      <c r="F42" s="1055" t="s">
        <v>525</v>
      </c>
      <c r="G42" s="1051" t="s">
        <v>525</v>
      </c>
      <c r="H42" s="1054">
        <v>21516.676172708489</v>
      </c>
      <c r="I42" s="1055">
        <v>10.406595441840201</v>
      </c>
      <c r="J42" s="1056"/>
      <c r="K42" s="1055" t="s">
        <v>525</v>
      </c>
      <c r="L42" s="1051" t="s">
        <v>525</v>
      </c>
      <c r="M42" s="1054">
        <v>25896.014259062733</v>
      </c>
      <c r="N42" s="1055">
        <v>10.465823064820121</v>
      </c>
      <c r="O42" s="1056"/>
      <c r="P42" s="1055" t="s">
        <v>525</v>
      </c>
      <c r="Q42" s="1057" t="s">
        <v>525</v>
      </c>
      <c r="X42" s="565">
        <v>17516.676172708489</v>
      </c>
      <c r="Y42" s="565">
        <v>21516.676172708489</v>
      </c>
      <c r="Z42" s="565">
        <v>25896.014259062733</v>
      </c>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row>
    <row r="43" spans="1:86" ht="15" customHeight="1">
      <c r="A43" s="1058" t="s">
        <v>34</v>
      </c>
      <c r="B43" s="1059"/>
      <c r="C43" s="1060">
        <v>146874.46706807736</v>
      </c>
      <c r="D43" s="1061">
        <v>89.344513440695764</v>
      </c>
      <c r="E43" s="1059" t="s">
        <v>525</v>
      </c>
      <c r="F43" s="1061" t="s">
        <v>525</v>
      </c>
      <c r="G43" s="1059" t="s">
        <v>525</v>
      </c>
      <c r="H43" s="1060">
        <v>185243.31841879536</v>
      </c>
      <c r="I43" s="1061">
        <v>89.59340455815979</v>
      </c>
      <c r="J43" s="1059" t="s">
        <v>525</v>
      </c>
      <c r="K43" s="1061" t="s">
        <v>525</v>
      </c>
      <c r="L43" s="1059" t="s">
        <v>525</v>
      </c>
      <c r="M43" s="1060">
        <v>221538.07762913039</v>
      </c>
      <c r="N43" s="1061">
        <v>89.534176935179872</v>
      </c>
      <c r="O43" s="1059" t="s">
        <v>525</v>
      </c>
      <c r="P43" s="1061" t="s">
        <v>525</v>
      </c>
      <c r="Q43" s="1062" t="s">
        <v>525</v>
      </c>
      <c r="X43" s="565"/>
      <c r="Y43" s="565"/>
      <c r="Z43" s="56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row>
    <row r="44" spans="1:86" ht="15" customHeight="1">
      <c r="A44" s="1063" t="s">
        <v>35</v>
      </c>
      <c r="B44" s="1051"/>
      <c r="C44" s="1054">
        <v>68996.43125483871</v>
      </c>
      <c r="D44" s="1055">
        <v>41.970893257782585</v>
      </c>
      <c r="E44" s="1056"/>
      <c r="F44" s="1055" t="s">
        <v>525</v>
      </c>
      <c r="G44" s="1051" t="s">
        <v>525</v>
      </c>
      <c r="H44" s="1054">
        <v>87605.769068548383</v>
      </c>
      <c r="I44" s="1055">
        <v>42.370754188512763</v>
      </c>
      <c r="J44" s="1056"/>
      <c r="K44" s="1055" t="s">
        <v>525</v>
      </c>
      <c r="L44" s="1051" t="s">
        <v>525</v>
      </c>
      <c r="M44" s="1054">
        <v>104854.87688225806</v>
      </c>
      <c r="N44" s="1055">
        <v>42.376891592464276</v>
      </c>
      <c r="O44" s="1056"/>
      <c r="P44" s="1055" t="s">
        <v>525</v>
      </c>
      <c r="Q44" s="1057" t="s">
        <v>525</v>
      </c>
      <c r="X44" s="565">
        <v>68996.43125483871</v>
      </c>
      <c r="Y44" s="565">
        <v>87605.769068548383</v>
      </c>
      <c r="Z44" s="565">
        <v>104854.87688225806</v>
      </c>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row>
    <row r="45" spans="1:86" ht="15" customHeight="1">
      <c r="A45" s="1064" t="s">
        <v>7</v>
      </c>
      <c r="B45" s="1065"/>
      <c r="C45" s="1066">
        <v>77878.035813238646</v>
      </c>
      <c r="D45" s="1067">
        <v>47.373620182913179</v>
      </c>
      <c r="E45" s="1059" t="s">
        <v>525</v>
      </c>
      <c r="F45" s="1067" t="s">
        <v>525</v>
      </c>
      <c r="G45" s="1065" t="s">
        <v>525</v>
      </c>
      <c r="H45" s="1066">
        <v>97637.549350246976</v>
      </c>
      <c r="I45" s="1067">
        <v>47.222650369647027</v>
      </c>
      <c r="J45" s="1059" t="s">
        <v>525</v>
      </c>
      <c r="K45" s="1067" t="s">
        <v>525</v>
      </c>
      <c r="L45" s="1065" t="s">
        <v>525</v>
      </c>
      <c r="M45" s="1066">
        <v>116683.20074687233</v>
      </c>
      <c r="N45" s="1067">
        <v>47.157285342715589</v>
      </c>
      <c r="O45" s="1059" t="s">
        <v>525</v>
      </c>
      <c r="P45" s="1067" t="s">
        <v>525</v>
      </c>
      <c r="Q45" s="1068" t="s">
        <v>525</v>
      </c>
      <c r="X45" s="565"/>
      <c r="Y45" s="565"/>
      <c r="Z45" s="56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row>
    <row r="46" spans="1:86" ht="15" customHeight="1">
      <c r="A46" s="1063" t="s">
        <v>9</v>
      </c>
      <c r="B46" s="1051"/>
      <c r="C46" s="1054">
        <v>13354.685333333333</v>
      </c>
      <c r="D46" s="1055">
        <v>8.1237255669987949</v>
      </c>
      <c r="E46" s="1056"/>
      <c r="F46" s="1055" t="s">
        <v>525</v>
      </c>
      <c r="G46" s="1051" t="s">
        <v>525</v>
      </c>
      <c r="H46" s="1054">
        <v>16693.356666666667</v>
      </c>
      <c r="I46" s="1055">
        <v>8.0737846311360979</v>
      </c>
      <c r="J46" s="1056"/>
      <c r="K46" s="1055" t="s">
        <v>525</v>
      </c>
      <c r="L46" s="1051" t="s">
        <v>525</v>
      </c>
      <c r="M46" s="1054">
        <v>20032.027999999998</v>
      </c>
      <c r="N46" s="1055">
        <v>8.0959045890296206</v>
      </c>
      <c r="O46" s="1056"/>
      <c r="P46" s="1055" t="s">
        <v>525</v>
      </c>
      <c r="Q46" s="1057" t="s">
        <v>525</v>
      </c>
      <c r="X46" s="565"/>
      <c r="Y46" s="565"/>
      <c r="Z46" s="56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row>
    <row r="47" spans="1:86" ht="15" customHeight="1">
      <c r="A47" s="1070" t="s">
        <v>52</v>
      </c>
      <c r="B47" s="1051"/>
      <c r="C47" s="1054">
        <v>3875.3666666666668</v>
      </c>
      <c r="D47" s="1055">
        <v>2.357405995401082</v>
      </c>
      <c r="E47" s="1056"/>
      <c r="F47" s="1055" t="s">
        <v>525</v>
      </c>
      <c r="G47" s="1051" t="s">
        <v>525</v>
      </c>
      <c r="H47" s="1054">
        <v>4844.2083333333339</v>
      </c>
      <c r="I47" s="1055">
        <v>2.3429137454293545</v>
      </c>
      <c r="J47" s="1056"/>
      <c r="K47" s="1055" t="s">
        <v>525</v>
      </c>
      <c r="L47" s="1051" t="s">
        <v>525</v>
      </c>
      <c r="M47" s="1054">
        <v>5813.0500000000011</v>
      </c>
      <c r="N47" s="1055">
        <v>2.3493326871976543</v>
      </c>
      <c r="O47" s="1056"/>
      <c r="P47" s="1055" t="s">
        <v>525</v>
      </c>
      <c r="Q47" s="1057" t="s">
        <v>525</v>
      </c>
      <c r="X47" s="565">
        <v>3875.3666666666668</v>
      </c>
      <c r="Y47" s="565">
        <v>4844.2083333333339</v>
      </c>
      <c r="Z47" s="565">
        <v>5813.0500000000011</v>
      </c>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row>
    <row r="48" spans="1:86" ht="15" customHeight="1">
      <c r="A48" s="1070" t="s">
        <v>10</v>
      </c>
      <c r="B48" s="1051"/>
      <c r="C48" s="1054">
        <v>1033.3333333333333</v>
      </c>
      <c r="D48" s="1055">
        <v>0.62858212003538194</v>
      </c>
      <c r="E48" s="1056"/>
      <c r="F48" s="1055" t="s">
        <v>525</v>
      </c>
      <c r="G48" s="1051" t="s">
        <v>525</v>
      </c>
      <c r="H48" s="1054">
        <v>1291.6666666666665</v>
      </c>
      <c r="I48" s="1055">
        <v>0.62471788569090214</v>
      </c>
      <c r="J48" s="1056"/>
      <c r="K48" s="1055" t="s">
        <v>525</v>
      </c>
      <c r="L48" s="1051" t="s">
        <v>525</v>
      </c>
      <c r="M48" s="1054">
        <v>1549.9999999999998</v>
      </c>
      <c r="N48" s="1055">
        <v>0.62642944154211</v>
      </c>
      <c r="O48" s="1056"/>
      <c r="P48" s="1055" t="s">
        <v>525</v>
      </c>
      <c r="Q48" s="1057" t="s">
        <v>525</v>
      </c>
      <c r="X48" s="565">
        <v>1033.3333333333333</v>
      </c>
      <c r="Y48" s="565">
        <v>1291.6666666666665</v>
      </c>
      <c r="Z48" s="565">
        <v>1549.9999999999998</v>
      </c>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row>
    <row r="49" spans="1:86" ht="15" customHeight="1">
      <c r="A49" s="1070" t="s">
        <v>142</v>
      </c>
      <c r="B49" s="1051"/>
      <c r="C49" s="1054">
        <v>2500</v>
      </c>
      <c r="D49" s="1055">
        <v>1.5207631936339887</v>
      </c>
      <c r="E49" s="1056"/>
      <c r="F49" s="1055" t="s">
        <v>525</v>
      </c>
      <c r="G49" s="1051" t="s">
        <v>525</v>
      </c>
      <c r="H49" s="1054">
        <v>3125</v>
      </c>
      <c r="I49" s="1055">
        <v>1.5114142395747634</v>
      </c>
      <c r="J49" s="1056"/>
      <c r="K49" s="1055" t="s">
        <v>525</v>
      </c>
      <c r="L49" s="1051" t="s">
        <v>525</v>
      </c>
      <c r="M49" s="1054">
        <v>3750</v>
      </c>
      <c r="N49" s="1055">
        <v>1.5155551005051051</v>
      </c>
      <c r="O49" s="1056"/>
      <c r="P49" s="1055" t="s">
        <v>525</v>
      </c>
      <c r="Q49" s="1057" t="s">
        <v>525</v>
      </c>
      <c r="X49" s="565">
        <v>2500</v>
      </c>
      <c r="Y49" s="565">
        <v>3125</v>
      </c>
      <c r="Z49" s="565">
        <v>3750</v>
      </c>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row>
    <row r="50" spans="1:86" ht="15" customHeight="1">
      <c r="A50" s="1070" t="s">
        <v>59</v>
      </c>
      <c r="B50" s="1051"/>
      <c r="C50" s="1054">
        <v>2666.6666666666665</v>
      </c>
      <c r="D50" s="1055">
        <v>1.6221474065429211</v>
      </c>
      <c r="E50" s="1056"/>
      <c r="F50" s="1055" t="s">
        <v>525</v>
      </c>
      <c r="G50" s="1051" t="s">
        <v>525</v>
      </c>
      <c r="H50" s="1054">
        <v>3333.333333333333</v>
      </c>
      <c r="I50" s="1055">
        <v>1.6121751888797473</v>
      </c>
      <c r="J50" s="1056"/>
      <c r="K50" s="1055" t="s">
        <v>525</v>
      </c>
      <c r="L50" s="1051" t="s">
        <v>525</v>
      </c>
      <c r="M50" s="1054">
        <v>3999.9999999999995</v>
      </c>
      <c r="N50" s="1055">
        <v>1.6165921072054452</v>
      </c>
      <c r="O50" s="1056"/>
      <c r="P50" s="1055" t="s">
        <v>525</v>
      </c>
      <c r="Q50" s="1057" t="s">
        <v>525</v>
      </c>
      <c r="X50" s="565">
        <v>2666.6666666666665</v>
      </c>
      <c r="Y50" s="565">
        <v>3333.333333333333</v>
      </c>
      <c r="Z50" s="565">
        <v>3999.9999999999995</v>
      </c>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row>
    <row r="51" spans="1:86" ht="15" customHeight="1">
      <c r="A51" s="1070" t="s">
        <v>12</v>
      </c>
      <c r="B51" s="1051"/>
      <c r="C51" s="1054">
        <v>300</v>
      </c>
      <c r="D51" s="1055">
        <v>0.18249158323607864</v>
      </c>
      <c r="E51" s="1056"/>
      <c r="F51" s="1055" t="s">
        <v>525</v>
      </c>
      <c r="G51" s="1051" t="s">
        <v>525</v>
      </c>
      <c r="H51" s="1054">
        <v>375</v>
      </c>
      <c r="I51" s="1055">
        <v>0.1813697087489716</v>
      </c>
      <c r="J51" s="1056"/>
      <c r="K51" s="1055" t="s">
        <v>525</v>
      </c>
      <c r="L51" s="1051" t="s">
        <v>525</v>
      </c>
      <c r="M51" s="1054">
        <v>450</v>
      </c>
      <c r="N51" s="1055">
        <v>0.18186661206061264</v>
      </c>
      <c r="O51" s="1056"/>
      <c r="P51" s="1055" t="s">
        <v>525</v>
      </c>
      <c r="Q51" s="1057" t="s">
        <v>525</v>
      </c>
      <c r="X51" s="565">
        <v>300</v>
      </c>
      <c r="Y51" s="565">
        <v>375</v>
      </c>
      <c r="Z51" s="565">
        <v>450</v>
      </c>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row>
    <row r="52" spans="1:86" ht="15" customHeight="1">
      <c r="A52" s="1070" t="s">
        <v>13</v>
      </c>
      <c r="B52" s="1051"/>
      <c r="C52" s="1054">
        <v>400</v>
      </c>
      <c r="D52" s="1055">
        <v>0.24332211098143816</v>
      </c>
      <c r="E52" s="1056"/>
      <c r="F52" s="1055" t="s">
        <v>525</v>
      </c>
      <c r="G52" s="1051" t="s">
        <v>525</v>
      </c>
      <c r="H52" s="1054">
        <v>500</v>
      </c>
      <c r="I52" s="1055">
        <v>0.24182627833196213</v>
      </c>
      <c r="J52" s="1056"/>
      <c r="K52" s="1055" t="s">
        <v>525</v>
      </c>
      <c r="L52" s="1051" t="s">
        <v>525</v>
      </c>
      <c r="M52" s="1054">
        <v>600</v>
      </c>
      <c r="N52" s="1055">
        <v>0.24248881608081679</v>
      </c>
      <c r="O52" s="1056"/>
      <c r="P52" s="1055" t="s">
        <v>525</v>
      </c>
      <c r="Q52" s="1057" t="s">
        <v>525</v>
      </c>
      <c r="X52" s="565">
        <v>400</v>
      </c>
      <c r="Y52" s="565">
        <v>500</v>
      </c>
      <c r="Z52" s="565">
        <v>600</v>
      </c>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row>
    <row r="53" spans="1:86" ht="15" customHeight="1">
      <c r="A53" s="1070" t="s">
        <v>14</v>
      </c>
      <c r="B53" s="1051"/>
      <c r="C53" s="1054">
        <v>3766.6666666666665</v>
      </c>
      <c r="D53" s="1055">
        <v>2.291283211741876</v>
      </c>
      <c r="E53" s="1056"/>
      <c r="F53" s="1055" t="s">
        <v>525</v>
      </c>
      <c r="G53" s="1051" t="s">
        <v>525</v>
      </c>
      <c r="H53" s="1054">
        <v>4708.333333333333</v>
      </c>
      <c r="I53" s="1055">
        <v>2.2771974542926432</v>
      </c>
      <c r="J53" s="1056"/>
      <c r="K53" s="1055" t="s">
        <v>525</v>
      </c>
      <c r="L53" s="1051" t="s">
        <v>525</v>
      </c>
      <c r="M53" s="1054">
        <v>5650</v>
      </c>
      <c r="N53" s="1055">
        <v>2.2834363514276914</v>
      </c>
      <c r="O53" s="1056"/>
      <c r="P53" s="1055" t="s">
        <v>525</v>
      </c>
      <c r="Q53" s="1057" t="s">
        <v>525</v>
      </c>
      <c r="X53" s="565">
        <v>3766.6666666666665</v>
      </c>
      <c r="Y53" s="565">
        <v>4708.333333333333</v>
      </c>
      <c r="Z53" s="565">
        <v>5650</v>
      </c>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45"/>
      <c r="CC53" s="245"/>
      <c r="CD53" s="245"/>
      <c r="CE53" s="245"/>
      <c r="CF53" s="245"/>
      <c r="CG53" s="245"/>
      <c r="CH53" s="245"/>
    </row>
    <row r="54" spans="1:86" ht="15" customHeight="1">
      <c r="A54" s="1070" t="s">
        <v>15</v>
      </c>
      <c r="B54" s="1051"/>
      <c r="C54" s="1054">
        <v>20000</v>
      </c>
      <c r="D54" s="1055">
        <v>12.16610554907191</v>
      </c>
      <c r="E54" s="1056"/>
      <c r="F54" s="1055" t="s">
        <v>525</v>
      </c>
      <c r="G54" s="1051" t="s">
        <v>525</v>
      </c>
      <c r="H54" s="1054">
        <v>25000</v>
      </c>
      <c r="I54" s="1055">
        <v>12.091313916598107</v>
      </c>
      <c r="J54" s="1056"/>
      <c r="K54" s="1055" t="s">
        <v>525</v>
      </c>
      <c r="L54" s="1051" t="s">
        <v>525</v>
      </c>
      <c r="M54" s="1054">
        <v>30000</v>
      </c>
      <c r="N54" s="1055">
        <v>12.124440804040841</v>
      </c>
      <c r="O54" s="1056"/>
      <c r="P54" s="1055" t="s">
        <v>525</v>
      </c>
      <c r="Q54" s="1057" t="s">
        <v>525</v>
      </c>
      <c r="X54" s="565">
        <v>20000</v>
      </c>
      <c r="Y54" s="565">
        <v>25000</v>
      </c>
      <c r="Z54" s="565">
        <v>30000</v>
      </c>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row>
    <row r="55" spans="1:86" ht="15" customHeight="1" thickBot="1">
      <c r="A55" s="1089" t="s">
        <v>16</v>
      </c>
      <c r="B55" s="1084"/>
      <c r="C55" s="1054">
        <v>47896.718666666668</v>
      </c>
      <c r="D55" s="1055">
        <v>29.135826737643473</v>
      </c>
      <c r="E55" s="1074" t="s">
        <v>525</v>
      </c>
      <c r="F55" s="1055" t="s">
        <v>525</v>
      </c>
      <c r="G55" s="1074" t="s">
        <v>525</v>
      </c>
      <c r="H55" s="1054">
        <v>59870.898333333331</v>
      </c>
      <c r="I55" s="1055">
        <v>28.956713048682548</v>
      </c>
      <c r="J55" s="1074" t="s">
        <v>525</v>
      </c>
      <c r="K55" s="1055" t="s">
        <v>525</v>
      </c>
      <c r="L55" s="1074" t="s">
        <v>525</v>
      </c>
      <c r="M55" s="1054">
        <v>71845.077999999994</v>
      </c>
      <c r="N55" s="1055">
        <v>29.036046509089896</v>
      </c>
      <c r="O55" s="1074" t="s">
        <v>525</v>
      </c>
      <c r="P55" s="1055" t="s">
        <v>525</v>
      </c>
      <c r="Q55" s="1075" t="s">
        <v>525</v>
      </c>
      <c r="X55" s="565">
        <v>47896.718666666668</v>
      </c>
      <c r="Y55" s="565">
        <v>59870.898333333331</v>
      </c>
      <c r="Z55" s="565">
        <v>71845.077999999994</v>
      </c>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45"/>
      <c r="CC55" s="245"/>
      <c r="CD55" s="245"/>
      <c r="CE55" s="245"/>
      <c r="CF55" s="245"/>
      <c r="CG55" s="245"/>
      <c r="CH55" s="245"/>
    </row>
    <row r="56" spans="1:86" ht="15" customHeight="1">
      <c r="A56" s="1076" t="s">
        <v>18</v>
      </c>
      <c r="B56" s="1059"/>
      <c r="C56" s="1060">
        <v>29981.317146571986</v>
      </c>
      <c r="D56" s="1061">
        <v>18.237793445269713</v>
      </c>
      <c r="E56" s="1059" t="s">
        <v>525</v>
      </c>
      <c r="F56" s="1061" t="s">
        <v>525</v>
      </c>
      <c r="G56" s="1059" t="s">
        <v>525</v>
      </c>
      <c r="H56" s="1060">
        <v>37766.651016913645</v>
      </c>
      <c r="I56" s="1061">
        <v>18.265937320964479</v>
      </c>
      <c r="J56" s="1059" t="s">
        <v>525</v>
      </c>
      <c r="K56" s="1061" t="s">
        <v>525</v>
      </c>
      <c r="L56" s="1059" t="s">
        <v>525</v>
      </c>
      <c r="M56" s="1060">
        <v>44838.122746872337</v>
      </c>
      <c r="N56" s="1061">
        <v>18.121238833625693</v>
      </c>
      <c r="O56" s="1059" t="s">
        <v>525</v>
      </c>
      <c r="P56" s="1061" t="s">
        <v>525</v>
      </c>
      <c r="Q56" s="1062" t="s">
        <v>525</v>
      </c>
      <c r="X56" s="565"/>
      <c r="Y56" s="565"/>
      <c r="Z56" s="56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245"/>
      <c r="BU56" s="245"/>
      <c r="BV56" s="245"/>
      <c r="BW56" s="245"/>
      <c r="BX56" s="245"/>
      <c r="BY56" s="245"/>
      <c r="BZ56" s="245"/>
      <c r="CA56" s="245"/>
      <c r="CB56" s="245"/>
      <c r="CC56" s="245"/>
      <c r="CD56" s="245"/>
      <c r="CE56" s="245"/>
      <c r="CF56" s="245"/>
      <c r="CG56" s="245"/>
      <c r="CH56" s="245"/>
    </row>
    <row r="57" spans="1:86" ht="15" customHeight="1">
      <c r="A57" s="1063" t="s">
        <v>36</v>
      </c>
      <c r="B57" s="1051"/>
      <c r="C57" s="1054">
        <v>0</v>
      </c>
      <c r="D57" s="1077"/>
      <c r="E57" s="1056"/>
      <c r="F57" s="1077"/>
      <c r="G57" s="1051" t="s">
        <v>525</v>
      </c>
      <c r="H57" s="1054">
        <v>0</v>
      </c>
      <c r="I57" s="1077"/>
      <c r="J57" s="1056"/>
      <c r="K57" s="1077"/>
      <c r="L57" s="1051" t="s">
        <v>525</v>
      </c>
      <c r="M57" s="1054">
        <v>0</v>
      </c>
      <c r="N57" s="1077"/>
      <c r="O57" s="1056"/>
      <c r="P57" s="1077"/>
      <c r="Q57" s="1057" t="s">
        <v>525</v>
      </c>
      <c r="X57" s="565">
        <v>0</v>
      </c>
      <c r="Y57" s="565">
        <v>0</v>
      </c>
      <c r="Z57" s="565">
        <v>0</v>
      </c>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row>
    <row r="58" spans="1:86" ht="15" customHeight="1">
      <c r="A58" s="1063" t="s">
        <v>37</v>
      </c>
      <c r="B58" s="1051"/>
      <c r="C58" s="1054">
        <v>0</v>
      </c>
      <c r="D58" s="1077"/>
      <c r="E58" s="1056"/>
      <c r="F58" s="1077"/>
      <c r="G58" s="1051" t="s">
        <v>525</v>
      </c>
      <c r="H58" s="1054">
        <v>0</v>
      </c>
      <c r="I58" s="1077"/>
      <c r="J58" s="1056"/>
      <c r="K58" s="1077"/>
      <c r="L58" s="1051" t="s">
        <v>525</v>
      </c>
      <c r="M58" s="1054">
        <v>0</v>
      </c>
      <c r="N58" s="1077"/>
      <c r="O58" s="1056"/>
      <c r="P58" s="1077"/>
      <c r="Q58" s="1057" t="s">
        <v>525</v>
      </c>
      <c r="X58" s="565">
        <v>0</v>
      </c>
      <c r="Y58" s="565">
        <v>0</v>
      </c>
      <c r="Z58" s="565">
        <v>0</v>
      </c>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row>
    <row r="59" spans="1:86" ht="15" customHeight="1">
      <c r="A59" s="1069" t="s">
        <v>646</v>
      </c>
      <c r="B59" s="1051"/>
      <c r="C59" s="1054">
        <v>0</v>
      </c>
      <c r="D59" s="1077"/>
      <c r="E59" s="1056"/>
      <c r="F59" s="1077"/>
      <c r="G59" s="1051"/>
      <c r="H59" s="1054">
        <v>0</v>
      </c>
      <c r="I59" s="1077"/>
      <c r="J59" s="1056"/>
      <c r="K59" s="1077"/>
      <c r="L59" s="1051"/>
      <c r="M59" s="1054">
        <v>0</v>
      </c>
      <c r="N59" s="1077"/>
      <c r="O59" s="1056"/>
      <c r="P59" s="1077"/>
      <c r="Q59" s="1057"/>
      <c r="X59" s="565"/>
      <c r="Y59" s="565"/>
      <c r="Z59" s="56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row>
    <row r="60" spans="1:86" ht="15" customHeight="1">
      <c r="A60" s="1058" t="s">
        <v>40</v>
      </c>
      <c r="B60" s="1059"/>
      <c r="C60" s="1060">
        <v>29981.317146571986</v>
      </c>
      <c r="D60" s="1078"/>
      <c r="E60" s="1059" t="s">
        <v>525</v>
      </c>
      <c r="F60" s="1078"/>
      <c r="G60" s="1059" t="s">
        <v>525</v>
      </c>
      <c r="H60" s="1060">
        <v>37766.651016913645</v>
      </c>
      <c r="I60" s="1078"/>
      <c r="J60" s="1059" t="s">
        <v>525</v>
      </c>
      <c r="K60" s="1078"/>
      <c r="L60" s="1059" t="s">
        <v>525</v>
      </c>
      <c r="M60" s="1060">
        <v>44838.122746872337</v>
      </c>
      <c r="N60" s="1078"/>
      <c r="O60" s="1059" t="s">
        <v>525</v>
      </c>
      <c r="P60" s="1078"/>
      <c r="Q60" s="1062" t="s">
        <v>525</v>
      </c>
      <c r="X60" s="565"/>
      <c r="Y60" s="565"/>
      <c r="Z60" s="56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row>
    <row r="61" spans="1:86" ht="15" customHeight="1">
      <c r="A61" s="1063" t="s">
        <v>14</v>
      </c>
      <c r="B61" s="1051"/>
      <c r="C61" s="1054">
        <v>3766.6666666666665</v>
      </c>
      <c r="D61" s="1077"/>
      <c r="E61" s="1079" t="s">
        <v>525</v>
      </c>
      <c r="F61" s="1077"/>
      <c r="G61" s="1051" t="s">
        <v>525</v>
      </c>
      <c r="H61" s="1054">
        <v>4708.333333333333</v>
      </c>
      <c r="I61" s="1077"/>
      <c r="J61" s="1079" t="s">
        <v>525</v>
      </c>
      <c r="K61" s="1077"/>
      <c r="L61" s="1051" t="s">
        <v>525</v>
      </c>
      <c r="M61" s="1054">
        <v>5650</v>
      </c>
      <c r="N61" s="1077"/>
      <c r="O61" s="1079" t="s">
        <v>525</v>
      </c>
      <c r="P61" s="1077"/>
      <c r="Q61" s="1057" t="s">
        <v>525</v>
      </c>
      <c r="X61" s="565">
        <v>3766.6666666666665</v>
      </c>
      <c r="Y61" s="565">
        <v>4708.333333333333</v>
      </c>
      <c r="Z61" s="565">
        <v>5650</v>
      </c>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c r="CF61" s="245"/>
      <c r="CG61" s="245"/>
      <c r="CH61" s="245"/>
    </row>
    <row r="62" spans="1:86" ht="15" customHeight="1">
      <c r="A62" s="1058" t="s">
        <v>42</v>
      </c>
      <c r="B62" s="1059"/>
      <c r="C62" s="1060">
        <v>33747.98381323865</v>
      </c>
      <c r="D62" s="1078"/>
      <c r="E62" s="1059" t="s">
        <v>525</v>
      </c>
      <c r="F62" s="1078"/>
      <c r="G62" s="1059" t="s">
        <v>525</v>
      </c>
      <c r="H62" s="1060">
        <v>42474.984350246974</v>
      </c>
      <c r="I62" s="1078"/>
      <c r="J62" s="1059" t="s">
        <v>525</v>
      </c>
      <c r="K62" s="1078"/>
      <c r="L62" s="1059" t="s">
        <v>525</v>
      </c>
      <c r="M62" s="1060">
        <v>50488.12274687233</v>
      </c>
      <c r="N62" s="1078"/>
      <c r="O62" s="1059" t="s">
        <v>525</v>
      </c>
      <c r="P62" s="1078"/>
      <c r="Q62" s="1062" t="s">
        <v>525</v>
      </c>
      <c r="X62" s="565"/>
      <c r="Y62" s="565"/>
      <c r="Z62" s="56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5"/>
      <c r="CA62" s="245"/>
      <c r="CB62" s="245"/>
      <c r="CC62" s="245"/>
      <c r="CD62" s="245"/>
      <c r="CE62" s="245"/>
      <c r="CF62" s="245"/>
      <c r="CG62" s="245"/>
      <c r="CH62" s="245"/>
    </row>
    <row r="63" spans="1:86" ht="15" customHeight="1">
      <c r="A63" s="1080" t="s">
        <v>1093</v>
      </c>
      <c r="B63" s="1051"/>
      <c r="C63" s="1054">
        <v>10259.333333333334</v>
      </c>
      <c r="D63" s="1077"/>
      <c r="E63" s="1079"/>
      <c r="F63" s="1077"/>
      <c r="G63" s="1051" t="s">
        <v>525</v>
      </c>
      <c r="H63" s="1054">
        <v>12824.166666666668</v>
      </c>
      <c r="I63" s="1077"/>
      <c r="J63" s="1079"/>
      <c r="K63" s="1077"/>
      <c r="L63" s="1051" t="s">
        <v>525</v>
      </c>
      <c r="M63" s="1054">
        <v>15389.000000000002</v>
      </c>
      <c r="N63" s="1077"/>
      <c r="O63" s="1079"/>
      <c r="P63" s="1077"/>
      <c r="Q63" s="1057" t="s">
        <v>525</v>
      </c>
      <c r="X63" s="565">
        <v>10259.333333333334</v>
      </c>
      <c r="Y63" s="565">
        <v>12824.166666666668</v>
      </c>
      <c r="Z63" s="565">
        <v>15389.000000000002</v>
      </c>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5"/>
      <c r="CA63" s="245"/>
      <c r="CB63" s="245"/>
      <c r="CC63" s="245"/>
      <c r="CD63" s="245"/>
      <c r="CE63" s="245"/>
      <c r="CF63" s="245"/>
      <c r="CG63" s="245"/>
      <c r="CH63" s="245"/>
    </row>
    <row r="64" spans="1:86" ht="15" customHeight="1">
      <c r="A64" s="1080" t="s">
        <v>1094</v>
      </c>
      <c r="B64" s="1051"/>
      <c r="C64" s="1054">
        <v>19334.691498953624</v>
      </c>
      <c r="D64" s="1077"/>
      <c r="E64" s="1079"/>
      <c r="F64" s="1077"/>
      <c r="G64" s="1051" t="s">
        <v>525</v>
      </c>
      <c r="H64" s="1054">
        <v>24549.538108902823</v>
      </c>
      <c r="I64" s="1077"/>
      <c r="J64" s="1079"/>
      <c r="K64" s="1077"/>
      <c r="L64" s="1051" t="s">
        <v>525</v>
      </c>
      <c r="M64" s="1054">
        <v>29383.210983641227</v>
      </c>
      <c r="N64" s="1077"/>
      <c r="O64" s="1079"/>
      <c r="P64" s="1077"/>
      <c r="Q64" s="1057" t="s">
        <v>525</v>
      </c>
      <c r="X64" s="565">
        <v>19334.691498953624</v>
      </c>
      <c r="Y64" s="565">
        <v>24549.538108902823</v>
      </c>
      <c r="Z64" s="565">
        <v>29383.210983641227</v>
      </c>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5"/>
      <c r="CA64" s="245"/>
      <c r="CB64" s="245"/>
      <c r="CC64" s="245"/>
      <c r="CD64" s="245"/>
      <c r="CE64" s="245"/>
      <c r="CF64" s="245"/>
      <c r="CG64" s="245"/>
      <c r="CH64" s="245"/>
    </row>
    <row r="65" spans="1:86" ht="15" customHeight="1">
      <c r="A65" s="1090" t="s">
        <v>751</v>
      </c>
      <c r="B65" s="1051"/>
      <c r="C65" s="1054">
        <v>29594.024832286959</v>
      </c>
      <c r="D65" s="1077"/>
      <c r="E65" s="1056"/>
      <c r="F65" s="1077"/>
      <c r="G65" s="1051" t="s">
        <v>525</v>
      </c>
      <c r="H65" s="1054">
        <v>37373.704775569495</v>
      </c>
      <c r="I65" s="1077"/>
      <c r="J65" s="1056"/>
      <c r="K65" s="1077"/>
      <c r="L65" s="1051" t="s">
        <v>525</v>
      </c>
      <c r="M65" s="1054">
        <v>44772.210983641235</v>
      </c>
      <c r="N65" s="1077"/>
      <c r="O65" s="1056"/>
      <c r="P65" s="1077"/>
      <c r="Q65" s="1057" t="s">
        <v>525</v>
      </c>
      <c r="X65" s="565">
        <v>29594.024832286959</v>
      </c>
      <c r="Y65" s="565">
        <v>37373.704775569495</v>
      </c>
      <c r="Z65" s="565">
        <v>44772.210983641235</v>
      </c>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c r="CA65" s="245"/>
      <c r="CB65" s="245"/>
      <c r="CC65" s="245"/>
      <c r="CD65" s="245"/>
      <c r="CE65" s="245"/>
      <c r="CF65" s="245"/>
      <c r="CG65" s="245"/>
      <c r="CH65" s="245"/>
    </row>
    <row r="66" spans="1:86" ht="15" customHeight="1">
      <c r="A66" s="1082" t="s">
        <v>111</v>
      </c>
      <c r="B66" s="1051"/>
      <c r="C66" s="1054">
        <v>4927.3999999999996</v>
      </c>
      <c r="D66" s="1077"/>
      <c r="E66" s="1056"/>
      <c r="F66" s="1077"/>
      <c r="G66" s="1051" t="s">
        <v>525</v>
      </c>
      <c r="H66" s="1054">
        <v>6159.25</v>
      </c>
      <c r="I66" s="1077"/>
      <c r="J66" s="1056"/>
      <c r="K66" s="1077"/>
      <c r="L66" s="1051" t="s">
        <v>525</v>
      </c>
      <c r="M66" s="1054">
        <v>7391.1</v>
      </c>
      <c r="N66" s="1077"/>
      <c r="O66" s="1056"/>
      <c r="P66" s="1077"/>
      <c r="Q66" s="1057" t="s">
        <v>525</v>
      </c>
      <c r="X66" s="565">
        <v>4927.3999999999996</v>
      </c>
      <c r="Y66" s="565">
        <v>6159.25</v>
      </c>
      <c r="Z66" s="565">
        <v>7391.1</v>
      </c>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c r="CA66" s="245"/>
      <c r="CB66" s="245"/>
      <c r="CC66" s="245"/>
      <c r="CD66" s="245"/>
      <c r="CE66" s="245"/>
      <c r="CF66" s="245"/>
      <c r="CG66" s="245"/>
      <c r="CH66" s="245"/>
    </row>
    <row r="67" spans="1:86" ht="15" customHeight="1">
      <c r="A67" s="1083" t="s">
        <v>43</v>
      </c>
      <c r="B67" s="1051"/>
      <c r="C67" s="1054">
        <v>0</v>
      </c>
      <c r="D67" s="1077"/>
      <c r="E67" s="1056"/>
      <c r="F67" s="1077"/>
      <c r="G67" s="1051" t="s">
        <v>525</v>
      </c>
      <c r="H67" s="1054">
        <v>0</v>
      </c>
      <c r="I67" s="1077"/>
      <c r="J67" s="1056"/>
      <c r="K67" s="1077"/>
      <c r="L67" s="1051" t="s">
        <v>525</v>
      </c>
      <c r="M67" s="1054">
        <v>0</v>
      </c>
      <c r="N67" s="1077"/>
      <c r="O67" s="1056"/>
      <c r="P67" s="1077"/>
      <c r="Q67" s="1057" t="s">
        <v>525</v>
      </c>
      <c r="X67" s="565">
        <v>0</v>
      </c>
      <c r="Y67" s="565">
        <v>0</v>
      </c>
      <c r="Z67" s="565">
        <v>0</v>
      </c>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A67" s="245"/>
      <c r="CB67" s="245"/>
      <c r="CC67" s="245"/>
      <c r="CD67" s="245"/>
      <c r="CE67" s="245"/>
      <c r="CF67" s="245"/>
      <c r="CG67" s="245"/>
      <c r="CH67" s="245"/>
    </row>
    <row r="68" spans="1:86" ht="15" customHeight="1">
      <c r="A68" s="1085" t="s">
        <v>748</v>
      </c>
      <c r="B68" s="1059"/>
      <c r="C68" s="1060">
        <v>-773.44101904830677</v>
      </c>
      <c r="D68" s="1078"/>
      <c r="E68" s="1059" t="s">
        <v>525</v>
      </c>
      <c r="F68" s="1078"/>
      <c r="G68" s="1059" t="s">
        <v>525</v>
      </c>
      <c r="H68" s="1060">
        <v>-1057.9704253225168</v>
      </c>
      <c r="I68" s="1078"/>
      <c r="J68" s="1059" t="s">
        <v>525</v>
      </c>
      <c r="K68" s="1078"/>
      <c r="L68" s="1059" t="s">
        <v>525</v>
      </c>
      <c r="M68" s="1060">
        <v>-1675.1882367689013</v>
      </c>
      <c r="N68" s="1078"/>
      <c r="O68" s="1059" t="s">
        <v>525</v>
      </c>
      <c r="P68" s="1078"/>
      <c r="Q68" s="1062" t="s">
        <v>525</v>
      </c>
      <c r="X68" s="565"/>
      <c r="Y68" s="565"/>
      <c r="Z68" s="56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c r="CF68" s="245"/>
      <c r="CG68" s="245"/>
      <c r="CH68" s="245"/>
    </row>
    <row r="69" spans="1:86" ht="11.55" customHeight="1">
      <c r="A69" s="567"/>
      <c r="B69" s="2486"/>
      <c r="C69" s="2486"/>
      <c r="D69" s="2486"/>
      <c r="E69" s="2486"/>
      <c r="F69" s="2486"/>
      <c r="G69" s="2486"/>
      <c r="H69" s="2486"/>
      <c r="I69" s="2486"/>
      <c r="J69" s="2486"/>
      <c r="K69" s="2486"/>
      <c r="L69" s="2486"/>
      <c r="M69" s="2486"/>
      <c r="N69" s="2486"/>
      <c r="O69" s="2486"/>
      <c r="P69" s="2486"/>
      <c r="Q69" s="2487"/>
      <c r="R69" s="2488"/>
      <c r="S69" s="2488"/>
      <c r="T69" s="2488"/>
      <c r="X69" s="565"/>
      <c r="Y69" s="565"/>
      <c r="Z69" s="56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row>
    <row r="70" spans="1:86" ht="15" customHeight="1">
      <c r="A70" s="1043"/>
      <c r="B70" s="1086"/>
      <c r="C70" s="4467" t="s">
        <v>1096</v>
      </c>
      <c r="D70" s="4468"/>
      <c r="E70" s="1940">
        <v>44927</v>
      </c>
      <c r="F70" s="1941" t="s">
        <v>396</v>
      </c>
      <c r="G70" s="1942">
        <v>45119</v>
      </c>
      <c r="H70" s="4467" t="s">
        <v>1096</v>
      </c>
      <c r="I70" s="4468"/>
      <c r="J70" s="1940">
        <v>44927</v>
      </c>
      <c r="K70" s="1941" t="s">
        <v>396</v>
      </c>
      <c r="L70" s="1942">
        <v>45151</v>
      </c>
      <c r="M70" s="4467" t="s">
        <v>1096</v>
      </c>
      <c r="N70" s="4468"/>
      <c r="O70" s="1940">
        <v>44927</v>
      </c>
      <c r="P70" s="1941" t="s">
        <v>396</v>
      </c>
      <c r="Q70" s="1942">
        <v>45183</v>
      </c>
      <c r="X70" s="565"/>
      <c r="Y70" s="565"/>
      <c r="Z70" s="565"/>
    </row>
    <row r="71" spans="1:86" ht="15" customHeight="1">
      <c r="A71" s="1045" t="s">
        <v>752</v>
      </c>
      <c r="B71" s="1086"/>
      <c r="C71" s="4469" t="s">
        <v>753</v>
      </c>
      <c r="D71" s="4466"/>
      <c r="E71" s="4465" t="s">
        <v>745</v>
      </c>
      <c r="F71" s="4466"/>
      <c r="G71" s="1046" t="s">
        <v>126</v>
      </c>
      <c r="H71" s="4469" t="s">
        <v>753</v>
      </c>
      <c r="I71" s="4466"/>
      <c r="J71" s="4465" t="s">
        <v>745</v>
      </c>
      <c r="K71" s="4466"/>
      <c r="L71" s="1046" t="s">
        <v>126</v>
      </c>
      <c r="M71" s="4469" t="s">
        <v>753</v>
      </c>
      <c r="N71" s="4466"/>
      <c r="O71" s="4465" t="s">
        <v>745</v>
      </c>
      <c r="P71" s="4466"/>
      <c r="Q71" s="1046" t="s">
        <v>126</v>
      </c>
      <c r="X71" s="565"/>
      <c r="Y71" s="565"/>
      <c r="Z71" s="56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row>
    <row r="72" spans="1:86" ht="15" customHeight="1">
      <c r="A72" s="1047" t="s">
        <v>733</v>
      </c>
      <c r="B72" s="1087"/>
      <c r="C72" s="1088">
        <v>174</v>
      </c>
      <c r="D72" s="1049" t="s">
        <v>28</v>
      </c>
      <c r="E72" s="1050"/>
      <c r="F72" s="1049" t="s">
        <v>28</v>
      </c>
      <c r="G72" s="1051" t="s">
        <v>525</v>
      </c>
      <c r="H72" s="1088">
        <v>200</v>
      </c>
      <c r="I72" s="1049" t="s">
        <v>28</v>
      </c>
      <c r="J72" s="1050"/>
      <c r="K72" s="1049" t="s">
        <v>28</v>
      </c>
      <c r="L72" s="1051" t="s">
        <v>525</v>
      </c>
      <c r="M72" s="1088">
        <v>224</v>
      </c>
      <c r="N72" s="1049" t="s">
        <v>28</v>
      </c>
      <c r="O72" s="1050"/>
      <c r="P72" s="1049" t="s">
        <v>28</v>
      </c>
      <c r="Q72" s="1051" t="s">
        <v>525</v>
      </c>
      <c r="X72" s="565">
        <v>174</v>
      </c>
      <c r="Y72" s="565">
        <v>200</v>
      </c>
      <c r="Z72" s="565">
        <v>224</v>
      </c>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row>
    <row r="73" spans="1:86" ht="15" customHeight="1">
      <c r="A73" s="1053" t="s">
        <v>405</v>
      </c>
      <c r="B73" s="1091"/>
      <c r="C73" s="1092">
        <v>277060.54672961496</v>
      </c>
      <c r="D73" s="1055">
        <v>94.497844489774096</v>
      </c>
      <c r="E73" s="1056"/>
      <c r="F73" s="1055" t="s">
        <v>525</v>
      </c>
      <c r="G73" s="1051" t="s">
        <v>525</v>
      </c>
      <c r="H73" s="1092">
        <v>317098.19799111999</v>
      </c>
      <c r="I73" s="1055">
        <v>94.497844489774081</v>
      </c>
      <c r="J73" s="1056"/>
      <c r="K73" s="1055" t="s">
        <v>525</v>
      </c>
      <c r="L73" s="1051" t="s">
        <v>525</v>
      </c>
      <c r="M73" s="1092">
        <v>355534.34320216486</v>
      </c>
      <c r="N73" s="1055">
        <v>94.497844489774096</v>
      </c>
      <c r="O73" s="1056"/>
      <c r="P73" s="1055" t="s">
        <v>525</v>
      </c>
      <c r="Q73" s="1057" t="s">
        <v>525</v>
      </c>
      <c r="X73" s="565">
        <v>277060.54672961496</v>
      </c>
      <c r="Y73" s="565">
        <v>317098.19799111999</v>
      </c>
      <c r="Z73" s="565">
        <v>355534.34320216486</v>
      </c>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row>
    <row r="74" spans="1:86" ht="15" customHeight="1">
      <c r="A74" s="1053" t="s">
        <v>404</v>
      </c>
      <c r="B74" s="1091"/>
      <c r="C74" s="1092">
        <v>16131.904617353608</v>
      </c>
      <c r="D74" s="1055">
        <v>5.5021555102258954</v>
      </c>
      <c r="E74" s="1056"/>
      <c r="F74" s="1055" t="s">
        <v>525</v>
      </c>
      <c r="G74" s="1051" t="s">
        <v>525</v>
      </c>
      <c r="H74" s="1092">
        <v>18463.104706566559</v>
      </c>
      <c r="I74" s="1055">
        <v>5.5021555102258954</v>
      </c>
      <c r="J74" s="1056"/>
      <c r="K74" s="1055" t="s">
        <v>525</v>
      </c>
      <c r="L74" s="1051" t="s">
        <v>525</v>
      </c>
      <c r="M74" s="1092">
        <v>20701.056792210991</v>
      </c>
      <c r="N74" s="1055">
        <v>5.5021555102258954</v>
      </c>
      <c r="O74" s="1056"/>
      <c r="P74" s="1055" t="s">
        <v>525</v>
      </c>
      <c r="Q74" s="1057" t="s">
        <v>525</v>
      </c>
      <c r="X74" s="565">
        <v>16131.904617353608</v>
      </c>
      <c r="Y74" s="565">
        <v>18463.104706566559</v>
      </c>
      <c r="Z74" s="565">
        <v>20701.056792210991</v>
      </c>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row>
    <row r="75" spans="1:86" ht="15" customHeight="1">
      <c r="A75" s="1058" t="s">
        <v>33</v>
      </c>
      <c r="B75" s="1093"/>
      <c r="C75" s="1094">
        <v>293192.45134696859</v>
      </c>
      <c r="D75" s="1061">
        <v>100</v>
      </c>
      <c r="E75" s="1059" t="s">
        <v>525</v>
      </c>
      <c r="F75" s="1061" t="s">
        <v>525</v>
      </c>
      <c r="G75" s="1059" t="s">
        <v>525</v>
      </c>
      <c r="H75" s="1094">
        <v>335561.30269768659</v>
      </c>
      <c r="I75" s="1061">
        <v>100</v>
      </c>
      <c r="J75" s="1059" t="s">
        <v>525</v>
      </c>
      <c r="K75" s="1061" t="s">
        <v>525</v>
      </c>
      <c r="L75" s="1059" t="s">
        <v>525</v>
      </c>
      <c r="M75" s="1094">
        <v>376235.39999437588</v>
      </c>
      <c r="N75" s="1061">
        <v>100</v>
      </c>
      <c r="O75" s="1059" t="s">
        <v>525</v>
      </c>
      <c r="P75" s="1061" t="s">
        <v>525</v>
      </c>
      <c r="Q75" s="1062" t="s">
        <v>525</v>
      </c>
      <c r="X75" s="565"/>
      <c r="Y75" s="565"/>
      <c r="Z75" s="56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row>
    <row r="76" spans="1:86" ht="15" customHeight="1">
      <c r="A76" s="1063" t="s">
        <v>50</v>
      </c>
      <c r="B76" s="1091"/>
      <c r="C76" s="1092">
        <v>30321.985246126074</v>
      </c>
      <c r="D76" s="1055">
        <v>10.342007478986066</v>
      </c>
      <c r="E76" s="1056"/>
      <c r="F76" s="1055" t="s">
        <v>525</v>
      </c>
      <c r="G76" s="1051" t="s">
        <v>525</v>
      </c>
      <c r="H76" s="1092">
        <v>35321.985246126074</v>
      </c>
      <c r="I76" s="1055">
        <v>10.526239158735269</v>
      </c>
      <c r="J76" s="1056"/>
      <c r="K76" s="1055" t="s">
        <v>525</v>
      </c>
      <c r="L76" s="1051" t="s">
        <v>525</v>
      </c>
      <c r="M76" s="1092">
        <v>39781.692022985924</v>
      </c>
      <c r="N76" s="1055">
        <v>10.573617480859216</v>
      </c>
      <c r="O76" s="1056"/>
      <c r="P76" s="1055" t="s">
        <v>525</v>
      </c>
      <c r="Q76" s="1057" t="s">
        <v>525</v>
      </c>
      <c r="X76" s="565">
        <v>30321.985246126074</v>
      </c>
      <c r="Y76" s="565">
        <v>35321.985246126074</v>
      </c>
      <c r="Z76" s="565">
        <v>39781.692022985924</v>
      </c>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row>
    <row r="77" spans="1:86" ht="15" customHeight="1">
      <c r="A77" s="1058" t="s">
        <v>34</v>
      </c>
      <c r="B77" s="1093"/>
      <c r="C77" s="1094">
        <v>262870.46610084252</v>
      </c>
      <c r="D77" s="1061">
        <v>89.657992521013924</v>
      </c>
      <c r="E77" s="1059" t="s">
        <v>525</v>
      </c>
      <c r="F77" s="1061" t="s">
        <v>525</v>
      </c>
      <c r="G77" s="1059" t="s">
        <v>525</v>
      </c>
      <c r="H77" s="1094">
        <v>300239.31745156052</v>
      </c>
      <c r="I77" s="1061">
        <v>89.473760841264721</v>
      </c>
      <c r="J77" s="1059" t="s">
        <v>525</v>
      </c>
      <c r="K77" s="1061" t="s">
        <v>525</v>
      </c>
      <c r="L77" s="1059" t="s">
        <v>525</v>
      </c>
      <c r="M77" s="1094">
        <v>336453.70797138993</v>
      </c>
      <c r="N77" s="1061">
        <v>89.426382519140773</v>
      </c>
      <c r="O77" s="1059" t="s">
        <v>525</v>
      </c>
      <c r="P77" s="1061" t="s">
        <v>525</v>
      </c>
      <c r="Q77" s="1062" t="s">
        <v>525</v>
      </c>
      <c r="X77" s="565"/>
      <c r="Y77" s="565"/>
      <c r="Z77" s="56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row>
    <row r="78" spans="1:86" ht="15" customHeight="1">
      <c r="A78" s="1063" t="s">
        <v>35</v>
      </c>
      <c r="B78" s="1091"/>
      <c r="C78" s="1092">
        <v>122414.46856693548</v>
      </c>
      <c r="D78" s="1055">
        <v>41.752257946801045</v>
      </c>
      <c r="E78" s="1056"/>
      <c r="F78" s="1055" t="s">
        <v>525</v>
      </c>
      <c r="G78" s="1051" t="s">
        <v>525</v>
      </c>
      <c r="H78" s="1092">
        <v>140198.6746</v>
      </c>
      <c r="I78" s="1055">
        <v>41.780346384668668</v>
      </c>
      <c r="J78" s="1056"/>
      <c r="K78" s="1055" t="s">
        <v>525</v>
      </c>
      <c r="L78" s="1051" t="s">
        <v>525</v>
      </c>
      <c r="M78" s="1092">
        <v>157982.88063306452</v>
      </c>
      <c r="N78" s="1055">
        <v>41.990434880775737</v>
      </c>
      <c r="O78" s="1056"/>
      <c r="P78" s="1055" t="s">
        <v>525</v>
      </c>
      <c r="Q78" s="1057" t="s">
        <v>525</v>
      </c>
      <c r="X78" s="565">
        <v>122414.46856693548</v>
      </c>
      <c r="Y78" s="565">
        <v>140198.6746</v>
      </c>
      <c r="Z78" s="565">
        <v>157982.88063306452</v>
      </c>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row>
    <row r="79" spans="1:86" ht="15" customHeight="1">
      <c r="A79" s="1064" t="s">
        <v>7</v>
      </c>
      <c r="B79" s="1095"/>
      <c r="C79" s="1096">
        <v>140455.99753390701</v>
      </c>
      <c r="D79" s="1067">
        <v>47.905734574212879</v>
      </c>
      <c r="E79" s="1059" t="s">
        <v>525</v>
      </c>
      <c r="F79" s="1067" t="s">
        <v>525</v>
      </c>
      <c r="G79" s="1065" t="s">
        <v>525</v>
      </c>
      <c r="H79" s="1096">
        <v>160040.64285156049</v>
      </c>
      <c r="I79" s="1067">
        <v>47.693414456596052</v>
      </c>
      <c r="J79" s="1059" t="s">
        <v>525</v>
      </c>
      <c r="K79" s="1067" t="s">
        <v>525</v>
      </c>
      <c r="L79" s="1065" t="s">
        <v>525</v>
      </c>
      <c r="M79" s="1096">
        <v>178470.82733832541</v>
      </c>
      <c r="N79" s="1067">
        <v>47.435947638365036</v>
      </c>
      <c r="O79" s="1059" t="s">
        <v>525</v>
      </c>
      <c r="P79" s="1067" t="s">
        <v>525</v>
      </c>
      <c r="Q79" s="1068" t="s">
        <v>525</v>
      </c>
      <c r="X79" s="565"/>
      <c r="Y79" s="565"/>
      <c r="Z79" s="56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row>
    <row r="80" spans="1:86" ht="15" customHeight="1">
      <c r="A80" s="1069" t="s">
        <v>9</v>
      </c>
      <c r="B80" s="1091"/>
      <c r="C80" s="1092">
        <v>23370.69933333333</v>
      </c>
      <c r="D80" s="1055">
        <v>7.9711122254222282</v>
      </c>
      <c r="E80" s="1056"/>
      <c r="F80" s="1055" t="s">
        <v>525</v>
      </c>
      <c r="G80" s="1051" t="s">
        <v>525</v>
      </c>
      <c r="H80" s="1092">
        <v>26709.370666666662</v>
      </c>
      <c r="I80" s="1055">
        <v>7.9596098989786173</v>
      </c>
      <c r="J80" s="1056"/>
      <c r="K80" s="1055" t="s">
        <v>525</v>
      </c>
      <c r="L80" s="1051" t="s">
        <v>525</v>
      </c>
      <c r="M80" s="1092">
        <v>30048.041999999994</v>
      </c>
      <c r="N80" s="1055">
        <v>7.9865004729616524</v>
      </c>
      <c r="O80" s="1056"/>
      <c r="P80" s="1055" t="s">
        <v>525</v>
      </c>
      <c r="Q80" s="1057" t="s">
        <v>525</v>
      </c>
      <c r="X80" s="565">
        <v>23370.69933333333</v>
      </c>
      <c r="Y80" s="565">
        <v>26709.370666666662</v>
      </c>
      <c r="Z80" s="565">
        <v>30048.041999999994</v>
      </c>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row>
    <row r="81" spans="1:86" ht="15" customHeight="1">
      <c r="A81" s="1070" t="s">
        <v>52</v>
      </c>
      <c r="B81" s="1091"/>
      <c r="C81" s="1092">
        <v>6781.8916666666682</v>
      </c>
      <c r="D81" s="1055">
        <v>2.3131194665857446</v>
      </c>
      <c r="E81" s="1056"/>
      <c r="F81" s="1055" t="s">
        <v>525</v>
      </c>
      <c r="G81" s="1051" t="s">
        <v>525</v>
      </c>
      <c r="H81" s="1092">
        <v>7750.7333333333354</v>
      </c>
      <c r="I81" s="1055">
        <v>2.3097816318576267</v>
      </c>
      <c r="J81" s="1056"/>
      <c r="K81" s="1055" t="s">
        <v>525</v>
      </c>
      <c r="L81" s="1051" t="s">
        <v>525</v>
      </c>
      <c r="M81" s="1092">
        <v>8719.5750000000025</v>
      </c>
      <c r="N81" s="1055">
        <v>2.3175849481814703</v>
      </c>
      <c r="O81" s="1056"/>
      <c r="P81" s="1055" t="s">
        <v>525</v>
      </c>
      <c r="Q81" s="1057" t="s">
        <v>525</v>
      </c>
      <c r="X81" s="565">
        <v>6781.8916666666682</v>
      </c>
      <c r="Y81" s="565">
        <v>7750.7333333333354</v>
      </c>
      <c r="Z81" s="565">
        <v>8719.5750000000025</v>
      </c>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row>
    <row r="82" spans="1:86" ht="15" customHeight="1">
      <c r="A82" s="1070" t="s">
        <v>10</v>
      </c>
      <c r="B82" s="1091"/>
      <c r="C82" s="1092">
        <v>1808.333333333333</v>
      </c>
      <c r="D82" s="1055">
        <v>0.61677349639309875</v>
      </c>
      <c r="E82" s="1056"/>
      <c r="F82" s="1055" t="s">
        <v>525</v>
      </c>
      <c r="G82" s="1051" t="s">
        <v>525</v>
      </c>
      <c r="H82" s="1092">
        <v>2066.6666666666665</v>
      </c>
      <c r="I82" s="1055">
        <v>0.61588349134779852</v>
      </c>
      <c r="J82" s="1056"/>
      <c r="K82" s="1055" t="s">
        <v>525</v>
      </c>
      <c r="L82" s="1051" t="s">
        <v>525</v>
      </c>
      <c r="M82" s="1092">
        <v>2325</v>
      </c>
      <c r="N82" s="1055">
        <v>0.61796417881856813</v>
      </c>
      <c r="O82" s="1056"/>
      <c r="P82" s="1055" t="s">
        <v>525</v>
      </c>
      <c r="Q82" s="1057" t="s">
        <v>525</v>
      </c>
      <c r="X82" s="565">
        <v>1808.333333333333</v>
      </c>
      <c r="Y82" s="565">
        <v>2066.6666666666665</v>
      </c>
      <c r="Z82" s="565">
        <v>2325</v>
      </c>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row>
    <row r="83" spans="1:86" ht="15" customHeight="1">
      <c r="A83" s="1070" t="s">
        <v>142</v>
      </c>
      <c r="B83" s="1091"/>
      <c r="C83" s="1092">
        <v>4375</v>
      </c>
      <c r="D83" s="1055">
        <v>1.4921939428865294</v>
      </c>
      <c r="E83" s="1056"/>
      <c r="F83" s="1055" t="s">
        <v>525</v>
      </c>
      <c r="G83" s="1051" t="s">
        <v>525</v>
      </c>
      <c r="H83" s="1092">
        <v>5000</v>
      </c>
      <c r="I83" s="1055">
        <v>1.4900407048737061</v>
      </c>
      <c r="J83" s="1056"/>
      <c r="K83" s="1055" t="s">
        <v>525</v>
      </c>
      <c r="L83" s="1051" t="s">
        <v>525</v>
      </c>
      <c r="M83" s="1092">
        <v>5625</v>
      </c>
      <c r="N83" s="1055">
        <v>1.4950746261739551</v>
      </c>
      <c r="O83" s="1056"/>
      <c r="P83" s="1055" t="s">
        <v>525</v>
      </c>
      <c r="Q83" s="1057" t="s">
        <v>525</v>
      </c>
      <c r="X83" s="565">
        <v>4375</v>
      </c>
      <c r="Y83" s="565">
        <v>5000</v>
      </c>
      <c r="Z83" s="565">
        <v>5625</v>
      </c>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row>
    <row r="84" spans="1:86" ht="15" customHeight="1">
      <c r="A84" s="1070" t="s">
        <v>59</v>
      </c>
      <c r="B84" s="1091"/>
      <c r="C84" s="1092">
        <v>4666.6666666666661</v>
      </c>
      <c r="D84" s="1055">
        <v>1.5916735390789645</v>
      </c>
      <c r="E84" s="1056"/>
      <c r="F84" s="1055" t="s">
        <v>525</v>
      </c>
      <c r="G84" s="1051" t="s">
        <v>525</v>
      </c>
      <c r="H84" s="1092">
        <v>5333.333333333333</v>
      </c>
      <c r="I84" s="1055">
        <v>1.5893767518652864</v>
      </c>
      <c r="J84" s="1056"/>
      <c r="K84" s="1055" t="s">
        <v>525</v>
      </c>
      <c r="L84" s="1051" t="s">
        <v>525</v>
      </c>
      <c r="M84" s="1092">
        <v>6000</v>
      </c>
      <c r="N84" s="1055">
        <v>1.5947462679188853</v>
      </c>
      <c r="O84" s="1056"/>
      <c r="P84" s="1055" t="s">
        <v>525</v>
      </c>
      <c r="Q84" s="1057" t="s">
        <v>525</v>
      </c>
      <c r="X84" s="565">
        <v>4666.6666666666661</v>
      </c>
      <c r="Y84" s="565">
        <v>5333.333333333333</v>
      </c>
      <c r="Z84" s="565">
        <v>6000</v>
      </c>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row>
    <row r="85" spans="1:86" ht="15" customHeight="1">
      <c r="A85" s="1070" t="s">
        <v>12</v>
      </c>
      <c r="B85" s="1091"/>
      <c r="C85" s="1092">
        <v>525</v>
      </c>
      <c r="D85" s="1055">
        <v>0.17906327314638354</v>
      </c>
      <c r="E85" s="1056"/>
      <c r="F85" s="1055" t="s">
        <v>525</v>
      </c>
      <c r="G85" s="1051" t="s">
        <v>525</v>
      </c>
      <c r="H85" s="1092">
        <v>600</v>
      </c>
      <c r="I85" s="1055">
        <v>0.17880488458484473</v>
      </c>
      <c r="J85" s="1056"/>
      <c r="K85" s="1055" t="s">
        <v>525</v>
      </c>
      <c r="L85" s="1051" t="s">
        <v>525</v>
      </c>
      <c r="M85" s="1092">
        <v>675</v>
      </c>
      <c r="N85" s="1055">
        <v>0.17940895514087463</v>
      </c>
      <c r="O85" s="1056"/>
      <c r="P85" s="1055" t="s">
        <v>525</v>
      </c>
      <c r="Q85" s="1057" t="s">
        <v>525</v>
      </c>
      <c r="X85" s="565">
        <v>525</v>
      </c>
      <c r="Y85" s="565">
        <v>600</v>
      </c>
      <c r="Z85" s="565">
        <v>675</v>
      </c>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row>
    <row r="86" spans="1:86" ht="15" customHeight="1">
      <c r="A86" s="1070" t="s">
        <v>13</v>
      </c>
      <c r="B86" s="1091"/>
      <c r="C86" s="1092">
        <v>700</v>
      </c>
      <c r="D86" s="1055">
        <v>0.23875103086184471</v>
      </c>
      <c r="E86" s="1056"/>
      <c r="F86" s="1055" t="s">
        <v>525</v>
      </c>
      <c r="G86" s="1051" t="s">
        <v>525</v>
      </c>
      <c r="H86" s="1092">
        <v>800</v>
      </c>
      <c r="I86" s="1055">
        <v>0.23840651277979297</v>
      </c>
      <c r="J86" s="1056"/>
      <c r="K86" s="1055" t="s">
        <v>525</v>
      </c>
      <c r="L86" s="1051" t="s">
        <v>525</v>
      </c>
      <c r="M86" s="1092">
        <v>900</v>
      </c>
      <c r="N86" s="1055">
        <v>0.23921194018783282</v>
      </c>
      <c r="O86" s="1056"/>
      <c r="P86" s="1055" t="s">
        <v>525</v>
      </c>
      <c r="Q86" s="1057" t="s">
        <v>525</v>
      </c>
      <c r="X86" s="565">
        <v>700</v>
      </c>
      <c r="Y86" s="565">
        <v>800</v>
      </c>
      <c r="Z86" s="565">
        <v>900</v>
      </c>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row>
    <row r="87" spans="1:86" ht="15" customHeight="1">
      <c r="A87" s="1070" t="s">
        <v>14</v>
      </c>
      <c r="B87" s="1091"/>
      <c r="C87" s="1092">
        <v>6591.666666666667</v>
      </c>
      <c r="D87" s="1055">
        <v>2.2482388739490378</v>
      </c>
      <c r="E87" s="1056"/>
      <c r="F87" s="1055" t="s">
        <v>525</v>
      </c>
      <c r="G87" s="1051" t="s">
        <v>525</v>
      </c>
      <c r="H87" s="1092">
        <v>7533.3333333333339</v>
      </c>
      <c r="I87" s="1055">
        <v>2.2449946620097174</v>
      </c>
      <c r="J87" s="1056"/>
      <c r="K87" s="1055" t="s">
        <v>525</v>
      </c>
      <c r="L87" s="1051" t="s">
        <v>525</v>
      </c>
      <c r="M87" s="1092">
        <v>8475</v>
      </c>
      <c r="N87" s="1055">
        <v>2.2525791034354259</v>
      </c>
      <c r="O87" s="1056"/>
      <c r="P87" s="1055" t="s">
        <v>525</v>
      </c>
      <c r="Q87" s="1057" t="s">
        <v>525</v>
      </c>
      <c r="X87" s="565">
        <v>6591.666666666667</v>
      </c>
      <c r="Y87" s="565">
        <v>7533.3333333333339</v>
      </c>
      <c r="Z87" s="565">
        <v>8475</v>
      </c>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row>
    <row r="88" spans="1:86" ht="15" customHeight="1">
      <c r="A88" s="1070" t="s">
        <v>15</v>
      </c>
      <c r="B88" s="1091"/>
      <c r="C88" s="1092">
        <v>35000</v>
      </c>
      <c r="D88" s="1055">
        <v>11.937551543092235</v>
      </c>
      <c r="E88" s="1056"/>
      <c r="F88" s="1055" t="s">
        <v>525</v>
      </c>
      <c r="G88" s="1051" t="s">
        <v>525</v>
      </c>
      <c r="H88" s="1092">
        <v>40000</v>
      </c>
      <c r="I88" s="1055">
        <v>11.920325638989649</v>
      </c>
      <c r="J88" s="1056"/>
      <c r="K88" s="1055" t="s">
        <v>525</v>
      </c>
      <c r="L88" s="1051" t="s">
        <v>525</v>
      </c>
      <c r="M88" s="1092">
        <v>45000</v>
      </c>
      <c r="N88" s="1055">
        <v>11.960597009391641</v>
      </c>
      <c r="O88" s="1056"/>
      <c r="P88" s="1055" t="s">
        <v>525</v>
      </c>
      <c r="Q88" s="1057" t="s">
        <v>525</v>
      </c>
      <c r="X88" s="565">
        <v>35000</v>
      </c>
      <c r="Y88" s="565">
        <v>40000</v>
      </c>
      <c r="Z88" s="565">
        <v>45000</v>
      </c>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row>
    <row r="89" spans="1:86" ht="15" customHeight="1" thickBot="1">
      <c r="A89" s="1089" t="s">
        <v>16</v>
      </c>
      <c r="B89" s="1097"/>
      <c r="C89" s="1092">
        <v>83819.257666666657</v>
      </c>
      <c r="D89" s="1055">
        <v>28.588477391416063</v>
      </c>
      <c r="E89" s="1074" t="s">
        <v>525</v>
      </c>
      <c r="F89" s="1055" t="s">
        <v>525</v>
      </c>
      <c r="G89" s="1074" t="s">
        <v>525</v>
      </c>
      <c r="H89" s="1092">
        <v>95793.437333333321</v>
      </c>
      <c r="I89" s="1055">
        <v>28.547224177287035</v>
      </c>
      <c r="J89" s="1074" t="s">
        <v>525</v>
      </c>
      <c r="K89" s="1055" t="s">
        <v>525</v>
      </c>
      <c r="L89" s="1074" t="s">
        <v>525</v>
      </c>
      <c r="M89" s="1092">
        <v>107767.61699999998</v>
      </c>
      <c r="N89" s="1055">
        <v>28.643667502210302</v>
      </c>
      <c r="O89" s="1074" t="s">
        <v>525</v>
      </c>
      <c r="P89" s="1055" t="s">
        <v>525</v>
      </c>
      <c r="Q89" s="1075" t="s">
        <v>525</v>
      </c>
      <c r="X89" s="565">
        <v>83819.257666666657</v>
      </c>
      <c r="Y89" s="565">
        <v>95793.437333333321</v>
      </c>
      <c r="Z89" s="565">
        <v>107767.61699999998</v>
      </c>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row>
    <row r="90" spans="1:86" ht="15" customHeight="1">
      <c r="A90" s="1076" t="s">
        <v>18</v>
      </c>
      <c r="B90" s="1093"/>
      <c r="C90" s="1094">
        <v>56636.739867240365</v>
      </c>
      <c r="D90" s="1061">
        <v>19.317257182796823</v>
      </c>
      <c r="E90" s="1059" t="s">
        <v>525</v>
      </c>
      <c r="F90" s="1061" t="s">
        <v>525</v>
      </c>
      <c r="G90" s="1059" t="s">
        <v>525</v>
      </c>
      <c r="H90" s="1094">
        <v>64247.205518227187</v>
      </c>
      <c r="I90" s="1061">
        <v>19.146190279309021</v>
      </c>
      <c r="J90" s="1059" t="s">
        <v>525</v>
      </c>
      <c r="K90" s="1061" t="s">
        <v>525</v>
      </c>
      <c r="L90" s="1059" t="s">
        <v>525</v>
      </c>
      <c r="M90" s="1094">
        <v>70703.210338325443</v>
      </c>
      <c r="N90" s="1061">
        <v>18.792280136154744</v>
      </c>
      <c r="O90" s="1059" t="s">
        <v>525</v>
      </c>
      <c r="P90" s="1061" t="s">
        <v>525</v>
      </c>
      <c r="Q90" s="1062" t="s">
        <v>525</v>
      </c>
      <c r="X90" s="565"/>
      <c r="Y90" s="565"/>
      <c r="Z90" s="56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row>
    <row r="91" spans="1:86" ht="15" customHeight="1">
      <c r="A91" s="1063" t="s">
        <v>36</v>
      </c>
      <c r="B91" s="1091"/>
      <c r="C91" s="1092">
        <v>0</v>
      </c>
      <c r="D91" s="1077"/>
      <c r="E91" s="1056"/>
      <c r="F91" s="1077"/>
      <c r="G91" s="1051" t="s">
        <v>525</v>
      </c>
      <c r="H91" s="1092">
        <v>0</v>
      </c>
      <c r="I91" s="1077"/>
      <c r="J91" s="1056"/>
      <c r="K91" s="1077"/>
      <c r="L91" s="1051" t="s">
        <v>525</v>
      </c>
      <c r="M91" s="1092">
        <v>0</v>
      </c>
      <c r="N91" s="1077"/>
      <c r="O91" s="1056"/>
      <c r="P91" s="1077"/>
      <c r="Q91" s="1057" t="s">
        <v>525</v>
      </c>
      <c r="X91" s="565">
        <v>0</v>
      </c>
      <c r="Y91" s="565">
        <v>0</v>
      </c>
      <c r="Z91" s="565">
        <v>0</v>
      </c>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row>
    <row r="92" spans="1:86" ht="15" customHeight="1">
      <c r="A92" s="1063" t="s">
        <v>37</v>
      </c>
      <c r="B92" s="1091"/>
      <c r="C92" s="1092">
        <v>0</v>
      </c>
      <c r="D92" s="1077"/>
      <c r="E92" s="1056"/>
      <c r="F92" s="1077"/>
      <c r="G92" s="1051" t="s">
        <v>525</v>
      </c>
      <c r="H92" s="1092">
        <v>0</v>
      </c>
      <c r="I92" s="1077"/>
      <c r="J92" s="1056"/>
      <c r="K92" s="1077"/>
      <c r="L92" s="1051" t="s">
        <v>525</v>
      </c>
      <c r="M92" s="1092">
        <v>0</v>
      </c>
      <c r="N92" s="1077"/>
      <c r="O92" s="1056"/>
      <c r="P92" s="1077"/>
      <c r="Q92" s="1057" t="s">
        <v>525</v>
      </c>
      <c r="X92" s="565">
        <v>0</v>
      </c>
      <c r="Y92" s="565">
        <v>0</v>
      </c>
      <c r="Z92" s="565">
        <v>0</v>
      </c>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c r="CA92" s="245"/>
      <c r="CB92" s="245"/>
      <c r="CC92" s="245"/>
      <c r="CD92" s="245"/>
      <c r="CE92" s="245"/>
      <c r="CF92" s="245"/>
      <c r="CG92" s="245"/>
      <c r="CH92" s="245"/>
    </row>
    <row r="93" spans="1:86" ht="15" customHeight="1">
      <c r="A93" s="1069" t="s">
        <v>646</v>
      </c>
      <c r="B93" s="1091"/>
      <c r="C93" s="1092">
        <v>0</v>
      </c>
      <c r="D93" s="1077"/>
      <c r="E93" s="1056"/>
      <c r="F93" s="1077"/>
      <c r="G93" s="1051"/>
      <c r="H93" s="1092">
        <v>0</v>
      </c>
      <c r="I93" s="1077"/>
      <c r="J93" s="1056"/>
      <c r="K93" s="1077"/>
      <c r="L93" s="1051"/>
      <c r="M93" s="1092">
        <v>0</v>
      </c>
      <c r="N93" s="1077"/>
      <c r="O93" s="1056"/>
      <c r="P93" s="1077"/>
      <c r="Q93" s="1057"/>
      <c r="X93" s="565"/>
      <c r="Y93" s="565"/>
      <c r="Z93" s="56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row>
    <row r="94" spans="1:86" ht="15" customHeight="1">
      <c r="A94" s="1058" t="s">
        <v>40</v>
      </c>
      <c r="B94" s="1093"/>
      <c r="C94" s="1094">
        <v>56636.739867240365</v>
      </c>
      <c r="D94" s="1078"/>
      <c r="E94" s="1059" t="s">
        <v>525</v>
      </c>
      <c r="F94" s="1078"/>
      <c r="G94" s="1059" t="s">
        <v>525</v>
      </c>
      <c r="H94" s="1094">
        <v>64247.205518227187</v>
      </c>
      <c r="I94" s="1078"/>
      <c r="J94" s="1059" t="s">
        <v>525</v>
      </c>
      <c r="K94" s="1078"/>
      <c r="L94" s="1059" t="s">
        <v>525</v>
      </c>
      <c r="M94" s="1094">
        <v>70703.210338325443</v>
      </c>
      <c r="N94" s="1078"/>
      <c r="O94" s="1059" t="s">
        <v>525</v>
      </c>
      <c r="P94" s="1078"/>
      <c r="Q94" s="1062" t="s">
        <v>525</v>
      </c>
      <c r="X94" s="565"/>
      <c r="Y94" s="565"/>
      <c r="Z94" s="56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row>
    <row r="95" spans="1:86" ht="15" customHeight="1">
      <c r="A95" s="1063" t="s">
        <v>14</v>
      </c>
      <c r="B95" s="1091"/>
      <c r="C95" s="1092">
        <v>6591.666666666667</v>
      </c>
      <c r="D95" s="1077"/>
      <c r="E95" s="1079" t="s">
        <v>525</v>
      </c>
      <c r="F95" s="1077"/>
      <c r="G95" s="1051" t="s">
        <v>525</v>
      </c>
      <c r="H95" s="1092">
        <v>7533.3333333333339</v>
      </c>
      <c r="I95" s="1077"/>
      <c r="J95" s="1079" t="s">
        <v>525</v>
      </c>
      <c r="K95" s="1077"/>
      <c r="L95" s="1051" t="s">
        <v>525</v>
      </c>
      <c r="M95" s="1092">
        <v>8475</v>
      </c>
      <c r="N95" s="1077"/>
      <c r="O95" s="1079" t="s">
        <v>525</v>
      </c>
      <c r="P95" s="1077"/>
      <c r="Q95" s="1057" t="s">
        <v>525</v>
      </c>
      <c r="X95" s="565">
        <v>6591.666666666667</v>
      </c>
      <c r="Y95" s="565">
        <v>7533.3333333333339</v>
      </c>
      <c r="Z95" s="565">
        <v>8475</v>
      </c>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row>
    <row r="96" spans="1:86" ht="15" customHeight="1">
      <c r="A96" s="1058" t="s">
        <v>42</v>
      </c>
      <c r="B96" s="1093"/>
      <c r="C96" s="1094">
        <v>63228.406533907022</v>
      </c>
      <c r="D96" s="1078"/>
      <c r="E96" s="1059" t="s">
        <v>525</v>
      </c>
      <c r="F96" s="1078"/>
      <c r="G96" s="1059" t="s">
        <v>525</v>
      </c>
      <c r="H96" s="1094">
        <v>71780.538851560515</v>
      </c>
      <c r="I96" s="1078"/>
      <c r="J96" s="1059" t="s">
        <v>525</v>
      </c>
      <c r="K96" s="1078"/>
      <c r="L96" s="1059" t="s">
        <v>525</v>
      </c>
      <c r="M96" s="1094">
        <v>79178.210338325429</v>
      </c>
      <c r="N96" s="1078"/>
      <c r="O96" s="1059" t="s">
        <v>525</v>
      </c>
      <c r="P96" s="1078"/>
      <c r="Q96" s="1062" t="s">
        <v>525</v>
      </c>
      <c r="X96" s="565"/>
      <c r="Y96" s="565"/>
      <c r="Z96" s="56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row>
    <row r="97" spans="1:86" ht="15" customHeight="1">
      <c r="A97" s="1080" t="s">
        <v>1093</v>
      </c>
      <c r="B97" s="1091"/>
      <c r="C97" s="1092">
        <v>17953.833333333336</v>
      </c>
      <c r="D97" s="1077"/>
      <c r="E97" s="1079"/>
      <c r="F97" s="1077"/>
      <c r="G97" s="1051" t="s">
        <v>525</v>
      </c>
      <c r="H97" s="1092">
        <v>20518.666666666668</v>
      </c>
      <c r="I97" s="1077"/>
      <c r="J97" s="1079"/>
      <c r="K97" s="1077"/>
      <c r="L97" s="1051" t="s">
        <v>525</v>
      </c>
      <c r="M97" s="1092">
        <v>23083.5</v>
      </c>
      <c r="N97" s="1077"/>
      <c r="O97" s="1079"/>
      <c r="P97" s="1077"/>
      <c r="Q97" s="1057" t="s">
        <v>525</v>
      </c>
      <c r="X97" s="565">
        <v>17953.833333333336</v>
      </c>
      <c r="Y97" s="565">
        <v>20518.666666666668</v>
      </c>
      <c r="Z97" s="565">
        <v>23083.5</v>
      </c>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row>
    <row r="98" spans="1:86" ht="15" customHeight="1">
      <c r="A98" s="1080" t="s">
        <v>1094</v>
      </c>
      <c r="B98" s="1091"/>
      <c r="C98" s="1092">
        <v>34303.889950598954</v>
      </c>
      <c r="D98" s="1077"/>
      <c r="E98" s="1079"/>
      <c r="F98" s="1077"/>
      <c r="G98" s="1051" t="s">
        <v>525</v>
      </c>
      <c r="H98" s="1092">
        <v>39287.512015530287</v>
      </c>
      <c r="I98" s="1077"/>
      <c r="J98" s="1079"/>
      <c r="K98" s="1077"/>
      <c r="L98" s="1051" t="s">
        <v>525</v>
      </c>
      <c r="M98" s="1092">
        <v>44271.134080461619</v>
      </c>
      <c r="N98" s="1077"/>
      <c r="O98" s="1079"/>
      <c r="P98" s="1077"/>
      <c r="Q98" s="1057" t="s">
        <v>525</v>
      </c>
      <c r="X98" s="565">
        <v>34303.889950598954</v>
      </c>
      <c r="Y98" s="565">
        <v>39287.512015530287</v>
      </c>
      <c r="Z98" s="565">
        <v>44271.134080461619</v>
      </c>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row>
    <row r="99" spans="1:86" ht="15" customHeight="1">
      <c r="A99" s="1090" t="s">
        <v>751</v>
      </c>
      <c r="B99" s="1091"/>
      <c r="C99" s="1092">
        <v>52257.72328393229</v>
      </c>
      <c r="D99" s="1077"/>
      <c r="E99" s="1056"/>
      <c r="F99" s="1077"/>
      <c r="G99" s="1051" t="s">
        <v>525</v>
      </c>
      <c r="H99" s="1092">
        <v>59806.178682196958</v>
      </c>
      <c r="I99" s="1077"/>
      <c r="J99" s="1056"/>
      <c r="K99" s="1077"/>
      <c r="L99" s="1051" t="s">
        <v>525</v>
      </c>
      <c r="M99" s="1092">
        <v>67354.634080461634</v>
      </c>
      <c r="N99" s="1077"/>
      <c r="O99" s="1056"/>
      <c r="P99" s="1077"/>
      <c r="Q99" s="1057" t="s">
        <v>525</v>
      </c>
      <c r="X99" s="565">
        <v>52257.72328393229</v>
      </c>
      <c r="Y99" s="565">
        <v>59806.178682196958</v>
      </c>
      <c r="Z99" s="565">
        <v>67354.634080461634</v>
      </c>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row>
    <row r="100" spans="1:86" ht="15" customHeight="1">
      <c r="A100" s="1082" t="s">
        <v>111</v>
      </c>
      <c r="B100" s="1091"/>
      <c r="C100" s="1092">
        <v>8622.9500000000007</v>
      </c>
      <c r="D100" s="1077"/>
      <c r="E100" s="1056"/>
      <c r="F100" s="1077"/>
      <c r="G100" s="1051" t="s">
        <v>525</v>
      </c>
      <c r="H100" s="1092">
        <v>9854.8000000000011</v>
      </c>
      <c r="I100" s="1077"/>
      <c r="J100" s="1056"/>
      <c r="K100" s="1077"/>
      <c r="L100" s="1051" t="s">
        <v>525</v>
      </c>
      <c r="M100" s="1092">
        <v>11086.650000000001</v>
      </c>
      <c r="N100" s="1077"/>
      <c r="O100" s="1056"/>
      <c r="P100" s="1077"/>
      <c r="Q100" s="1057" t="s">
        <v>525</v>
      </c>
      <c r="X100" s="565">
        <v>8622.9500000000007</v>
      </c>
      <c r="Y100" s="565">
        <v>9854.8000000000011</v>
      </c>
      <c r="Z100" s="565">
        <v>11086.650000000001</v>
      </c>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row>
    <row r="101" spans="1:86" ht="15" customHeight="1">
      <c r="A101" s="1083" t="s">
        <v>43</v>
      </c>
      <c r="B101" s="1097"/>
      <c r="C101" s="1092">
        <v>0</v>
      </c>
      <c r="D101" s="1077"/>
      <c r="E101" s="1056"/>
      <c r="F101" s="1077"/>
      <c r="G101" s="1051" t="s">
        <v>525</v>
      </c>
      <c r="H101" s="1092">
        <v>0</v>
      </c>
      <c r="I101" s="1077"/>
      <c r="J101" s="1056"/>
      <c r="K101" s="1077"/>
      <c r="L101" s="1051" t="s">
        <v>525</v>
      </c>
      <c r="M101" s="1092">
        <v>0</v>
      </c>
      <c r="N101" s="1077"/>
      <c r="O101" s="1056"/>
      <c r="P101" s="1077"/>
      <c r="Q101" s="1057" t="s">
        <v>525</v>
      </c>
      <c r="X101" s="565">
        <v>0</v>
      </c>
      <c r="Y101" s="565">
        <v>0</v>
      </c>
      <c r="Z101" s="565">
        <v>0</v>
      </c>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row>
    <row r="102" spans="1:86" ht="15" customHeight="1">
      <c r="A102" s="1085" t="s">
        <v>748</v>
      </c>
      <c r="B102" s="1093"/>
      <c r="C102" s="1094">
        <v>2347.7332499747322</v>
      </c>
      <c r="D102" s="1078"/>
      <c r="E102" s="1059" t="s">
        <v>525</v>
      </c>
      <c r="F102" s="1078"/>
      <c r="G102" s="1059" t="s">
        <v>525</v>
      </c>
      <c r="H102" s="1094">
        <v>-331.9844323717798</v>
      </c>
      <c r="I102" s="1078"/>
      <c r="J102" s="1059" t="s">
        <v>525</v>
      </c>
      <c r="K102" s="1078"/>
      <c r="L102" s="1059" t="s">
        <v>525</v>
      </c>
      <c r="M102" s="1094">
        <v>833.83705439313644</v>
      </c>
      <c r="N102" s="1078"/>
      <c r="O102" s="1059" t="s">
        <v>525</v>
      </c>
      <c r="P102" s="1078"/>
      <c r="Q102" s="1062" t="s">
        <v>525</v>
      </c>
      <c r="X102" s="565"/>
      <c r="Y102" s="565"/>
      <c r="Z102" s="56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row>
    <row r="103" spans="1:86" ht="11.55" customHeight="1">
      <c r="A103" s="567"/>
      <c r="B103" s="2486"/>
      <c r="C103" s="2486"/>
      <c r="D103" s="2486"/>
      <c r="E103" s="2486"/>
      <c r="F103" s="2486"/>
      <c r="G103" s="2486"/>
      <c r="H103" s="2486"/>
      <c r="I103" s="2486"/>
      <c r="J103" s="2486"/>
      <c r="K103" s="2486"/>
      <c r="L103" s="2486"/>
      <c r="M103" s="2486"/>
      <c r="N103" s="2486"/>
      <c r="O103" s="2486"/>
      <c r="P103" s="2486"/>
      <c r="Q103" s="2487"/>
      <c r="R103" s="2488"/>
      <c r="S103" s="2488"/>
      <c r="T103" s="2488"/>
      <c r="X103" s="565"/>
      <c r="Y103" s="565"/>
      <c r="Z103" s="56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row>
    <row r="104" spans="1:86" ht="15" customHeight="1">
      <c r="A104" s="1043"/>
      <c r="B104" s="1098"/>
      <c r="C104" s="4467" t="s">
        <v>1096</v>
      </c>
      <c r="D104" s="4468"/>
      <c r="E104" s="1940">
        <v>44927</v>
      </c>
      <c r="F104" s="1941" t="s">
        <v>396</v>
      </c>
      <c r="G104" s="1942">
        <v>45215</v>
      </c>
      <c r="H104" s="4467" t="s">
        <v>1096</v>
      </c>
      <c r="I104" s="4468"/>
      <c r="J104" s="1940">
        <v>44927</v>
      </c>
      <c r="K104" s="1941" t="s">
        <v>396</v>
      </c>
      <c r="L104" s="1942">
        <v>45247</v>
      </c>
      <c r="M104" s="4467" t="s">
        <v>1096</v>
      </c>
      <c r="N104" s="4468"/>
      <c r="O104" s="1940">
        <v>44927</v>
      </c>
      <c r="P104" s="1941" t="s">
        <v>396</v>
      </c>
      <c r="Q104" s="1942">
        <v>45279</v>
      </c>
      <c r="X104" s="565"/>
      <c r="Y104" s="565"/>
      <c r="Z104" s="565"/>
    </row>
    <row r="105" spans="1:86" ht="15" customHeight="1">
      <c r="A105" s="1045" t="s">
        <v>752</v>
      </c>
      <c r="B105" s="1098"/>
      <c r="C105" s="4469" t="s">
        <v>753</v>
      </c>
      <c r="D105" s="4466"/>
      <c r="E105" s="4465" t="s">
        <v>745</v>
      </c>
      <c r="F105" s="4466"/>
      <c r="G105" s="1046" t="s">
        <v>126</v>
      </c>
      <c r="H105" s="4469" t="s">
        <v>753</v>
      </c>
      <c r="I105" s="4466"/>
      <c r="J105" s="4465" t="s">
        <v>745</v>
      </c>
      <c r="K105" s="4466"/>
      <c r="L105" s="1046" t="s">
        <v>126</v>
      </c>
      <c r="M105" s="4469" t="s">
        <v>753</v>
      </c>
      <c r="N105" s="4466"/>
      <c r="O105" s="4465" t="s">
        <v>745</v>
      </c>
      <c r="P105" s="4466"/>
      <c r="Q105" s="1046" t="s">
        <v>126</v>
      </c>
      <c r="X105" s="565"/>
      <c r="Y105" s="565"/>
      <c r="Z105" s="56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row>
    <row r="106" spans="1:86" ht="15" customHeight="1">
      <c r="A106" s="1047" t="s">
        <v>733</v>
      </c>
      <c r="B106" s="1099"/>
      <c r="C106" s="1100">
        <v>249</v>
      </c>
      <c r="D106" s="1049" t="s">
        <v>28</v>
      </c>
      <c r="E106" s="1050"/>
      <c r="F106" s="1049" t="s">
        <v>28</v>
      </c>
      <c r="G106" s="1051" t="s">
        <v>525</v>
      </c>
      <c r="H106" s="1100">
        <v>273</v>
      </c>
      <c r="I106" s="1049" t="s">
        <v>28</v>
      </c>
      <c r="J106" s="1050"/>
      <c r="K106" s="1049" t="s">
        <v>28</v>
      </c>
      <c r="L106" s="1051" t="s">
        <v>525</v>
      </c>
      <c r="M106" s="1100">
        <v>298</v>
      </c>
      <c r="N106" s="1049" t="s">
        <v>28</v>
      </c>
      <c r="O106" s="1050"/>
      <c r="P106" s="1049" t="s">
        <v>28</v>
      </c>
      <c r="Q106" s="1051" t="s">
        <v>525</v>
      </c>
      <c r="X106" s="565">
        <v>249</v>
      </c>
      <c r="Y106" s="565">
        <v>273</v>
      </c>
      <c r="Z106" s="565">
        <v>298</v>
      </c>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row>
    <row r="107" spans="1:86" ht="15" customHeight="1">
      <c r="A107" s="1053" t="s">
        <v>405</v>
      </c>
      <c r="B107" s="1091"/>
      <c r="C107" s="1092">
        <v>395571.99446366989</v>
      </c>
      <c r="D107" s="1055">
        <v>94.497844489774096</v>
      </c>
      <c r="E107" s="1056"/>
      <c r="F107" s="1055" t="s">
        <v>525</v>
      </c>
      <c r="G107" s="1051" t="s">
        <v>525</v>
      </c>
      <c r="H107" s="1092">
        <v>434008.13967471477</v>
      </c>
      <c r="I107" s="1055">
        <v>94.497844489774096</v>
      </c>
      <c r="J107" s="1056"/>
      <c r="K107" s="1055" t="s">
        <v>525</v>
      </c>
      <c r="L107" s="1051" t="s">
        <v>525</v>
      </c>
      <c r="M107" s="1092">
        <v>474045.7909362198</v>
      </c>
      <c r="N107" s="1055">
        <v>94.497844489774096</v>
      </c>
      <c r="O107" s="1056"/>
      <c r="P107" s="1055" t="s">
        <v>525</v>
      </c>
      <c r="Q107" s="1057" t="s">
        <v>525</v>
      </c>
      <c r="X107" s="565">
        <v>395571.99446366989</v>
      </c>
      <c r="Y107" s="565">
        <v>434008.13967471477</v>
      </c>
      <c r="Z107" s="565">
        <v>474045.7909362198</v>
      </c>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row>
    <row r="108" spans="1:86" ht="15" customHeight="1">
      <c r="A108" s="1053" t="s">
        <v>404</v>
      </c>
      <c r="B108" s="1091"/>
      <c r="C108" s="1092">
        <v>23032.256881423942</v>
      </c>
      <c r="D108" s="1055">
        <v>5.5021555102258954</v>
      </c>
      <c r="E108" s="1056"/>
      <c r="F108" s="1055" t="s">
        <v>525</v>
      </c>
      <c r="G108" s="1051" t="s">
        <v>525</v>
      </c>
      <c r="H108" s="1092">
        <v>25270.208967068374</v>
      </c>
      <c r="I108" s="1055">
        <v>5.5021555102258954</v>
      </c>
      <c r="J108" s="1056"/>
      <c r="K108" s="1055" t="s">
        <v>525</v>
      </c>
      <c r="L108" s="1051" t="s">
        <v>525</v>
      </c>
      <c r="M108" s="1092">
        <v>27601.409056281325</v>
      </c>
      <c r="N108" s="1055">
        <v>5.5021555102258963</v>
      </c>
      <c r="O108" s="1056"/>
      <c r="P108" s="1055" t="s">
        <v>525</v>
      </c>
      <c r="Q108" s="1057" t="s">
        <v>525</v>
      </c>
      <c r="X108" s="565">
        <v>23032.256881423942</v>
      </c>
      <c r="Y108" s="565">
        <v>25270.208967068374</v>
      </c>
      <c r="Z108" s="565">
        <v>27601.409056281325</v>
      </c>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row>
    <row r="109" spans="1:86" ht="15" customHeight="1">
      <c r="A109" s="1058" t="s">
        <v>33</v>
      </c>
      <c r="B109" s="1093"/>
      <c r="C109" s="1094">
        <v>418604.25134509389</v>
      </c>
      <c r="D109" s="1061">
        <v>100</v>
      </c>
      <c r="E109" s="1059" t="s">
        <v>525</v>
      </c>
      <c r="F109" s="1061" t="s">
        <v>525</v>
      </c>
      <c r="G109" s="1059" t="s">
        <v>525</v>
      </c>
      <c r="H109" s="1094">
        <v>459278.34864178317</v>
      </c>
      <c r="I109" s="1061">
        <v>100</v>
      </c>
      <c r="J109" s="1059" t="s">
        <v>525</v>
      </c>
      <c r="K109" s="1061" t="s">
        <v>525</v>
      </c>
      <c r="L109" s="1059" t="s">
        <v>525</v>
      </c>
      <c r="M109" s="1094">
        <v>501647.19999250118</v>
      </c>
      <c r="N109" s="1061">
        <v>100</v>
      </c>
      <c r="O109" s="1059" t="s">
        <v>525</v>
      </c>
      <c r="P109" s="1061" t="s">
        <v>525</v>
      </c>
      <c r="Q109" s="1062" t="s">
        <v>525</v>
      </c>
      <c r="X109" s="565"/>
      <c r="Y109" s="565"/>
      <c r="Z109" s="56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row>
    <row r="110" spans="1:86" ht="15" customHeight="1">
      <c r="A110" s="1063" t="s">
        <v>50</v>
      </c>
      <c r="B110" s="1091"/>
      <c r="C110" s="1092">
        <v>44182.739581968679</v>
      </c>
      <c r="D110" s="1055">
        <v>10.554775647881511</v>
      </c>
      <c r="E110" s="1056"/>
      <c r="F110" s="1055" t="s">
        <v>525</v>
      </c>
      <c r="G110" s="1051" t="s">
        <v>525</v>
      </c>
      <c r="H110" s="1092">
        <v>48583.787140951434</v>
      </c>
      <c r="I110" s="1055">
        <v>10.578288152408561</v>
      </c>
      <c r="J110" s="1056"/>
      <c r="K110" s="1055" t="s">
        <v>525</v>
      </c>
      <c r="L110" s="1051" t="s">
        <v>525</v>
      </c>
      <c r="M110" s="1092">
        <v>52984.834699934188</v>
      </c>
      <c r="N110" s="1055">
        <v>10.562170924252388</v>
      </c>
      <c r="O110" s="1056"/>
      <c r="P110" s="1055" t="s">
        <v>525</v>
      </c>
      <c r="Q110" s="1057" t="s">
        <v>525</v>
      </c>
      <c r="X110" s="565">
        <v>44182.739581968679</v>
      </c>
      <c r="Y110" s="565">
        <v>48583.787140951434</v>
      </c>
      <c r="Z110" s="565">
        <v>52984.834699934188</v>
      </c>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row>
    <row r="111" spans="1:86" ht="15" customHeight="1">
      <c r="A111" s="1058" t="s">
        <v>34</v>
      </c>
      <c r="B111" s="1093"/>
      <c r="C111" s="1094">
        <v>374421.51176312519</v>
      </c>
      <c r="D111" s="1061">
        <v>89.445224352118487</v>
      </c>
      <c r="E111" s="1059" t="s">
        <v>525</v>
      </c>
      <c r="F111" s="1061" t="s">
        <v>525</v>
      </c>
      <c r="G111" s="1059" t="s">
        <v>525</v>
      </c>
      <c r="H111" s="1094">
        <v>410694.56150083174</v>
      </c>
      <c r="I111" s="1061">
        <v>89.421711847591439</v>
      </c>
      <c r="J111" s="1059" t="s">
        <v>525</v>
      </c>
      <c r="K111" s="1061" t="s">
        <v>525</v>
      </c>
      <c r="L111" s="1059" t="s">
        <v>525</v>
      </c>
      <c r="M111" s="1094">
        <v>448662.365292567</v>
      </c>
      <c r="N111" s="1061">
        <v>89.437829075747615</v>
      </c>
      <c r="O111" s="1059" t="s">
        <v>525</v>
      </c>
      <c r="P111" s="1061" t="s">
        <v>525</v>
      </c>
      <c r="Q111" s="1062" t="s">
        <v>525</v>
      </c>
      <c r="X111" s="565"/>
      <c r="Y111" s="565"/>
      <c r="Z111" s="56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5"/>
      <c r="CE111" s="245"/>
      <c r="CF111" s="245"/>
      <c r="CG111" s="245"/>
      <c r="CH111" s="245"/>
    </row>
    <row r="112" spans="1:86" ht="15" customHeight="1">
      <c r="A112" s="1063" t="s">
        <v>35</v>
      </c>
      <c r="B112" s="1091"/>
      <c r="C112" s="1092">
        <v>175767.08666612903</v>
      </c>
      <c r="D112" s="1055">
        <v>41.988844141295665</v>
      </c>
      <c r="E112" s="1056"/>
      <c r="F112" s="1055" t="s">
        <v>525</v>
      </c>
      <c r="G112" s="1051" t="s">
        <v>525</v>
      </c>
      <c r="H112" s="1092">
        <v>193551.29269919355</v>
      </c>
      <c r="I112" s="1055">
        <v>42.142481410582455</v>
      </c>
      <c r="J112" s="1056"/>
      <c r="K112" s="1055" t="s">
        <v>525</v>
      </c>
      <c r="L112" s="1051" t="s">
        <v>525</v>
      </c>
      <c r="M112" s="1092">
        <v>211335.49873225807</v>
      </c>
      <c r="N112" s="1055">
        <v>42.128312235255613</v>
      </c>
      <c r="O112" s="1056"/>
      <c r="P112" s="1055" t="s">
        <v>525</v>
      </c>
      <c r="Q112" s="1057" t="s">
        <v>525</v>
      </c>
      <c r="X112" s="565">
        <v>175767.08666612903</v>
      </c>
      <c r="Y112" s="565">
        <v>193551.29269919355</v>
      </c>
      <c r="Z112" s="565">
        <v>211335.49873225807</v>
      </c>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row>
    <row r="113" spans="1:86" ht="15" customHeight="1">
      <c r="A113" s="1064" t="s">
        <v>7</v>
      </c>
      <c r="B113" s="1095"/>
      <c r="C113" s="1096">
        <v>198654.42509699616</v>
      </c>
      <c r="D113" s="1067">
        <v>47.456380210822822</v>
      </c>
      <c r="E113" s="1059" t="s">
        <v>525</v>
      </c>
      <c r="F113" s="1067" t="s">
        <v>525</v>
      </c>
      <c r="G113" s="1065" t="s">
        <v>525</v>
      </c>
      <c r="H113" s="1096">
        <v>217143.26880163816</v>
      </c>
      <c r="I113" s="1067">
        <v>47.279230437008977</v>
      </c>
      <c r="J113" s="1059" t="s">
        <v>525</v>
      </c>
      <c r="K113" s="1067" t="s">
        <v>525</v>
      </c>
      <c r="L113" s="1065" t="s">
        <v>525</v>
      </c>
      <c r="M113" s="1096">
        <v>237326.8665603089</v>
      </c>
      <c r="N113" s="1067">
        <v>47.309516840491995</v>
      </c>
      <c r="O113" s="1059" t="s">
        <v>525</v>
      </c>
      <c r="P113" s="1067" t="s">
        <v>525</v>
      </c>
      <c r="Q113" s="1068" t="s">
        <v>525</v>
      </c>
      <c r="X113" s="565"/>
      <c r="Y113" s="565"/>
      <c r="Z113" s="56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row>
    <row r="114" spans="1:86" ht="15" customHeight="1">
      <c r="A114" s="1069" t="s">
        <v>9</v>
      </c>
      <c r="B114" s="1091"/>
      <c r="C114" s="1092">
        <v>33386.713333333326</v>
      </c>
      <c r="D114" s="1055">
        <v>7.9757224696243219</v>
      </c>
      <c r="E114" s="1056"/>
      <c r="F114" s="1055" t="s">
        <v>525</v>
      </c>
      <c r="G114" s="1051" t="s">
        <v>525</v>
      </c>
      <c r="H114" s="1092">
        <v>36725.384666666658</v>
      </c>
      <c r="I114" s="1055">
        <v>7.9963239667783332</v>
      </c>
      <c r="J114" s="1056"/>
      <c r="K114" s="1055" t="s">
        <v>525</v>
      </c>
      <c r="L114" s="1051" t="s">
        <v>525</v>
      </c>
      <c r="M114" s="1092">
        <v>40064.05599999999</v>
      </c>
      <c r="N114" s="1055">
        <v>7.9865004729616524</v>
      </c>
      <c r="O114" s="1056"/>
      <c r="P114" s="1055" t="s">
        <v>525</v>
      </c>
      <c r="Q114" s="1057" t="s">
        <v>525</v>
      </c>
      <c r="X114" s="565">
        <v>33386.713333333326</v>
      </c>
      <c r="Y114" s="565">
        <v>36725.384666666658</v>
      </c>
      <c r="Z114" s="565">
        <v>40064.05599999999</v>
      </c>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row>
    <row r="115" spans="1:86" ht="15" customHeight="1">
      <c r="A115" s="1070" t="s">
        <v>52</v>
      </c>
      <c r="B115" s="1091"/>
      <c r="C115" s="1092">
        <v>9688.4166666666697</v>
      </c>
      <c r="D115" s="1055">
        <v>2.3144573031771762</v>
      </c>
      <c r="E115" s="1056"/>
      <c r="F115" s="1055" t="s">
        <v>525</v>
      </c>
      <c r="G115" s="1051" t="s">
        <v>525</v>
      </c>
      <c r="H115" s="1092">
        <v>10657.258333333337</v>
      </c>
      <c r="I115" s="1055">
        <v>2.3204356061743132</v>
      </c>
      <c r="J115" s="1056"/>
      <c r="K115" s="1055" t="s">
        <v>525</v>
      </c>
      <c r="L115" s="1051" t="s">
        <v>525</v>
      </c>
      <c r="M115" s="1092">
        <v>11626.100000000004</v>
      </c>
      <c r="N115" s="1055">
        <v>2.3175849481814703</v>
      </c>
      <c r="O115" s="1056"/>
      <c r="P115" s="1055" t="s">
        <v>525</v>
      </c>
      <c r="Q115" s="1057" t="s">
        <v>525</v>
      </c>
      <c r="X115" s="565">
        <v>9688.4166666666697</v>
      </c>
      <c r="Y115" s="565">
        <v>10657.258333333337</v>
      </c>
      <c r="Z115" s="565">
        <v>11626.100000000004</v>
      </c>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row>
    <row r="116" spans="1:86" ht="15" customHeight="1">
      <c r="A116" s="1070" t="s">
        <v>10</v>
      </c>
      <c r="B116" s="1091"/>
      <c r="C116" s="1092">
        <v>2583.3333333333335</v>
      </c>
      <c r="D116" s="1055">
        <v>0.61713021906307752</v>
      </c>
      <c r="E116" s="1056"/>
      <c r="F116" s="1055" t="s">
        <v>525</v>
      </c>
      <c r="G116" s="1051" t="s">
        <v>525</v>
      </c>
      <c r="H116" s="1092">
        <v>2841.666666666667</v>
      </c>
      <c r="I116" s="1055">
        <v>0.61872428235955046</v>
      </c>
      <c r="J116" s="1056"/>
      <c r="K116" s="1055" t="s">
        <v>525</v>
      </c>
      <c r="L116" s="1051" t="s">
        <v>525</v>
      </c>
      <c r="M116" s="1092">
        <v>3100.0000000000005</v>
      </c>
      <c r="N116" s="1055">
        <v>0.61796417881856824</v>
      </c>
      <c r="O116" s="1056"/>
      <c r="P116" s="1055" t="s">
        <v>525</v>
      </c>
      <c r="Q116" s="1057" t="s">
        <v>525</v>
      </c>
      <c r="X116" s="565">
        <v>2583.3333333333335</v>
      </c>
      <c r="Y116" s="565">
        <v>2841.666666666667</v>
      </c>
      <c r="Z116" s="565">
        <v>3100.0000000000005</v>
      </c>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c r="CB116" s="245"/>
      <c r="CC116" s="245"/>
      <c r="CD116" s="245"/>
      <c r="CE116" s="245"/>
      <c r="CF116" s="245"/>
      <c r="CG116" s="245"/>
      <c r="CH116" s="245"/>
    </row>
    <row r="117" spans="1:86" ht="15" customHeight="1">
      <c r="A117" s="1070" t="s">
        <v>11</v>
      </c>
      <c r="B117" s="1091"/>
      <c r="C117" s="1092">
        <v>6250</v>
      </c>
      <c r="D117" s="1055">
        <v>1.4930569816042196</v>
      </c>
      <c r="E117" s="1056"/>
      <c r="F117" s="1055" t="s">
        <v>525</v>
      </c>
      <c r="G117" s="1051" t="s">
        <v>525</v>
      </c>
      <c r="H117" s="1092">
        <v>6875</v>
      </c>
      <c r="I117" s="1055">
        <v>1.4969135863537508</v>
      </c>
      <c r="J117" s="1056"/>
      <c r="K117" s="1055" t="s">
        <v>525</v>
      </c>
      <c r="L117" s="1051" t="s">
        <v>525</v>
      </c>
      <c r="M117" s="1092">
        <v>7500</v>
      </c>
      <c r="N117" s="1055">
        <v>1.4950746261739551</v>
      </c>
      <c r="O117" s="1056"/>
      <c r="P117" s="1055" t="s">
        <v>525</v>
      </c>
      <c r="Q117" s="1057" t="s">
        <v>525</v>
      </c>
      <c r="X117" s="565">
        <v>6250</v>
      </c>
      <c r="Y117" s="565">
        <v>6875</v>
      </c>
      <c r="Z117" s="565">
        <v>7500</v>
      </c>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c r="CB117" s="245"/>
      <c r="CC117" s="245"/>
      <c r="CD117" s="245"/>
      <c r="CE117" s="245"/>
      <c r="CF117" s="245"/>
      <c r="CG117" s="245"/>
      <c r="CH117" s="245"/>
    </row>
    <row r="118" spans="1:86" ht="15" customHeight="1">
      <c r="A118" s="1070" t="s">
        <v>59</v>
      </c>
      <c r="B118" s="1091"/>
      <c r="C118" s="1092">
        <v>6666.666666666667</v>
      </c>
      <c r="D118" s="1055">
        <v>1.5925941137111679</v>
      </c>
      <c r="E118" s="1056"/>
      <c r="F118" s="1055" t="s">
        <v>525</v>
      </c>
      <c r="G118" s="1051" t="s">
        <v>525</v>
      </c>
      <c r="H118" s="1092">
        <v>7333.3333333333339</v>
      </c>
      <c r="I118" s="1055">
        <v>1.596707825444001</v>
      </c>
      <c r="J118" s="1056"/>
      <c r="K118" s="1055" t="s">
        <v>525</v>
      </c>
      <c r="L118" s="1051" t="s">
        <v>525</v>
      </c>
      <c r="M118" s="1092">
        <v>8000.0000000000009</v>
      </c>
      <c r="N118" s="1055">
        <v>1.5947462679188857</v>
      </c>
      <c r="O118" s="1056"/>
      <c r="P118" s="1055" t="s">
        <v>525</v>
      </c>
      <c r="Q118" s="1057" t="s">
        <v>525</v>
      </c>
      <c r="X118" s="565">
        <v>6666.666666666667</v>
      </c>
      <c r="Y118" s="565">
        <v>7333.3333333333339</v>
      </c>
      <c r="Z118" s="565">
        <v>8000.0000000000009</v>
      </c>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c r="CB118" s="245"/>
      <c r="CC118" s="245"/>
      <c r="CD118" s="245"/>
      <c r="CE118" s="245"/>
      <c r="CF118" s="245"/>
      <c r="CG118" s="245"/>
      <c r="CH118" s="245"/>
    </row>
    <row r="119" spans="1:86" ht="15" customHeight="1">
      <c r="A119" s="1070" t="s">
        <v>12</v>
      </c>
      <c r="B119" s="1091"/>
      <c r="C119" s="1092">
        <v>750</v>
      </c>
      <c r="D119" s="1055">
        <v>0.17916683779250636</v>
      </c>
      <c r="E119" s="1056"/>
      <c r="F119" s="1055" t="s">
        <v>525</v>
      </c>
      <c r="G119" s="1051" t="s">
        <v>525</v>
      </c>
      <c r="H119" s="1092">
        <v>825</v>
      </c>
      <c r="I119" s="1055">
        <v>0.17962963036245011</v>
      </c>
      <c r="J119" s="1056"/>
      <c r="K119" s="1055" t="s">
        <v>525</v>
      </c>
      <c r="L119" s="1051" t="s">
        <v>525</v>
      </c>
      <c r="M119" s="1092">
        <v>900</v>
      </c>
      <c r="N119" s="1055">
        <v>0.17940895514087463</v>
      </c>
      <c r="O119" s="1056"/>
      <c r="P119" s="1055" t="s">
        <v>525</v>
      </c>
      <c r="Q119" s="1057" t="s">
        <v>525</v>
      </c>
      <c r="X119" s="565">
        <v>750</v>
      </c>
      <c r="Y119" s="565">
        <v>825</v>
      </c>
      <c r="Z119" s="565">
        <v>900</v>
      </c>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row>
    <row r="120" spans="1:86" ht="15" customHeight="1">
      <c r="A120" s="1070" t="s">
        <v>13</v>
      </c>
      <c r="B120" s="1091"/>
      <c r="C120" s="1092">
        <v>1000</v>
      </c>
      <c r="D120" s="1055">
        <v>0.23888911705667515</v>
      </c>
      <c r="E120" s="1056"/>
      <c r="F120" s="1055" t="s">
        <v>525</v>
      </c>
      <c r="G120" s="1051" t="s">
        <v>525</v>
      </c>
      <c r="H120" s="1092">
        <v>1100</v>
      </c>
      <c r="I120" s="1055">
        <v>0.23950617381660014</v>
      </c>
      <c r="J120" s="1056"/>
      <c r="K120" s="1055" t="s">
        <v>525</v>
      </c>
      <c r="L120" s="1051" t="s">
        <v>525</v>
      </c>
      <c r="M120" s="1092">
        <v>1200</v>
      </c>
      <c r="N120" s="1055">
        <v>0.23921194018783282</v>
      </c>
      <c r="O120" s="1056"/>
      <c r="P120" s="1055" t="s">
        <v>525</v>
      </c>
      <c r="Q120" s="1057" t="s">
        <v>525</v>
      </c>
      <c r="X120" s="565">
        <v>1000</v>
      </c>
      <c r="Y120" s="565">
        <v>1100</v>
      </c>
      <c r="Z120" s="565">
        <v>1200</v>
      </c>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row>
    <row r="121" spans="1:86" ht="15" customHeight="1">
      <c r="A121" s="1070" t="s">
        <v>14</v>
      </c>
      <c r="B121" s="1091"/>
      <c r="C121" s="1092">
        <v>9416.6666666666661</v>
      </c>
      <c r="D121" s="1055">
        <v>2.2495391856170244</v>
      </c>
      <c r="E121" s="1056"/>
      <c r="F121" s="1055" t="s">
        <v>525</v>
      </c>
      <c r="G121" s="1051" t="s">
        <v>525</v>
      </c>
      <c r="H121" s="1092">
        <v>10358.333333333332</v>
      </c>
      <c r="I121" s="1055">
        <v>2.2553498034396511</v>
      </c>
      <c r="J121" s="1056"/>
      <c r="K121" s="1055" t="s">
        <v>525</v>
      </c>
      <c r="L121" s="1051" t="s">
        <v>525</v>
      </c>
      <c r="M121" s="1092">
        <v>11299.999999999998</v>
      </c>
      <c r="N121" s="1055">
        <v>2.252579103435425</v>
      </c>
      <c r="O121" s="1056"/>
      <c r="P121" s="1055" t="s">
        <v>525</v>
      </c>
      <c r="Q121" s="1057" t="s">
        <v>525</v>
      </c>
      <c r="X121" s="565">
        <v>9416.6666666666661</v>
      </c>
      <c r="Y121" s="565">
        <v>10358.333333333332</v>
      </c>
      <c r="Z121" s="565">
        <v>11299.999999999998</v>
      </c>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row>
    <row r="122" spans="1:86" ht="15" customHeight="1">
      <c r="A122" s="1070" t="s">
        <v>15</v>
      </c>
      <c r="B122" s="1091"/>
      <c r="C122" s="1092">
        <v>50000</v>
      </c>
      <c r="D122" s="1055">
        <v>11.944455852833757</v>
      </c>
      <c r="E122" s="1056"/>
      <c r="F122" s="1055" t="s">
        <v>525</v>
      </c>
      <c r="G122" s="1051" t="s">
        <v>525</v>
      </c>
      <c r="H122" s="1092">
        <v>55000</v>
      </c>
      <c r="I122" s="1055">
        <v>11.975308690830007</v>
      </c>
      <c r="J122" s="1056"/>
      <c r="K122" s="1055" t="s">
        <v>525</v>
      </c>
      <c r="L122" s="1051" t="s">
        <v>525</v>
      </c>
      <c r="M122" s="1092">
        <v>60000</v>
      </c>
      <c r="N122" s="1055">
        <v>11.960597009391641</v>
      </c>
      <c r="O122" s="1056"/>
      <c r="P122" s="1055" t="s">
        <v>525</v>
      </c>
      <c r="Q122" s="1057" t="s">
        <v>525</v>
      </c>
      <c r="X122" s="565">
        <v>50000</v>
      </c>
      <c r="Y122" s="565">
        <v>55000</v>
      </c>
      <c r="Z122" s="565">
        <v>60000</v>
      </c>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row>
    <row r="123" spans="1:86" ht="15" customHeight="1" thickBot="1">
      <c r="A123" s="1089" t="s">
        <v>16</v>
      </c>
      <c r="B123" s="1097"/>
      <c r="C123" s="1092">
        <v>119741.79666666665</v>
      </c>
      <c r="D123" s="1055">
        <v>28.605012080479923</v>
      </c>
      <c r="E123" s="1074" t="s">
        <v>525</v>
      </c>
      <c r="F123" s="1055" t="s">
        <v>525</v>
      </c>
      <c r="G123" s="1074" t="s">
        <v>525</v>
      </c>
      <c r="H123" s="1092">
        <v>131715.97633333332</v>
      </c>
      <c r="I123" s="1055">
        <v>28.678899565558659</v>
      </c>
      <c r="J123" s="1074" t="s">
        <v>525</v>
      </c>
      <c r="K123" s="1055" t="s">
        <v>525</v>
      </c>
      <c r="L123" s="1074" t="s">
        <v>525</v>
      </c>
      <c r="M123" s="1092">
        <v>143690.15599999999</v>
      </c>
      <c r="N123" s="1055">
        <v>28.643667502210302</v>
      </c>
      <c r="O123" s="1074" t="s">
        <v>525</v>
      </c>
      <c r="P123" s="1055" t="s">
        <v>525</v>
      </c>
      <c r="Q123" s="1075" t="s">
        <v>525</v>
      </c>
      <c r="X123" s="565">
        <v>119741.79666666665</v>
      </c>
      <c r="Y123" s="565">
        <v>131715.97633333332</v>
      </c>
      <c r="Z123" s="565">
        <v>143690.15599999999</v>
      </c>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row>
    <row r="124" spans="1:86" ht="15" customHeight="1">
      <c r="A124" s="1076" t="s">
        <v>18</v>
      </c>
      <c r="B124" s="1093"/>
      <c r="C124" s="1094">
        <v>78912.628430329511</v>
      </c>
      <c r="D124" s="1061">
        <v>18.851368130342898</v>
      </c>
      <c r="E124" s="1059" t="s">
        <v>525</v>
      </c>
      <c r="F124" s="1061" t="s">
        <v>525</v>
      </c>
      <c r="G124" s="1059" t="s">
        <v>525</v>
      </c>
      <c r="H124" s="1094">
        <v>85427.292468304862</v>
      </c>
      <c r="I124" s="1061">
        <v>18.600330871450328</v>
      </c>
      <c r="J124" s="1059" t="s">
        <v>525</v>
      </c>
      <c r="K124" s="1061" t="s">
        <v>525</v>
      </c>
      <c r="L124" s="1059" t="s">
        <v>525</v>
      </c>
      <c r="M124" s="1094">
        <v>93636.710560308929</v>
      </c>
      <c r="N124" s="1061">
        <v>18.665849338281696</v>
      </c>
      <c r="O124" s="1059" t="s">
        <v>525</v>
      </c>
      <c r="P124" s="1061" t="s">
        <v>525</v>
      </c>
      <c r="Q124" s="1062" t="s">
        <v>525</v>
      </c>
      <c r="X124" s="565"/>
      <c r="Y124" s="565"/>
      <c r="Z124" s="56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row>
    <row r="125" spans="1:86" ht="15" customHeight="1">
      <c r="A125" s="1063" t="s">
        <v>36</v>
      </c>
      <c r="B125" s="1091"/>
      <c r="C125" s="1092">
        <v>0</v>
      </c>
      <c r="D125" s="1077"/>
      <c r="E125" s="1056"/>
      <c r="F125" s="1077"/>
      <c r="G125" s="1051" t="s">
        <v>525</v>
      </c>
      <c r="H125" s="1092">
        <v>0</v>
      </c>
      <c r="I125" s="1077"/>
      <c r="J125" s="1056"/>
      <c r="K125" s="1077"/>
      <c r="L125" s="1051" t="s">
        <v>525</v>
      </c>
      <c r="M125" s="1092">
        <v>0</v>
      </c>
      <c r="N125" s="1077"/>
      <c r="O125" s="1056"/>
      <c r="P125" s="1077"/>
      <c r="Q125" s="1057" t="s">
        <v>525</v>
      </c>
      <c r="X125" s="565">
        <v>0</v>
      </c>
      <c r="Y125" s="565">
        <v>0</v>
      </c>
      <c r="Z125" s="565">
        <v>0</v>
      </c>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row>
    <row r="126" spans="1:86" ht="15" customHeight="1">
      <c r="A126" s="1063" t="s">
        <v>754</v>
      </c>
      <c r="B126" s="1091"/>
      <c r="C126" s="1092">
        <v>0</v>
      </c>
      <c r="D126" s="1077"/>
      <c r="E126" s="1056"/>
      <c r="F126" s="1077"/>
      <c r="G126" s="1051" t="s">
        <v>525</v>
      </c>
      <c r="H126" s="1092">
        <v>0</v>
      </c>
      <c r="I126" s="1077"/>
      <c r="J126" s="1056"/>
      <c r="K126" s="1077"/>
      <c r="L126" s="1051" t="s">
        <v>525</v>
      </c>
      <c r="M126" s="1092">
        <v>0</v>
      </c>
      <c r="N126" s="1077"/>
      <c r="O126" s="1056"/>
      <c r="P126" s="1077"/>
      <c r="Q126" s="1057" t="s">
        <v>525</v>
      </c>
      <c r="X126" s="565">
        <v>0</v>
      </c>
      <c r="Y126" s="565">
        <v>0</v>
      </c>
      <c r="Z126" s="565">
        <v>0</v>
      </c>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c r="CA126" s="245"/>
      <c r="CB126" s="245"/>
      <c r="CC126" s="245"/>
      <c r="CD126" s="245"/>
      <c r="CE126" s="245"/>
      <c r="CF126" s="245"/>
      <c r="CG126" s="245"/>
      <c r="CH126" s="245"/>
    </row>
    <row r="127" spans="1:86" ht="15" customHeight="1">
      <c r="A127" s="1063" t="s">
        <v>646</v>
      </c>
      <c r="B127" s="1091"/>
      <c r="C127" s="1092">
        <v>0</v>
      </c>
      <c r="D127" s="1077"/>
      <c r="E127" s="1056"/>
      <c r="F127" s="1077"/>
      <c r="G127" s="1051"/>
      <c r="H127" s="1092">
        <v>0</v>
      </c>
      <c r="I127" s="1077"/>
      <c r="J127" s="1056"/>
      <c r="K127" s="1077"/>
      <c r="L127" s="1051"/>
      <c r="M127" s="1092">
        <v>0</v>
      </c>
      <c r="N127" s="1077"/>
      <c r="O127" s="1056"/>
      <c r="P127" s="1077"/>
      <c r="Q127" s="1057"/>
      <c r="X127" s="565"/>
      <c r="Y127" s="565"/>
      <c r="Z127" s="56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c r="CH127" s="245"/>
    </row>
    <row r="128" spans="1:86" ht="15" customHeight="1">
      <c r="A128" s="1058" t="s">
        <v>40</v>
      </c>
      <c r="B128" s="1093"/>
      <c r="C128" s="1094">
        <v>78912.628430329511</v>
      </c>
      <c r="D128" s="1078"/>
      <c r="E128" s="1059" t="s">
        <v>525</v>
      </c>
      <c r="F128" s="1078"/>
      <c r="G128" s="1059" t="s">
        <v>525</v>
      </c>
      <c r="H128" s="1094">
        <v>85427.292468304862</v>
      </c>
      <c r="I128" s="1078"/>
      <c r="J128" s="1059" t="s">
        <v>525</v>
      </c>
      <c r="K128" s="1078"/>
      <c r="L128" s="1059" t="s">
        <v>525</v>
      </c>
      <c r="M128" s="1094">
        <v>93636.710560308929</v>
      </c>
      <c r="N128" s="1078"/>
      <c r="O128" s="1059" t="s">
        <v>525</v>
      </c>
      <c r="P128" s="1078"/>
      <c r="Q128" s="1062" t="s">
        <v>525</v>
      </c>
      <c r="X128" s="565"/>
      <c r="Y128" s="565"/>
      <c r="Z128" s="56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row>
    <row r="129" spans="1:86" ht="15" customHeight="1">
      <c r="A129" s="1063" t="s">
        <v>14</v>
      </c>
      <c r="B129" s="1091"/>
      <c r="C129" s="1092">
        <v>9416.6666666666661</v>
      </c>
      <c r="D129" s="1077"/>
      <c r="E129" s="1079" t="s">
        <v>525</v>
      </c>
      <c r="F129" s="1077"/>
      <c r="G129" s="1051" t="s">
        <v>525</v>
      </c>
      <c r="H129" s="1092">
        <v>10358.333333333332</v>
      </c>
      <c r="I129" s="1077"/>
      <c r="J129" s="1079" t="s">
        <v>525</v>
      </c>
      <c r="K129" s="1077"/>
      <c r="L129" s="1051" t="s">
        <v>525</v>
      </c>
      <c r="M129" s="1092">
        <v>11299.999999999998</v>
      </c>
      <c r="N129" s="1077"/>
      <c r="O129" s="1079" t="s">
        <v>525</v>
      </c>
      <c r="P129" s="1077"/>
      <c r="Q129" s="1057" t="s">
        <v>525</v>
      </c>
      <c r="X129" s="565">
        <v>9416.6666666666661</v>
      </c>
      <c r="Y129" s="565">
        <v>10358.333333333332</v>
      </c>
      <c r="Z129" s="565">
        <v>11299.999999999998</v>
      </c>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c r="CH129" s="245"/>
    </row>
    <row r="130" spans="1:86" ht="15" customHeight="1">
      <c r="A130" s="1058" t="s">
        <v>42</v>
      </c>
      <c r="B130" s="1093"/>
      <c r="C130" s="1094">
        <v>88329.295096996168</v>
      </c>
      <c r="D130" s="1078"/>
      <c r="E130" s="1059" t="s">
        <v>525</v>
      </c>
      <c r="F130" s="1078"/>
      <c r="G130" s="1059" t="s">
        <v>525</v>
      </c>
      <c r="H130" s="1094">
        <v>95785.625801638176</v>
      </c>
      <c r="I130" s="1078"/>
      <c r="J130" s="1059" t="s">
        <v>525</v>
      </c>
      <c r="K130" s="1078"/>
      <c r="L130" s="1059" t="s">
        <v>525</v>
      </c>
      <c r="M130" s="1094">
        <v>104936.71056030891</v>
      </c>
      <c r="N130" s="1078"/>
      <c r="O130" s="1059" t="s">
        <v>525</v>
      </c>
      <c r="P130" s="1078"/>
      <c r="Q130" s="1062" t="s">
        <v>525</v>
      </c>
      <c r="X130" s="565"/>
      <c r="Y130" s="565"/>
      <c r="Z130" s="56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row>
    <row r="131" spans="1:86" ht="15" customHeight="1">
      <c r="A131" s="1080" t="s">
        <v>1093</v>
      </c>
      <c r="B131" s="1091"/>
      <c r="C131" s="1092">
        <v>25648.333333333332</v>
      </c>
      <c r="D131" s="1077"/>
      <c r="E131" s="1079"/>
      <c r="F131" s="1077"/>
      <c r="G131" s="1051" t="s">
        <v>525</v>
      </c>
      <c r="H131" s="1092">
        <v>28213.166666666664</v>
      </c>
      <c r="I131" s="1077"/>
      <c r="J131" s="1079"/>
      <c r="K131" s="1077"/>
      <c r="L131" s="1051" t="s">
        <v>525</v>
      </c>
      <c r="M131" s="1092">
        <v>30777.999999999996</v>
      </c>
      <c r="N131" s="1077"/>
      <c r="O131" s="1079"/>
      <c r="P131" s="1077"/>
      <c r="Q131" s="1057" t="s">
        <v>525</v>
      </c>
      <c r="X131" s="565">
        <v>25648.333333333332</v>
      </c>
      <c r="Y131" s="565">
        <v>28213.166666666664</v>
      </c>
      <c r="Z131" s="565">
        <v>30777.999999999996</v>
      </c>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row>
    <row r="132" spans="1:86" ht="15" customHeight="1">
      <c r="A132" s="1080" t="s">
        <v>1094</v>
      </c>
      <c r="B132" s="1091"/>
      <c r="C132" s="1092">
        <v>49254.756145392952</v>
      </c>
      <c r="D132" s="1077"/>
      <c r="E132" s="1079"/>
      <c r="F132" s="1077"/>
      <c r="G132" s="1051" t="s">
        <v>525</v>
      </c>
      <c r="H132" s="1092">
        <v>54238.378210324285</v>
      </c>
      <c r="I132" s="1077"/>
      <c r="J132" s="1079"/>
      <c r="K132" s="1077"/>
      <c r="L132" s="1051" t="s">
        <v>525</v>
      </c>
      <c r="M132" s="1092">
        <v>59222.000275255617</v>
      </c>
      <c r="N132" s="1077"/>
      <c r="O132" s="1079"/>
      <c r="P132" s="1077"/>
      <c r="Q132" s="1057" t="s">
        <v>525</v>
      </c>
      <c r="X132" s="565">
        <v>49254.756145392952</v>
      </c>
      <c r="Y132" s="565">
        <v>54238.378210324285</v>
      </c>
      <c r="Z132" s="565">
        <v>59222.000275255617</v>
      </c>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c r="CB132" s="245"/>
      <c r="CC132" s="245"/>
      <c r="CD132" s="245"/>
      <c r="CE132" s="245"/>
      <c r="CF132" s="245"/>
      <c r="CG132" s="245"/>
      <c r="CH132" s="245"/>
    </row>
    <row r="133" spans="1:86" ht="15" customHeight="1">
      <c r="A133" s="1090" t="s">
        <v>751</v>
      </c>
      <c r="B133" s="1091"/>
      <c r="C133" s="1092">
        <v>74903.089478726295</v>
      </c>
      <c r="D133" s="1077"/>
      <c r="E133" s="1056"/>
      <c r="F133" s="1077"/>
      <c r="G133" s="1051" t="s">
        <v>525</v>
      </c>
      <c r="H133" s="1092">
        <v>82451.544876990956</v>
      </c>
      <c r="I133" s="1077"/>
      <c r="J133" s="1056"/>
      <c r="K133" s="1077"/>
      <c r="L133" s="1051" t="s">
        <v>525</v>
      </c>
      <c r="M133" s="1092">
        <v>90000.000275255617</v>
      </c>
      <c r="N133" s="1077"/>
      <c r="O133" s="1056"/>
      <c r="P133" s="1077"/>
      <c r="Q133" s="1057" t="s">
        <v>525</v>
      </c>
      <c r="X133" s="565">
        <v>74903.089478726295</v>
      </c>
      <c r="Y133" s="565">
        <v>82451.544876990956</v>
      </c>
      <c r="Z133" s="565">
        <v>90000.000275255617</v>
      </c>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row>
    <row r="134" spans="1:86" ht="15" customHeight="1">
      <c r="A134" s="1082" t="s">
        <v>111</v>
      </c>
      <c r="B134" s="1091"/>
      <c r="C134" s="1092">
        <v>11818.500000000002</v>
      </c>
      <c r="D134" s="1077"/>
      <c r="E134" s="1056"/>
      <c r="F134" s="1077"/>
      <c r="G134" s="1051" t="s">
        <v>525</v>
      </c>
      <c r="H134" s="1092">
        <v>12550.350000000002</v>
      </c>
      <c r="I134" s="1077"/>
      <c r="J134" s="1056"/>
      <c r="K134" s="1077"/>
      <c r="L134" s="1051" t="s">
        <v>525</v>
      </c>
      <c r="M134" s="1092">
        <v>13282.200000000003</v>
      </c>
      <c r="N134" s="1077"/>
      <c r="O134" s="1056"/>
      <c r="P134" s="1077"/>
      <c r="Q134" s="1057" t="s">
        <v>525</v>
      </c>
      <c r="X134" s="565">
        <v>11818.500000000002</v>
      </c>
      <c r="Y134" s="565">
        <v>12550.350000000002</v>
      </c>
      <c r="Z134" s="565">
        <v>13282.200000000003</v>
      </c>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row>
    <row r="135" spans="1:86" ht="15" customHeight="1">
      <c r="A135" s="1083" t="s">
        <v>43</v>
      </c>
      <c r="B135" s="1097"/>
      <c r="C135" s="1092">
        <v>0</v>
      </c>
      <c r="D135" s="1077"/>
      <c r="E135" s="1056"/>
      <c r="F135" s="1077"/>
      <c r="G135" s="1051" t="s">
        <v>525</v>
      </c>
      <c r="H135" s="1092">
        <v>0</v>
      </c>
      <c r="I135" s="1077"/>
      <c r="J135" s="1056"/>
      <c r="K135" s="1077"/>
      <c r="L135" s="1051" t="s">
        <v>525</v>
      </c>
      <c r="M135" s="1092">
        <v>0</v>
      </c>
      <c r="N135" s="1077"/>
      <c r="O135" s="1056"/>
      <c r="P135" s="1077"/>
      <c r="Q135" s="1057" t="s">
        <v>525</v>
      </c>
      <c r="X135" s="565">
        <v>0</v>
      </c>
      <c r="Y135" s="565">
        <v>0</v>
      </c>
      <c r="Z135" s="565">
        <v>0</v>
      </c>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c r="CB135" s="245"/>
      <c r="CC135" s="245"/>
      <c r="CD135" s="245"/>
      <c r="CE135" s="245"/>
      <c r="CF135" s="245"/>
      <c r="CG135" s="245"/>
      <c r="CH135" s="245"/>
    </row>
    <row r="136" spans="1:86" ht="15" customHeight="1">
      <c r="A136" s="1085" t="s">
        <v>748</v>
      </c>
      <c r="B136" s="1093"/>
      <c r="C136" s="1094">
        <v>1704.6164147992013</v>
      </c>
      <c r="D136" s="1078"/>
      <c r="E136" s="1059" t="s">
        <v>525</v>
      </c>
      <c r="F136" s="1078"/>
      <c r="G136" s="1059" t="s">
        <v>525</v>
      </c>
      <c r="H136" s="1094">
        <v>880.64172117654414</v>
      </c>
      <c r="I136" s="1078"/>
      <c r="J136" s="1059" t="s">
        <v>525</v>
      </c>
      <c r="K136" s="1078"/>
      <c r="L136" s="1059" t="s">
        <v>525</v>
      </c>
      <c r="M136" s="1094">
        <v>1751.4210815826088</v>
      </c>
      <c r="N136" s="1078"/>
      <c r="O136" s="1059" t="s">
        <v>525</v>
      </c>
      <c r="P136" s="1078"/>
      <c r="Q136" s="1062" t="s">
        <v>525</v>
      </c>
      <c r="X136" s="565"/>
      <c r="Y136" s="565"/>
      <c r="Z136" s="56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c r="CH136" s="245"/>
    </row>
    <row r="137" spans="1:86" ht="15" customHeight="1">
      <c r="X137" s="565"/>
      <c r="Y137" s="565"/>
      <c r="Z137" s="565"/>
    </row>
    <row r="138" spans="1:86" ht="15" customHeight="1">
      <c r="X138" s="565"/>
      <c r="Y138" s="565"/>
      <c r="Z138" s="565"/>
    </row>
    <row r="139" spans="1:86" ht="15" customHeight="1">
      <c r="X139" s="565"/>
      <c r="Y139" s="565"/>
      <c r="Z139" s="565"/>
    </row>
    <row r="140" spans="1:86" ht="15" customHeight="1">
      <c r="X140" s="565"/>
      <c r="Y140" s="565"/>
      <c r="Z140" s="565"/>
    </row>
    <row r="141" spans="1:86" ht="15" customHeight="1">
      <c r="X141" s="565"/>
      <c r="Y141" s="565"/>
      <c r="Z141" s="565"/>
    </row>
    <row r="142" spans="1:86" ht="15" customHeight="1">
      <c r="X142" s="565"/>
      <c r="Y142" s="565"/>
      <c r="Z142" s="565"/>
    </row>
    <row r="143" spans="1:86" ht="15" customHeight="1">
      <c r="X143" s="565"/>
      <c r="Y143" s="565"/>
      <c r="Z143" s="565"/>
    </row>
    <row r="144" spans="1:86" ht="15" customHeight="1">
      <c r="X144" s="565"/>
      <c r="Y144" s="565"/>
      <c r="Z144" s="565"/>
    </row>
    <row r="145" spans="1:26" ht="15" customHeight="1">
      <c r="X145" s="565"/>
      <c r="Y145" s="565"/>
      <c r="Z145" s="565"/>
    </row>
    <row r="146" spans="1:26" ht="15" customHeight="1">
      <c r="X146" s="565"/>
      <c r="Y146" s="565"/>
      <c r="Z146" s="565"/>
    </row>
    <row r="147" spans="1:26" ht="15" customHeight="1">
      <c r="X147" s="565"/>
      <c r="Y147" s="565"/>
      <c r="Z147" s="565"/>
    </row>
    <row r="148" spans="1:26" ht="15" customHeight="1">
      <c r="X148" s="565"/>
      <c r="Y148" s="565"/>
      <c r="Z148" s="565"/>
    </row>
    <row r="149" spans="1:26" ht="15" customHeight="1">
      <c r="A149" s="494"/>
      <c r="X149" s="565"/>
      <c r="Y149" s="565"/>
      <c r="Z149" s="565"/>
    </row>
    <row r="150" spans="1:26" ht="15" customHeight="1">
      <c r="A150" s="494"/>
      <c r="X150" s="565"/>
      <c r="Y150" s="565"/>
      <c r="Z150" s="565"/>
    </row>
    <row r="151" spans="1:26" ht="15" customHeight="1">
      <c r="A151" s="494"/>
      <c r="X151" s="565"/>
      <c r="Y151" s="565"/>
      <c r="Z151" s="565"/>
    </row>
    <row r="152" spans="1:26" ht="15" customHeight="1">
      <c r="A152" s="494"/>
      <c r="X152" s="565"/>
      <c r="Y152" s="565"/>
      <c r="Z152" s="565"/>
    </row>
    <row r="153" spans="1:26" ht="15" customHeight="1">
      <c r="A153" s="494"/>
      <c r="X153" s="565"/>
      <c r="Y153" s="565"/>
      <c r="Z153" s="565"/>
    </row>
  </sheetData>
  <mergeCells count="37">
    <mergeCell ref="O105:P105"/>
    <mergeCell ref="C104:D104"/>
    <mergeCell ref="H104:I104"/>
    <mergeCell ref="M104:N104"/>
    <mergeCell ref="C105:D105"/>
    <mergeCell ref="E105:F105"/>
    <mergeCell ref="H105:I105"/>
    <mergeCell ref="J105:K105"/>
    <mergeCell ref="M105:N105"/>
    <mergeCell ref="O71:P71"/>
    <mergeCell ref="C70:D70"/>
    <mergeCell ref="H70:I70"/>
    <mergeCell ref="M70:N70"/>
    <mergeCell ref="C71:D71"/>
    <mergeCell ref="E71:F71"/>
    <mergeCell ref="H71:I71"/>
    <mergeCell ref="J71:K71"/>
    <mergeCell ref="M71:N71"/>
    <mergeCell ref="O37:P37"/>
    <mergeCell ref="C36:D36"/>
    <mergeCell ref="H36:I36"/>
    <mergeCell ref="M36:N36"/>
    <mergeCell ref="C37:D37"/>
    <mergeCell ref="E37:F37"/>
    <mergeCell ref="H37:I37"/>
    <mergeCell ref="J37:K37"/>
    <mergeCell ref="M37:N37"/>
    <mergeCell ref="A1:O1"/>
    <mergeCell ref="O3:P3"/>
    <mergeCell ref="C2:D2"/>
    <mergeCell ref="H2:I2"/>
    <mergeCell ref="M2:N2"/>
    <mergeCell ref="C3:D3"/>
    <mergeCell ref="E3:F3"/>
    <mergeCell ref="H3:I3"/>
    <mergeCell ref="J3:K3"/>
    <mergeCell ref="M3:N3"/>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D132"/>
  <sheetViews>
    <sheetView showGridLines="0" workbookViewId="0">
      <selection activeCell="D5" sqref="D5"/>
    </sheetView>
  </sheetViews>
  <sheetFormatPr baseColWidth="10" defaultColWidth="11.44140625" defaultRowHeight="13.2"/>
  <cols>
    <col min="1" max="1" width="23" style="1026" bestFit="1" customWidth="1"/>
    <col min="2" max="2" width="9.44140625" style="389" customWidth="1"/>
    <col min="3" max="3" width="4.77734375" style="389" customWidth="1"/>
    <col min="4" max="4" width="9.44140625" style="389" customWidth="1"/>
    <col min="5" max="5" width="4.77734375" style="389" customWidth="1"/>
    <col min="6" max="6" width="7.44140625" style="389" customWidth="1"/>
    <col min="7" max="7" width="2.44140625" style="389" customWidth="1"/>
    <col min="8" max="10" width="7.77734375" style="389" customWidth="1"/>
    <col min="11" max="11" width="2.44140625" style="389" customWidth="1"/>
    <col min="12" max="14" width="7.77734375" style="389" customWidth="1"/>
    <col min="15" max="15" width="2.44140625" style="389" customWidth="1"/>
    <col min="16" max="18" width="7.77734375" style="389" customWidth="1"/>
    <col min="19" max="19" width="2.44140625" style="389" customWidth="1"/>
    <col min="20" max="22" width="7.77734375" style="389" customWidth="1"/>
    <col min="23" max="45" width="3.44140625" style="389" customWidth="1"/>
    <col min="46" max="46" width="4" style="389" customWidth="1"/>
    <col min="47" max="48" width="3.44140625" style="389" customWidth="1"/>
    <col min="49" max="49" width="11.44140625" style="389"/>
    <col min="50" max="50" width="10.5546875" style="389" customWidth="1"/>
    <col min="51" max="55" width="6.5546875" style="389" customWidth="1"/>
    <col min="56" max="56" width="8.44140625" style="389" customWidth="1"/>
    <col min="57" max="57" width="9.44140625" style="389" customWidth="1"/>
    <col min="58" max="58" width="10.21875" style="389" customWidth="1"/>
    <col min="59" max="83" width="6.77734375" style="389" customWidth="1"/>
    <col min="84" max="84" width="6" style="389" customWidth="1"/>
    <col min="85" max="85" width="6.5546875" style="389" customWidth="1"/>
    <col min="86" max="86" width="5.5546875" style="389" customWidth="1"/>
    <col min="87" max="16384" width="11.44140625" style="389"/>
  </cols>
  <sheetData>
    <row r="1" spans="1:82" s="494" customFormat="1" ht="34.5" customHeight="1">
      <c r="A1" s="625" t="s">
        <v>1141</v>
      </c>
      <c r="H1" s="1869"/>
    </row>
    <row r="2" spans="1:82" ht="16.5" customHeight="1">
      <c r="A2" s="1102" t="s">
        <v>1431</v>
      </c>
      <c r="B2" s="4472" t="s">
        <v>780</v>
      </c>
      <c r="C2" s="4473"/>
      <c r="D2" s="4473"/>
      <c r="E2" s="4473"/>
      <c r="F2" s="4474"/>
      <c r="G2" s="494"/>
      <c r="H2" s="1103">
        <v>44927</v>
      </c>
      <c r="I2" s="1104" t="s">
        <v>396</v>
      </c>
      <c r="J2" s="1105">
        <v>44991</v>
      </c>
      <c r="K2" s="1003"/>
      <c r="L2" s="1103">
        <v>45023</v>
      </c>
      <c r="M2" s="1104" t="s">
        <v>396</v>
      </c>
      <c r="N2" s="1103">
        <v>45087</v>
      </c>
      <c r="O2" s="1003"/>
      <c r="P2" s="1103">
        <v>45119</v>
      </c>
      <c r="Q2" s="1104" t="s">
        <v>396</v>
      </c>
      <c r="R2" s="1103">
        <v>45183</v>
      </c>
      <c r="S2" s="1003"/>
      <c r="T2" s="1103">
        <v>45215</v>
      </c>
      <c r="U2" s="1104" t="s">
        <v>396</v>
      </c>
      <c r="V2" s="1103">
        <v>45279</v>
      </c>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A2" s="1003"/>
      <c r="CB2" s="1003"/>
      <c r="CC2" s="1003"/>
      <c r="CD2" s="1003"/>
    </row>
    <row r="3" spans="1:82" ht="16.5" customHeight="1">
      <c r="A3" s="1102"/>
      <c r="B3" s="4472" t="s">
        <v>753</v>
      </c>
      <c r="C3" s="4474"/>
      <c r="D3" s="4472" t="s">
        <v>745</v>
      </c>
      <c r="E3" s="4474"/>
      <c r="F3" s="1106" t="s">
        <v>126</v>
      </c>
      <c r="G3" s="494"/>
      <c r="H3" s="4470" t="s">
        <v>755</v>
      </c>
      <c r="I3" s="4471"/>
      <c r="J3" s="1107" t="s">
        <v>126</v>
      </c>
      <c r="K3" s="1003"/>
      <c r="L3" s="4470" t="s">
        <v>756</v>
      </c>
      <c r="M3" s="4471"/>
      <c r="N3" s="1107" t="s">
        <v>126</v>
      </c>
      <c r="O3" s="1003"/>
      <c r="P3" s="4470" t="s">
        <v>757</v>
      </c>
      <c r="Q3" s="4471"/>
      <c r="R3" s="1107" t="s">
        <v>126</v>
      </c>
      <c r="S3" s="1003"/>
      <c r="T3" s="4470" t="s">
        <v>758</v>
      </c>
      <c r="U3" s="4471"/>
      <c r="V3" s="1107" t="s">
        <v>126</v>
      </c>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row>
    <row r="4" spans="1:82" ht="16.5" customHeight="1">
      <c r="A4" s="1007" t="s">
        <v>733</v>
      </c>
      <c r="B4" s="1108">
        <v>0</v>
      </c>
      <c r="C4" s="1108" t="s">
        <v>28</v>
      </c>
      <c r="D4" s="1108">
        <v>0</v>
      </c>
      <c r="E4" s="1108" t="s">
        <v>28</v>
      </c>
      <c r="F4" s="1109">
        <v>0</v>
      </c>
      <c r="G4" s="494"/>
      <c r="H4" s="1110" t="s">
        <v>525</v>
      </c>
      <c r="I4" s="109" t="s">
        <v>525</v>
      </c>
      <c r="J4" s="1109" t="s">
        <v>525</v>
      </c>
      <c r="K4" s="1003"/>
      <c r="L4" s="1110" t="s">
        <v>525</v>
      </c>
      <c r="M4" s="109" t="s">
        <v>525</v>
      </c>
      <c r="N4" s="1109" t="s">
        <v>525</v>
      </c>
      <c r="O4" s="1003"/>
      <c r="P4" s="1110" t="s">
        <v>525</v>
      </c>
      <c r="Q4" s="109" t="s">
        <v>525</v>
      </c>
      <c r="R4" s="1109" t="s">
        <v>525</v>
      </c>
      <c r="S4" s="1003"/>
      <c r="T4" s="1110" t="s">
        <v>525</v>
      </c>
      <c r="U4" s="109" t="s">
        <v>525</v>
      </c>
      <c r="V4" s="1109" t="s">
        <v>525</v>
      </c>
      <c r="W4" s="1111"/>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row>
    <row r="5" spans="1:82" ht="16.5" customHeight="1">
      <c r="A5" s="1005" t="s">
        <v>405</v>
      </c>
      <c r="B5" s="110">
        <v>0</v>
      </c>
      <c r="C5" s="1055" t="s">
        <v>525</v>
      </c>
      <c r="D5" s="110">
        <v>0</v>
      </c>
      <c r="E5" s="1055" t="s">
        <v>525</v>
      </c>
      <c r="F5" s="1112">
        <v>0</v>
      </c>
      <c r="G5" s="494"/>
      <c r="H5" s="1006" t="s">
        <v>525</v>
      </c>
      <c r="I5" s="110" t="s">
        <v>525</v>
      </c>
      <c r="J5" s="1112" t="s">
        <v>525</v>
      </c>
      <c r="K5" s="1003"/>
      <c r="L5" s="1006" t="s">
        <v>525</v>
      </c>
      <c r="M5" s="110" t="s">
        <v>525</v>
      </c>
      <c r="N5" s="1112" t="s">
        <v>525</v>
      </c>
      <c r="O5" s="1003"/>
      <c r="P5" s="1006" t="s">
        <v>525</v>
      </c>
      <c r="Q5" s="110" t="s">
        <v>525</v>
      </c>
      <c r="R5" s="1112" t="s">
        <v>525</v>
      </c>
      <c r="S5" s="1003"/>
      <c r="T5" s="1113" t="s">
        <v>525</v>
      </c>
      <c r="U5" s="110" t="s">
        <v>525</v>
      </c>
      <c r="V5" s="1112" t="s">
        <v>525</v>
      </c>
      <c r="W5" s="1111"/>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row>
    <row r="6" spans="1:82" ht="16.5" customHeight="1">
      <c r="A6" s="1005" t="s">
        <v>404</v>
      </c>
      <c r="B6" s="110">
        <v>0</v>
      </c>
      <c r="C6" s="1055" t="s">
        <v>525</v>
      </c>
      <c r="D6" s="110">
        <v>0</v>
      </c>
      <c r="E6" s="1055" t="s">
        <v>525</v>
      </c>
      <c r="F6" s="1112">
        <v>0</v>
      </c>
      <c r="G6" s="494"/>
      <c r="H6" s="1006" t="s">
        <v>525</v>
      </c>
      <c r="I6" s="110" t="s">
        <v>525</v>
      </c>
      <c r="J6" s="1112" t="s">
        <v>525</v>
      </c>
      <c r="K6" s="1003"/>
      <c r="L6" s="1006" t="s">
        <v>525</v>
      </c>
      <c r="M6" s="110" t="s">
        <v>525</v>
      </c>
      <c r="N6" s="1112" t="s">
        <v>525</v>
      </c>
      <c r="O6" s="1003"/>
      <c r="P6" s="1006" t="s">
        <v>525</v>
      </c>
      <c r="Q6" s="110" t="s">
        <v>525</v>
      </c>
      <c r="R6" s="1112" t="s">
        <v>525</v>
      </c>
      <c r="S6" s="1003"/>
      <c r="T6" s="1113" t="s">
        <v>525</v>
      </c>
      <c r="U6" s="110" t="s">
        <v>525</v>
      </c>
      <c r="V6" s="1112" t="s">
        <v>525</v>
      </c>
      <c r="W6" s="1111"/>
      <c r="X6" s="1003"/>
      <c r="Y6" s="1003"/>
      <c r="Z6" s="1003"/>
      <c r="AA6" s="1003"/>
      <c r="AB6" s="1003"/>
      <c r="AC6" s="1003"/>
      <c r="AD6" s="1003"/>
      <c r="AE6" s="1003"/>
      <c r="AF6" s="1003"/>
      <c r="AG6" s="1003"/>
      <c r="AH6" s="1003"/>
      <c r="AI6" s="1003"/>
      <c r="AJ6" s="1003"/>
      <c r="AK6" s="1003"/>
      <c r="AL6" s="1003"/>
      <c r="AM6" s="1003"/>
      <c r="AN6" s="1003"/>
      <c r="AO6" s="1003"/>
      <c r="AP6" s="1003"/>
      <c r="AQ6" s="1003"/>
      <c r="AR6" s="1003"/>
      <c r="AS6" s="1003"/>
      <c r="AT6" s="1003"/>
      <c r="AU6" s="1003"/>
      <c r="AV6" s="1003"/>
      <c r="AW6" s="1003"/>
      <c r="AX6" s="1003"/>
      <c r="AY6" s="1003"/>
      <c r="AZ6" s="1003"/>
      <c r="BA6" s="1003"/>
      <c r="BB6" s="1003"/>
      <c r="BC6" s="1003"/>
      <c r="BD6" s="1003"/>
      <c r="BE6" s="1003"/>
      <c r="BF6" s="1003"/>
      <c r="BG6" s="1003"/>
      <c r="BH6" s="1003"/>
      <c r="BI6" s="1003"/>
      <c r="BJ6" s="1003"/>
      <c r="BK6" s="1003"/>
      <c r="BL6" s="1003"/>
      <c r="BM6" s="1003"/>
      <c r="BN6" s="1003"/>
      <c r="BO6" s="1003"/>
      <c r="BP6" s="1003"/>
      <c r="BQ6" s="1003"/>
      <c r="BR6" s="1003"/>
      <c r="BS6" s="1003"/>
      <c r="BT6" s="1003"/>
      <c r="BU6" s="1003"/>
      <c r="BV6" s="1003"/>
      <c r="BW6" s="1003"/>
      <c r="BX6" s="1003"/>
      <c r="BY6" s="1003"/>
      <c r="BZ6" s="1003"/>
      <c r="CA6" s="1003"/>
      <c r="CB6" s="1003"/>
      <c r="CC6" s="1003"/>
      <c r="CD6" s="1003"/>
    </row>
    <row r="7" spans="1:82" ht="16.5" customHeight="1">
      <c r="A7" s="1007" t="s">
        <v>33</v>
      </c>
      <c r="B7" s="1031">
        <v>0</v>
      </c>
      <c r="C7" s="1061" t="s">
        <v>525</v>
      </c>
      <c r="D7" s="1031">
        <v>0</v>
      </c>
      <c r="E7" s="1061" t="s">
        <v>525</v>
      </c>
      <c r="F7" s="1114">
        <v>0</v>
      </c>
      <c r="G7" s="494"/>
      <c r="H7" s="1009" t="s">
        <v>525</v>
      </c>
      <c r="I7" s="1031" t="s">
        <v>525</v>
      </c>
      <c r="J7" s="1114" t="s">
        <v>525</v>
      </c>
      <c r="K7" s="1003"/>
      <c r="L7" s="1009" t="s">
        <v>525</v>
      </c>
      <c r="M7" s="1031" t="s">
        <v>525</v>
      </c>
      <c r="N7" s="1114" t="s">
        <v>525</v>
      </c>
      <c r="O7" s="1003"/>
      <c r="P7" s="1009" t="s">
        <v>525</v>
      </c>
      <c r="Q7" s="1031" t="s">
        <v>525</v>
      </c>
      <c r="R7" s="1114" t="s">
        <v>525</v>
      </c>
      <c r="S7" s="1003"/>
      <c r="T7" s="1115" t="s">
        <v>525</v>
      </c>
      <c r="U7" s="1031" t="s">
        <v>525</v>
      </c>
      <c r="V7" s="1114" t="s">
        <v>525</v>
      </c>
      <c r="W7" s="1111"/>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row>
    <row r="8" spans="1:82" ht="16.5" customHeight="1">
      <c r="A8" s="47" t="s">
        <v>50</v>
      </c>
      <c r="B8" s="110">
        <v>0</v>
      </c>
      <c r="C8" s="1055" t="s">
        <v>525</v>
      </c>
      <c r="D8" s="110">
        <v>0</v>
      </c>
      <c r="E8" s="1055" t="s">
        <v>525</v>
      </c>
      <c r="F8" s="1112">
        <v>0</v>
      </c>
      <c r="G8" s="494"/>
      <c r="H8" s="1006" t="s">
        <v>525</v>
      </c>
      <c r="I8" s="110" t="s">
        <v>525</v>
      </c>
      <c r="J8" s="1112" t="s">
        <v>525</v>
      </c>
      <c r="K8" s="1003"/>
      <c r="L8" s="1006" t="s">
        <v>525</v>
      </c>
      <c r="M8" s="110" t="s">
        <v>525</v>
      </c>
      <c r="N8" s="1112" t="s">
        <v>525</v>
      </c>
      <c r="O8" s="1003"/>
      <c r="P8" s="1006" t="s">
        <v>525</v>
      </c>
      <c r="Q8" s="110" t="s">
        <v>525</v>
      </c>
      <c r="R8" s="1112" t="s">
        <v>525</v>
      </c>
      <c r="S8" s="1003"/>
      <c r="T8" s="1113" t="s">
        <v>525</v>
      </c>
      <c r="U8" s="110" t="s">
        <v>525</v>
      </c>
      <c r="V8" s="1112" t="s">
        <v>525</v>
      </c>
      <c r="W8" s="1111"/>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row>
    <row r="9" spans="1:82" ht="16.5" customHeight="1">
      <c r="A9" s="1007" t="s">
        <v>34</v>
      </c>
      <c r="B9" s="1031">
        <v>0</v>
      </c>
      <c r="C9" s="1061" t="s">
        <v>525</v>
      </c>
      <c r="D9" s="1031">
        <v>0</v>
      </c>
      <c r="E9" s="1061" t="s">
        <v>525</v>
      </c>
      <c r="F9" s="1114">
        <v>0</v>
      </c>
      <c r="G9" s="494"/>
      <c r="H9" s="1009" t="s">
        <v>525</v>
      </c>
      <c r="I9" s="1031" t="s">
        <v>525</v>
      </c>
      <c r="J9" s="1114" t="s">
        <v>525</v>
      </c>
      <c r="K9" s="1003"/>
      <c r="L9" s="1009" t="s">
        <v>525</v>
      </c>
      <c r="M9" s="1031" t="s">
        <v>525</v>
      </c>
      <c r="N9" s="1114" t="s">
        <v>525</v>
      </c>
      <c r="O9" s="1003"/>
      <c r="P9" s="1009" t="s">
        <v>525</v>
      </c>
      <c r="Q9" s="1031" t="s">
        <v>525</v>
      </c>
      <c r="R9" s="1114" t="s">
        <v>525</v>
      </c>
      <c r="S9" s="1003"/>
      <c r="T9" s="1115" t="s">
        <v>525</v>
      </c>
      <c r="U9" s="1031" t="s">
        <v>525</v>
      </c>
      <c r="V9" s="1114" t="s">
        <v>525</v>
      </c>
      <c r="W9" s="1111"/>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3"/>
      <c r="BZ9" s="1003"/>
      <c r="CA9" s="1003"/>
      <c r="CB9" s="1003"/>
      <c r="CC9" s="1003"/>
      <c r="CD9" s="1003"/>
    </row>
    <row r="10" spans="1:82" ht="16.5" customHeight="1">
      <c r="A10" s="47" t="s">
        <v>35</v>
      </c>
      <c r="B10" s="110">
        <v>0</v>
      </c>
      <c r="C10" s="1055" t="s">
        <v>525</v>
      </c>
      <c r="D10" s="110">
        <v>0</v>
      </c>
      <c r="E10" s="1055" t="s">
        <v>525</v>
      </c>
      <c r="F10" s="1112">
        <v>0</v>
      </c>
      <c r="G10" s="494"/>
      <c r="H10" s="1006" t="s">
        <v>525</v>
      </c>
      <c r="I10" s="110" t="s">
        <v>525</v>
      </c>
      <c r="J10" s="1112" t="s">
        <v>525</v>
      </c>
      <c r="K10" s="1003"/>
      <c r="L10" s="1006" t="s">
        <v>525</v>
      </c>
      <c r="M10" s="110" t="s">
        <v>525</v>
      </c>
      <c r="N10" s="1112" t="s">
        <v>525</v>
      </c>
      <c r="O10" s="1003"/>
      <c r="P10" s="1006" t="s">
        <v>525</v>
      </c>
      <c r="Q10" s="110" t="s">
        <v>525</v>
      </c>
      <c r="R10" s="1112" t="s">
        <v>525</v>
      </c>
      <c r="S10" s="1003"/>
      <c r="T10" s="1113" t="s">
        <v>525</v>
      </c>
      <c r="U10" s="110" t="s">
        <v>525</v>
      </c>
      <c r="V10" s="1112" t="s">
        <v>525</v>
      </c>
      <c r="W10" s="1111"/>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1003"/>
      <c r="BU10" s="1003"/>
      <c r="BV10" s="1003"/>
      <c r="BW10" s="1003"/>
      <c r="BX10" s="1003"/>
      <c r="BY10" s="1003"/>
      <c r="BZ10" s="1003"/>
      <c r="CA10" s="1003"/>
      <c r="CB10" s="1003"/>
      <c r="CC10" s="1003"/>
      <c r="CD10" s="1003"/>
    </row>
    <row r="11" spans="1:82" ht="16.5" customHeight="1">
      <c r="A11" s="1010" t="s">
        <v>7</v>
      </c>
      <c r="B11" s="1116">
        <v>0</v>
      </c>
      <c r="C11" s="1067" t="s">
        <v>525</v>
      </c>
      <c r="D11" s="1116">
        <v>0</v>
      </c>
      <c r="E11" s="1067" t="s">
        <v>525</v>
      </c>
      <c r="F11" s="1117">
        <v>0</v>
      </c>
      <c r="G11" s="494"/>
      <c r="H11" s="1118" t="s">
        <v>525</v>
      </c>
      <c r="I11" s="1116" t="s">
        <v>525</v>
      </c>
      <c r="J11" s="1117" t="s">
        <v>525</v>
      </c>
      <c r="K11" s="1003"/>
      <c r="L11" s="1118" t="s">
        <v>525</v>
      </c>
      <c r="M11" s="1116" t="s">
        <v>525</v>
      </c>
      <c r="N11" s="1117" t="s">
        <v>525</v>
      </c>
      <c r="O11" s="1003"/>
      <c r="P11" s="1118" t="s">
        <v>525</v>
      </c>
      <c r="Q11" s="1116" t="s">
        <v>525</v>
      </c>
      <c r="R11" s="1117" t="s">
        <v>525</v>
      </c>
      <c r="S11" s="1003"/>
      <c r="T11" s="1119" t="s">
        <v>525</v>
      </c>
      <c r="U11" s="1116" t="s">
        <v>525</v>
      </c>
      <c r="V11" s="1117" t="s">
        <v>525</v>
      </c>
      <c r="W11" s="1111"/>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1003"/>
      <c r="BU11" s="1003"/>
      <c r="BV11" s="1003"/>
      <c r="BW11" s="1003"/>
      <c r="BX11" s="1003"/>
      <c r="BY11" s="1003"/>
      <c r="BZ11" s="1003"/>
      <c r="CA11" s="1003"/>
      <c r="CB11" s="1003"/>
      <c r="CC11" s="1003"/>
      <c r="CD11" s="1003"/>
    </row>
    <row r="12" spans="1:82" ht="16.5" customHeight="1">
      <c r="A12" s="1011" t="s">
        <v>9</v>
      </c>
      <c r="B12" s="110">
        <v>0</v>
      </c>
      <c r="C12" s="1055" t="s">
        <v>525</v>
      </c>
      <c r="D12" s="110">
        <v>0</v>
      </c>
      <c r="E12" s="1055" t="s">
        <v>525</v>
      </c>
      <c r="F12" s="1112">
        <v>0</v>
      </c>
      <c r="G12" s="494"/>
      <c r="H12" s="1006" t="s">
        <v>525</v>
      </c>
      <c r="I12" s="110" t="s">
        <v>525</v>
      </c>
      <c r="J12" s="1112" t="s">
        <v>525</v>
      </c>
      <c r="K12" s="1003"/>
      <c r="L12" s="1006" t="s">
        <v>525</v>
      </c>
      <c r="M12" s="110" t="s">
        <v>525</v>
      </c>
      <c r="N12" s="1112" t="s">
        <v>525</v>
      </c>
      <c r="O12" s="1003"/>
      <c r="P12" s="1006" t="s">
        <v>525</v>
      </c>
      <c r="Q12" s="110" t="s">
        <v>525</v>
      </c>
      <c r="R12" s="1112" t="s">
        <v>525</v>
      </c>
      <c r="S12" s="1003"/>
      <c r="T12" s="1113" t="s">
        <v>525</v>
      </c>
      <c r="U12" s="110" t="s">
        <v>525</v>
      </c>
      <c r="V12" s="1112" t="s">
        <v>525</v>
      </c>
      <c r="W12" s="1111"/>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1003"/>
      <c r="BU12" s="1003"/>
      <c r="BV12" s="1003"/>
      <c r="BW12" s="1003"/>
      <c r="BX12" s="1003"/>
      <c r="BY12" s="1003"/>
      <c r="BZ12" s="1003"/>
      <c r="CA12" s="1003"/>
      <c r="CB12" s="1003"/>
      <c r="CC12" s="1003"/>
      <c r="CD12" s="1003"/>
    </row>
    <row r="13" spans="1:82" ht="16.5" customHeight="1">
      <c r="A13" s="1012" t="s">
        <v>52</v>
      </c>
      <c r="B13" s="110">
        <v>0</v>
      </c>
      <c r="C13" s="1055" t="s">
        <v>525</v>
      </c>
      <c r="D13" s="110">
        <v>0</v>
      </c>
      <c r="E13" s="1055" t="s">
        <v>525</v>
      </c>
      <c r="F13" s="1112">
        <v>0</v>
      </c>
      <c r="G13" s="494"/>
      <c r="H13" s="1006" t="s">
        <v>525</v>
      </c>
      <c r="I13" s="110" t="s">
        <v>525</v>
      </c>
      <c r="J13" s="1112" t="s">
        <v>525</v>
      </c>
      <c r="K13" s="1003"/>
      <c r="L13" s="1006" t="s">
        <v>525</v>
      </c>
      <c r="M13" s="110" t="s">
        <v>525</v>
      </c>
      <c r="N13" s="1112" t="s">
        <v>525</v>
      </c>
      <c r="O13" s="1003"/>
      <c r="P13" s="1006" t="s">
        <v>525</v>
      </c>
      <c r="Q13" s="110" t="s">
        <v>525</v>
      </c>
      <c r="R13" s="1112" t="s">
        <v>525</v>
      </c>
      <c r="S13" s="1003"/>
      <c r="T13" s="1113" t="s">
        <v>525</v>
      </c>
      <c r="U13" s="110" t="s">
        <v>525</v>
      </c>
      <c r="V13" s="1112" t="s">
        <v>525</v>
      </c>
      <c r="W13" s="1111"/>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1003"/>
      <c r="AV13" s="1003"/>
      <c r="AW13" s="1003"/>
      <c r="AX13" s="1003"/>
      <c r="AY13" s="1003"/>
      <c r="AZ13" s="1003"/>
      <c r="BA13" s="1003"/>
      <c r="BB13" s="1003"/>
      <c r="BC13" s="1003"/>
      <c r="BD13" s="1003"/>
      <c r="BE13" s="1003"/>
      <c r="BF13" s="1003"/>
      <c r="BG13" s="1003"/>
      <c r="BH13" s="1003"/>
      <c r="BI13" s="1003"/>
      <c r="BJ13" s="1003"/>
      <c r="BK13" s="1003"/>
      <c r="BL13" s="1003"/>
      <c r="BM13" s="1003"/>
      <c r="BN13" s="1003"/>
      <c r="BO13" s="1003"/>
      <c r="BP13" s="1003"/>
      <c r="BQ13" s="1003"/>
      <c r="BR13" s="1003"/>
      <c r="BS13" s="1003"/>
      <c r="BT13" s="1003"/>
      <c r="BU13" s="1003"/>
      <c r="BV13" s="1003"/>
      <c r="BW13" s="1003"/>
      <c r="BX13" s="1003"/>
      <c r="BY13" s="1003"/>
      <c r="BZ13" s="1003"/>
      <c r="CA13" s="1003"/>
      <c r="CB13" s="1003"/>
      <c r="CC13" s="1003"/>
      <c r="CD13" s="1003"/>
    </row>
    <row r="14" spans="1:82" ht="16.5" customHeight="1">
      <c r="A14" s="1012" t="s">
        <v>10</v>
      </c>
      <c r="B14" s="110">
        <v>0</v>
      </c>
      <c r="C14" s="1055" t="s">
        <v>525</v>
      </c>
      <c r="D14" s="110">
        <v>0</v>
      </c>
      <c r="E14" s="1055" t="s">
        <v>525</v>
      </c>
      <c r="F14" s="1112">
        <v>0</v>
      </c>
      <c r="G14" s="494"/>
      <c r="H14" s="1006" t="s">
        <v>525</v>
      </c>
      <c r="I14" s="110" t="s">
        <v>525</v>
      </c>
      <c r="J14" s="1112" t="s">
        <v>525</v>
      </c>
      <c r="K14" s="1003"/>
      <c r="L14" s="1006" t="s">
        <v>525</v>
      </c>
      <c r="M14" s="110" t="s">
        <v>525</v>
      </c>
      <c r="N14" s="1112" t="s">
        <v>525</v>
      </c>
      <c r="O14" s="1003"/>
      <c r="P14" s="1006" t="s">
        <v>525</v>
      </c>
      <c r="Q14" s="110" t="s">
        <v>525</v>
      </c>
      <c r="R14" s="1112" t="s">
        <v>525</v>
      </c>
      <c r="S14" s="1003"/>
      <c r="T14" s="1113" t="s">
        <v>525</v>
      </c>
      <c r="U14" s="110" t="s">
        <v>525</v>
      </c>
      <c r="V14" s="1112" t="s">
        <v>525</v>
      </c>
      <c r="W14" s="1111"/>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c r="BN14" s="1003"/>
      <c r="BO14" s="1003"/>
      <c r="BP14" s="1003"/>
      <c r="BQ14" s="1003"/>
      <c r="BR14" s="1003"/>
      <c r="BS14" s="1003"/>
      <c r="BT14" s="1003"/>
      <c r="BU14" s="1003"/>
      <c r="BV14" s="1003"/>
      <c r="BW14" s="1003"/>
      <c r="BX14" s="1003"/>
      <c r="BY14" s="1003"/>
      <c r="BZ14" s="1003"/>
      <c r="CA14" s="1003"/>
      <c r="CB14" s="1003"/>
      <c r="CC14" s="1003"/>
      <c r="CD14" s="1003"/>
    </row>
    <row r="15" spans="1:82" ht="16.5" customHeight="1">
      <c r="A15" s="1012" t="s">
        <v>11</v>
      </c>
      <c r="B15" s="110">
        <v>0</v>
      </c>
      <c r="C15" s="1055" t="s">
        <v>525</v>
      </c>
      <c r="D15" s="110">
        <v>0</v>
      </c>
      <c r="E15" s="1055" t="s">
        <v>525</v>
      </c>
      <c r="F15" s="1112">
        <v>0</v>
      </c>
      <c r="G15" s="494"/>
      <c r="H15" s="1006" t="s">
        <v>525</v>
      </c>
      <c r="I15" s="110" t="s">
        <v>525</v>
      </c>
      <c r="J15" s="1112" t="s">
        <v>525</v>
      </c>
      <c r="K15" s="1003"/>
      <c r="L15" s="1006" t="s">
        <v>525</v>
      </c>
      <c r="M15" s="110" t="s">
        <v>525</v>
      </c>
      <c r="N15" s="1112" t="s">
        <v>525</v>
      </c>
      <c r="O15" s="1003"/>
      <c r="P15" s="1006" t="s">
        <v>525</v>
      </c>
      <c r="Q15" s="110" t="s">
        <v>525</v>
      </c>
      <c r="R15" s="1112" t="s">
        <v>525</v>
      </c>
      <c r="S15" s="1003"/>
      <c r="T15" s="1113" t="s">
        <v>525</v>
      </c>
      <c r="U15" s="110" t="s">
        <v>525</v>
      </c>
      <c r="V15" s="1112" t="s">
        <v>525</v>
      </c>
      <c r="W15" s="1111"/>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1003"/>
      <c r="AV15" s="1003"/>
      <c r="AW15" s="1003"/>
      <c r="AX15" s="1003"/>
      <c r="AY15" s="1003"/>
      <c r="AZ15" s="1003"/>
      <c r="BA15" s="1003"/>
      <c r="BB15" s="1003"/>
      <c r="BC15" s="1003"/>
      <c r="BD15" s="1003"/>
      <c r="BE15" s="1003"/>
      <c r="BF15" s="1003"/>
      <c r="BG15" s="1003"/>
      <c r="BH15" s="1003"/>
      <c r="BI15" s="1003"/>
      <c r="BJ15" s="1003"/>
      <c r="BK15" s="1003"/>
      <c r="BL15" s="1003"/>
      <c r="BM15" s="1003"/>
      <c r="BN15" s="1003"/>
      <c r="BO15" s="1003"/>
      <c r="BP15" s="1003"/>
      <c r="BQ15" s="1003"/>
      <c r="BR15" s="1003"/>
      <c r="BS15" s="1003"/>
      <c r="BT15" s="1003"/>
      <c r="BU15" s="1003"/>
      <c r="BV15" s="1003"/>
      <c r="BW15" s="1003"/>
      <c r="BX15" s="1003"/>
      <c r="BY15" s="1003"/>
      <c r="BZ15" s="1003"/>
      <c r="CA15" s="1003"/>
      <c r="CB15" s="1003"/>
      <c r="CC15" s="1003"/>
      <c r="CD15" s="1003"/>
    </row>
    <row r="16" spans="1:82" ht="16.5" customHeight="1">
      <c r="A16" s="1012" t="s">
        <v>59</v>
      </c>
      <c r="B16" s="110">
        <v>0</v>
      </c>
      <c r="C16" s="1055" t="s">
        <v>525</v>
      </c>
      <c r="D16" s="110">
        <v>0</v>
      </c>
      <c r="E16" s="1055" t="s">
        <v>525</v>
      </c>
      <c r="F16" s="1112">
        <v>0</v>
      </c>
      <c r="G16" s="494"/>
      <c r="H16" s="1006" t="s">
        <v>525</v>
      </c>
      <c r="I16" s="110" t="s">
        <v>525</v>
      </c>
      <c r="J16" s="1112" t="s">
        <v>525</v>
      </c>
      <c r="K16" s="1003"/>
      <c r="L16" s="1006" t="s">
        <v>525</v>
      </c>
      <c r="M16" s="110" t="s">
        <v>525</v>
      </c>
      <c r="N16" s="1112" t="s">
        <v>525</v>
      </c>
      <c r="O16" s="1003"/>
      <c r="P16" s="1006" t="s">
        <v>525</v>
      </c>
      <c r="Q16" s="110" t="s">
        <v>525</v>
      </c>
      <c r="R16" s="1112" t="s">
        <v>525</v>
      </c>
      <c r="S16" s="1003"/>
      <c r="T16" s="1113" t="s">
        <v>525</v>
      </c>
      <c r="U16" s="110" t="s">
        <v>525</v>
      </c>
      <c r="V16" s="1112" t="s">
        <v>525</v>
      </c>
      <c r="W16" s="1111"/>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c r="BW16" s="1003"/>
      <c r="BX16" s="1003"/>
      <c r="BY16" s="1003"/>
      <c r="BZ16" s="1003"/>
      <c r="CA16" s="1003"/>
      <c r="CB16" s="1003"/>
      <c r="CC16" s="1003"/>
      <c r="CD16" s="1003"/>
    </row>
    <row r="17" spans="1:82" ht="16.5" customHeight="1">
      <c r="A17" s="1012" t="s">
        <v>12</v>
      </c>
      <c r="B17" s="110">
        <v>0</v>
      </c>
      <c r="C17" s="1055" t="s">
        <v>525</v>
      </c>
      <c r="D17" s="110">
        <v>0</v>
      </c>
      <c r="E17" s="1055" t="s">
        <v>525</v>
      </c>
      <c r="F17" s="1112">
        <v>0</v>
      </c>
      <c r="G17" s="494"/>
      <c r="H17" s="1006" t="s">
        <v>525</v>
      </c>
      <c r="I17" s="110" t="s">
        <v>525</v>
      </c>
      <c r="J17" s="1112" t="s">
        <v>525</v>
      </c>
      <c r="K17" s="1003"/>
      <c r="L17" s="1006" t="s">
        <v>525</v>
      </c>
      <c r="M17" s="110" t="s">
        <v>525</v>
      </c>
      <c r="N17" s="1112" t="s">
        <v>525</v>
      </c>
      <c r="O17" s="1003"/>
      <c r="P17" s="1006" t="s">
        <v>525</v>
      </c>
      <c r="Q17" s="110" t="s">
        <v>525</v>
      </c>
      <c r="R17" s="1112" t="s">
        <v>525</v>
      </c>
      <c r="S17" s="1003"/>
      <c r="T17" s="1113" t="s">
        <v>525</v>
      </c>
      <c r="U17" s="110" t="s">
        <v>525</v>
      </c>
      <c r="V17" s="1112" t="s">
        <v>525</v>
      </c>
      <c r="W17" s="1111"/>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03"/>
    </row>
    <row r="18" spans="1:82" ht="16.5" customHeight="1">
      <c r="A18" s="1012" t="s">
        <v>13</v>
      </c>
      <c r="B18" s="110">
        <v>0</v>
      </c>
      <c r="C18" s="1055" t="s">
        <v>525</v>
      </c>
      <c r="D18" s="110">
        <v>0</v>
      </c>
      <c r="E18" s="1055" t="s">
        <v>525</v>
      </c>
      <c r="F18" s="1112">
        <v>0</v>
      </c>
      <c r="G18" s="494"/>
      <c r="H18" s="1006" t="s">
        <v>525</v>
      </c>
      <c r="I18" s="110" t="s">
        <v>525</v>
      </c>
      <c r="J18" s="1112" t="s">
        <v>525</v>
      </c>
      <c r="K18" s="1003"/>
      <c r="L18" s="1006" t="s">
        <v>525</v>
      </c>
      <c r="M18" s="110" t="s">
        <v>525</v>
      </c>
      <c r="N18" s="1112" t="s">
        <v>525</v>
      </c>
      <c r="O18" s="1003"/>
      <c r="P18" s="1006" t="s">
        <v>525</v>
      </c>
      <c r="Q18" s="110" t="s">
        <v>525</v>
      </c>
      <c r="R18" s="1112" t="s">
        <v>525</v>
      </c>
      <c r="S18" s="1003"/>
      <c r="T18" s="1113" t="s">
        <v>525</v>
      </c>
      <c r="U18" s="110" t="s">
        <v>525</v>
      </c>
      <c r="V18" s="1112" t="s">
        <v>525</v>
      </c>
      <c r="W18" s="1111"/>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03"/>
    </row>
    <row r="19" spans="1:82" ht="16.5" customHeight="1">
      <c r="A19" s="1012" t="s">
        <v>14</v>
      </c>
      <c r="B19" s="110">
        <v>0</v>
      </c>
      <c r="C19" s="1055" t="s">
        <v>525</v>
      </c>
      <c r="D19" s="110">
        <v>0</v>
      </c>
      <c r="E19" s="1055" t="s">
        <v>525</v>
      </c>
      <c r="F19" s="1112">
        <v>0</v>
      </c>
      <c r="G19" s="494"/>
      <c r="H19" s="1006" t="s">
        <v>525</v>
      </c>
      <c r="I19" s="110" t="s">
        <v>525</v>
      </c>
      <c r="J19" s="1112" t="s">
        <v>525</v>
      </c>
      <c r="K19" s="1003"/>
      <c r="L19" s="1006" t="s">
        <v>525</v>
      </c>
      <c r="M19" s="110" t="s">
        <v>525</v>
      </c>
      <c r="N19" s="1112" t="s">
        <v>525</v>
      </c>
      <c r="O19" s="1003"/>
      <c r="P19" s="1006" t="s">
        <v>525</v>
      </c>
      <c r="Q19" s="110" t="s">
        <v>525</v>
      </c>
      <c r="R19" s="1112" t="s">
        <v>525</v>
      </c>
      <c r="S19" s="1003"/>
      <c r="T19" s="1113" t="s">
        <v>525</v>
      </c>
      <c r="U19" s="110" t="s">
        <v>525</v>
      </c>
      <c r="V19" s="1112" t="s">
        <v>525</v>
      </c>
      <c r="W19" s="1111"/>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3"/>
      <c r="BJ19" s="1003"/>
      <c r="BK19" s="1003"/>
      <c r="BL19" s="1003"/>
      <c r="BM19" s="1003"/>
      <c r="BN19" s="1003"/>
      <c r="BO19" s="1003"/>
      <c r="BP19" s="1003"/>
      <c r="BQ19" s="1003"/>
      <c r="BR19" s="1003"/>
      <c r="BS19" s="1003"/>
      <c r="BT19" s="1003"/>
      <c r="BU19" s="1003"/>
      <c r="BV19" s="1003"/>
      <c r="BW19" s="1003"/>
      <c r="BX19" s="1003"/>
      <c r="BY19" s="1003"/>
      <c r="BZ19" s="1003"/>
      <c r="CA19" s="1003"/>
      <c r="CB19" s="1003"/>
      <c r="CC19" s="1003"/>
      <c r="CD19" s="1003"/>
    </row>
    <row r="20" spans="1:82" ht="16.5" customHeight="1">
      <c r="A20" s="1012" t="s">
        <v>15</v>
      </c>
      <c r="B20" s="110">
        <v>0</v>
      </c>
      <c r="C20" s="1055" t="s">
        <v>525</v>
      </c>
      <c r="D20" s="110">
        <v>0</v>
      </c>
      <c r="E20" s="1055" t="s">
        <v>525</v>
      </c>
      <c r="F20" s="1112">
        <v>0</v>
      </c>
      <c r="G20" s="494"/>
      <c r="H20" s="1006" t="s">
        <v>525</v>
      </c>
      <c r="I20" s="110" t="s">
        <v>525</v>
      </c>
      <c r="J20" s="1112" t="s">
        <v>525</v>
      </c>
      <c r="K20" s="1003"/>
      <c r="L20" s="1006" t="s">
        <v>525</v>
      </c>
      <c r="M20" s="110" t="s">
        <v>525</v>
      </c>
      <c r="N20" s="1112" t="s">
        <v>525</v>
      </c>
      <c r="O20" s="1003"/>
      <c r="P20" s="1006" t="s">
        <v>525</v>
      </c>
      <c r="Q20" s="110" t="s">
        <v>525</v>
      </c>
      <c r="R20" s="1112" t="s">
        <v>525</v>
      </c>
      <c r="S20" s="1003"/>
      <c r="T20" s="1113" t="s">
        <v>525</v>
      </c>
      <c r="U20" s="110" t="s">
        <v>525</v>
      </c>
      <c r="V20" s="1112" t="s">
        <v>525</v>
      </c>
      <c r="W20" s="1111"/>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c r="BW20" s="1003"/>
      <c r="BX20" s="1003"/>
      <c r="BY20" s="1003"/>
      <c r="BZ20" s="1003"/>
      <c r="CA20" s="1003"/>
      <c r="CB20" s="1003"/>
      <c r="CC20" s="1003"/>
      <c r="CD20" s="1003"/>
    </row>
    <row r="21" spans="1:82" ht="16.5" customHeight="1">
      <c r="A21" s="1120" t="s">
        <v>16</v>
      </c>
      <c r="B21" s="109">
        <v>0</v>
      </c>
      <c r="C21" s="1055" t="s">
        <v>525</v>
      </c>
      <c r="D21" s="109">
        <v>0</v>
      </c>
      <c r="E21" s="1055" t="s">
        <v>525</v>
      </c>
      <c r="F21" s="1112">
        <v>0</v>
      </c>
      <c r="G21" s="494"/>
      <c r="H21" s="1006" t="s">
        <v>525</v>
      </c>
      <c r="I21" s="110" t="s">
        <v>525</v>
      </c>
      <c r="J21" s="1112" t="s">
        <v>525</v>
      </c>
      <c r="K21" s="1003"/>
      <c r="L21" s="1006" t="s">
        <v>525</v>
      </c>
      <c r="M21" s="110" t="s">
        <v>525</v>
      </c>
      <c r="N21" s="1112" t="s">
        <v>525</v>
      </c>
      <c r="O21" s="1003"/>
      <c r="P21" s="1006" t="s">
        <v>525</v>
      </c>
      <c r="Q21" s="110" t="s">
        <v>525</v>
      </c>
      <c r="R21" s="1112" t="s">
        <v>525</v>
      </c>
      <c r="S21" s="1003"/>
      <c r="T21" s="1113" t="s">
        <v>525</v>
      </c>
      <c r="U21" s="110" t="s">
        <v>525</v>
      </c>
      <c r="V21" s="1112" t="s">
        <v>525</v>
      </c>
      <c r="W21" s="1111"/>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03"/>
    </row>
    <row r="22" spans="1:82" ht="16.5" customHeight="1">
      <c r="A22" s="1016" t="s">
        <v>18</v>
      </c>
      <c r="B22" s="1031">
        <v>0</v>
      </c>
      <c r="C22" s="1061" t="s">
        <v>525</v>
      </c>
      <c r="D22" s="1031">
        <v>0</v>
      </c>
      <c r="E22" s="1061" t="s">
        <v>525</v>
      </c>
      <c r="F22" s="1114">
        <v>0</v>
      </c>
      <c r="G22" s="494"/>
      <c r="H22" s="1009" t="s">
        <v>525</v>
      </c>
      <c r="I22" s="1031" t="s">
        <v>525</v>
      </c>
      <c r="J22" s="1114" t="s">
        <v>525</v>
      </c>
      <c r="K22" s="1003"/>
      <c r="L22" s="1009" t="s">
        <v>525</v>
      </c>
      <c r="M22" s="1031" t="s">
        <v>525</v>
      </c>
      <c r="N22" s="1114" t="s">
        <v>525</v>
      </c>
      <c r="O22" s="1003"/>
      <c r="P22" s="1009" t="s">
        <v>525</v>
      </c>
      <c r="Q22" s="1031" t="s">
        <v>525</v>
      </c>
      <c r="R22" s="1114" t="s">
        <v>525</v>
      </c>
      <c r="S22" s="1003"/>
      <c r="T22" s="1115" t="s">
        <v>525</v>
      </c>
      <c r="U22" s="1031" t="s">
        <v>525</v>
      </c>
      <c r="V22" s="1114" t="s">
        <v>525</v>
      </c>
      <c r="W22" s="1111"/>
      <c r="X22" s="1003"/>
      <c r="Y22" s="1003"/>
      <c r="Z22" s="1003"/>
      <c r="AA22" s="1003"/>
      <c r="AB22" s="1003"/>
      <c r="AC22" s="1003"/>
      <c r="AD22" s="1003"/>
      <c r="AE22" s="1003"/>
      <c r="AF22" s="1003"/>
      <c r="AG22" s="1003"/>
      <c r="AH22" s="1003"/>
      <c r="AI22" s="1003"/>
      <c r="AJ22" s="1003"/>
      <c r="AK22" s="1003"/>
      <c r="AL22" s="1003"/>
      <c r="AM22" s="1003"/>
      <c r="AN22" s="1003"/>
      <c r="AO22" s="1003"/>
      <c r="AP22" s="1003"/>
      <c r="AQ22" s="1003"/>
      <c r="AR22" s="1003"/>
      <c r="AS22" s="1003"/>
      <c r="AT22" s="1003"/>
      <c r="AU22" s="1003"/>
      <c r="AV22" s="1003"/>
      <c r="AW22" s="1003"/>
      <c r="AX22" s="1003"/>
      <c r="AY22" s="1003"/>
      <c r="AZ22" s="1003"/>
      <c r="BA22" s="1003"/>
      <c r="BB22" s="1003"/>
      <c r="BC22" s="1003"/>
      <c r="BD22" s="1003"/>
      <c r="BE22" s="1003"/>
      <c r="BF22" s="1003"/>
      <c r="BG22" s="1003"/>
      <c r="BH22" s="1003"/>
      <c r="BI22" s="1003"/>
      <c r="BJ22" s="1003"/>
      <c r="BK22" s="1003"/>
      <c r="BL22" s="1003"/>
      <c r="BM22" s="1003"/>
      <c r="BN22" s="1003"/>
      <c r="BO22" s="1003"/>
      <c r="BP22" s="1003"/>
      <c r="BQ22" s="1003"/>
      <c r="BR22" s="1003"/>
      <c r="BS22" s="1003"/>
      <c r="BT22" s="1003"/>
      <c r="BU22" s="1003"/>
      <c r="BV22" s="1003"/>
      <c r="BW22" s="1003"/>
      <c r="BX22" s="1003"/>
      <c r="BY22" s="1003"/>
      <c r="BZ22" s="1003"/>
      <c r="CA22" s="1003"/>
      <c r="CB22" s="1003"/>
      <c r="CC22" s="1003"/>
      <c r="CD22" s="1003"/>
    </row>
    <row r="23" spans="1:82" ht="16.5" customHeight="1">
      <c r="A23" s="47" t="s">
        <v>36</v>
      </c>
      <c r="B23" s="110">
        <v>0</v>
      </c>
      <c r="C23" s="1077" t="s">
        <v>525</v>
      </c>
      <c r="D23" s="110">
        <v>0</v>
      </c>
      <c r="E23" s="1077" t="s">
        <v>525</v>
      </c>
      <c r="F23" s="1112">
        <v>0</v>
      </c>
      <c r="G23" s="494"/>
      <c r="H23" s="1006" t="s">
        <v>525</v>
      </c>
      <c r="I23" s="110" t="s">
        <v>525</v>
      </c>
      <c r="J23" s="1112" t="s">
        <v>525</v>
      </c>
      <c r="K23" s="1003"/>
      <c r="L23" s="1006" t="s">
        <v>525</v>
      </c>
      <c r="M23" s="110" t="s">
        <v>525</v>
      </c>
      <c r="N23" s="1112" t="s">
        <v>525</v>
      </c>
      <c r="O23" s="1003"/>
      <c r="P23" s="1006" t="s">
        <v>525</v>
      </c>
      <c r="Q23" s="110" t="s">
        <v>525</v>
      </c>
      <c r="R23" s="1112" t="s">
        <v>525</v>
      </c>
      <c r="S23" s="1003"/>
      <c r="T23" s="1113" t="s">
        <v>525</v>
      </c>
      <c r="U23" s="110" t="s">
        <v>525</v>
      </c>
      <c r="V23" s="1112" t="s">
        <v>525</v>
      </c>
      <c r="W23" s="1111"/>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1003"/>
      <c r="AV23" s="1003"/>
      <c r="AW23" s="1003"/>
      <c r="AX23" s="1003"/>
      <c r="AY23" s="1003"/>
      <c r="AZ23" s="1003"/>
      <c r="BA23" s="1003"/>
      <c r="BB23" s="1003"/>
      <c r="BC23" s="1003"/>
      <c r="BD23" s="1003"/>
      <c r="BE23" s="1003"/>
      <c r="BF23" s="1003"/>
      <c r="BG23" s="1003"/>
      <c r="BH23" s="1003"/>
      <c r="BI23" s="1003"/>
      <c r="BJ23" s="1003"/>
      <c r="BK23" s="1003"/>
      <c r="BL23" s="1003"/>
      <c r="BM23" s="1003"/>
      <c r="BN23" s="1003"/>
      <c r="BO23" s="1003"/>
      <c r="BP23" s="1003"/>
      <c r="BQ23" s="1003"/>
      <c r="BR23" s="1003"/>
      <c r="BS23" s="1003"/>
      <c r="BT23" s="1003"/>
      <c r="BU23" s="1003"/>
      <c r="BV23" s="1003"/>
      <c r="BW23" s="1003"/>
      <c r="BX23" s="1003"/>
      <c r="BY23" s="1003"/>
      <c r="BZ23" s="1003"/>
      <c r="CA23" s="1003"/>
      <c r="CB23" s="1003"/>
      <c r="CC23" s="1003"/>
      <c r="CD23" s="1003"/>
    </row>
    <row r="24" spans="1:82" ht="16.5" customHeight="1">
      <c r="A24" s="47" t="s">
        <v>754</v>
      </c>
      <c r="B24" s="110">
        <v>0</v>
      </c>
      <c r="C24" s="1077" t="s">
        <v>525</v>
      </c>
      <c r="D24" s="110">
        <v>0</v>
      </c>
      <c r="E24" s="1077" t="s">
        <v>525</v>
      </c>
      <c r="F24" s="1112">
        <v>0</v>
      </c>
      <c r="G24" s="494"/>
      <c r="H24" s="1006" t="s">
        <v>525</v>
      </c>
      <c r="I24" s="110" t="s">
        <v>525</v>
      </c>
      <c r="J24" s="1112" t="s">
        <v>525</v>
      </c>
      <c r="K24" s="1003"/>
      <c r="L24" s="1006" t="s">
        <v>525</v>
      </c>
      <c r="M24" s="110" t="s">
        <v>525</v>
      </c>
      <c r="N24" s="1112" t="s">
        <v>525</v>
      </c>
      <c r="O24" s="1003"/>
      <c r="P24" s="1006" t="s">
        <v>525</v>
      </c>
      <c r="Q24" s="110" t="s">
        <v>525</v>
      </c>
      <c r="R24" s="1112" t="s">
        <v>525</v>
      </c>
      <c r="S24" s="1003"/>
      <c r="T24" s="1113" t="s">
        <v>525</v>
      </c>
      <c r="U24" s="110" t="s">
        <v>525</v>
      </c>
      <c r="V24" s="1112" t="s">
        <v>525</v>
      </c>
      <c r="W24" s="1111"/>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1003"/>
      <c r="AV24" s="1003"/>
      <c r="AW24" s="1003"/>
      <c r="AX24" s="1003"/>
      <c r="AY24" s="1003"/>
      <c r="AZ24" s="1003"/>
      <c r="BA24" s="1003"/>
      <c r="BB24" s="1003"/>
      <c r="BC24" s="1003"/>
      <c r="BD24" s="1003"/>
      <c r="BE24" s="1003"/>
      <c r="BF24" s="1003"/>
      <c r="BG24" s="1003"/>
      <c r="BH24" s="1003"/>
      <c r="BI24" s="1003"/>
      <c r="BJ24" s="1003"/>
      <c r="BK24" s="1003"/>
      <c r="BL24" s="1003"/>
      <c r="BM24" s="1003"/>
      <c r="BN24" s="1003"/>
      <c r="BO24" s="1003"/>
      <c r="BP24" s="1003"/>
      <c r="BQ24" s="1003"/>
      <c r="BR24" s="1003"/>
      <c r="BS24" s="1003"/>
      <c r="BT24" s="1003"/>
      <c r="BU24" s="1003"/>
      <c r="BV24" s="1003"/>
      <c r="BW24" s="1003"/>
      <c r="BX24" s="1003"/>
      <c r="BY24" s="1003"/>
      <c r="BZ24" s="1003"/>
      <c r="CA24" s="1003"/>
      <c r="CB24" s="1003"/>
      <c r="CC24" s="1003"/>
      <c r="CD24" s="1003"/>
    </row>
    <row r="25" spans="1:82" ht="16.5" customHeight="1">
      <c r="A25" s="1007" t="s">
        <v>40</v>
      </c>
      <c r="B25" s="1031">
        <v>0</v>
      </c>
      <c r="C25" s="1078" t="s">
        <v>525</v>
      </c>
      <c r="D25" s="1031">
        <v>0</v>
      </c>
      <c r="E25" s="1078" t="s">
        <v>525</v>
      </c>
      <c r="F25" s="1114">
        <v>0</v>
      </c>
      <c r="G25" s="494"/>
      <c r="H25" s="1009" t="s">
        <v>525</v>
      </c>
      <c r="I25" s="1031" t="s">
        <v>525</v>
      </c>
      <c r="J25" s="1114" t="s">
        <v>525</v>
      </c>
      <c r="K25" s="1003"/>
      <c r="L25" s="1009" t="s">
        <v>525</v>
      </c>
      <c r="M25" s="1031" t="s">
        <v>525</v>
      </c>
      <c r="N25" s="1114" t="s">
        <v>525</v>
      </c>
      <c r="O25" s="1003"/>
      <c r="P25" s="1009" t="s">
        <v>525</v>
      </c>
      <c r="Q25" s="1031" t="s">
        <v>525</v>
      </c>
      <c r="R25" s="1114" t="s">
        <v>525</v>
      </c>
      <c r="S25" s="1003"/>
      <c r="T25" s="1115" t="s">
        <v>525</v>
      </c>
      <c r="U25" s="1031" t="s">
        <v>525</v>
      </c>
      <c r="V25" s="1114" t="s">
        <v>525</v>
      </c>
      <c r="W25" s="1111"/>
      <c r="X25" s="1003"/>
      <c r="Y25" s="1003"/>
      <c r="Z25" s="1003"/>
      <c r="AA25" s="1003"/>
      <c r="AB25" s="1003"/>
      <c r="AC25" s="1003"/>
      <c r="AD25" s="1003"/>
      <c r="AE25" s="1003"/>
      <c r="AF25" s="1003"/>
      <c r="AG25" s="1003"/>
      <c r="AH25" s="1003"/>
      <c r="AI25" s="1003"/>
      <c r="AJ25" s="1003"/>
      <c r="AK25" s="1003"/>
      <c r="AL25" s="1003"/>
      <c r="AM25" s="1003"/>
      <c r="AN25" s="1003"/>
      <c r="AO25" s="1003"/>
      <c r="AP25" s="1003"/>
      <c r="AQ25" s="1003"/>
      <c r="AR25" s="1003"/>
      <c r="AS25" s="1003"/>
      <c r="AT25" s="1003"/>
      <c r="AU25" s="1003"/>
      <c r="AV25" s="1003"/>
      <c r="AW25" s="1003"/>
      <c r="AX25" s="1003"/>
      <c r="AY25" s="1003"/>
      <c r="AZ25" s="1003"/>
      <c r="BA25" s="1003"/>
      <c r="BB25" s="1003"/>
      <c r="BC25" s="1003"/>
      <c r="BD25" s="1003"/>
      <c r="BE25" s="1003"/>
      <c r="BF25" s="1003"/>
      <c r="BG25" s="1003"/>
      <c r="BH25" s="1003"/>
      <c r="BI25" s="1003"/>
      <c r="BJ25" s="1003"/>
      <c r="BK25" s="1003"/>
      <c r="BL25" s="1003"/>
      <c r="BM25" s="1003"/>
      <c r="BN25" s="1003"/>
      <c r="BO25" s="1003"/>
      <c r="BP25" s="1003"/>
      <c r="BQ25" s="1003"/>
      <c r="BR25" s="1003"/>
      <c r="BS25" s="1003"/>
      <c r="BT25" s="1003"/>
      <c r="BU25" s="1003"/>
      <c r="BV25" s="1003"/>
      <c r="BW25" s="1003"/>
      <c r="BX25" s="1003"/>
      <c r="BY25" s="1003"/>
      <c r="BZ25" s="1003"/>
      <c r="CA25" s="1003"/>
      <c r="CB25" s="1003"/>
      <c r="CC25" s="1003"/>
      <c r="CD25" s="1003"/>
    </row>
    <row r="26" spans="1:82" ht="16.5" customHeight="1">
      <c r="A26" s="47" t="s">
        <v>14</v>
      </c>
      <c r="B26" s="110">
        <v>0</v>
      </c>
      <c r="C26" s="1077" t="s">
        <v>525</v>
      </c>
      <c r="D26" s="110">
        <v>0</v>
      </c>
      <c r="E26" s="1077" t="s">
        <v>525</v>
      </c>
      <c r="F26" s="1112">
        <v>0</v>
      </c>
      <c r="G26" s="494"/>
      <c r="H26" s="1006" t="s">
        <v>525</v>
      </c>
      <c r="I26" s="110" t="s">
        <v>525</v>
      </c>
      <c r="J26" s="1112" t="s">
        <v>525</v>
      </c>
      <c r="K26" s="1003"/>
      <c r="L26" s="1006" t="s">
        <v>525</v>
      </c>
      <c r="M26" s="110" t="s">
        <v>525</v>
      </c>
      <c r="N26" s="1112" t="s">
        <v>525</v>
      </c>
      <c r="O26" s="1003"/>
      <c r="P26" s="1006" t="s">
        <v>525</v>
      </c>
      <c r="Q26" s="110" t="s">
        <v>525</v>
      </c>
      <c r="R26" s="1112" t="s">
        <v>525</v>
      </c>
      <c r="S26" s="1003"/>
      <c r="T26" s="1113" t="s">
        <v>525</v>
      </c>
      <c r="U26" s="110" t="s">
        <v>525</v>
      </c>
      <c r="V26" s="1112" t="s">
        <v>525</v>
      </c>
      <c r="W26" s="1111"/>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1003"/>
      <c r="AV26" s="1003"/>
      <c r="AW26" s="1003"/>
      <c r="AX26" s="1003"/>
      <c r="AY26" s="1003"/>
      <c r="AZ26" s="1003"/>
      <c r="BA26" s="1003"/>
      <c r="BB26" s="1003"/>
      <c r="BC26" s="1003"/>
      <c r="BD26" s="1003"/>
      <c r="BE26" s="1003"/>
      <c r="BF26" s="1003"/>
      <c r="BG26" s="1003"/>
      <c r="BH26" s="1003"/>
      <c r="BI26" s="1003"/>
      <c r="BJ26" s="1003"/>
      <c r="BK26" s="1003"/>
      <c r="BL26" s="1003"/>
      <c r="BM26" s="1003"/>
      <c r="BN26" s="1003"/>
      <c r="BO26" s="1003"/>
      <c r="BP26" s="1003"/>
      <c r="BQ26" s="1003"/>
      <c r="BR26" s="1003"/>
      <c r="BS26" s="1003"/>
      <c r="BT26" s="1003"/>
      <c r="BU26" s="1003"/>
      <c r="BV26" s="1003"/>
      <c r="BW26" s="1003"/>
      <c r="BX26" s="1003"/>
      <c r="BY26" s="1003"/>
      <c r="BZ26" s="1003"/>
      <c r="CA26" s="1003"/>
      <c r="CB26" s="1003"/>
      <c r="CC26" s="1003"/>
      <c r="CD26" s="1003"/>
    </row>
    <row r="27" spans="1:82" ht="16.5" customHeight="1">
      <c r="A27" s="1007" t="s">
        <v>42</v>
      </c>
      <c r="B27" s="1031">
        <v>0</v>
      </c>
      <c r="C27" s="1078" t="s">
        <v>525</v>
      </c>
      <c r="D27" s="1031">
        <v>0</v>
      </c>
      <c r="E27" s="1078" t="s">
        <v>525</v>
      </c>
      <c r="F27" s="1114">
        <v>0</v>
      </c>
      <c r="G27" s="494"/>
      <c r="H27" s="1009" t="s">
        <v>525</v>
      </c>
      <c r="I27" s="1031" t="s">
        <v>525</v>
      </c>
      <c r="J27" s="1114" t="s">
        <v>525</v>
      </c>
      <c r="K27" s="1003"/>
      <c r="L27" s="1009" t="s">
        <v>525</v>
      </c>
      <c r="M27" s="1031" t="s">
        <v>525</v>
      </c>
      <c r="N27" s="1114" t="s">
        <v>525</v>
      </c>
      <c r="O27" s="1003"/>
      <c r="P27" s="1009" t="s">
        <v>525</v>
      </c>
      <c r="Q27" s="1031" t="s">
        <v>525</v>
      </c>
      <c r="R27" s="1114" t="s">
        <v>525</v>
      </c>
      <c r="S27" s="1003"/>
      <c r="T27" s="1115" t="s">
        <v>525</v>
      </c>
      <c r="U27" s="1031" t="s">
        <v>525</v>
      </c>
      <c r="V27" s="1114" t="s">
        <v>525</v>
      </c>
      <c r="W27" s="1111"/>
      <c r="X27" s="1003"/>
      <c r="Y27" s="1003"/>
      <c r="Z27" s="1003"/>
      <c r="AA27" s="1003"/>
      <c r="AB27" s="1003"/>
      <c r="AC27" s="1003"/>
      <c r="AD27" s="1003"/>
      <c r="AE27" s="1003"/>
      <c r="AF27" s="1003"/>
      <c r="AG27" s="1003"/>
      <c r="AH27" s="1003"/>
      <c r="AI27" s="1003"/>
      <c r="AJ27" s="1003"/>
      <c r="AK27" s="1003"/>
      <c r="AL27" s="1003"/>
      <c r="AM27" s="1003"/>
      <c r="AN27" s="1003"/>
      <c r="AO27" s="1003"/>
      <c r="AP27" s="1003"/>
      <c r="AQ27" s="1003"/>
      <c r="AR27" s="1003"/>
      <c r="AS27" s="1003"/>
      <c r="AT27" s="1003"/>
      <c r="AU27" s="1003"/>
      <c r="AV27" s="1003"/>
      <c r="AW27" s="1003"/>
      <c r="AX27" s="1003"/>
      <c r="AY27" s="1003"/>
      <c r="AZ27" s="1003"/>
      <c r="BA27" s="1003"/>
      <c r="BB27" s="1003"/>
      <c r="BC27" s="1003"/>
      <c r="BD27" s="1003"/>
      <c r="BE27" s="1003"/>
      <c r="BF27" s="1003"/>
      <c r="BG27" s="1003"/>
      <c r="BH27" s="1003"/>
      <c r="BI27" s="1003"/>
      <c r="BJ27" s="1003"/>
      <c r="BK27" s="1003"/>
      <c r="BL27" s="1003"/>
      <c r="BM27" s="1003"/>
      <c r="BN27" s="1003"/>
      <c r="BO27" s="1003"/>
      <c r="BP27" s="1003"/>
      <c r="BQ27" s="1003"/>
      <c r="BR27" s="1003"/>
      <c r="BS27" s="1003"/>
      <c r="BT27" s="1003"/>
      <c r="BU27" s="1003"/>
      <c r="BV27" s="1003"/>
      <c r="BW27" s="1003"/>
      <c r="BX27" s="1003"/>
      <c r="BY27" s="1003"/>
      <c r="BZ27" s="1003"/>
      <c r="CA27" s="1003"/>
      <c r="CB27" s="1003"/>
      <c r="CC27" s="1003"/>
      <c r="CD27" s="1003"/>
    </row>
    <row r="28" spans="1:82" ht="16.5" customHeight="1">
      <c r="A28" s="1126" t="s">
        <v>1093</v>
      </c>
      <c r="B28" s="1017">
        <v>0</v>
      </c>
      <c r="C28" s="1077" t="s">
        <v>525</v>
      </c>
      <c r="D28" s="1017">
        <v>0</v>
      </c>
      <c r="E28" s="1077" t="s">
        <v>525</v>
      </c>
      <c r="F28" s="1112">
        <v>0</v>
      </c>
      <c r="G28" s="494"/>
      <c r="H28" s="1006" t="s">
        <v>525</v>
      </c>
      <c r="I28" s="110" t="s">
        <v>525</v>
      </c>
      <c r="J28" s="1112" t="s">
        <v>525</v>
      </c>
      <c r="K28" s="1003"/>
      <c r="L28" s="1006" t="s">
        <v>525</v>
      </c>
      <c r="M28" s="110" t="s">
        <v>525</v>
      </c>
      <c r="N28" s="1112" t="s">
        <v>525</v>
      </c>
      <c r="O28" s="1003"/>
      <c r="P28" s="1006" t="s">
        <v>525</v>
      </c>
      <c r="Q28" s="110" t="s">
        <v>525</v>
      </c>
      <c r="R28" s="1112" t="s">
        <v>525</v>
      </c>
      <c r="S28" s="1003"/>
      <c r="T28" s="1113" t="s">
        <v>525</v>
      </c>
      <c r="U28" s="110" t="s">
        <v>525</v>
      </c>
      <c r="V28" s="1112" t="s">
        <v>525</v>
      </c>
      <c r="W28" s="1111"/>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1003"/>
      <c r="AV28" s="1003"/>
      <c r="AW28" s="1003"/>
      <c r="AX28" s="1003"/>
      <c r="AY28" s="1003"/>
      <c r="AZ28" s="1003"/>
      <c r="BA28" s="1003"/>
      <c r="BB28" s="1003"/>
      <c r="BC28" s="1003"/>
      <c r="BD28" s="1003"/>
      <c r="BE28" s="1003"/>
      <c r="BF28" s="1003"/>
      <c r="BG28" s="1003"/>
      <c r="BH28" s="1003"/>
      <c r="BI28" s="1003"/>
      <c r="BJ28" s="1003"/>
      <c r="BK28" s="1003"/>
      <c r="BL28" s="1003"/>
      <c r="BM28" s="1003"/>
      <c r="BN28" s="1003"/>
      <c r="BO28" s="1003"/>
      <c r="BP28" s="1003"/>
      <c r="BQ28" s="1003"/>
      <c r="BR28" s="1003"/>
      <c r="BS28" s="1003"/>
      <c r="BT28" s="1003"/>
      <c r="BU28" s="1003"/>
      <c r="BV28" s="1003"/>
      <c r="BW28" s="1003"/>
      <c r="BX28" s="1003"/>
      <c r="BY28" s="1003"/>
      <c r="BZ28" s="1003"/>
      <c r="CA28" s="1003"/>
      <c r="CB28" s="1003"/>
      <c r="CC28" s="1003"/>
      <c r="CD28" s="1003"/>
    </row>
    <row r="29" spans="1:82" ht="16.5" customHeight="1">
      <c r="A29" s="1126" t="s">
        <v>1094</v>
      </c>
      <c r="B29" s="1017">
        <v>0</v>
      </c>
      <c r="C29" s="1077" t="s">
        <v>525</v>
      </c>
      <c r="D29" s="1017">
        <v>0</v>
      </c>
      <c r="E29" s="1077" t="s">
        <v>525</v>
      </c>
      <c r="F29" s="1112">
        <v>0</v>
      </c>
      <c r="G29" s="494"/>
      <c r="H29" s="1006" t="s">
        <v>525</v>
      </c>
      <c r="I29" s="110" t="s">
        <v>525</v>
      </c>
      <c r="J29" s="1112" t="s">
        <v>525</v>
      </c>
      <c r="K29" s="1003"/>
      <c r="L29" s="1006" t="s">
        <v>525</v>
      </c>
      <c r="M29" s="110" t="s">
        <v>525</v>
      </c>
      <c r="N29" s="1112" t="s">
        <v>525</v>
      </c>
      <c r="O29" s="1003"/>
      <c r="P29" s="1006" t="s">
        <v>525</v>
      </c>
      <c r="Q29" s="110" t="s">
        <v>525</v>
      </c>
      <c r="R29" s="1112" t="s">
        <v>525</v>
      </c>
      <c r="S29" s="1003"/>
      <c r="T29" s="1113" t="s">
        <v>525</v>
      </c>
      <c r="U29" s="110" t="s">
        <v>525</v>
      </c>
      <c r="V29" s="1112" t="s">
        <v>525</v>
      </c>
      <c r="W29" s="1111"/>
      <c r="X29" s="1003"/>
      <c r="Y29" s="1003"/>
      <c r="Z29" s="1003"/>
      <c r="AA29" s="1003"/>
      <c r="AB29" s="1003"/>
      <c r="AC29" s="1003"/>
      <c r="AD29" s="1003"/>
      <c r="AE29" s="1003"/>
      <c r="AF29" s="1003"/>
      <c r="AG29" s="1003"/>
      <c r="AH29" s="1003"/>
      <c r="AI29" s="1003"/>
      <c r="AJ29" s="1003"/>
      <c r="AK29" s="1003"/>
      <c r="AL29" s="1003"/>
      <c r="AM29" s="1003"/>
      <c r="AN29" s="1003"/>
      <c r="AO29" s="1003"/>
      <c r="AP29" s="1003"/>
      <c r="AQ29" s="1003"/>
      <c r="AR29" s="1003"/>
      <c r="AS29" s="1003"/>
      <c r="AT29" s="1003"/>
      <c r="AU29" s="1003"/>
      <c r="AV29" s="1003"/>
      <c r="AW29" s="1003"/>
      <c r="AX29" s="1003"/>
      <c r="AY29" s="1003"/>
      <c r="AZ29" s="1003"/>
      <c r="BA29" s="1003"/>
      <c r="BB29" s="1003"/>
      <c r="BC29" s="1003"/>
      <c r="BD29" s="1003"/>
      <c r="BE29" s="1003"/>
      <c r="BF29" s="1003"/>
      <c r="BG29" s="1003"/>
      <c r="BH29" s="1003"/>
      <c r="BI29" s="1003"/>
      <c r="BJ29" s="1003"/>
      <c r="BK29" s="1003"/>
      <c r="BL29" s="1003"/>
      <c r="BM29" s="1003"/>
      <c r="BN29" s="1003"/>
      <c r="BO29" s="1003"/>
      <c r="BP29" s="1003"/>
      <c r="BQ29" s="1003"/>
      <c r="BR29" s="1003"/>
      <c r="BS29" s="1003"/>
      <c r="BT29" s="1003"/>
      <c r="BU29" s="1003"/>
      <c r="BV29" s="1003"/>
      <c r="BW29" s="1003"/>
      <c r="BX29" s="1003"/>
      <c r="BY29" s="1003"/>
      <c r="BZ29" s="1003"/>
      <c r="CA29" s="1003"/>
      <c r="CB29" s="1003"/>
      <c r="CC29" s="1003"/>
      <c r="CD29" s="1003"/>
    </row>
    <row r="30" spans="1:82" ht="16.5" customHeight="1">
      <c r="A30" s="171" t="s">
        <v>751</v>
      </c>
      <c r="B30" s="110">
        <v>0</v>
      </c>
      <c r="C30" s="1077" t="s">
        <v>525</v>
      </c>
      <c r="D30" s="110">
        <v>0</v>
      </c>
      <c r="E30" s="1077" t="s">
        <v>525</v>
      </c>
      <c r="F30" s="1112">
        <v>0</v>
      </c>
      <c r="G30" s="494"/>
      <c r="H30" s="1006" t="s">
        <v>525</v>
      </c>
      <c r="I30" s="110" t="s">
        <v>525</v>
      </c>
      <c r="J30" s="1112" t="s">
        <v>525</v>
      </c>
      <c r="K30" s="1003"/>
      <c r="L30" s="1006" t="s">
        <v>525</v>
      </c>
      <c r="M30" s="110" t="s">
        <v>525</v>
      </c>
      <c r="N30" s="1112" t="s">
        <v>525</v>
      </c>
      <c r="O30" s="1003"/>
      <c r="P30" s="1006" t="s">
        <v>525</v>
      </c>
      <c r="Q30" s="110" t="s">
        <v>525</v>
      </c>
      <c r="R30" s="1112" t="s">
        <v>525</v>
      </c>
      <c r="S30" s="1003"/>
      <c r="T30" s="1113" t="s">
        <v>525</v>
      </c>
      <c r="U30" s="110" t="s">
        <v>525</v>
      </c>
      <c r="V30" s="1112" t="s">
        <v>525</v>
      </c>
      <c r="W30" s="1111"/>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1003"/>
      <c r="AV30" s="1003"/>
      <c r="AW30" s="1003"/>
      <c r="AX30" s="1003"/>
      <c r="AY30" s="1003"/>
      <c r="AZ30" s="1003"/>
      <c r="BA30" s="1003"/>
      <c r="BB30" s="1003"/>
      <c r="BC30" s="1003"/>
      <c r="BD30" s="1003"/>
      <c r="BE30" s="1003"/>
      <c r="BF30" s="1003"/>
      <c r="BG30" s="1003"/>
      <c r="BH30" s="1003"/>
      <c r="BI30" s="1003"/>
      <c r="BJ30" s="1003"/>
      <c r="BK30" s="1003"/>
      <c r="BL30" s="1003"/>
      <c r="BM30" s="1003"/>
      <c r="BN30" s="1003"/>
      <c r="BO30" s="1003"/>
      <c r="BP30" s="1003"/>
      <c r="BQ30" s="1003"/>
      <c r="BR30" s="1003"/>
      <c r="BS30" s="1003"/>
      <c r="BT30" s="1003"/>
      <c r="BU30" s="1003"/>
      <c r="BV30" s="1003"/>
      <c r="BW30" s="1003"/>
      <c r="BX30" s="1003"/>
      <c r="BY30" s="1003"/>
      <c r="BZ30" s="1003"/>
      <c r="CA30" s="1003"/>
      <c r="CB30" s="1003"/>
      <c r="CC30" s="1003"/>
      <c r="CD30" s="1003"/>
    </row>
    <row r="31" spans="1:82" ht="16.5" customHeight="1">
      <c r="A31" s="171" t="s">
        <v>111</v>
      </c>
      <c r="B31" s="110">
        <v>0</v>
      </c>
      <c r="C31" s="1077" t="s">
        <v>525</v>
      </c>
      <c r="D31" s="110">
        <v>0</v>
      </c>
      <c r="E31" s="1077" t="s">
        <v>525</v>
      </c>
      <c r="F31" s="1112">
        <v>0</v>
      </c>
      <c r="G31" s="494"/>
      <c r="H31" s="1006" t="s">
        <v>525</v>
      </c>
      <c r="I31" s="110" t="s">
        <v>525</v>
      </c>
      <c r="J31" s="1112" t="s">
        <v>525</v>
      </c>
      <c r="K31" s="1003"/>
      <c r="L31" s="1006" t="s">
        <v>525</v>
      </c>
      <c r="M31" s="110" t="s">
        <v>525</v>
      </c>
      <c r="N31" s="1112" t="s">
        <v>525</v>
      </c>
      <c r="O31" s="1003"/>
      <c r="P31" s="1006" t="s">
        <v>525</v>
      </c>
      <c r="Q31" s="110" t="s">
        <v>525</v>
      </c>
      <c r="R31" s="1112" t="s">
        <v>525</v>
      </c>
      <c r="S31" s="1003"/>
      <c r="T31" s="1113" t="s">
        <v>525</v>
      </c>
      <c r="U31" s="110" t="s">
        <v>525</v>
      </c>
      <c r="V31" s="1112" t="s">
        <v>525</v>
      </c>
      <c r="W31" s="1111"/>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3"/>
      <c r="BY31" s="1003"/>
      <c r="BZ31" s="1003"/>
      <c r="CA31" s="1003"/>
      <c r="CB31" s="1003"/>
      <c r="CC31" s="1003"/>
      <c r="CD31" s="1003"/>
    </row>
    <row r="32" spans="1:82" ht="16.5" customHeight="1">
      <c r="A32" s="42" t="s">
        <v>43</v>
      </c>
      <c r="B32" s="109">
        <v>0</v>
      </c>
      <c r="C32" s="1077" t="s">
        <v>525</v>
      </c>
      <c r="D32" s="109">
        <v>0</v>
      </c>
      <c r="E32" s="1077" t="s">
        <v>525</v>
      </c>
      <c r="F32" s="1112">
        <v>0</v>
      </c>
      <c r="G32" s="494"/>
      <c r="H32" s="1006" t="s">
        <v>525</v>
      </c>
      <c r="I32" s="110" t="s">
        <v>525</v>
      </c>
      <c r="J32" s="1112" t="s">
        <v>525</v>
      </c>
      <c r="K32" s="1003"/>
      <c r="L32" s="1006" t="s">
        <v>525</v>
      </c>
      <c r="M32" s="110" t="s">
        <v>525</v>
      </c>
      <c r="N32" s="1112" t="s">
        <v>525</v>
      </c>
      <c r="O32" s="1003"/>
      <c r="P32" s="1006" t="s">
        <v>525</v>
      </c>
      <c r="Q32" s="110" t="s">
        <v>525</v>
      </c>
      <c r="R32" s="1112" t="s">
        <v>525</v>
      </c>
      <c r="S32" s="1003"/>
      <c r="T32" s="1113" t="s">
        <v>525</v>
      </c>
      <c r="U32" s="110" t="s">
        <v>525</v>
      </c>
      <c r="V32" s="1112" t="s">
        <v>525</v>
      </c>
      <c r="W32" s="1111"/>
      <c r="X32" s="1003"/>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M32" s="1003"/>
      <c r="BN32" s="1003"/>
      <c r="BO32" s="1003"/>
      <c r="BP32" s="1003"/>
      <c r="BQ32" s="1003"/>
      <c r="BR32" s="1003"/>
      <c r="BS32" s="1003"/>
      <c r="BT32" s="1003"/>
      <c r="BU32" s="1003"/>
      <c r="BV32" s="1003"/>
      <c r="BW32" s="1003"/>
      <c r="BX32" s="1003"/>
      <c r="BY32" s="1003"/>
      <c r="BZ32" s="1003"/>
      <c r="CA32" s="1003"/>
      <c r="CB32" s="1003"/>
      <c r="CC32" s="1003"/>
      <c r="CD32" s="1003"/>
    </row>
    <row r="33" spans="1:82" ht="16.5" customHeight="1">
      <c r="A33" s="1121" t="s">
        <v>81</v>
      </c>
      <c r="B33" s="1122">
        <v>0</v>
      </c>
      <c r="C33" s="1078" t="s">
        <v>525</v>
      </c>
      <c r="D33" s="1122">
        <v>0</v>
      </c>
      <c r="E33" s="1078" t="s">
        <v>525</v>
      </c>
      <c r="F33" s="1114">
        <v>0</v>
      </c>
      <c r="G33" s="494"/>
      <c r="H33" s="1123" t="s">
        <v>525</v>
      </c>
      <c r="I33" s="1122" t="s">
        <v>525</v>
      </c>
      <c r="J33" s="1114" t="s">
        <v>525</v>
      </c>
      <c r="K33" s="1003"/>
      <c r="L33" s="1123" t="s">
        <v>525</v>
      </c>
      <c r="M33" s="1122" t="s">
        <v>525</v>
      </c>
      <c r="N33" s="1114" t="s">
        <v>525</v>
      </c>
      <c r="O33" s="1003"/>
      <c r="P33" s="1123" t="s">
        <v>525</v>
      </c>
      <c r="Q33" s="1122" t="s">
        <v>525</v>
      </c>
      <c r="R33" s="1114" t="s">
        <v>525</v>
      </c>
      <c r="S33" s="1003"/>
      <c r="T33" s="1124" t="s">
        <v>525</v>
      </c>
      <c r="U33" s="1122" t="s">
        <v>525</v>
      </c>
      <c r="V33" s="1114" t="s">
        <v>525</v>
      </c>
      <c r="W33" s="1111"/>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c r="BF33" s="1003"/>
      <c r="BG33" s="1003"/>
      <c r="BH33" s="1003"/>
      <c r="BI33" s="1003"/>
      <c r="BJ33" s="1003"/>
      <c r="BK33" s="1003"/>
      <c r="BL33" s="1003"/>
      <c r="BM33" s="1003"/>
      <c r="BN33" s="1003"/>
      <c r="BO33" s="1003"/>
      <c r="BP33" s="1003"/>
      <c r="BQ33" s="1003"/>
      <c r="BR33" s="1003"/>
      <c r="BS33" s="1003"/>
      <c r="BT33" s="1003"/>
      <c r="BU33" s="1003"/>
      <c r="BV33" s="1003"/>
      <c r="BW33" s="1003"/>
      <c r="BX33" s="1003"/>
      <c r="BY33" s="1003"/>
      <c r="BZ33" s="1003"/>
      <c r="CA33" s="1003"/>
      <c r="CB33" s="1003"/>
      <c r="CC33" s="1003"/>
      <c r="CD33" s="1003"/>
    </row>
    <row r="34" spans="1:82" ht="16.5" customHeight="1">
      <c r="A34" s="1003"/>
      <c r="B34" s="1003"/>
      <c r="C34" s="1003"/>
      <c r="D34" s="1003"/>
      <c r="E34" s="1003"/>
      <c r="F34" s="1003"/>
      <c r="G34" s="494"/>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3"/>
      <c r="AY34" s="1003"/>
      <c r="AZ34" s="1003"/>
      <c r="BA34" s="1003"/>
      <c r="BB34" s="1003"/>
      <c r="BC34" s="1003"/>
      <c r="BD34" s="1003"/>
      <c r="BE34" s="1003"/>
      <c r="BF34" s="1003"/>
      <c r="BG34" s="1003"/>
      <c r="BH34" s="1003"/>
      <c r="BI34" s="1003"/>
      <c r="BJ34" s="1003"/>
      <c r="BK34" s="1003"/>
      <c r="BL34" s="1003"/>
      <c r="BM34" s="1003"/>
      <c r="BN34" s="1003"/>
      <c r="BO34" s="1003"/>
      <c r="BP34" s="1003"/>
      <c r="BQ34" s="1003"/>
      <c r="BR34" s="1003"/>
      <c r="BS34" s="1003"/>
      <c r="BT34" s="1003"/>
      <c r="BU34" s="1003"/>
      <c r="BV34" s="1003"/>
      <c r="BW34" s="1003"/>
      <c r="BX34" s="1003"/>
      <c r="BY34" s="1003"/>
      <c r="BZ34" s="1003"/>
      <c r="CA34" s="1003"/>
      <c r="CB34" s="1003"/>
      <c r="CC34" s="1003"/>
      <c r="CD34" s="1003"/>
    </row>
    <row r="35" spans="1:82" ht="11.25" customHeight="1">
      <c r="A35" s="1003"/>
      <c r="B35" s="1003"/>
      <c r="C35" s="1003"/>
      <c r="D35" s="1003"/>
      <c r="E35" s="1003"/>
      <c r="F35" s="1003"/>
      <c r="G35" s="494"/>
      <c r="H35" s="1003"/>
      <c r="I35" s="1003"/>
      <c r="J35" s="1003"/>
      <c r="K35" s="1003"/>
      <c r="L35" s="1003"/>
      <c r="M35" s="1003"/>
      <c r="N35" s="1003"/>
      <c r="O35" s="1003"/>
      <c r="P35" s="1003"/>
      <c r="Q35" s="1003"/>
      <c r="R35" s="1003"/>
      <c r="S35" s="1003"/>
      <c r="T35" s="1003"/>
      <c r="U35" s="1003"/>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3"/>
      <c r="AY35" s="1003"/>
      <c r="AZ35" s="1003"/>
      <c r="BA35" s="1003"/>
      <c r="BB35" s="1003"/>
      <c r="BC35" s="1003"/>
      <c r="BD35" s="1003"/>
      <c r="BE35" s="1003"/>
      <c r="BF35" s="1003"/>
      <c r="BG35" s="1003"/>
      <c r="BH35" s="1003"/>
      <c r="BI35" s="1003"/>
      <c r="BJ35" s="1003"/>
      <c r="BK35" s="1003"/>
      <c r="BL35" s="1003"/>
      <c r="BM35" s="1003"/>
      <c r="BN35" s="1003"/>
      <c r="BO35" s="1003"/>
      <c r="BP35" s="1003"/>
      <c r="BQ35" s="1003"/>
      <c r="BR35" s="1003"/>
      <c r="BS35" s="1003"/>
      <c r="BT35" s="1003"/>
      <c r="BU35" s="1003"/>
      <c r="BV35" s="1003"/>
      <c r="BW35" s="1003"/>
      <c r="BX35" s="1003"/>
      <c r="BY35" s="1003"/>
      <c r="BZ35" s="1003"/>
      <c r="CA35" s="1003"/>
      <c r="CB35" s="1003"/>
      <c r="CC35" s="1003"/>
      <c r="CD35" s="1003"/>
    </row>
    <row r="36" spans="1:82" ht="11.25" customHeight="1">
      <c r="A36" s="1003"/>
      <c r="B36" s="1003"/>
      <c r="C36" s="1003"/>
      <c r="D36" s="1003"/>
      <c r="E36" s="1003"/>
      <c r="F36" s="1003"/>
      <c r="G36" s="494"/>
      <c r="H36" s="1003"/>
      <c r="I36" s="1003"/>
      <c r="J36" s="1003"/>
      <c r="K36" s="1003"/>
      <c r="L36" s="1003"/>
      <c r="M36" s="1003"/>
      <c r="N36" s="1003"/>
      <c r="O36" s="1003"/>
      <c r="P36" s="1003"/>
      <c r="Q36" s="1003"/>
      <c r="R36" s="1003"/>
      <c r="S36" s="1003"/>
      <c r="T36" s="1003"/>
      <c r="U36" s="1003"/>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1003"/>
      <c r="AV36" s="1003"/>
      <c r="AW36" s="1003"/>
      <c r="AX36" s="1003"/>
      <c r="AY36" s="1003"/>
      <c r="AZ36" s="1003"/>
      <c r="BA36" s="1003"/>
      <c r="BB36" s="1003"/>
      <c r="BC36" s="1003"/>
      <c r="BD36" s="1003"/>
      <c r="BE36" s="1003"/>
      <c r="BF36" s="1003"/>
      <c r="BG36" s="1003"/>
      <c r="BH36" s="1003"/>
      <c r="BI36" s="1003"/>
      <c r="BJ36" s="1003"/>
    </row>
    <row r="37" spans="1:82" ht="11.25" customHeight="1">
      <c r="A37" s="1003"/>
      <c r="B37" s="1003"/>
      <c r="C37" s="1003"/>
      <c r="D37" s="1003"/>
      <c r="E37" s="1003"/>
      <c r="F37" s="1003"/>
      <c r="G37" s="494"/>
      <c r="H37" s="1003"/>
      <c r="I37" s="1003"/>
      <c r="J37" s="1003"/>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c r="BC37" s="1003"/>
      <c r="BD37" s="1003"/>
      <c r="BE37" s="1003"/>
      <c r="BF37" s="1003"/>
      <c r="BG37" s="1003"/>
      <c r="BH37" s="1003"/>
      <c r="BI37" s="1003"/>
      <c r="BJ37" s="1003"/>
      <c r="BK37" s="389" t="s">
        <v>734</v>
      </c>
    </row>
    <row r="38" spans="1:82" ht="11.25" customHeight="1">
      <c r="A38" s="1003"/>
      <c r="B38" s="1003"/>
      <c r="C38" s="1003"/>
      <c r="D38" s="1003"/>
      <c r="E38" s="1003"/>
      <c r="F38" s="1003"/>
      <c r="G38" s="494"/>
      <c r="H38" s="1003"/>
      <c r="I38" s="1003"/>
      <c r="J38" s="1003"/>
      <c r="K38" s="1003"/>
      <c r="L38" s="1003"/>
      <c r="M38" s="1003"/>
      <c r="N38" s="1003"/>
      <c r="O38" s="1003"/>
      <c r="P38" s="1003"/>
      <c r="Q38" s="1003"/>
      <c r="R38" s="1003"/>
      <c r="S38" s="1003"/>
      <c r="T38" s="1003"/>
      <c r="U38" s="1003"/>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1003"/>
      <c r="AV38" s="1003"/>
      <c r="AW38" s="1003"/>
      <c r="AX38" s="1003"/>
      <c r="AY38" s="1003"/>
      <c r="AZ38" s="1003"/>
      <c r="BA38" s="1003"/>
      <c r="BB38" s="1003"/>
      <c r="BC38" s="1003"/>
      <c r="BD38" s="1003"/>
      <c r="BE38" s="1003"/>
      <c r="BF38" s="1003"/>
      <c r="BG38" s="1003"/>
      <c r="BH38" s="1003"/>
      <c r="BI38" s="1003"/>
      <c r="BJ38" s="1003"/>
      <c r="BK38" s="389" t="e">
        <v>#DIV/0!</v>
      </c>
      <c r="BL38" s="1019"/>
      <c r="BM38" s="1019"/>
      <c r="BO38" s="1019"/>
      <c r="BP38" s="1019"/>
      <c r="BQ38" s="1019"/>
      <c r="BR38" s="1019"/>
      <c r="BS38" s="1019"/>
    </row>
    <row r="39" spans="1:82" ht="11.25" customHeight="1">
      <c r="A39" s="1003"/>
      <c r="B39" s="1003"/>
      <c r="C39" s="1003"/>
      <c r="D39" s="1003"/>
      <c r="E39" s="1003"/>
      <c r="F39" s="1003"/>
      <c r="G39" s="494"/>
      <c r="H39" s="1003"/>
      <c r="I39" s="1003"/>
      <c r="J39" s="1003"/>
      <c r="K39" s="1003"/>
      <c r="L39" s="1003"/>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3"/>
      <c r="AW39" s="1003"/>
      <c r="AX39" s="1003"/>
      <c r="AY39" s="1003"/>
      <c r="AZ39" s="1003"/>
      <c r="BA39" s="1003"/>
      <c r="BB39" s="1003"/>
      <c r="BC39" s="1003"/>
      <c r="BD39" s="1003"/>
      <c r="BE39" s="1003"/>
      <c r="BF39" s="1003"/>
      <c r="BG39" s="1003"/>
      <c r="BH39" s="1003"/>
      <c r="BI39" s="1003"/>
      <c r="BJ39" s="1003"/>
      <c r="BK39" s="389" t="e">
        <v>#DIV/0!</v>
      </c>
      <c r="BM39" s="1019"/>
      <c r="BO39" s="1019"/>
      <c r="BP39" s="1019"/>
      <c r="BQ39" s="1019"/>
      <c r="BR39" s="1019"/>
      <c r="BS39" s="1019"/>
    </row>
    <row r="40" spans="1:82" ht="11.25" customHeight="1">
      <c r="A40" s="1003"/>
      <c r="B40" s="1003"/>
      <c r="C40" s="1003"/>
      <c r="D40" s="1003"/>
      <c r="E40" s="1003"/>
      <c r="F40" s="1003"/>
      <c r="G40" s="1003"/>
      <c r="H40" s="1003"/>
      <c r="I40" s="1003"/>
      <c r="J40" s="1003"/>
      <c r="K40" s="1003"/>
      <c r="L40" s="1003"/>
      <c r="M40" s="1003"/>
      <c r="N40" s="1003"/>
      <c r="O40" s="1003"/>
      <c r="P40" s="1003"/>
      <c r="Q40" s="1003"/>
      <c r="R40" s="1003"/>
      <c r="S40" s="1003"/>
      <c r="T40" s="1003"/>
      <c r="U40" s="1003"/>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1003"/>
      <c r="AV40" s="1003"/>
      <c r="AW40" s="1003"/>
      <c r="AX40" s="1003"/>
      <c r="AY40" s="1003"/>
      <c r="AZ40" s="1003"/>
      <c r="BA40" s="1003"/>
      <c r="BB40" s="1003"/>
      <c r="BC40" s="1003"/>
      <c r="BD40" s="1003"/>
      <c r="BE40" s="1003"/>
      <c r="BF40" s="1003"/>
      <c r="BG40" s="1003"/>
      <c r="BH40" s="1003"/>
      <c r="BI40" s="1003"/>
      <c r="BJ40" s="1003"/>
      <c r="BK40" s="389" t="e">
        <v>#DIV/0!</v>
      </c>
      <c r="BL40" s="1019"/>
      <c r="BM40" s="1019"/>
      <c r="BO40" s="1019"/>
      <c r="BP40" s="1019"/>
      <c r="BQ40" s="1019"/>
      <c r="BR40" s="1019"/>
      <c r="BS40" s="1019"/>
    </row>
    <row r="41" spans="1:82" ht="11.25" customHeight="1">
      <c r="A41" s="1003"/>
      <c r="B41" s="1003"/>
      <c r="C41" s="1003"/>
      <c r="D41" s="1003"/>
      <c r="E41" s="1003"/>
      <c r="F41" s="1003"/>
      <c r="G41" s="1003"/>
      <c r="H41" s="1003"/>
      <c r="I41" s="1003"/>
      <c r="J41" s="1003"/>
      <c r="K41" s="1003"/>
      <c r="L41" s="1003"/>
      <c r="M41" s="1003"/>
      <c r="N41" s="1003"/>
      <c r="O41" s="1003"/>
      <c r="P41" s="1003"/>
      <c r="Q41" s="1003"/>
      <c r="R41" s="1003"/>
      <c r="S41" s="1003"/>
      <c r="T41" s="1003"/>
      <c r="U41" s="1003"/>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1003"/>
      <c r="AV41" s="1003"/>
      <c r="AW41" s="1003"/>
      <c r="AX41" s="1003"/>
      <c r="AY41" s="1003"/>
      <c r="AZ41" s="1003"/>
      <c r="BA41" s="1003"/>
      <c r="BB41" s="1003"/>
      <c r="BC41" s="1003"/>
      <c r="BD41" s="1003"/>
      <c r="BE41" s="1003"/>
      <c r="BF41" s="1003"/>
      <c r="BG41" s="1003"/>
      <c r="BH41" s="1003"/>
      <c r="BI41" s="1003"/>
      <c r="BJ41" s="1003"/>
      <c r="BK41" s="389" t="e">
        <v>#DIV/0!</v>
      </c>
      <c r="BL41" s="1019"/>
      <c r="BM41" s="1019"/>
      <c r="BO41" s="1019"/>
      <c r="BP41" s="1019"/>
      <c r="BQ41" s="1019"/>
      <c r="BR41" s="1019"/>
      <c r="BS41" s="1019"/>
    </row>
    <row r="42" spans="1:82" ht="11.25" customHeight="1">
      <c r="A42" s="1003"/>
      <c r="B42" s="1003"/>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1003"/>
      <c r="AV42" s="1003"/>
      <c r="AW42" s="1003"/>
      <c r="AX42" s="1003"/>
      <c r="AY42" s="1003"/>
      <c r="AZ42" s="1003"/>
      <c r="BA42" s="1003"/>
      <c r="BB42" s="1003"/>
      <c r="BC42" s="1003"/>
      <c r="BD42" s="1003"/>
      <c r="BE42" s="1003"/>
      <c r="BF42" s="1003"/>
      <c r="BG42" s="1003"/>
      <c r="BH42" s="1003"/>
      <c r="BI42" s="1003"/>
      <c r="BJ42" s="1003"/>
      <c r="BK42" s="389" t="e">
        <v>#DIV/0!</v>
      </c>
      <c r="BL42" s="1019"/>
      <c r="BM42" s="1019"/>
      <c r="BO42" s="1019"/>
      <c r="BP42" s="1019"/>
      <c r="BQ42" s="1019"/>
      <c r="BR42" s="1019"/>
      <c r="BS42" s="1019"/>
    </row>
    <row r="43" spans="1:82" ht="11.25" customHeight="1">
      <c r="A43" s="1003"/>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1003"/>
      <c r="AV43" s="1003"/>
      <c r="AW43" s="1003"/>
      <c r="AX43" s="1003"/>
      <c r="AY43" s="1003"/>
      <c r="AZ43" s="1003"/>
      <c r="BA43" s="1003"/>
      <c r="BB43" s="1003"/>
      <c r="BC43" s="1003"/>
      <c r="BD43" s="1003"/>
      <c r="BE43" s="1003"/>
      <c r="BF43" s="1003"/>
      <c r="BG43" s="1003"/>
      <c r="BH43" s="1003"/>
      <c r="BI43" s="1003"/>
      <c r="BJ43" s="1003"/>
      <c r="BK43" s="389" t="e">
        <v>#DIV/0!</v>
      </c>
      <c r="BL43" s="1019"/>
      <c r="BM43" s="1019"/>
      <c r="BO43" s="1019"/>
      <c r="BP43" s="1019"/>
      <c r="BQ43" s="1019"/>
      <c r="BR43" s="1019"/>
      <c r="BS43" s="1019"/>
    </row>
    <row r="44" spans="1:82" ht="11.25" customHeight="1">
      <c r="A44" s="1003"/>
      <c r="B44" s="1003"/>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c r="AF44" s="1003"/>
      <c r="AG44" s="1003"/>
      <c r="AH44" s="1003"/>
      <c r="AI44" s="1003"/>
      <c r="AJ44" s="1003"/>
      <c r="AK44" s="1003"/>
      <c r="AL44" s="1003"/>
      <c r="AM44" s="1003"/>
      <c r="AN44" s="1003"/>
      <c r="AO44" s="1003"/>
      <c r="AP44" s="1003"/>
      <c r="AQ44" s="1003"/>
      <c r="AR44" s="1003"/>
      <c r="AS44" s="1003"/>
      <c r="AT44" s="1003"/>
      <c r="AU44" s="1003"/>
      <c r="AV44" s="1003"/>
      <c r="AW44" s="1003"/>
      <c r="AX44" s="1003"/>
      <c r="AY44" s="1003"/>
      <c r="AZ44" s="1003"/>
      <c r="BA44" s="1003"/>
      <c r="BB44" s="1003"/>
      <c r="BC44" s="1003"/>
      <c r="BD44" s="1003"/>
      <c r="BE44" s="1003"/>
      <c r="BF44" s="1003"/>
      <c r="BG44" s="1003"/>
      <c r="BH44" s="1003"/>
      <c r="BI44" s="1003"/>
      <c r="BJ44" s="1003"/>
      <c r="BK44" s="389" t="e">
        <v>#DIV/0!</v>
      </c>
    </row>
    <row r="45" spans="1:82" ht="11.25" customHeight="1">
      <c r="A45" s="1003"/>
      <c r="B45" s="1003"/>
      <c r="C45" s="1003"/>
      <c r="D45" s="1003"/>
      <c r="E45" s="1003"/>
      <c r="F45" s="1003"/>
      <c r="G45" s="1003"/>
      <c r="H45" s="1003"/>
      <c r="I45" s="1003"/>
      <c r="J45" s="1003"/>
      <c r="K45" s="1003"/>
      <c r="L45" s="1003"/>
      <c r="M45" s="1003"/>
      <c r="N45" s="1003"/>
      <c r="O45" s="1003"/>
      <c r="P45" s="1003"/>
      <c r="Q45" s="1003"/>
      <c r="R45" s="1003"/>
      <c r="S45" s="1003"/>
      <c r="T45" s="1003"/>
      <c r="U45" s="1003"/>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1003"/>
      <c r="AV45" s="1003"/>
      <c r="AW45" s="1003"/>
      <c r="AX45" s="1003"/>
      <c r="AY45" s="1003"/>
      <c r="AZ45" s="1003"/>
      <c r="BA45" s="1003"/>
      <c r="BB45" s="1003"/>
      <c r="BC45" s="1003"/>
      <c r="BD45" s="1003"/>
      <c r="BE45" s="1003"/>
      <c r="BF45" s="1003"/>
      <c r="BG45" s="1003"/>
      <c r="BH45" s="1003"/>
      <c r="BI45" s="1003"/>
      <c r="BJ45" s="1003"/>
    </row>
    <row r="46" spans="1:82" ht="11.25" customHeight="1">
      <c r="A46" s="1003"/>
      <c r="B46" s="1003"/>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c r="BC46" s="1003"/>
      <c r="BD46" s="1003"/>
      <c r="BE46" s="1003"/>
      <c r="BF46" s="1003"/>
      <c r="BG46" s="1003"/>
      <c r="BH46" s="1003"/>
      <c r="BI46" s="1003"/>
      <c r="BJ46" s="1003"/>
    </row>
    <row r="47" spans="1:82" ht="11.25" customHeight="1">
      <c r="A47" s="1003"/>
      <c r="B47" s="1003"/>
      <c r="C47" s="1003"/>
      <c r="D47" s="1003"/>
      <c r="E47" s="1003"/>
      <c r="F47" s="1003"/>
      <c r="G47" s="1003"/>
      <c r="H47" s="1003"/>
      <c r="I47" s="1003"/>
      <c r="J47" s="1003"/>
      <c r="K47" s="1003"/>
      <c r="L47" s="1003"/>
      <c r="M47" s="1003"/>
      <c r="N47" s="1003"/>
      <c r="O47" s="1003"/>
      <c r="P47" s="1003"/>
      <c r="Q47" s="1003"/>
      <c r="R47" s="1003"/>
      <c r="S47" s="1003"/>
      <c r="T47" s="1003"/>
      <c r="U47" s="1003"/>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1003"/>
      <c r="AR47" s="1003"/>
      <c r="AS47" s="1003"/>
      <c r="AT47" s="1003"/>
      <c r="AU47" s="1003"/>
      <c r="AV47" s="1003"/>
      <c r="AW47" s="1003"/>
      <c r="AX47" s="1003"/>
      <c r="AY47" s="1003"/>
      <c r="AZ47" s="1003"/>
      <c r="BA47" s="1003"/>
      <c r="BB47" s="1003"/>
      <c r="BC47" s="1003"/>
      <c r="BD47" s="1003"/>
      <c r="BE47" s="1003"/>
      <c r="BF47" s="1003"/>
      <c r="BG47" s="1003"/>
      <c r="BH47" s="1003"/>
      <c r="BI47" s="1003"/>
      <c r="BJ47" s="1003"/>
    </row>
    <row r="48" spans="1:82" ht="11.25" customHeight="1">
      <c r="A48" s="1003"/>
      <c r="B48" s="1003"/>
      <c r="C48" s="1003"/>
      <c r="D48" s="1003"/>
      <c r="E48" s="1003"/>
      <c r="F48" s="1003"/>
      <c r="G48" s="1003"/>
      <c r="H48" s="1003"/>
      <c r="I48" s="1003"/>
      <c r="J48" s="1003"/>
      <c r="K48" s="1003"/>
      <c r="L48" s="1003"/>
      <c r="M48" s="1003"/>
      <c r="N48" s="1003"/>
      <c r="O48" s="1003"/>
      <c r="P48" s="1003"/>
      <c r="Q48" s="1003"/>
      <c r="R48" s="1003"/>
      <c r="S48" s="1003"/>
      <c r="T48" s="1003"/>
      <c r="U48" s="1003"/>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1003"/>
      <c r="AV48" s="1003"/>
      <c r="AW48" s="1003"/>
      <c r="AX48" s="1003"/>
      <c r="AY48" s="1003"/>
      <c r="AZ48" s="1003"/>
      <c r="BA48" s="1003"/>
      <c r="BB48" s="1003"/>
      <c r="BC48" s="1003"/>
      <c r="BD48" s="1003"/>
      <c r="BE48" s="1003"/>
      <c r="BF48" s="1003"/>
      <c r="BG48" s="1003"/>
      <c r="BH48" s="1003"/>
      <c r="BI48" s="1003"/>
      <c r="BJ48" s="1003"/>
    </row>
    <row r="49" spans="1:77" ht="11.25" customHeight="1">
      <c r="A49" s="1003"/>
      <c r="B49" s="1003"/>
      <c r="C49" s="1003"/>
      <c r="D49" s="1003"/>
      <c r="E49" s="1003"/>
      <c r="F49" s="1003"/>
      <c r="G49" s="1003"/>
      <c r="H49" s="1003"/>
      <c r="I49" s="1003"/>
      <c r="J49" s="1003"/>
      <c r="K49" s="1003"/>
      <c r="L49" s="1003"/>
      <c r="M49" s="1003"/>
      <c r="N49" s="1003"/>
      <c r="O49" s="1003"/>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1003"/>
      <c r="AV49" s="1003"/>
      <c r="AW49" s="1003"/>
      <c r="AX49" s="1003"/>
      <c r="AY49" s="1003"/>
      <c r="AZ49" s="1003"/>
      <c r="BA49" s="1003"/>
      <c r="BB49" s="1003"/>
      <c r="BC49" s="1003"/>
      <c r="BD49" s="1003"/>
      <c r="BE49" s="1003"/>
      <c r="BF49" s="1003"/>
      <c r="BG49" s="1003"/>
      <c r="BH49" s="1003"/>
      <c r="BI49" s="1003"/>
      <c r="BJ49" s="1003"/>
    </row>
    <row r="50" spans="1:77" ht="11.25" customHeight="1">
      <c r="A50" s="1003"/>
      <c r="B50" s="1003"/>
      <c r="C50" s="1003"/>
      <c r="D50" s="1003"/>
      <c r="E50" s="1003"/>
      <c r="F50" s="1003"/>
      <c r="G50" s="1003"/>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1003"/>
      <c r="AV50" s="1003"/>
      <c r="AW50" s="1003"/>
      <c r="AX50" s="1003"/>
      <c r="AY50" s="1003"/>
      <c r="AZ50" s="1003"/>
      <c r="BA50" s="1003"/>
      <c r="BB50" s="1003"/>
      <c r="BC50" s="1003"/>
      <c r="BD50" s="1003"/>
      <c r="BE50" s="1003"/>
      <c r="BF50" s="1003"/>
      <c r="BG50" s="1003"/>
      <c r="BH50" s="1003"/>
      <c r="BI50" s="1003"/>
      <c r="BJ50" s="1003"/>
    </row>
    <row r="51" spans="1:77" ht="11.25" customHeight="1">
      <c r="A51" s="1003"/>
      <c r="B51" s="1003"/>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1003"/>
      <c r="AV51" s="1003"/>
      <c r="AW51" s="1003"/>
      <c r="AX51" s="1003"/>
      <c r="AY51" s="1003"/>
      <c r="AZ51" s="1003"/>
      <c r="BA51" s="1003"/>
      <c r="BB51" s="1003"/>
      <c r="BC51" s="1003"/>
      <c r="BD51" s="1003"/>
      <c r="BE51" s="1003"/>
      <c r="BF51" s="1003"/>
      <c r="BG51" s="1003"/>
      <c r="BH51" s="1003"/>
      <c r="BI51" s="1003"/>
      <c r="BJ51" s="1003"/>
    </row>
    <row r="52" spans="1:77" ht="11.25" customHeight="1">
      <c r="A52" s="1003"/>
      <c r="B52" s="1003"/>
      <c r="C52" s="1003"/>
      <c r="D52" s="1003"/>
      <c r="E52" s="1003"/>
      <c r="F52" s="1003"/>
      <c r="G52" s="1003"/>
      <c r="H52" s="1003"/>
      <c r="I52" s="1003"/>
      <c r="J52" s="1003"/>
      <c r="K52" s="1003"/>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c r="BC52" s="1003"/>
      <c r="BD52" s="1003"/>
      <c r="BE52" s="1003"/>
      <c r="BF52" s="1003"/>
      <c r="BG52" s="1003"/>
      <c r="BH52" s="1003"/>
      <c r="BI52" s="1003"/>
      <c r="BJ52" s="1003"/>
    </row>
    <row r="53" spans="1:77" ht="11.25" customHeight="1">
      <c r="A53" s="1003"/>
      <c r="B53" s="1003"/>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1003"/>
      <c r="AV53" s="1003"/>
      <c r="AW53" s="1003"/>
      <c r="AX53" s="1003"/>
      <c r="AY53" s="1003"/>
      <c r="AZ53" s="1003"/>
      <c r="BA53" s="1003"/>
      <c r="BB53" s="1003"/>
      <c r="BC53" s="1003"/>
      <c r="BD53" s="1003"/>
      <c r="BE53" s="1003"/>
      <c r="BF53" s="1003"/>
      <c r="BG53" s="1003"/>
      <c r="BH53" s="1003"/>
      <c r="BI53" s="1003"/>
      <c r="BJ53" s="1003"/>
    </row>
    <row r="54" spans="1:77" ht="11.25" customHeight="1">
      <c r="A54" s="1003"/>
      <c r="B54" s="1003"/>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1003"/>
      <c r="AV54" s="1003"/>
      <c r="AW54" s="1003"/>
      <c r="AX54" s="1003"/>
      <c r="AY54" s="1003"/>
      <c r="AZ54" s="1003"/>
      <c r="BA54" s="1003"/>
      <c r="BB54" s="1003"/>
      <c r="BC54" s="1003"/>
      <c r="BD54" s="1003"/>
      <c r="BE54" s="1003"/>
      <c r="BF54" s="1003"/>
      <c r="BG54" s="1003"/>
      <c r="BH54" s="1003"/>
      <c r="BI54" s="1003"/>
      <c r="BJ54" s="1003"/>
    </row>
    <row r="55" spans="1:77" ht="11.25" customHeight="1">
      <c r="A55" s="1003"/>
      <c r="B55" s="1003"/>
      <c r="C55" s="1003"/>
      <c r="D55" s="1003"/>
      <c r="E55" s="1003"/>
      <c r="F55" s="1003"/>
      <c r="G55" s="1003"/>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1003"/>
      <c r="AV55" s="1003"/>
      <c r="AW55" s="1003"/>
      <c r="AX55" s="1003"/>
      <c r="AY55" s="1003"/>
      <c r="AZ55" s="1003"/>
      <c r="BA55" s="1003"/>
      <c r="BB55" s="1003"/>
      <c r="BC55" s="1003"/>
      <c r="BD55" s="1003"/>
      <c r="BE55" s="1003"/>
      <c r="BF55" s="1003"/>
      <c r="BG55" s="1003"/>
      <c r="BH55" s="1003"/>
      <c r="BI55" s="1003"/>
      <c r="BJ55" s="1003"/>
    </row>
    <row r="56" spans="1:77" ht="17.399999999999999">
      <c r="A56" s="1003"/>
      <c r="B56" s="1003"/>
      <c r="C56" s="1003"/>
      <c r="D56" s="1003"/>
      <c r="E56" s="1003"/>
      <c r="F56" s="1003"/>
      <c r="G56" s="1003"/>
      <c r="H56" s="1003"/>
      <c r="I56" s="1003"/>
      <c r="J56" s="1003"/>
      <c r="K56" s="1003"/>
      <c r="L56" s="1003"/>
      <c r="M56" s="1003"/>
      <c r="N56" s="1003"/>
      <c r="O56" s="1003"/>
      <c r="P56" s="1003"/>
      <c r="Q56" s="1003"/>
      <c r="R56" s="1003"/>
      <c r="S56" s="1003"/>
      <c r="T56" s="1003"/>
      <c r="U56" s="1003"/>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1003"/>
      <c r="AV56" s="1003"/>
      <c r="AW56" s="1003"/>
      <c r="AX56" s="1003"/>
      <c r="AY56" s="1003"/>
      <c r="AZ56" s="1003"/>
      <c r="BA56" s="1003"/>
      <c r="BB56" s="1003"/>
      <c r="BC56" s="1003"/>
      <c r="BD56" s="1003"/>
      <c r="BE56" s="1003"/>
      <c r="BF56" s="1003"/>
      <c r="BG56" s="1003"/>
      <c r="BH56" s="1003"/>
      <c r="BI56" s="1003"/>
      <c r="BJ56" s="1003"/>
    </row>
    <row r="57" spans="1:77" ht="17.399999999999999">
      <c r="A57" s="1003"/>
      <c r="B57" s="1003"/>
      <c r="C57" s="1003"/>
      <c r="D57" s="1003"/>
      <c r="E57" s="1003"/>
      <c r="F57" s="1003"/>
      <c r="G57" s="1003"/>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c r="BC57" s="1003"/>
      <c r="BD57" s="1003"/>
      <c r="BE57" s="1003"/>
      <c r="BF57" s="1003"/>
      <c r="BG57" s="1003"/>
      <c r="BH57" s="1003"/>
      <c r="BI57" s="1003"/>
      <c r="BJ57" s="1003"/>
    </row>
    <row r="58" spans="1:77" ht="17.399999999999999">
      <c r="A58" s="1003"/>
      <c r="B58" s="1003"/>
      <c r="C58" s="1003"/>
      <c r="D58" s="1003"/>
      <c r="E58" s="1003"/>
      <c r="F58" s="1003"/>
      <c r="G58" s="1003"/>
      <c r="H58" s="1003"/>
      <c r="I58" s="1003"/>
      <c r="J58" s="1003"/>
      <c r="K58" s="1003"/>
      <c r="L58" s="1003"/>
      <c r="M58" s="1003"/>
      <c r="N58" s="1003"/>
      <c r="O58" s="1003"/>
      <c r="P58" s="1003"/>
      <c r="Q58" s="1003"/>
      <c r="R58" s="1003"/>
      <c r="S58" s="1003"/>
      <c r="T58" s="1003"/>
      <c r="U58" s="1003"/>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row>
    <row r="59" spans="1:77" ht="17.399999999999999">
      <c r="A59" s="1003"/>
      <c r="B59" s="1003"/>
      <c r="C59" s="1003"/>
      <c r="D59" s="1003"/>
      <c r="E59" s="1003"/>
      <c r="F59" s="1003"/>
      <c r="G59" s="1003"/>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1003"/>
      <c r="AV59" s="1003"/>
      <c r="AW59" s="1003"/>
      <c r="AX59" s="1003"/>
      <c r="AY59" s="1003"/>
      <c r="AZ59" s="1003"/>
      <c r="BA59" s="1003"/>
      <c r="BB59" s="1003"/>
      <c r="BC59" s="1003"/>
      <c r="BD59" s="1003"/>
      <c r="BE59" s="1003"/>
      <c r="BF59" s="1003"/>
      <c r="BG59" s="1003"/>
      <c r="BH59" s="1003"/>
      <c r="BI59" s="1003"/>
      <c r="BJ59" s="1003"/>
    </row>
    <row r="60" spans="1:77" ht="17.399999999999999">
      <c r="A60" s="1003"/>
      <c r="B60" s="1003"/>
      <c r="C60" s="1003"/>
      <c r="D60" s="1003"/>
      <c r="E60" s="1003"/>
      <c r="F60" s="1003"/>
      <c r="G60" s="1003"/>
      <c r="H60" s="1003"/>
      <c r="I60" s="1003"/>
      <c r="J60" s="1003"/>
      <c r="K60" s="1003"/>
      <c r="L60" s="1003"/>
      <c r="M60" s="1003"/>
      <c r="N60" s="1003"/>
      <c r="O60" s="1003"/>
      <c r="P60" s="1003"/>
      <c r="Q60" s="1003"/>
      <c r="R60" s="1003"/>
      <c r="S60" s="1003"/>
      <c r="T60" s="1003"/>
      <c r="U60" s="1003"/>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1003"/>
      <c r="AV60" s="1003"/>
      <c r="AW60" s="1003"/>
      <c r="AX60" s="1003"/>
      <c r="AY60" s="1003"/>
      <c r="AZ60" s="1003"/>
      <c r="BA60" s="1003"/>
      <c r="BB60" s="1003"/>
      <c r="BC60" s="1003"/>
      <c r="BD60" s="1003"/>
      <c r="BE60" s="1003"/>
      <c r="BF60" s="1003"/>
      <c r="BG60" s="1003"/>
      <c r="BH60" s="1003"/>
      <c r="BI60" s="1003"/>
      <c r="BJ60" s="1003"/>
    </row>
    <row r="61" spans="1:77" ht="17.399999999999999">
      <c r="A61" s="1003"/>
      <c r="B61" s="1003"/>
      <c r="C61" s="1003"/>
      <c r="D61" s="1003"/>
      <c r="E61" s="1003"/>
      <c r="F61" s="1003"/>
      <c r="G61" s="1003"/>
      <c r="H61" s="1003"/>
      <c r="I61" s="1003"/>
      <c r="J61" s="1003"/>
      <c r="K61" s="1003"/>
      <c r="L61" s="1003"/>
      <c r="M61" s="1003"/>
      <c r="N61" s="1003"/>
      <c r="O61" s="1003"/>
      <c r="P61" s="1003"/>
      <c r="Q61" s="1003"/>
      <c r="R61" s="1003"/>
      <c r="S61" s="1003"/>
      <c r="T61" s="1003"/>
      <c r="U61" s="1003"/>
      <c r="V61" s="1003"/>
      <c r="W61" s="1003"/>
      <c r="X61" s="1003"/>
      <c r="Y61" s="1003"/>
      <c r="Z61" s="1003"/>
      <c r="AA61" s="1003"/>
      <c r="AB61" s="1003"/>
      <c r="AC61" s="1003"/>
      <c r="AD61" s="1003"/>
      <c r="AE61" s="1003"/>
      <c r="AF61" s="1003"/>
      <c r="AG61" s="1003"/>
      <c r="AH61" s="1003"/>
      <c r="AI61" s="1003"/>
      <c r="AJ61" s="1003"/>
      <c r="AK61" s="1003"/>
      <c r="AL61" s="1003"/>
      <c r="AM61" s="1003"/>
      <c r="AN61" s="1003"/>
      <c r="AO61" s="1003"/>
      <c r="AP61" s="1003"/>
      <c r="AQ61" s="1003"/>
      <c r="AR61" s="1003"/>
      <c r="AS61" s="1003"/>
      <c r="AT61" s="1003"/>
      <c r="AU61" s="1003"/>
      <c r="AV61" s="1003"/>
      <c r="AW61" s="1003"/>
      <c r="AX61" s="1003"/>
      <c r="AY61" s="1003"/>
      <c r="AZ61" s="1003"/>
      <c r="BA61" s="1003"/>
      <c r="BB61" s="1003"/>
      <c r="BC61" s="1003"/>
      <c r="BD61" s="1003"/>
      <c r="BE61" s="1003"/>
      <c r="BF61" s="1003"/>
      <c r="BG61" s="1003"/>
      <c r="BH61" s="1003"/>
      <c r="BI61" s="1003"/>
      <c r="BJ61" s="1003"/>
    </row>
    <row r="62" spans="1:77" ht="17.399999999999999">
      <c r="A62" s="1003"/>
      <c r="B62" s="1003"/>
      <c r="C62" s="1003"/>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1003"/>
      <c r="AV62" s="1003"/>
      <c r="AW62" s="1003"/>
      <c r="AX62" s="1003"/>
      <c r="AY62" s="1003"/>
      <c r="AZ62" s="1003"/>
      <c r="BA62" s="1003"/>
      <c r="BB62" s="1003"/>
      <c r="BC62" s="1003"/>
      <c r="BD62" s="1003"/>
      <c r="BE62" s="1003"/>
      <c r="BF62" s="1003"/>
      <c r="BG62" s="1003"/>
      <c r="BH62" s="1003"/>
      <c r="BI62" s="1003"/>
      <c r="BJ62" s="1003"/>
      <c r="BK62" s="1019"/>
    </row>
    <row r="63" spans="1:77" ht="17.399999999999999">
      <c r="A63" s="1003"/>
      <c r="B63" s="1003"/>
      <c r="C63" s="1003"/>
      <c r="D63" s="1003"/>
      <c r="E63" s="1003"/>
      <c r="F63" s="1003"/>
      <c r="G63" s="1003"/>
      <c r="H63" s="1003"/>
      <c r="I63" s="1003"/>
      <c r="J63" s="1003"/>
      <c r="K63" s="1003"/>
      <c r="L63" s="1003"/>
      <c r="M63" s="1003"/>
      <c r="N63" s="1003"/>
      <c r="O63" s="1003"/>
      <c r="P63" s="1003"/>
      <c r="Q63" s="1003"/>
      <c r="R63" s="1003"/>
      <c r="S63" s="1003"/>
      <c r="T63" s="1003"/>
      <c r="U63" s="1003"/>
      <c r="V63" s="1003"/>
      <c r="W63" s="1003"/>
      <c r="X63" s="1003"/>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1003"/>
      <c r="AV63" s="1003"/>
      <c r="AW63" s="1003"/>
      <c r="AX63" s="1003"/>
      <c r="AY63" s="1003"/>
      <c r="AZ63" s="1003"/>
      <c r="BA63" s="1003"/>
      <c r="BB63" s="1003"/>
      <c r="BC63" s="1003"/>
      <c r="BD63" s="1003"/>
      <c r="BE63" s="1003"/>
      <c r="BF63" s="1003"/>
      <c r="BG63" s="1003"/>
      <c r="BH63" s="1003"/>
      <c r="BI63" s="1003"/>
      <c r="BJ63" s="1003"/>
      <c r="BK63" s="1019">
        <v>0</v>
      </c>
      <c r="BN63" s="1019" t="s">
        <v>525</v>
      </c>
      <c r="BO63" s="1019" t="s">
        <v>525</v>
      </c>
      <c r="BP63" s="1019" t="s">
        <v>525</v>
      </c>
      <c r="BQ63" s="1019" t="s">
        <v>525</v>
      </c>
      <c r="BR63" s="1019" t="s">
        <v>525</v>
      </c>
      <c r="BS63" s="1019" t="s">
        <v>525</v>
      </c>
      <c r="BT63" s="1019" t="s">
        <v>525</v>
      </c>
      <c r="BU63" s="1019" t="s">
        <v>525</v>
      </c>
      <c r="BV63" s="1019">
        <v>0</v>
      </c>
      <c r="BW63" s="1019">
        <v>0</v>
      </c>
      <c r="BX63" s="1019">
        <v>0</v>
      </c>
      <c r="BY63" s="1019">
        <v>0</v>
      </c>
    </row>
    <row r="64" spans="1:77" ht="17.399999999999999">
      <c r="A64" s="1003"/>
      <c r="B64" s="1003"/>
      <c r="C64" s="1003"/>
      <c r="D64" s="1003"/>
      <c r="E64" s="1003"/>
      <c r="F64" s="1003"/>
      <c r="G64" s="1003"/>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03"/>
      <c r="BD64" s="1003"/>
      <c r="BE64" s="1003"/>
      <c r="BF64" s="1003"/>
      <c r="BG64" s="1003"/>
      <c r="BH64" s="1003"/>
      <c r="BI64" s="1003"/>
      <c r="BJ64" s="1003"/>
      <c r="BK64" s="1019">
        <v>0</v>
      </c>
      <c r="BM64" s="389" t="s">
        <v>735</v>
      </c>
      <c r="BN64" s="1019">
        <v>0</v>
      </c>
      <c r="BO64" s="1019">
        <v>0</v>
      </c>
      <c r="BP64" s="1019">
        <v>0</v>
      </c>
      <c r="BQ64" s="1019">
        <v>0</v>
      </c>
      <c r="BR64" s="1019">
        <v>0</v>
      </c>
      <c r="BS64" s="1019">
        <v>0</v>
      </c>
      <c r="BT64" s="1019">
        <v>0</v>
      </c>
      <c r="BU64" s="1019">
        <v>0</v>
      </c>
      <c r="BV64" s="1019">
        <v>0</v>
      </c>
      <c r="BW64" s="1019">
        <v>0</v>
      </c>
      <c r="BX64" s="1019" t="e">
        <v>#REF!</v>
      </c>
      <c r="BY64" s="1019">
        <v>0</v>
      </c>
    </row>
    <row r="65" spans="1:77" ht="17.399999999999999">
      <c r="A65" s="1003"/>
      <c r="B65" s="1003"/>
      <c r="C65" s="1003"/>
      <c r="D65" s="1003"/>
      <c r="E65" s="1003"/>
      <c r="F65" s="1003"/>
      <c r="G65" s="1003"/>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1003"/>
      <c r="AV65" s="1003"/>
      <c r="AW65" s="1003"/>
      <c r="AX65" s="1003"/>
      <c r="AY65" s="1003"/>
      <c r="AZ65" s="1003"/>
      <c r="BA65" s="1003"/>
      <c r="BB65" s="1003"/>
      <c r="BC65" s="1003"/>
      <c r="BD65" s="1003"/>
      <c r="BE65" s="1003"/>
      <c r="BF65" s="1003"/>
      <c r="BG65" s="1003"/>
      <c r="BH65" s="1003"/>
      <c r="BI65" s="1003"/>
      <c r="BJ65" s="1003"/>
      <c r="BK65" s="1019">
        <v>0</v>
      </c>
      <c r="BM65" s="389" t="s">
        <v>736</v>
      </c>
      <c r="BN65" s="1019">
        <v>0</v>
      </c>
      <c r="BO65" s="1019">
        <v>0</v>
      </c>
      <c r="BP65" s="1019">
        <v>0</v>
      </c>
      <c r="BQ65" s="1019">
        <v>0</v>
      </c>
      <c r="BR65" s="1019">
        <v>0</v>
      </c>
      <c r="BS65" s="1019">
        <v>0</v>
      </c>
      <c r="BT65" s="1019">
        <v>0</v>
      </c>
      <c r="BU65" s="1019">
        <v>0</v>
      </c>
      <c r="BV65" s="1019">
        <v>0</v>
      </c>
      <c r="BW65" s="1019">
        <v>0</v>
      </c>
      <c r="BX65" s="1019">
        <v>0</v>
      </c>
      <c r="BY65" s="1019">
        <v>0</v>
      </c>
    </row>
    <row r="66" spans="1:77" ht="17.399999999999999">
      <c r="A66" s="1003"/>
      <c r="B66" s="1003"/>
      <c r="C66" s="1003"/>
      <c r="D66" s="1003"/>
      <c r="E66" s="1003"/>
      <c r="F66" s="1003"/>
      <c r="G66" s="1003"/>
      <c r="H66" s="1003"/>
      <c r="I66" s="1003"/>
      <c r="J66" s="1003"/>
      <c r="K66" s="1003"/>
      <c r="L66" s="1003"/>
      <c r="M66" s="1003"/>
      <c r="N66" s="1003"/>
      <c r="O66" s="1003"/>
      <c r="P66" s="1003"/>
      <c r="Q66" s="1003"/>
      <c r="R66" s="1003"/>
      <c r="S66" s="1003"/>
      <c r="T66" s="1003"/>
      <c r="U66" s="1003"/>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1003"/>
      <c r="AV66" s="1003"/>
      <c r="AW66" s="1003"/>
      <c r="AX66" s="1003"/>
      <c r="AY66" s="1003"/>
      <c r="AZ66" s="1003"/>
      <c r="BA66" s="1003"/>
      <c r="BB66" s="1003"/>
      <c r="BC66" s="1003"/>
      <c r="BD66" s="1003"/>
      <c r="BE66" s="1003"/>
      <c r="BF66" s="1003"/>
      <c r="BG66" s="1003"/>
      <c r="BH66" s="1003"/>
      <c r="BI66" s="1003"/>
      <c r="BJ66" s="1003"/>
      <c r="BK66" s="1019">
        <v>0</v>
      </c>
      <c r="BM66" s="389" t="s">
        <v>737</v>
      </c>
      <c r="BN66" s="1019">
        <v>0</v>
      </c>
      <c r="BO66" s="1019">
        <v>0</v>
      </c>
      <c r="BP66" s="1019">
        <v>0</v>
      </c>
      <c r="BQ66" s="1019">
        <v>0</v>
      </c>
      <c r="BR66" s="1019">
        <v>0</v>
      </c>
      <c r="BS66" s="1019">
        <v>0</v>
      </c>
      <c r="BT66" s="1019">
        <v>0</v>
      </c>
      <c r="BU66" s="1019">
        <v>0</v>
      </c>
      <c r="BV66" s="1019">
        <v>0</v>
      </c>
      <c r="BW66" s="1019">
        <v>0</v>
      </c>
      <c r="BX66" s="1019" t="e">
        <v>#REF!</v>
      </c>
      <c r="BY66" s="1019" t="e">
        <v>#REF!</v>
      </c>
    </row>
    <row r="67" spans="1:77" ht="17.399999999999999">
      <c r="A67" s="1003"/>
      <c r="B67" s="1003"/>
      <c r="C67" s="1003"/>
      <c r="D67" s="1003"/>
      <c r="E67" s="1003"/>
      <c r="F67" s="1003"/>
      <c r="G67" s="1003"/>
      <c r="H67" s="1003"/>
      <c r="I67" s="1003"/>
      <c r="J67" s="1003"/>
      <c r="K67" s="1003"/>
      <c r="L67" s="1003"/>
      <c r="M67" s="1003"/>
      <c r="N67" s="1003"/>
      <c r="O67" s="1003"/>
      <c r="P67" s="1003"/>
      <c r="Q67" s="1003"/>
      <c r="R67" s="1003"/>
      <c r="S67" s="1003"/>
      <c r="T67" s="1003"/>
      <c r="U67" s="1003"/>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1003"/>
      <c r="AV67" s="1003"/>
      <c r="AW67" s="1003"/>
      <c r="AX67" s="1003"/>
      <c r="AY67" s="1003"/>
      <c r="AZ67" s="1003"/>
      <c r="BA67" s="1003"/>
      <c r="BB67" s="1003"/>
      <c r="BC67" s="1003"/>
      <c r="BD67" s="1003"/>
      <c r="BE67" s="1003"/>
      <c r="BF67" s="1003"/>
      <c r="BG67" s="1003"/>
      <c r="BH67" s="1003"/>
      <c r="BI67" s="1003"/>
      <c r="BJ67" s="1003"/>
      <c r="BK67" s="1019">
        <v>0</v>
      </c>
      <c r="BM67" s="389" t="s">
        <v>738</v>
      </c>
      <c r="BN67" s="1019">
        <v>0</v>
      </c>
      <c r="BO67" s="1019">
        <v>0</v>
      </c>
      <c r="BP67" s="1019">
        <v>0</v>
      </c>
      <c r="BQ67" s="1019">
        <v>0</v>
      </c>
      <c r="BR67" s="1019">
        <v>0</v>
      </c>
      <c r="BS67" s="1019">
        <v>0</v>
      </c>
      <c r="BT67" s="1019">
        <v>0</v>
      </c>
      <c r="BU67" s="1019">
        <v>0</v>
      </c>
      <c r="BV67" s="1019">
        <v>0</v>
      </c>
      <c r="BW67" s="1019">
        <v>0</v>
      </c>
      <c r="BX67" s="1019">
        <v>0</v>
      </c>
      <c r="BY67" s="1019" t="e">
        <v>#REF!</v>
      </c>
    </row>
    <row r="68" spans="1:77" ht="17.399999999999999">
      <c r="A68" s="1003"/>
      <c r="B68" s="1003"/>
      <c r="C68" s="1003"/>
      <c r="D68" s="1003"/>
      <c r="E68" s="1003"/>
      <c r="F68" s="1003"/>
      <c r="G68" s="1003"/>
      <c r="H68" s="1003"/>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3"/>
      <c r="AH68" s="1003"/>
      <c r="AI68" s="1003"/>
      <c r="AJ68" s="1003"/>
      <c r="AK68" s="1003"/>
      <c r="AL68" s="1003"/>
      <c r="AM68" s="1003"/>
      <c r="AN68" s="1003"/>
      <c r="AO68" s="1003"/>
      <c r="AP68" s="1003"/>
      <c r="AQ68" s="1003"/>
      <c r="AR68" s="1003"/>
      <c r="AS68" s="1003"/>
      <c r="AT68" s="1003"/>
      <c r="AU68" s="1003"/>
      <c r="AV68" s="1003"/>
      <c r="AW68" s="1003"/>
      <c r="AX68" s="1003"/>
      <c r="AY68" s="1003"/>
      <c r="AZ68" s="1003"/>
      <c r="BA68" s="1003"/>
      <c r="BB68" s="1003"/>
      <c r="BC68" s="1003"/>
      <c r="BD68" s="1003"/>
      <c r="BE68" s="1003"/>
      <c r="BF68" s="1003"/>
      <c r="BG68" s="1003"/>
      <c r="BH68" s="1003"/>
      <c r="BI68" s="1003"/>
      <c r="BJ68" s="1003"/>
      <c r="BK68" s="1019">
        <v>0</v>
      </c>
      <c r="BM68" s="389" t="s">
        <v>739</v>
      </c>
      <c r="BN68" s="1019">
        <v>0</v>
      </c>
      <c r="BO68" s="1019">
        <v>0</v>
      </c>
      <c r="BP68" s="1019">
        <v>0</v>
      </c>
      <c r="BQ68" s="1019">
        <v>0</v>
      </c>
      <c r="BR68" s="1019">
        <v>0</v>
      </c>
      <c r="BS68" s="1019">
        <v>0</v>
      </c>
      <c r="BT68" s="1019">
        <v>0</v>
      </c>
      <c r="BU68" s="1019">
        <v>0</v>
      </c>
      <c r="BV68" s="1019">
        <v>0</v>
      </c>
      <c r="BW68" s="1019">
        <v>0</v>
      </c>
      <c r="BX68" s="1019" t="e">
        <v>#REF!</v>
      </c>
      <c r="BY68" s="1019" t="e">
        <v>#REF!</v>
      </c>
    </row>
    <row r="69" spans="1:77" ht="17.399999999999999">
      <c r="A69" s="1003"/>
      <c r="B69" s="1003"/>
      <c r="C69" s="1003"/>
      <c r="D69" s="1003"/>
      <c r="E69" s="1003"/>
      <c r="F69" s="1003"/>
      <c r="G69" s="1003"/>
      <c r="H69" s="1003"/>
      <c r="I69" s="1003"/>
      <c r="J69" s="1003"/>
      <c r="K69" s="1003"/>
      <c r="L69" s="1003"/>
      <c r="M69" s="1003"/>
      <c r="N69" s="1003"/>
      <c r="O69" s="1003"/>
      <c r="P69" s="1003"/>
      <c r="Q69" s="1003"/>
      <c r="R69" s="1003"/>
      <c r="S69" s="1003"/>
      <c r="T69" s="1003"/>
      <c r="U69" s="1003"/>
      <c r="V69" s="1003"/>
      <c r="W69" s="1003"/>
      <c r="X69" s="1003"/>
      <c r="Y69" s="1003"/>
      <c r="Z69" s="1003"/>
      <c r="AA69" s="1003"/>
      <c r="AB69" s="1003"/>
      <c r="AC69" s="1003"/>
      <c r="AD69" s="1003"/>
      <c r="AE69" s="1003"/>
      <c r="AF69" s="1003"/>
      <c r="AG69" s="1003"/>
      <c r="AH69" s="1003"/>
      <c r="AI69" s="1003"/>
      <c r="AJ69" s="1003"/>
      <c r="AK69" s="1003"/>
      <c r="AL69" s="1003"/>
      <c r="AM69" s="1003"/>
      <c r="AN69" s="1003"/>
      <c r="AO69" s="1003"/>
      <c r="AP69" s="1003"/>
      <c r="AQ69" s="1003"/>
      <c r="AR69" s="1003"/>
      <c r="AS69" s="1003"/>
      <c r="AT69" s="1003"/>
      <c r="AU69" s="1003"/>
      <c r="AV69" s="1003"/>
      <c r="AW69" s="1003"/>
      <c r="AX69" s="1003"/>
      <c r="AY69" s="1003"/>
      <c r="AZ69" s="1003"/>
      <c r="BA69" s="1003"/>
      <c r="BB69" s="1003"/>
      <c r="BC69" s="1003"/>
      <c r="BD69" s="1003"/>
      <c r="BE69" s="1003"/>
      <c r="BF69" s="1003"/>
      <c r="BG69" s="1003"/>
      <c r="BH69" s="1003"/>
      <c r="BI69" s="1003"/>
      <c r="BJ69" s="1003"/>
      <c r="BK69" s="1019">
        <v>0</v>
      </c>
      <c r="BM69" s="389" t="s">
        <v>740</v>
      </c>
      <c r="BN69" s="1019">
        <v>0</v>
      </c>
      <c r="BO69" s="1019">
        <v>0</v>
      </c>
      <c r="BP69" s="1019">
        <v>0</v>
      </c>
      <c r="BQ69" s="1019">
        <v>0</v>
      </c>
      <c r="BR69" s="1019">
        <v>0</v>
      </c>
      <c r="BS69" s="1019">
        <v>0</v>
      </c>
      <c r="BT69" s="1019">
        <v>0</v>
      </c>
      <c r="BU69" s="1019">
        <v>0</v>
      </c>
      <c r="BV69" s="1019">
        <v>0</v>
      </c>
      <c r="BW69" s="1019">
        <v>0</v>
      </c>
      <c r="BX69" s="1019">
        <v>0</v>
      </c>
      <c r="BY69" s="1019" t="e">
        <v>#REF!</v>
      </c>
    </row>
    <row r="70" spans="1:77" ht="17.399999999999999">
      <c r="A70" s="1003"/>
      <c r="B70" s="1003"/>
      <c r="C70" s="1003"/>
      <c r="D70" s="1003"/>
      <c r="E70" s="1003"/>
      <c r="F70" s="1003"/>
      <c r="G70" s="1003"/>
      <c r="H70" s="1003"/>
      <c r="I70" s="1003"/>
      <c r="J70" s="1003"/>
      <c r="K70" s="1003"/>
      <c r="L70" s="1003"/>
      <c r="M70" s="1003"/>
      <c r="N70" s="1003"/>
      <c r="O70" s="1003"/>
      <c r="P70" s="1003"/>
      <c r="Q70" s="1003"/>
      <c r="R70" s="1003"/>
      <c r="S70" s="1003"/>
      <c r="T70" s="1003"/>
      <c r="U70" s="1003"/>
      <c r="V70" s="1003"/>
      <c r="W70" s="1003"/>
      <c r="X70" s="1003"/>
      <c r="Y70" s="1003"/>
      <c r="Z70" s="1003"/>
      <c r="AA70" s="1003"/>
      <c r="AB70" s="1003"/>
      <c r="AC70" s="1003"/>
      <c r="AD70" s="1003"/>
      <c r="AE70" s="1003"/>
      <c r="AF70" s="1003"/>
      <c r="AG70" s="1003"/>
      <c r="AH70" s="1003"/>
      <c r="AI70" s="1003"/>
      <c r="AJ70" s="1003"/>
      <c r="AK70" s="1003"/>
      <c r="AL70" s="1003"/>
      <c r="AM70" s="1003"/>
      <c r="AN70" s="1003"/>
      <c r="AO70" s="1003"/>
      <c r="AP70" s="1003"/>
      <c r="AQ70" s="1003"/>
      <c r="AR70" s="1003"/>
      <c r="AS70" s="1003"/>
      <c r="AT70" s="1003"/>
      <c r="AU70" s="1003"/>
      <c r="AV70" s="1003"/>
      <c r="AW70" s="1003"/>
      <c r="AX70" s="1003"/>
      <c r="AY70" s="1003"/>
      <c r="AZ70" s="1003"/>
      <c r="BA70" s="1003"/>
      <c r="BB70" s="1003"/>
      <c r="BC70" s="1003"/>
      <c r="BD70" s="1003"/>
      <c r="BE70" s="1003"/>
      <c r="BF70" s="1003"/>
      <c r="BG70" s="1003"/>
      <c r="BH70" s="1003"/>
      <c r="BI70" s="1003"/>
      <c r="BJ70" s="1003"/>
      <c r="BP70" s="1020"/>
      <c r="BQ70" s="1019"/>
    </row>
    <row r="71" spans="1:77" ht="17.399999999999999">
      <c r="A71" s="1003"/>
      <c r="B71" s="1003"/>
      <c r="C71" s="1003"/>
      <c r="D71" s="1003"/>
      <c r="E71" s="1003"/>
      <c r="F71" s="1003"/>
      <c r="G71" s="1003"/>
      <c r="H71" s="1003"/>
      <c r="I71" s="1003"/>
      <c r="J71" s="1003"/>
      <c r="K71" s="1003"/>
      <c r="L71" s="1003"/>
      <c r="M71" s="1003"/>
      <c r="N71" s="1003"/>
      <c r="O71" s="1003"/>
      <c r="P71" s="1003"/>
      <c r="Q71" s="1003"/>
      <c r="R71" s="1003"/>
      <c r="S71" s="1003"/>
      <c r="T71" s="1003"/>
      <c r="U71" s="1003"/>
      <c r="V71" s="1003"/>
      <c r="W71" s="1003"/>
      <c r="X71" s="1003"/>
      <c r="Y71" s="1003"/>
      <c r="Z71" s="1003"/>
      <c r="AA71" s="1003"/>
      <c r="AB71" s="1003"/>
      <c r="AC71" s="1003"/>
      <c r="AD71" s="1003"/>
      <c r="AE71" s="1003"/>
      <c r="AF71" s="1003"/>
      <c r="AG71" s="1003"/>
      <c r="AH71" s="1003"/>
      <c r="AI71" s="1003"/>
      <c r="AJ71" s="1003"/>
      <c r="AK71" s="1003"/>
      <c r="AL71" s="1003"/>
      <c r="AM71" s="1003"/>
      <c r="AN71" s="1003"/>
      <c r="AO71" s="1003"/>
      <c r="AP71" s="1003"/>
      <c r="AQ71" s="1003"/>
      <c r="AR71" s="1003"/>
      <c r="AS71" s="1003"/>
      <c r="AT71" s="1003"/>
      <c r="AU71" s="1003"/>
      <c r="AV71" s="1003"/>
      <c r="AW71" s="1003"/>
      <c r="AX71" s="1003"/>
      <c r="AY71" s="1003"/>
      <c r="AZ71" s="1003"/>
      <c r="BA71" s="1003"/>
      <c r="BB71" s="1003"/>
      <c r="BC71" s="1003"/>
      <c r="BD71" s="1003"/>
      <c r="BE71" s="1003"/>
      <c r="BF71" s="1003"/>
      <c r="BG71" s="1003"/>
      <c r="BH71" s="1003"/>
      <c r="BI71" s="1003"/>
      <c r="BJ71" s="1003"/>
      <c r="BM71" s="1019"/>
      <c r="BQ71" s="1019"/>
      <c r="BS71" s="1019"/>
      <c r="BT71" s="1019"/>
    </row>
    <row r="72" spans="1:77" ht="17.399999999999999">
      <c r="A72" s="1003"/>
      <c r="B72" s="1003"/>
      <c r="C72" s="1003"/>
      <c r="D72" s="1003"/>
      <c r="E72" s="1003"/>
      <c r="F72" s="1003"/>
      <c r="G72" s="1003"/>
      <c r="H72" s="1003"/>
      <c r="I72" s="1003"/>
      <c r="J72" s="1003"/>
      <c r="K72" s="1003"/>
      <c r="L72" s="1003"/>
      <c r="M72" s="1003"/>
      <c r="N72" s="1003"/>
      <c r="O72" s="1003"/>
      <c r="P72" s="1003"/>
      <c r="Q72" s="1003"/>
      <c r="R72" s="1003"/>
      <c r="S72" s="1003"/>
      <c r="T72" s="1003"/>
      <c r="U72" s="1003"/>
      <c r="V72" s="1003"/>
      <c r="W72" s="1003"/>
      <c r="X72" s="1003"/>
      <c r="Y72" s="1003"/>
      <c r="Z72" s="1003"/>
      <c r="AA72" s="1003"/>
      <c r="AB72" s="1003"/>
      <c r="AC72" s="1003"/>
      <c r="AD72" s="1003"/>
      <c r="AE72" s="1003"/>
      <c r="AF72" s="1003"/>
      <c r="AG72" s="1003"/>
      <c r="AH72" s="1003"/>
      <c r="AI72" s="1003"/>
      <c r="AJ72" s="1003"/>
      <c r="AK72" s="1003"/>
      <c r="AL72" s="1003"/>
      <c r="AM72" s="1003"/>
      <c r="AN72" s="1003"/>
      <c r="AO72" s="1003"/>
      <c r="AP72" s="1003"/>
      <c r="AQ72" s="1003"/>
      <c r="AR72" s="1003"/>
      <c r="AS72" s="1003"/>
      <c r="AT72" s="1003"/>
      <c r="AU72" s="1003"/>
      <c r="AV72" s="1003"/>
      <c r="AW72" s="1003"/>
      <c r="AX72" s="1003"/>
      <c r="AY72" s="1003"/>
      <c r="AZ72" s="1003"/>
      <c r="BA72" s="1003"/>
      <c r="BB72" s="1003"/>
      <c r="BC72" s="1003"/>
      <c r="BD72" s="1003"/>
      <c r="BE72" s="1003"/>
      <c r="BF72" s="1003"/>
      <c r="BG72" s="1003"/>
      <c r="BH72" s="1003"/>
      <c r="BI72" s="1003"/>
      <c r="BJ72" s="1003"/>
      <c r="BM72" s="1019"/>
      <c r="BP72" s="1019"/>
      <c r="BQ72" s="1019"/>
      <c r="BT72" s="1019"/>
    </row>
    <row r="73" spans="1:77" ht="17.399999999999999">
      <c r="A73" s="1003"/>
      <c r="B73" s="1003"/>
      <c r="C73" s="1003"/>
      <c r="D73" s="1003"/>
      <c r="E73" s="1003"/>
      <c r="F73" s="1003"/>
      <c r="G73" s="1003"/>
      <c r="H73" s="1003"/>
      <c r="I73" s="1003"/>
      <c r="J73" s="1003"/>
      <c r="K73" s="1003"/>
      <c r="L73" s="1003"/>
      <c r="M73" s="1003"/>
      <c r="N73" s="1003"/>
      <c r="O73" s="1003"/>
      <c r="P73" s="1003"/>
      <c r="Q73" s="1003"/>
      <c r="R73" s="1003"/>
      <c r="S73" s="1003"/>
      <c r="T73" s="1003"/>
      <c r="U73" s="1003"/>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1003"/>
      <c r="AV73" s="1003"/>
      <c r="AW73" s="1003"/>
      <c r="AX73" s="1003"/>
      <c r="AY73" s="1003"/>
      <c r="AZ73" s="1003"/>
      <c r="BA73" s="1003"/>
      <c r="BB73" s="1003"/>
      <c r="BC73" s="1003"/>
      <c r="BD73" s="1003"/>
      <c r="BE73" s="1003"/>
      <c r="BF73" s="1003"/>
      <c r="BG73" s="1003"/>
      <c r="BH73" s="1003"/>
      <c r="BI73" s="1003"/>
      <c r="BJ73" s="1003"/>
      <c r="BK73" s="1019">
        <v>0</v>
      </c>
      <c r="BL73" s="1019"/>
      <c r="BM73" s="1019"/>
      <c r="BO73" s="1019"/>
      <c r="BP73" s="1019"/>
      <c r="BQ73" s="1019"/>
      <c r="BS73" s="1019"/>
      <c r="BT73" s="1019"/>
    </row>
    <row r="74" spans="1:77" ht="17.399999999999999">
      <c r="A74" s="1003"/>
      <c r="B74" s="1003"/>
      <c r="C74" s="1003"/>
      <c r="D74" s="1003"/>
      <c r="E74" s="1003"/>
      <c r="F74" s="1003"/>
      <c r="G74" s="1003"/>
      <c r="H74" s="1003"/>
      <c r="I74" s="1003"/>
      <c r="J74" s="1003"/>
      <c r="K74" s="1003"/>
      <c r="L74" s="1003"/>
      <c r="M74" s="1003"/>
      <c r="N74" s="1003"/>
      <c r="O74" s="1003"/>
      <c r="P74" s="1003"/>
      <c r="Q74" s="1003"/>
      <c r="R74" s="1003"/>
      <c r="S74" s="1003"/>
      <c r="T74" s="1003"/>
      <c r="U74" s="1003"/>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c r="AQ74" s="1003"/>
      <c r="AR74" s="1003"/>
      <c r="AS74" s="1003"/>
      <c r="AT74" s="1003"/>
      <c r="AU74" s="1003"/>
      <c r="AV74" s="1003"/>
      <c r="AW74" s="1003"/>
      <c r="AX74" s="1003"/>
      <c r="AY74" s="1003"/>
      <c r="AZ74" s="1003"/>
      <c r="BA74" s="1003"/>
      <c r="BB74" s="1003"/>
      <c r="BC74" s="1003"/>
      <c r="BD74" s="1003"/>
      <c r="BE74" s="1003"/>
      <c r="BF74" s="1003"/>
      <c r="BG74" s="1003"/>
      <c r="BH74" s="1003"/>
      <c r="BI74" s="1003"/>
      <c r="BJ74" s="1003"/>
      <c r="BK74" s="1019">
        <v>0</v>
      </c>
      <c r="BM74" s="1019"/>
      <c r="BO74" s="1021"/>
      <c r="BP74" s="1022" t="s">
        <v>33</v>
      </c>
      <c r="BQ74" s="1023" t="s">
        <v>741</v>
      </c>
      <c r="BR74" s="1023" t="s">
        <v>742</v>
      </c>
      <c r="BS74" s="1023" t="s">
        <v>743</v>
      </c>
      <c r="BT74" s="1023">
        <v>0</v>
      </c>
      <c r="BU74" s="1023" t="s">
        <v>744</v>
      </c>
      <c r="BV74" s="1021"/>
    </row>
    <row r="75" spans="1:77" ht="17.399999999999999">
      <c r="A75" s="1003"/>
      <c r="B75" s="1003"/>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c r="AA75" s="1003"/>
      <c r="AB75" s="1003"/>
      <c r="AC75" s="1003"/>
      <c r="AD75" s="1003"/>
      <c r="AE75" s="1003"/>
      <c r="AF75" s="1003"/>
      <c r="AG75" s="1003"/>
      <c r="AH75" s="1003"/>
      <c r="AI75" s="1003"/>
      <c r="AJ75" s="1003"/>
      <c r="AK75" s="1003"/>
      <c r="AL75" s="1003"/>
      <c r="AM75" s="1003"/>
      <c r="AN75" s="1003"/>
      <c r="AO75" s="1003"/>
      <c r="AP75" s="1003"/>
      <c r="AQ75" s="1003"/>
      <c r="AR75" s="1003"/>
      <c r="AS75" s="1003"/>
      <c r="AT75" s="1003"/>
      <c r="AU75" s="1003"/>
      <c r="AV75" s="1003"/>
      <c r="AW75" s="1003"/>
      <c r="AX75" s="1003"/>
      <c r="AY75" s="1003"/>
      <c r="AZ75" s="1003"/>
      <c r="BA75" s="1003"/>
      <c r="BB75" s="1003"/>
      <c r="BC75" s="1003"/>
      <c r="BD75" s="1003"/>
      <c r="BE75" s="1003"/>
      <c r="BF75" s="1003"/>
      <c r="BG75" s="1003"/>
      <c r="BH75" s="1003"/>
      <c r="BI75" s="1003"/>
      <c r="BJ75" s="1003"/>
      <c r="BK75" s="1019">
        <v>0</v>
      </c>
      <c r="BO75" s="1021" t="s">
        <v>745</v>
      </c>
      <c r="BP75" s="1023">
        <v>0</v>
      </c>
      <c r="BQ75" s="1023">
        <v>0</v>
      </c>
      <c r="BR75" s="1023">
        <v>0</v>
      </c>
      <c r="BS75" s="1023">
        <v>0</v>
      </c>
      <c r="BT75" s="1023">
        <v>0</v>
      </c>
      <c r="BU75" s="1023" t="e">
        <v>#REF!</v>
      </c>
      <c r="BV75" s="1021"/>
    </row>
    <row r="76" spans="1:77" ht="17.399999999999999">
      <c r="A76" s="1003"/>
      <c r="B76" s="1003"/>
      <c r="C76" s="1003"/>
      <c r="D76" s="1003"/>
      <c r="E76" s="1003"/>
      <c r="F76" s="1003"/>
      <c r="G76" s="1003"/>
      <c r="H76" s="1003"/>
      <c r="I76" s="1003"/>
      <c r="J76" s="1003"/>
      <c r="K76" s="1003"/>
      <c r="L76" s="1003"/>
      <c r="M76" s="1003"/>
      <c r="N76" s="1003"/>
      <c r="O76" s="1003"/>
      <c r="P76" s="1003"/>
      <c r="Q76" s="1003"/>
      <c r="R76" s="1003"/>
      <c r="S76" s="1003"/>
      <c r="T76" s="1003"/>
      <c r="U76" s="1003"/>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1003"/>
      <c r="AV76" s="1003"/>
      <c r="AW76" s="1003"/>
      <c r="AX76" s="1003"/>
      <c r="AY76" s="1003"/>
      <c r="AZ76" s="1003"/>
      <c r="BA76" s="1003"/>
      <c r="BB76" s="1003"/>
      <c r="BC76" s="1003"/>
      <c r="BD76" s="1003"/>
      <c r="BE76" s="1003"/>
      <c r="BF76" s="1003"/>
      <c r="BG76" s="1003"/>
      <c r="BH76" s="1003"/>
      <c r="BI76" s="1003"/>
      <c r="BJ76" s="1003"/>
      <c r="BK76" s="1019">
        <v>0</v>
      </c>
      <c r="BM76" s="1019"/>
      <c r="BO76" s="1023" t="s">
        <v>27</v>
      </c>
      <c r="BP76" s="1023">
        <v>0</v>
      </c>
      <c r="BQ76" s="1023">
        <v>0</v>
      </c>
      <c r="BR76" s="1023">
        <v>0</v>
      </c>
      <c r="BS76" s="1023">
        <v>0</v>
      </c>
      <c r="BT76" s="1023">
        <v>0</v>
      </c>
      <c r="BU76" s="1023" t="e">
        <v>#REF!</v>
      </c>
      <c r="BV76" s="1021"/>
    </row>
    <row r="77" spans="1:77" ht="17.399999999999999">
      <c r="A77" s="1003"/>
      <c r="B77" s="1003"/>
      <c r="C77" s="1003"/>
      <c r="D77" s="1003"/>
      <c r="E77" s="1003"/>
      <c r="F77" s="1003"/>
      <c r="G77" s="1003"/>
      <c r="H77" s="1003"/>
      <c r="I77" s="1003"/>
      <c r="J77" s="1003"/>
      <c r="K77" s="1003"/>
      <c r="L77" s="1003"/>
      <c r="M77" s="1003"/>
      <c r="N77" s="1003"/>
      <c r="O77" s="1003"/>
      <c r="P77" s="1003"/>
      <c r="Q77" s="1003"/>
      <c r="R77" s="1003"/>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1003"/>
      <c r="AV77" s="1003"/>
      <c r="AW77" s="1003"/>
      <c r="AX77" s="1003"/>
      <c r="AY77" s="1003"/>
      <c r="AZ77" s="1003"/>
      <c r="BA77" s="1003"/>
      <c r="BB77" s="1003"/>
      <c r="BC77" s="1003"/>
      <c r="BD77" s="1003"/>
      <c r="BE77" s="1003"/>
      <c r="BF77" s="1003"/>
      <c r="BG77" s="1003"/>
      <c r="BH77" s="1003"/>
      <c r="BI77" s="1003"/>
      <c r="BJ77" s="1003"/>
      <c r="BK77" s="1019">
        <v>0</v>
      </c>
      <c r="BL77" s="1019"/>
      <c r="BO77" s="1019"/>
      <c r="BP77" s="1019"/>
      <c r="BQ77" s="1019"/>
      <c r="BT77" s="1019"/>
    </row>
    <row r="78" spans="1:77" ht="17.399999999999999">
      <c r="A78" s="1003"/>
      <c r="B78" s="1003"/>
      <c r="C78" s="1003"/>
      <c r="D78" s="1003"/>
      <c r="E78" s="1003"/>
      <c r="F78" s="1003"/>
      <c r="G78" s="1003"/>
      <c r="H78" s="1003"/>
      <c r="I78" s="1003"/>
      <c r="J78" s="1003"/>
      <c r="K78" s="1003"/>
      <c r="L78" s="1003"/>
      <c r="M78" s="1003"/>
      <c r="N78" s="1003"/>
      <c r="O78" s="1003"/>
      <c r="P78" s="1003"/>
      <c r="Q78" s="1003"/>
      <c r="R78" s="1003"/>
      <c r="S78" s="1003"/>
      <c r="T78" s="1003"/>
      <c r="U78" s="1003"/>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1003"/>
      <c r="AV78" s="1003"/>
      <c r="AW78" s="1003"/>
      <c r="AX78" s="1003"/>
      <c r="AY78" s="1003"/>
      <c r="AZ78" s="1003"/>
      <c r="BA78" s="1003"/>
      <c r="BB78" s="1003"/>
      <c r="BC78" s="1003"/>
      <c r="BD78" s="1003"/>
      <c r="BE78" s="1003"/>
      <c r="BF78" s="1003"/>
      <c r="BG78" s="1003"/>
      <c r="BH78" s="1003"/>
      <c r="BI78" s="1003"/>
      <c r="BJ78" s="1003"/>
      <c r="BK78" s="1019">
        <v>0</v>
      </c>
      <c r="BM78" s="1019"/>
      <c r="BQ78" s="1019"/>
    </row>
    <row r="79" spans="1:77" ht="17.399999999999999">
      <c r="A79" s="1003"/>
      <c r="B79" s="1003"/>
      <c r="C79" s="1003"/>
      <c r="D79" s="1003"/>
      <c r="E79" s="1003"/>
      <c r="F79" s="1003"/>
      <c r="G79" s="1003"/>
      <c r="H79" s="1003"/>
      <c r="I79" s="1003"/>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c r="AP79" s="1003"/>
      <c r="AQ79" s="1003"/>
      <c r="AR79" s="1003"/>
      <c r="AS79" s="1003"/>
      <c r="AT79" s="1003"/>
      <c r="AU79" s="1003"/>
      <c r="AV79" s="1003"/>
      <c r="AW79" s="1003"/>
      <c r="AX79" s="1003"/>
      <c r="AY79" s="1003"/>
      <c r="AZ79" s="1003"/>
      <c r="BA79" s="1003"/>
      <c r="BB79" s="1003"/>
      <c r="BC79" s="1003"/>
      <c r="BD79" s="1003"/>
      <c r="BE79" s="1003"/>
      <c r="BF79" s="1003"/>
      <c r="BG79" s="1003"/>
      <c r="BH79" s="1003"/>
      <c r="BI79" s="1003"/>
      <c r="BJ79" s="1003"/>
      <c r="BK79" s="1019">
        <v>0</v>
      </c>
      <c r="BL79" s="1019"/>
      <c r="BO79" s="1019"/>
      <c r="BP79" s="1019"/>
      <c r="BQ79" s="1019"/>
      <c r="BS79" s="1019"/>
    </row>
    <row r="80" spans="1:77" ht="17.399999999999999">
      <c r="A80" s="1003"/>
      <c r="B80" s="1003"/>
      <c r="C80" s="1003"/>
      <c r="D80" s="1003"/>
      <c r="E80" s="1003"/>
      <c r="F80" s="1003"/>
      <c r="G80" s="1003"/>
      <c r="H80" s="1003"/>
      <c r="I80" s="1003"/>
      <c r="J80" s="1003"/>
      <c r="K80" s="1003"/>
      <c r="L80" s="1003"/>
      <c r="M80" s="1003"/>
      <c r="N80" s="1003"/>
      <c r="O80" s="1003"/>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c r="AR80" s="1003"/>
      <c r="AS80" s="1003"/>
      <c r="AT80" s="1003"/>
      <c r="AU80" s="1003"/>
      <c r="AV80" s="1003"/>
      <c r="AW80" s="1003"/>
      <c r="AX80" s="1003"/>
      <c r="AY80" s="1003"/>
      <c r="AZ80" s="1003"/>
      <c r="BA80" s="1003"/>
      <c r="BB80" s="1003"/>
      <c r="BC80" s="1003"/>
      <c r="BD80" s="1003"/>
      <c r="BE80" s="1003"/>
      <c r="BF80" s="1003"/>
      <c r="BG80" s="1003"/>
      <c r="BH80" s="1003"/>
      <c r="BI80" s="1003"/>
      <c r="BJ80" s="1003"/>
      <c r="BK80" s="1019">
        <v>0</v>
      </c>
      <c r="BM80" s="1019"/>
      <c r="BQ80" s="1019"/>
    </row>
    <row r="81" spans="1:78" ht="17.399999999999999">
      <c r="A81" s="1003"/>
      <c r="B81" s="1003"/>
      <c r="C81" s="1003"/>
      <c r="D81" s="1003"/>
      <c r="E81" s="1003"/>
      <c r="F81" s="1003"/>
      <c r="G81" s="1003"/>
      <c r="H81" s="1003"/>
      <c r="I81" s="1003"/>
      <c r="J81" s="1003"/>
      <c r="K81" s="1003"/>
      <c r="L81" s="1003"/>
      <c r="M81" s="1003"/>
      <c r="N81" s="1003"/>
      <c r="O81" s="1003"/>
      <c r="P81" s="1003"/>
      <c r="Q81" s="1003"/>
      <c r="R81" s="1003"/>
      <c r="S81" s="1003"/>
      <c r="T81" s="1003"/>
      <c r="U81" s="1003"/>
      <c r="V81" s="1003"/>
      <c r="W81" s="1003"/>
      <c r="X81" s="1003"/>
      <c r="Y81" s="1003"/>
      <c r="Z81" s="1003"/>
      <c r="AA81" s="1003"/>
      <c r="AB81" s="1003"/>
      <c r="AC81" s="1003"/>
      <c r="AD81" s="1003"/>
      <c r="AE81" s="1003"/>
      <c r="AF81" s="1003"/>
      <c r="AG81" s="1003"/>
      <c r="AH81" s="1003"/>
      <c r="AI81" s="1003"/>
      <c r="AJ81" s="1003"/>
      <c r="AK81" s="1003"/>
      <c r="AL81" s="1003"/>
      <c r="AM81" s="1003"/>
      <c r="AN81" s="1003"/>
      <c r="AO81" s="1003"/>
      <c r="AP81" s="1003"/>
      <c r="AQ81" s="1003"/>
      <c r="AR81" s="1003"/>
      <c r="AS81" s="1003"/>
      <c r="AT81" s="1003"/>
      <c r="AU81" s="1003"/>
      <c r="AV81" s="1003"/>
      <c r="AW81" s="1003"/>
      <c r="AX81" s="1003"/>
      <c r="AY81" s="1003"/>
      <c r="AZ81" s="1003"/>
      <c r="BA81" s="1003"/>
      <c r="BB81" s="1003"/>
      <c r="BC81" s="1003"/>
      <c r="BD81" s="1003"/>
      <c r="BE81" s="1003"/>
      <c r="BF81" s="1003"/>
      <c r="BG81" s="1003"/>
      <c r="BH81" s="1003"/>
      <c r="BI81" s="1003"/>
      <c r="BJ81" s="1003"/>
      <c r="BK81" s="1019">
        <v>0</v>
      </c>
      <c r="BL81" s="1019"/>
      <c r="BO81" s="1019"/>
      <c r="BP81" s="1019"/>
      <c r="BQ81" s="1019"/>
      <c r="BS81" s="1019"/>
    </row>
    <row r="82" spans="1:78" ht="17.399999999999999">
      <c r="A82" s="1003"/>
      <c r="B82" s="1003"/>
      <c r="C82" s="1003"/>
      <c r="D82" s="1003"/>
      <c r="E82" s="1003"/>
      <c r="F82" s="1003"/>
      <c r="G82" s="1003"/>
      <c r="H82" s="1003"/>
      <c r="I82" s="1003"/>
      <c r="J82" s="1003"/>
      <c r="K82" s="1003"/>
      <c r="L82" s="1003"/>
      <c r="M82" s="1003"/>
      <c r="N82" s="1003"/>
      <c r="O82" s="1003"/>
      <c r="P82" s="1003"/>
      <c r="Q82" s="1003"/>
      <c r="R82" s="1003"/>
      <c r="S82" s="1003"/>
      <c r="T82" s="1003"/>
      <c r="U82" s="1003"/>
      <c r="V82" s="1003"/>
      <c r="W82" s="1003"/>
      <c r="X82" s="1003"/>
      <c r="Y82" s="1003"/>
      <c r="Z82" s="1003"/>
      <c r="AA82" s="1003"/>
      <c r="AB82" s="1003"/>
      <c r="AC82" s="1003"/>
      <c r="AD82" s="1003"/>
      <c r="AE82" s="1003"/>
      <c r="AF82" s="1003"/>
      <c r="AG82" s="1003"/>
      <c r="AH82" s="1003"/>
      <c r="AI82" s="1003"/>
      <c r="AJ82" s="1003"/>
      <c r="AK82" s="1003"/>
      <c r="AL82" s="1003"/>
      <c r="AM82" s="1003"/>
      <c r="AN82" s="1003"/>
      <c r="AO82" s="1003"/>
      <c r="AP82" s="1003"/>
      <c r="AQ82" s="1003"/>
      <c r="AR82" s="1003"/>
      <c r="AS82" s="1003"/>
      <c r="AT82" s="1003"/>
      <c r="AU82" s="1003"/>
      <c r="AV82" s="1003"/>
      <c r="AW82" s="1003"/>
      <c r="AX82" s="1003"/>
      <c r="AY82" s="1003"/>
      <c r="AZ82" s="1003"/>
      <c r="BA82" s="1003"/>
      <c r="BB82" s="1003"/>
      <c r="BC82" s="1003"/>
      <c r="BD82" s="1003"/>
      <c r="BE82" s="1003"/>
      <c r="BF82" s="1003"/>
      <c r="BG82" s="1003"/>
      <c r="BH82" s="1003"/>
      <c r="BI82" s="1003"/>
      <c r="BJ82" s="1003"/>
      <c r="BK82" s="1019" t="e">
        <v>#REF!</v>
      </c>
      <c r="BM82" s="1019"/>
      <c r="BQ82" s="1019"/>
    </row>
    <row r="83" spans="1:78" ht="17.399999999999999">
      <c r="A83" s="1003"/>
      <c r="B83" s="1003"/>
      <c r="C83" s="1003"/>
      <c r="D83" s="1003"/>
      <c r="E83" s="1003"/>
      <c r="F83" s="1003"/>
      <c r="G83" s="1003"/>
      <c r="H83" s="1003"/>
      <c r="I83" s="1003"/>
      <c r="J83" s="1003"/>
      <c r="K83" s="1003"/>
      <c r="L83" s="1003"/>
      <c r="M83" s="1003"/>
      <c r="N83" s="1003"/>
      <c r="O83" s="1003"/>
      <c r="P83" s="1003"/>
      <c r="Q83" s="1003"/>
      <c r="R83" s="1003"/>
      <c r="S83" s="1003"/>
      <c r="T83" s="1003"/>
      <c r="U83" s="1003"/>
      <c r="V83" s="1003"/>
      <c r="W83" s="1003"/>
      <c r="X83" s="1003"/>
      <c r="Y83" s="1003"/>
      <c r="Z83" s="1003"/>
      <c r="AA83" s="1003"/>
      <c r="AB83" s="1003"/>
      <c r="AC83" s="1003"/>
      <c r="AD83" s="1003"/>
      <c r="AE83" s="1003"/>
      <c r="AF83" s="1003"/>
      <c r="AG83" s="1003"/>
      <c r="AH83" s="1003"/>
      <c r="AI83" s="1003"/>
      <c r="AJ83" s="1003"/>
      <c r="AK83" s="1003"/>
      <c r="AL83" s="1003"/>
      <c r="AM83" s="1003"/>
      <c r="AN83" s="1003"/>
      <c r="AO83" s="1003"/>
      <c r="AP83" s="1003"/>
      <c r="AQ83" s="1003"/>
      <c r="AR83" s="1003"/>
      <c r="AS83" s="1003"/>
      <c r="AT83" s="1003"/>
      <c r="AU83" s="1003"/>
      <c r="AV83" s="1003"/>
      <c r="AW83" s="1003"/>
      <c r="AX83" s="1003"/>
      <c r="AY83" s="1003"/>
      <c r="AZ83" s="1003"/>
      <c r="BA83" s="1003"/>
      <c r="BB83" s="1003"/>
      <c r="BC83" s="1003"/>
      <c r="BD83" s="1003"/>
      <c r="BE83" s="1003"/>
      <c r="BF83" s="1003"/>
      <c r="BG83" s="1003"/>
      <c r="BH83" s="1003"/>
      <c r="BI83" s="1003"/>
      <c r="BJ83" s="1003"/>
      <c r="BK83" s="1019" t="e">
        <v>#REF!</v>
      </c>
    </row>
    <row r="84" spans="1:78" ht="17.399999999999999">
      <c r="A84" s="1003"/>
      <c r="B84" s="1003"/>
      <c r="C84" s="1003"/>
      <c r="D84" s="1003"/>
      <c r="E84" s="1003"/>
      <c r="F84" s="1003"/>
      <c r="G84" s="1003"/>
      <c r="H84" s="1003"/>
      <c r="I84" s="1003"/>
      <c r="J84" s="1003"/>
      <c r="K84" s="1003"/>
      <c r="L84" s="1003"/>
      <c r="M84" s="1003"/>
      <c r="N84" s="1003"/>
      <c r="O84" s="1003"/>
      <c r="P84" s="1003"/>
      <c r="Q84" s="1003"/>
      <c r="R84" s="1003"/>
      <c r="S84" s="1003"/>
      <c r="T84" s="1003"/>
      <c r="U84" s="1003"/>
      <c r="V84" s="1003"/>
      <c r="W84" s="1003"/>
      <c r="X84" s="1003"/>
      <c r="Y84" s="1003"/>
      <c r="Z84" s="1003"/>
      <c r="AA84" s="1003"/>
      <c r="AB84" s="1003"/>
      <c r="AC84" s="1003"/>
      <c r="AD84" s="1003"/>
      <c r="AE84" s="1003"/>
      <c r="AF84" s="1003"/>
      <c r="AG84" s="1003"/>
      <c r="AH84" s="1003"/>
      <c r="AI84" s="1003"/>
      <c r="AJ84" s="1003"/>
      <c r="AK84" s="1003"/>
      <c r="AL84" s="1003"/>
      <c r="AM84" s="1003"/>
      <c r="AN84" s="1003"/>
      <c r="AO84" s="1003"/>
      <c r="AP84" s="1003"/>
      <c r="AQ84" s="1003"/>
      <c r="AR84" s="1003"/>
      <c r="AS84" s="1003"/>
      <c r="AT84" s="1003"/>
      <c r="AU84" s="1003"/>
      <c r="AV84" s="1003"/>
      <c r="AW84" s="1003"/>
      <c r="AX84" s="1003"/>
      <c r="AY84" s="1003"/>
      <c r="AZ84" s="1003"/>
      <c r="BA84" s="1003"/>
      <c r="BB84" s="1003"/>
      <c r="BC84" s="1003"/>
      <c r="BD84" s="1003"/>
      <c r="BE84" s="1003"/>
      <c r="BF84" s="1003"/>
      <c r="BG84" s="1003"/>
      <c r="BH84" s="1003"/>
      <c r="BI84" s="1003"/>
      <c r="BJ84" s="1003"/>
    </row>
    <row r="85" spans="1:78" ht="17.399999999999999">
      <c r="A85" s="1003"/>
      <c r="B85" s="1003"/>
      <c r="C85" s="1003"/>
      <c r="D85" s="1003"/>
      <c r="E85" s="1003"/>
      <c r="F85" s="1003"/>
      <c r="G85" s="1003"/>
      <c r="H85" s="1003"/>
      <c r="I85" s="1003"/>
      <c r="J85" s="1003"/>
      <c r="K85" s="1003"/>
      <c r="L85" s="1003"/>
      <c r="M85" s="1003"/>
      <c r="N85" s="1003"/>
      <c r="O85" s="1003"/>
      <c r="P85" s="1003"/>
      <c r="Q85" s="1003"/>
      <c r="R85" s="1003"/>
      <c r="S85" s="1003"/>
      <c r="T85" s="1003"/>
      <c r="U85" s="1003"/>
      <c r="V85" s="1003"/>
      <c r="W85" s="1003"/>
      <c r="X85" s="1003"/>
      <c r="Y85" s="1003"/>
      <c r="Z85" s="1003"/>
      <c r="AA85" s="1003"/>
      <c r="AB85" s="1003"/>
      <c r="AC85" s="1003"/>
      <c r="AD85" s="1003"/>
      <c r="AE85" s="1003"/>
      <c r="AF85" s="1003"/>
      <c r="AG85" s="1003"/>
      <c r="AH85" s="1003"/>
      <c r="AI85" s="1003"/>
      <c r="AJ85" s="1003"/>
      <c r="AK85" s="1003"/>
      <c r="AL85" s="1003"/>
      <c r="AM85" s="1003"/>
      <c r="AN85" s="1003"/>
      <c r="AO85" s="1003"/>
      <c r="AP85" s="1003"/>
      <c r="AQ85" s="1003"/>
      <c r="AR85" s="1003"/>
      <c r="AS85" s="1003"/>
      <c r="AT85" s="1003"/>
      <c r="AU85" s="1003"/>
      <c r="AV85" s="1003"/>
      <c r="AW85" s="1003"/>
      <c r="AX85" s="1003"/>
      <c r="AY85" s="1003"/>
      <c r="AZ85" s="1003"/>
      <c r="BA85" s="1003"/>
      <c r="BB85" s="1003"/>
      <c r="BC85" s="1003"/>
      <c r="BD85" s="1003"/>
      <c r="BE85" s="1003"/>
      <c r="BF85" s="1003"/>
      <c r="BG85" s="1003"/>
      <c r="BH85" s="1003"/>
      <c r="BI85" s="1003"/>
      <c r="BJ85" s="1003"/>
      <c r="BK85" s="1024"/>
    </row>
    <row r="86" spans="1:78" ht="17.399999999999999">
      <c r="A86" s="1003"/>
      <c r="B86" s="1003"/>
      <c r="C86" s="1003"/>
      <c r="D86" s="1003"/>
      <c r="E86" s="1003"/>
      <c r="F86" s="1003"/>
      <c r="G86" s="1003"/>
      <c r="H86" s="1003"/>
      <c r="I86" s="1003"/>
      <c r="J86" s="1003"/>
      <c r="K86" s="1003"/>
      <c r="L86" s="1003"/>
      <c r="M86" s="1003"/>
      <c r="N86" s="1003"/>
      <c r="O86" s="1003"/>
      <c r="P86" s="1003"/>
      <c r="Q86" s="1003"/>
      <c r="R86" s="1003"/>
      <c r="S86" s="1003"/>
      <c r="T86" s="1003"/>
      <c r="U86" s="1003"/>
      <c r="V86" s="1003"/>
      <c r="W86" s="1003"/>
      <c r="X86" s="1003"/>
      <c r="Y86" s="1003"/>
      <c r="Z86" s="1003"/>
      <c r="AA86" s="1003"/>
      <c r="AB86" s="1003"/>
      <c r="AC86" s="1003"/>
      <c r="AD86" s="1003"/>
      <c r="AE86" s="1003"/>
      <c r="AF86" s="1003"/>
      <c r="AG86" s="1003"/>
      <c r="AH86" s="1003"/>
      <c r="AI86" s="1003"/>
      <c r="AJ86" s="1003"/>
      <c r="AK86" s="1003"/>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25">
        <v>0</v>
      </c>
    </row>
    <row r="87" spans="1:78" ht="17.399999999999999">
      <c r="A87" s="1003"/>
      <c r="B87" s="1003"/>
      <c r="C87" s="1003"/>
      <c r="D87" s="1003"/>
      <c r="E87" s="1003"/>
      <c r="F87" s="1003"/>
      <c r="G87" s="1003"/>
      <c r="H87" s="1003"/>
      <c r="I87" s="1003"/>
      <c r="J87" s="1003"/>
      <c r="K87" s="1003"/>
      <c r="L87" s="1003"/>
      <c r="M87" s="1003"/>
      <c r="N87" s="1003"/>
      <c r="O87" s="1003"/>
      <c r="P87" s="1003"/>
      <c r="Q87" s="1003"/>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3"/>
      <c r="BA87" s="1003"/>
      <c r="BB87" s="1003"/>
      <c r="BC87" s="1003"/>
      <c r="BD87" s="1003"/>
      <c r="BE87" s="1003"/>
      <c r="BF87" s="1003"/>
      <c r="BG87" s="1003"/>
      <c r="BH87" s="1003"/>
      <c r="BI87" s="1003"/>
      <c r="BJ87" s="1003"/>
      <c r="BK87" s="1025">
        <v>0</v>
      </c>
      <c r="BL87" s="389" t="s">
        <v>746</v>
      </c>
      <c r="BM87" s="1019" t="s">
        <v>525</v>
      </c>
      <c r="BN87" s="1019" t="s">
        <v>525</v>
      </c>
      <c r="BO87" s="1019" t="s">
        <v>525</v>
      </c>
      <c r="BP87" s="1019" t="s">
        <v>525</v>
      </c>
      <c r="BQ87" s="1019" t="s">
        <v>525</v>
      </c>
      <c r="BR87" s="1019" t="s">
        <v>525</v>
      </c>
      <c r="BS87" s="1019" t="s">
        <v>525</v>
      </c>
      <c r="BT87" s="1019" t="s">
        <v>525</v>
      </c>
      <c r="BU87" s="1019" t="s">
        <v>525</v>
      </c>
      <c r="BV87" s="1019" t="s">
        <v>525</v>
      </c>
      <c r="BW87" s="1019" t="s">
        <v>525</v>
      </c>
      <c r="BX87" s="1019" t="s">
        <v>525</v>
      </c>
      <c r="BY87" s="1019">
        <v>0</v>
      </c>
      <c r="BZ87" s="389">
        <v>0</v>
      </c>
    </row>
    <row r="88" spans="1:78" ht="17.399999999999999">
      <c r="A88" s="1003"/>
      <c r="B88" s="1003"/>
      <c r="C88" s="1003"/>
      <c r="D88" s="1003"/>
      <c r="E88" s="1003"/>
      <c r="F88" s="1003"/>
      <c r="G88" s="1003"/>
      <c r="H88" s="1003"/>
      <c r="I88" s="1003"/>
      <c r="J88" s="1003"/>
      <c r="K88" s="1003"/>
      <c r="L88" s="1003"/>
      <c r="M88" s="1003"/>
      <c r="N88" s="1003"/>
      <c r="O88" s="1003"/>
      <c r="P88" s="1003"/>
      <c r="Q88" s="1003"/>
      <c r="R88" s="1003"/>
      <c r="S88" s="1003"/>
      <c r="T88" s="1003"/>
      <c r="U88" s="1003"/>
      <c r="V88" s="1003"/>
      <c r="W88" s="1003"/>
      <c r="X88" s="1003"/>
      <c r="Y88" s="1003"/>
      <c r="Z88" s="1003"/>
      <c r="AA88" s="1003"/>
      <c r="AB88" s="1003"/>
      <c r="AC88" s="1003"/>
      <c r="AD88" s="1003"/>
      <c r="AE88" s="1003"/>
      <c r="AF88" s="1003"/>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03"/>
      <c r="BD88" s="1003"/>
      <c r="BE88" s="1003"/>
      <c r="BF88" s="1003"/>
      <c r="BG88" s="1003"/>
      <c r="BH88" s="1003"/>
      <c r="BI88" s="1003"/>
      <c r="BJ88" s="1003"/>
      <c r="BK88" s="1025">
        <v>0</v>
      </c>
      <c r="BL88" s="389" t="s">
        <v>745</v>
      </c>
      <c r="BM88" s="1019" t="s">
        <v>525</v>
      </c>
      <c r="BN88" s="1019" t="s">
        <v>525</v>
      </c>
      <c r="BO88" s="1019" t="s">
        <v>525</v>
      </c>
      <c r="BP88" s="1019" t="s">
        <v>525</v>
      </c>
      <c r="BQ88" s="1019" t="s">
        <v>525</v>
      </c>
      <c r="BR88" s="1019" t="s">
        <v>525</v>
      </c>
      <c r="BS88" s="1019" t="s">
        <v>525</v>
      </c>
      <c r="BT88" s="1019" t="s">
        <v>525</v>
      </c>
      <c r="BU88" s="1019" t="s">
        <v>525</v>
      </c>
      <c r="BV88" s="1019" t="s">
        <v>525</v>
      </c>
      <c r="BW88" s="1019" t="s">
        <v>525</v>
      </c>
      <c r="BX88" s="1019" t="s">
        <v>525</v>
      </c>
      <c r="BY88" s="1019">
        <v>0</v>
      </c>
      <c r="BZ88" s="389">
        <v>0</v>
      </c>
    </row>
    <row r="89" spans="1:78" ht="17.399999999999999">
      <c r="A89" s="1003"/>
      <c r="B89" s="1003"/>
      <c r="C89" s="1003"/>
      <c r="D89" s="1003"/>
      <c r="E89" s="1003"/>
      <c r="F89" s="1003"/>
      <c r="G89" s="1003"/>
      <c r="H89" s="1003"/>
      <c r="I89" s="1003"/>
      <c r="J89" s="1003"/>
      <c r="K89" s="1003"/>
      <c r="L89" s="1003"/>
      <c r="M89" s="1003"/>
      <c r="N89" s="1003"/>
      <c r="O89" s="1003"/>
      <c r="P89" s="1003"/>
      <c r="Q89" s="1003"/>
      <c r="R89" s="1003"/>
      <c r="S89" s="1003"/>
      <c r="T89" s="1003"/>
      <c r="U89" s="1003"/>
      <c r="V89" s="1003"/>
      <c r="W89" s="1003"/>
      <c r="X89" s="1003"/>
      <c r="Y89" s="1003"/>
      <c r="Z89" s="1003"/>
      <c r="AA89" s="1003"/>
      <c r="AB89" s="1003"/>
      <c r="AC89" s="1003"/>
      <c r="AD89" s="1003"/>
      <c r="AE89" s="1003"/>
      <c r="AF89" s="1003"/>
      <c r="AG89" s="1003"/>
      <c r="AH89" s="1003"/>
      <c r="AI89" s="1003"/>
      <c r="AJ89" s="1003"/>
      <c r="AK89" s="1003"/>
      <c r="AL89" s="1003"/>
      <c r="AM89" s="1003"/>
      <c r="AN89" s="1003"/>
      <c r="AO89" s="1003"/>
      <c r="AP89" s="1003"/>
      <c r="AQ89" s="1003"/>
      <c r="AR89" s="1003"/>
      <c r="AS89" s="1003"/>
      <c r="AT89" s="1003"/>
      <c r="AU89" s="1003"/>
      <c r="AV89" s="1003"/>
      <c r="AW89" s="1003"/>
      <c r="AX89" s="1003"/>
      <c r="AY89" s="1003"/>
      <c r="AZ89" s="1003"/>
      <c r="BA89" s="1003"/>
      <c r="BB89" s="1003"/>
      <c r="BC89" s="1003"/>
      <c r="BD89" s="1003"/>
      <c r="BE89" s="1003"/>
      <c r="BF89" s="1003"/>
      <c r="BG89" s="1003"/>
      <c r="BH89" s="1003"/>
      <c r="BI89" s="1003"/>
      <c r="BJ89" s="1003"/>
      <c r="BK89" s="1025">
        <v>0</v>
      </c>
      <c r="BL89" s="389" t="s">
        <v>746</v>
      </c>
      <c r="BM89" s="1019" t="s">
        <v>525</v>
      </c>
      <c r="BN89" s="1019" t="s">
        <v>525</v>
      </c>
      <c r="BO89" s="1019" t="s">
        <v>525</v>
      </c>
      <c r="BP89" s="1019" t="s">
        <v>525</v>
      </c>
      <c r="BQ89" s="1019" t="s">
        <v>525</v>
      </c>
      <c r="BR89" s="1019" t="s">
        <v>525</v>
      </c>
      <c r="BS89" s="1019" t="s">
        <v>525</v>
      </c>
      <c r="BT89" s="1019" t="s">
        <v>525</v>
      </c>
      <c r="BU89" s="1019" t="s">
        <v>525</v>
      </c>
      <c r="BV89" s="1019" t="s">
        <v>525</v>
      </c>
      <c r="BW89" s="1019" t="s">
        <v>525</v>
      </c>
      <c r="BX89" s="1019" t="s">
        <v>525</v>
      </c>
      <c r="BY89" s="1019">
        <v>0</v>
      </c>
      <c r="BZ89" s="389">
        <v>0</v>
      </c>
    </row>
    <row r="90" spans="1:78" ht="17.399999999999999">
      <c r="A90" s="1003"/>
      <c r="B90" s="1003"/>
      <c r="C90" s="1003"/>
      <c r="D90" s="1003"/>
      <c r="E90" s="1003"/>
      <c r="F90" s="1003"/>
      <c r="G90" s="1003"/>
      <c r="H90" s="1003"/>
      <c r="I90" s="1003"/>
      <c r="J90" s="1003"/>
      <c r="K90" s="1003"/>
      <c r="L90" s="1003"/>
      <c r="M90" s="1003"/>
      <c r="N90" s="1003"/>
      <c r="O90" s="1003"/>
      <c r="P90" s="1003"/>
      <c r="Q90" s="1003"/>
      <c r="R90" s="1003"/>
      <c r="S90" s="1003"/>
      <c r="T90" s="1003"/>
      <c r="U90" s="1003"/>
      <c r="V90" s="1003"/>
      <c r="W90" s="1003"/>
      <c r="X90" s="1003"/>
      <c r="Y90" s="1003"/>
      <c r="Z90" s="1003"/>
      <c r="AA90" s="1003"/>
      <c r="AB90" s="1003"/>
      <c r="AC90" s="1003"/>
      <c r="AD90" s="1003"/>
      <c r="AE90" s="1003"/>
      <c r="AF90" s="1003"/>
      <c r="AG90" s="1003"/>
      <c r="AH90" s="1003"/>
      <c r="AI90" s="1003"/>
      <c r="AJ90" s="1003"/>
      <c r="AK90" s="1003"/>
      <c r="AL90" s="1003"/>
      <c r="AM90" s="1003"/>
      <c r="AN90" s="1003"/>
      <c r="AO90" s="1003"/>
      <c r="AP90" s="1003"/>
      <c r="AQ90" s="1003"/>
      <c r="AR90" s="1003"/>
      <c r="AS90" s="1003"/>
      <c r="AT90" s="1003"/>
      <c r="AU90" s="1003"/>
      <c r="AV90" s="1003"/>
      <c r="AW90" s="1003"/>
      <c r="AX90" s="1003"/>
      <c r="AY90" s="1003"/>
      <c r="AZ90" s="1003"/>
      <c r="BA90" s="1003"/>
      <c r="BB90" s="1003"/>
      <c r="BC90" s="1003"/>
      <c r="BD90" s="1003"/>
      <c r="BE90" s="1003"/>
      <c r="BF90" s="1003"/>
      <c r="BG90" s="1003"/>
      <c r="BH90" s="1003"/>
      <c r="BI90" s="1003"/>
      <c r="BJ90" s="1003"/>
      <c r="BK90" s="1025">
        <v>0</v>
      </c>
      <c r="BL90" s="389" t="s">
        <v>745</v>
      </c>
      <c r="BM90" s="1019" t="s">
        <v>525</v>
      </c>
      <c r="BN90" s="1019" t="s">
        <v>525</v>
      </c>
      <c r="BO90" s="1019" t="s">
        <v>525</v>
      </c>
      <c r="BP90" s="1019" t="s">
        <v>525</v>
      </c>
      <c r="BQ90" s="1019" t="s">
        <v>525</v>
      </c>
      <c r="BR90" s="1019" t="s">
        <v>525</v>
      </c>
      <c r="BS90" s="1019" t="s">
        <v>525</v>
      </c>
      <c r="BT90" s="1019" t="s">
        <v>525</v>
      </c>
      <c r="BU90" s="1019" t="s">
        <v>525</v>
      </c>
      <c r="BV90" s="1019" t="s">
        <v>525</v>
      </c>
      <c r="BW90" s="1019" t="s">
        <v>525</v>
      </c>
      <c r="BX90" s="1019" t="s">
        <v>525</v>
      </c>
      <c r="BY90" s="1019">
        <v>0</v>
      </c>
      <c r="BZ90" s="389">
        <v>0</v>
      </c>
    </row>
    <row r="91" spans="1:78" ht="17.399999999999999">
      <c r="A91" s="1003"/>
      <c r="B91" s="1003"/>
      <c r="C91" s="1003"/>
      <c r="D91" s="1003"/>
      <c r="E91" s="1003"/>
      <c r="F91" s="1003"/>
      <c r="G91" s="1003"/>
      <c r="H91" s="1003"/>
      <c r="I91" s="1003"/>
      <c r="J91" s="1003"/>
      <c r="K91" s="1003"/>
      <c r="L91" s="1003"/>
      <c r="M91" s="1003"/>
      <c r="N91" s="1003"/>
      <c r="O91" s="1003"/>
      <c r="P91" s="1003"/>
      <c r="Q91" s="1003"/>
      <c r="R91" s="1003"/>
      <c r="S91" s="1003"/>
      <c r="T91" s="1003"/>
      <c r="U91" s="1003"/>
      <c r="V91" s="1003"/>
      <c r="W91" s="1003"/>
      <c r="X91" s="1003"/>
      <c r="Y91" s="1003"/>
      <c r="Z91" s="1003"/>
      <c r="AA91" s="1003"/>
      <c r="AB91" s="1003"/>
      <c r="AC91" s="1003"/>
      <c r="AD91" s="1003"/>
      <c r="AE91" s="1003"/>
      <c r="AF91" s="1003"/>
      <c r="AG91" s="1003"/>
      <c r="AH91" s="1003"/>
      <c r="AI91" s="1003"/>
      <c r="AJ91" s="1003"/>
      <c r="AK91" s="1003"/>
      <c r="AL91" s="1003"/>
      <c r="AM91" s="1003"/>
      <c r="AN91" s="1003"/>
      <c r="AO91" s="1003"/>
      <c r="AP91" s="1003"/>
      <c r="AQ91" s="1003"/>
      <c r="AR91" s="1003"/>
      <c r="AS91" s="1003"/>
      <c r="AT91" s="1003"/>
      <c r="AU91" s="1003"/>
      <c r="AV91" s="1003"/>
      <c r="AW91" s="1003"/>
      <c r="AX91" s="1003"/>
      <c r="AY91" s="1003"/>
      <c r="AZ91" s="1003"/>
      <c r="BA91" s="1003"/>
      <c r="BB91" s="1003"/>
      <c r="BC91" s="1003"/>
      <c r="BD91" s="1003"/>
      <c r="BE91" s="1003"/>
      <c r="BF91" s="1003"/>
      <c r="BG91" s="1003"/>
      <c r="BH91" s="1003"/>
      <c r="BI91" s="1003"/>
      <c r="BJ91" s="1003"/>
      <c r="BK91" s="1025">
        <v>0</v>
      </c>
      <c r="BL91" s="389" t="s">
        <v>746</v>
      </c>
      <c r="BM91" s="1019" t="s">
        <v>525</v>
      </c>
      <c r="BN91" s="1019" t="s">
        <v>525</v>
      </c>
      <c r="BO91" s="1019" t="s">
        <v>525</v>
      </c>
      <c r="BP91" s="1019" t="s">
        <v>525</v>
      </c>
      <c r="BQ91" s="1019" t="s">
        <v>525</v>
      </c>
      <c r="BR91" s="1019" t="s">
        <v>525</v>
      </c>
      <c r="BS91" s="1019" t="s">
        <v>525</v>
      </c>
      <c r="BT91" s="1019" t="s">
        <v>525</v>
      </c>
      <c r="BU91" s="1019" t="s">
        <v>525</v>
      </c>
      <c r="BV91" s="1019" t="s">
        <v>525</v>
      </c>
      <c r="BW91" s="1019" t="s">
        <v>525</v>
      </c>
      <c r="BX91" s="1019" t="s">
        <v>525</v>
      </c>
      <c r="BY91" s="1019">
        <v>0</v>
      </c>
      <c r="BZ91" s="389">
        <v>0</v>
      </c>
    </row>
    <row r="92" spans="1:78" ht="17.399999999999999">
      <c r="A92" s="1003"/>
      <c r="B92" s="1003"/>
      <c r="C92" s="1003"/>
      <c r="D92" s="1003"/>
      <c r="E92" s="1003"/>
      <c r="F92" s="1003"/>
      <c r="G92" s="1003"/>
      <c r="H92" s="1003"/>
      <c r="I92" s="1003"/>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c r="AP92" s="1003"/>
      <c r="AQ92" s="1003"/>
      <c r="AR92" s="1003"/>
      <c r="AS92" s="1003"/>
      <c r="AT92" s="1003"/>
      <c r="AU92" s="1003"/>
      <c r="AV92" s="1003"/>
      <c r="AW92" s="1003"/>
      <c r="AX92" s="1003"/>
      <c r="AY92" s="1003"/>
      <c r="AZ92" s="1003"/>
      <c r="BA92" s="1003"/>
      <c r="BB92" s="1003"/>
      <c r="BC92" s="1003"/>
      <c r="BD92" s="1003"/>
      <c r="BE92" s="1003"/>
      <c r="BF92" s="1003"/>
      <c r="BG92" s="1003"/>
      <c r="BH92" s="1003"/>
      <c r="BI92" s="1003"/>
      <c r="BJ92" s="1003"/>
      <c r="BK92" s="1025">
        <v>0</v>
      </c>
      <c r="BL92" s="389" t="s">
        <v>745</v>
      </c>
      <c r="BM92" s="1019" t="s">
        <v>525</v>
      </c>
      <c r="BN92" s="1019" t="s">
        <v>525</v>
      </c>
      <c r="BO92" s="1019" t="s">
        <v>525</v>
      </c>
      <c r="BP92" s="1019" t="s">
        <v>525</v>
      </c>
      <c r="BQ92" s="1019" t="s">
        <v>525</v>
      </c>
      <c r="BR92" s="1019" t="s">
        <v>525</v>
      </c>
      <c r="BS92" s="1019" t="s">
        <v>525</v>
      </c>
      <c r="BT92" s="1019" t="s">
        <v>525</v>
      </c>
      <c r="BU92" s="1019" t="s">
        <v>525</v>
      </c>
      <c r="BV92" s="1019" t="s">
        <v>525</v>
      </c>
      <c r="BW92" s="1019" t="s">
        <v>525</v>
      </c>
      <c r="BX92" s="1019" t="s">
        <v>525</v>
      </c>
      <c r="BY92" s="1019">
        <v>0</v>
      </c>
      <c r="BZ92" s="389">
        <v>0</v>
      </c>
    </row>
    <row r="93" spans="1:78" ht="17.399999999999999">
      <c r="A93" s="1003"/>
      <c r="B93" s="1003"/>
      <c r="C93" s="1003"/>
      <c r="D93" s="1003"/>
      <c r="E93" s="1003"/>
      <c r="F93" s="1003"/>
      <c r="G93" s="1003"/>
      <c r="H93" s="1003"/>
      <c r="I93" s="1003"/>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03"/>
      <c r="BD93" s="1003"/>
      <c r="BE93" s="1003"/>
      <c r="BF93" s="1003"/>
      <c r="BG93" s="1003"/>
      <c r="BH93" s="1003"/>
      <c r="BI93" s="1003"/>
      <c r="BJ93" s="1003"/>
      <c r="BK93" s="1025">
        <v>0</v>
      </c>
      <c r="BM93" s="1019"/>
      <c r="BN93" s="1019"/>
      <c r="BO93" s="1019"/>
      <c r="BP93" s="1019"/>
      <c r="BQ93" s="1019"/>
      <c r="BR93" s="1019"/>
      <c r="BS93" s="1019"/>
      <c r="BT93" s="1019"/>
      <c r="BU93" s="1019"/>
      <c r="BV93" s="1019"/>
      <c r="BW93" s="1019"/>
      <c r="BX93" s="1019"/>
      <c r="BY93" s="1019"/>
      <c r="BZ93" s="389">
        <v>0</v>
      </c>
    </row>
    <row r="94" spans="1:78" ht="17.399999999999999">
      <c r="A94" s="1003"/>
      <c r="B94" s="1003"/>
      <c r="C94" s="1003"/>
      <c r="D94" s="1003"/>
      <c r="E94" s="1003"/>
      <c r="F94" s="1003"/>
      <c r="G94" s="1003"/>
      <c r="H94" s="1003"/>
      <c r="I94" s="1003"/>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03"/>
      <c r="BD94" s="1003"/>
      <c r="BE94" s="1003"/>
      <c r="BF94" s="1003"/>
      <c r="BG94" s="1003"/>
      <c r="BH94" s="1003"/>
      <c r="BI94" s="1003"/>
      <c r="BJ94" s="1003"/>
      <c r="BK94" s="1025">
        <v>0</v>
      </c>
      <c r="BL94" s="389" t="s">
        <v>746</v>
      </c>
      <c r="BM94" s="1019" t="s">
        <v>525</v>
      </c>
      <c r="BN94" s="1019" t="s">
        <v>525</v>
      </c>
      <c r="BO94" s="1019" t="s">
        <v>525</v>
      </c>
      <c r="BP94" s="1019" t="s">
        <v>525</v>
      </c>
      <c r="BQ94" s="1019" t="s">
        <v>525</v>
      </c>
      <c r="BR94" s="1019" t="s">
        <v>525</v>
      </c>
      <c r="BS94" s="1019" t="s">
        <v>525</v>
      </c>
      <c r="BT94" s="1019" t="s">
        <v>525</v>
      </c>
      <c r="BU94" s="1019" t="s">
        <v>525</v>
      </c>
      <c r="BV94" s="1019" t="s">
        <v>525</v>
      </c>
      <c r="BW94" s="1019" t="s">
        <v>525</v>
      </c>
      <c r="BX94" s="1019" t="s">
        <v>525</v>
      </c>
      <c r="BY94" s="1019">
        <v>0</v>
      </c>
      <c r="BZ94" s="389">
        <v>0</v>
      </c>
    </row>
    <row r="95" spans="1:78" ht="17.399999999999999">
      <c r="A95" s="1003"/>
      <c r="B95" s="1003"/>
      <c r="C95" s="1003"/>
      <c r="D95" s="1003"/>
      <c r="E95" s="1003"/>
      <c r="F95" s="1003"/>
      <c r="G95" s="1003"/>
      <c r="H95" s="1003"/>
      <c r="I95" s="1003"/>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03"/>
      <c r="BD95" s="1003"/>
      <c r="BE95" s="1003"/>
      <c r="BF95" s="1003"/>
      <c r="BG95" s="1003"/>
      <c r="BH95" s="1003"/>
      <c r="BI95" s="1003"/>
      <c r="BJ95" s="1003"/>
      <c r="BK95" s="1025">
        <v>0</v>
      </c>
      <c r="BL95" s="389" t="s">
        <v>745</v>
      </c>
      <c r="BM95" s="1019" t="s">
        <v>525</v>
      </c>
      <c r="BN95" s="1019" t="s">
        <v>525</v>
      </c>
      <c r="BO95" s="1019" t="s">
        <v>525</v>
      </c>
      <c r="BP95" s="1019" t="s">
        <v>525</v>
      </c>
      <c r="BQ95" s="1019" t="s">
        <v>525</v>
      </c>
      <c r="BR95" s="1019" t="s">
        <v>525</v>
      </c>
      <c r="BS95" s="1019" t="s">
        <v>525</v>
      </c>
      <c r="BT95" s="1019" t="s">
        <v>525</v>
      </c>
      <c r="BU95" s="1019" t="s">
        <v>525</v>
      </c>
      <c r="BV95" s="1019" t="s">
        <v>525</v>
      </c>
      <c r="BW95" s="1019" t="s">
        <v>525</v>
      </c>
      <c r="BX95" s="1019" t="s">
        <v>525</v>
      </c>
      <c r="BY95" s="1019">
        <v>0</v>
      </c>
      <c r="BZ95" s="389">
        <v>0</v>
      </c>
    </row>
    <row r="96" spans="1:78" ht="17.399999999999999">
      <c r="A96" s="1003"/>
      <c r="B96" s="1003"/>
      <c r="C96" s="1003"/>
      <c r="D96" s="1003"/>
      <c r="E96" s="1003"/>
      <c r="F96" s="1003"/>
      <c r="G96" s="1003"/>
      <c r="H96" s="1003"/>
      <c r="I96" s="1003"/>
      <c r="J96" s="1003"/>
      <c r="K96" s="1003"/>
      <c r="L96" s="1003"/>
      <c r="M96" s="1003"/>
      <c r="N96" s="1003"/>
      <c r="O96" s="1003"/>
      <c r="P96" s="1003"/>
      <c r="Q96" s="1003"/>
      <c r="R96" s="1003"/>
      <c r="S96" s="1003"/>
      <c r="T96" s="1003"/>
      <c r="U96" s="1003"/>
      <c r="V96" s="1003"/>
      <c r="W96" s="1003"/>
      <c r="X96" s="1003"/>
      <c r="Y96" s="1003"/>
      <c r="Z96" s="1003"/>
      <c r="AA96" s="1003"/>
      <c r="AB96" s="1003"/>
      <c r="AC96" s="1003"/>
      <c r="AD96" s="1003"/>
      <c r="AE96" s="1003"/>
      <c r="AF96" s="1003"/>
      <c r="AG96" s="1003"/>
      <c r="AH96" s="1003"/>
      <c r="AI96" s="1003"/>
      <c r="AJ96" s="1003"/>
      <c r="AK96" s="1003"/>
      <c r="AL96" s="1003"/>
      <c r="AM96" s="1003"/>
      <c r="AN96" s="1003"/>
      <c r="AO96" s="1003"/>
      <c r="AP96" s="1003"/>
      <c r="AQ96" s="1003"/>
      <c r="AR96" s="1003"/>
      <c r="AS96" s="1003"/>
      <c r="AT96" s="1003"/>
      <c r="AU96" s="1003"/>
      <c r="AV96" s="1003"/>
      <c r="AW96" s="1003"/>
      <c r="AX96" s="1003"/>
      <c r="AY96" s="1003"/>
      <c r="AZ96" s="1003"/>
      <c r="BA96" s="1003"/>
      <c r="BB96" s="1003"/>
      <c r="BC96" s="1003"/>
      <c r="BD96" s="1003"/>
      <c r="BE96" s="1003"/>
      <c r="BF96" s="1003"/>
      <c r="BG96" s="1003"/>
      <c r="BH96" s="1003"/>
      <c r="BI96" s="1003"/>
      <c r="BJ96" s="1003"/>
      <c r="BK96" s="1025">
        <v>0</v>
      </c>
      <c r="BL96" s="389" t="s">
        <v>746</v>
      </c>
      <c r="BM96" s="1019" t="s">
        <v>525</v>
      </c>
      <c r="BN96" s="1019" t="s">
        <v>525</v>
      </c>
      <c r="BO96" s="1019" t="s">
        <v>525</v>
      </c>
      <c r="BP96" s="1019" t="s">
        <v>525</v>
      </c>
      <c r="BQ96" s="1019" t="s">
        <v>525</v>
      </c>
      <c r="BR96" s="1019" t="s">
        <v>525</v>
      </c>
      <c r="BS96" s="1019" t="s">
        <v>525</v>
      </c>
      <c r="BT96" s="1019" t="s">
        <v>525</v>
      </c>
      <c r="BU96" s="1019" t="s">
        <v>525</v>
      </c>
      <c r="BV96" s="1019" t="s">
        <v>525</v>
      </c>
      <c r="BW96" s="1019" t="s">
        <v>525</v>
      </c>
      <c r="BX96" s="1019" t="s">
        <v>525</v>
      </c>
      <c r="BY96" s="1019">
        <v>0</v>
      </c>
      <c r="BZ96" s="389">
        <v>0</v>
      </c>
    </row>
    <row r="97" spans="1:78" ht="17.399999999999999">
      <c r="A97" s="1003"/>
      <c r="B97" s="1003"/>
      <c r="C97" s="1003"/>
      <c r="D97" s="1003"/>
      <c r="E97" s="1003"/>
      <c r="F97" s="1003"/>
      <c r="G97" s="1003"/>
      <c r="H97" s="1003"/>
      <c r="I97" s="1003"/>
      <c r="J97" s="1003"/>
      <c r="K97" s="1003"/>
      <c r="L97" s="1003"/>
      <c r="M97" s="1003"/>
      <c r="N97" s="1003"/>
      <c r="O97" s="1003"/>
      <c r="P97" s="1003"/>
      <c r="Q97" s="1003"/>
      <c r="R97" s="1003"/>
      <c r="S97" s="1003"/>
      <c r="T97" s="1003"/>
      <c r="U97" s="1003"/>
      <c r="V97" s="1003"/>
      <c r="W97" s="1003"/>
      <c r="X97" s="1003"/>
      <c r="Y97" s="1003"/>
      <c r="Z97" s="1003"/>
      <c r="AA97" s="1003"/>
      <c r="AB97" s="1003"/>
      <c r="AC97" s="1003"/>
      <c r="AD97" s="1003"/>
      <c r="AE97" s="1003"/>
      <c r="AF97" s="1003"/>
      <c r="AG97" s="1003"/>
      <c r="AH97" s="1003"/>
      <c r="AI97" s="1003"/>
      <c r="AJ97" s="1003"/>
      <c r="AK97" s="1003"/>
      <c r="AL97" s="1003"/>
      <c r="AM97" s="1003"/>
      <c r="AN97" s="1003"/>
      <c r="AO97" s="1003"/>
      <c r="AP97" s="1003"/>
      <c r="AQ97" s="1003"/>
      <c r="AR97" s="1003"/>
      <c r="AS97" s="1003"/>
      <c r="AT97" s="1003"/>
      <c r="AU97" s="1003"/>
      <c r="AV97" s="1003"/>
      <c r="AW97" s="1003"/>
      <c r="AX97" s="1003"/>
      <c r="AY97" s="1003"/>
      <c r="AZ97" s="1003"/>
      <c r="BA97" s="1003"/>
      <c r="BB97" s="1003"/>
      <c r="BC97" s="1003"/>
      <c r="BD97" s="1003"/>
      <c r="BE97" s="1003"/>
      <c r="BF97" s="1003"/>
      <c r="BG97" s="1003"/>
      <c r="BH97" s="1003"/>
      <c r="BI97" s="1003"/>
      <c r="BJ97" s="1003"/>
      <c r="BK97" s="1025">
        <v>0</v>
      </c>
      <c r="BL97" s="389" t="s">
        <v>745</v>
      </c>
      <c r="BM97" s="1019" t="s">
        <v>525</v>
      </c>
      <c r="BN97" s="1019" t="s">
        <v>525</v>
      </c>
      <c r="BO97" s="1019" t="s">
        <v>525</v>
      </c>
      <c r="BP97" s="1019" t="s">
        <v>525</v>
      </c>
      <c r="BQ97" s="1019" t="s">
        <v>525</v>
      </c>
      <c r="BR97" s="1019" t="s">
        <v>525</v>
      </c>
      <c r="BS97" s="1019" t="s">
        <v>525</v>
      </c>
      <c r="BT97" s="1019" t="s">
        <v>525</v>
      </c>
      <c r="BU97" s="1019" t="s">
        <v>525</v>
      </c>
      <c r="BV97" s="1019" t="s">
        <v>525</v>
      </c>
      <c r="BW97" s="1019" t="s">
        <v>525</v>
      </c>
      <c r="BX97" s="1019" t="s">
        <v>525</v>
      </c>
      <c r="BY97" s="1019">
        <v>0</v>
      </c>
      <c r="BZ97" s="389">
        <v>0</v>
      </c>
    </row>
    <row r="98" spans="1:78" ht="17.399999999999999">
      <c r="A98" s="1003"/>
      <c r="B98" s="1003"/>
      <c r="C98" s="1003"/>
      <c r="D98" s="1003"/>
      <c r="E98" s="1003"/>
      <c r="F98" s="1003"/>
      <c r="G98" s="1003"/>
      <c r="H98" s="1003"/>
      <c r="I98" s="1003"/>
      <c r="J98" s="1003"/>
      <c r="K98" s="1003"/>
      <c r="L98" s="1003"/>
      <c r="M98" s="1003"/>
      <c r="N98" s="1003"/>
      <c r="O98" s="1003"/>
      <c r="P98" s="1003"/>
      <c r="Q98" s="1003"/>
      <c r="R98" s="1003"/>
      <c r="S98" s="1003"/>
      <c r="T98" s="1003"/>
      <c r="U98" s="1003"/>
      <c r="V98" s="1003"/>
      <c r="W98" s="1003"/>
      <c r="X98" s="1003"/>
      <c r="Y98" s="1003"/>
      <c r="Z98" s="1003"/>
      <c r="AA98" s="1003"/>
      <c r="AB98" s="1003"/>
      <c r="AC98" s="1003"/>
      <c r="AD98" s="1003"/>
      <c r="AE98" s="1003"/>
      <c r="AF98" s="1003"/>
      <c r="AG98" s="1003"/>
      <c r="AH98" s="1003"/>
      <c r="AI98" s="1003"/>
      <c r="AJ98" s="1003"/>
      <c r="AK98" s="1003"/>
      <c r="AL98" s="1003"/>
      <c r="AM98" s="1003"/>
      <c r="AN98" s="1003"/>
      <c r="AO98" s="1003"/>
      <c r="AP98" s="1003"/>
      <c r="AQ98" s="1003"/>
      <c r="AR98" s="1003"/>
      <c r="AS98" s="1003"/>
      <c r="AT98" s="1003"/>
      <c r="AU98" s="1003"/>
      <c r="AV98" s="1003"/>
      <c r="AW98" s="1003"/>
      <c r="AX98" s="1003"/>
      <c r="AY98" s="1003"/>
      <c r="AZ98" s="1003"/>
      <c r="BA98" s="1003"/>
      <c r="BB98" s="1003"/>
      <c r="BC98" s="1003"/>
      <c r="BD98" s="1003"/>
      <c r="BE98" s="1003"/>
      <c r="BF98" s="1003"/>
      <c r="BG98" s="1003"/>
      <c r="BH98" s="1003"/>
      <c r="BI98" s="1003"/>
      <c r="BJ98" s="1003"/>
      <c r="BK98" s="1025" t="e">
        <v>#REF!</v>
      </c>
      <c r="BL98" s="389" t="s">
        <v>746</v>
      </c>
      <c r="BM98" s="1019" t="s">
        <v>525</v>
      </c>
      <c r="BN98" s="1019" t="s">
        <v>525</v>
      </c>
      <c r="BO98" s="1019" t="s">
        <v>525</v>
      </c>
      <c r="BP98" s="1019" t="s">
        <v>525</v>
      </c>
      <c r="BQ98" s="1019" t="s">
        <v>525</v>
      </c>
      <c r="BR98" s="1019" t="s">
        <v>525</v>
      </c>
      <c r="BS98" s="1019" t="s">
        <v>525</v>
      </c>
      <c r="BT98" s="1019" t="s">
        <v>525</v>
      </c>
      <c r="BU98" s="1019" t="s">
        <v>525</v>
      </c>
      <c r="BV98" s="1019" t="s">
        <v>525</v>
      </c>
      <c r="BW98" s="1019" t="s">
        <v>525</v>
      </c>
      <c r="BX98" s="1019" t="e">
        <v>#REF!</v>
      </c>
      <c r="BY98" s="1019" t="e">
        <v>#REF!</v>
      </c>
      <c r="BZ98" s="389">
        <v>0</v>
      </c>
    </row>
    <row r="99" spans="1:78" ht="17.399999999999999">
      <c r="A99" s="1003"/>
      <c r="B99" s="1003"/>
      <c r="C99" s="1003"/>
      <c r="D99" s="1003"/>
      <c r="E99" s="1003"/>
      <c r="F99" s="1003"/>
      <c r="G99" s="1003"/>
      <c r="H99" s="1003"/>
      <c r="I99" s="1003"/>
      <c r="J99" s="1003"/>
      <c r="K99" s="1003"/>
      <c r="L99" s="1003"/>
      <c r="M99" s="1003"/>
      <c r="N99" s="1003"/>
      <c r="O99" s="1003"/>
      <c r="P99" s="1003"/>
      <c r="Q99" s="1003"/>
      <c r="R99" s="1003"/>
      <c r="S99" s="1003"/>
      <c r="T99" s="1003"/>
      <c r="U99" s="1003"/>
      <c r="V99" s="1003"/>
      <c r="W99" s="1003"/>
      <c r="X99" s="1003"/>
      <c r="Y99" s="1003"/>
      <c r="Z99" s="1003"/>
      <c r="AA99" s="1003"/>
      <c r="AB99" s="1003"/>
      <c r="AC99" s="1003"/>
      <c r="AD99" s="1003"/>
      <c r="AE99" s="1003"/>
      <c r="AF99" s="1003"/>
      <c r="AG99" s="1003"/>
      <c r="AH99" s="1003"/>
      <c r="AI99" s="1003"/>
      <c r="AJ99" s="1003"/>
      <c r="AK99" s="1003"/>
      <c r="AL99" s="1003"/>
      <c r="AM99" s="1003"/>
      <c r="AN99" s="1003"/>
      <c r="AO99" s="1003"/>
      <c r="AP99" s="1003"/>
      <c r="AQ99" s="1003"/>
      <c r="AR99" s="1003"/>
      <c r="AS99" s="1003"/>
      <c r="AT99" s="1003"/>
      <c r="AU99" s="1003"/>
      <c r="AV99" s="1003"/>
      <c r="AW99" s="1003"/>
      <c r="AX99" s="1003"/>
      <c r="AY99" s="1003"/>
      <c r="AZ99" s="1003"/>
      <c r="BA99" s="1003"/>
      <c r="BB99" s="1003"/>
      <c r="BC99" s="1003"/>
      <c r="BD99" s="1003"/>
      <c r="BE99" s="1003"/>
      <c r="BF99" s="1003"/>
      <c r="BG99" s="1003"/>
      <c r="BH99" s="1003"/>
      <c r="BI99" s="1003"/>
      <c r="BJ99" s="1003"/>
      <c r="BK99" s="1025" t="e">
        <v>#REF!</v>
      </c>
      <c r="BL99" s="389" t="s">
        <v>745</v>
      </c>
      <c r="BM99" s="1019" t="s">
        <v>525</v>
      </c>
      <c r="BN99" s="1019" t="s">
        <v>525</v>
      </c>
      <c r="BO99" s="1019" t="s">
        <v>525</v>
      </c>
      <c r="BP99" s="1019" t="s">
        <v>525</v>
      </c>
      <c r="BQ99" s="1019" t="s">
        <v>525</v>
      </c>
      <c r="BR99" s="1019" t="s">
        <v>525</v>
      </c>
      <c r="BS99" s="1019" t="s">
        <v>525</v>
      </c>
      <c r="BT99" s="1019" t="s">
        <v>525</v>
      </c>
      <c r="BU99" s="1019" t="s">
        <v>525</v>
      </c>
      <c r="BV99" s="1019" t="s">
        <v>525</v>
      </c>
      <c r="BW99" s="1019" t="s">
        <v>525</v>
      </c>
      <c r="BX99" s="1019" t="e">
        <v>#REF!</v>
      </c>
      <c r="BY99" s="1019" t="e">
        <v>#REF!</v>
      </c>
      <c r="BZ99" s="389">
        <v>0</v>
      </c>
    </row>
    <row r="100" spans="1:78" ht="17.399999999999999">
      <c r="A100" s="1003"/>
      <c r="B100" s="1003"/>
      <c r="C100" s="1003"/>
      <c r="D100" s="1003"/>
      <c r="E100" s="1003"/>
      <c r="F100" s="1003"/>
      <c r="G100" s="1003"/>
      <c r="H100" s="1003"/>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c r="AE100" s="1003"/>
      <c r="AF100" s="1003"/>
      <c r="AG100" s="1003"/>
      <c r="AH100" s="1003"/>
      <c r="AI100" s="1003"/>
      <c r="AJ100" s="1003"/>
      <c r="AK100" s="1003"/>
      <c r="AL100" s="1003"/>
      <c r="AM100" s="1003"/>
      <c r="AN100" s="1003"/>
      <c r="AO100" s="1003"/>
      <c r="AP100" s="1003"/>
      <c r="AQ100" s="1003"/>
      <c r="AR100" s="1003"/>
      <c r="AS100" s="1003"/>
      <c r="AT100" s="1003"/>
      <c r="AU100" s="1003"/>
      <c r="AV100" s="1003"/>
      <c r="AW100" s="1003"/>
      <c r="AX100" s="1003"/>
      <c r="AY100" s="1003"/>
      <c r="AZ100" s="1003"/>
      <c r="BA100" s="1003"/>
      <c r="BB100" s="1003"/>
      <c r="BC100" s="1003"/>
      <c r="BD100" s="1003"/>
      <c r="BE100" s="1003"/>
      <c r="BF100" s="1003"/>
      <c r="BG100" s="1003"/>
      <c r="BH100" s="1003"/>
      <c r="BI100" s="1003"/>
      <c r="BJ100" s="1003"/>
      <c r="BK100" s="1025">
        <v>0</v>
      </c>
      <c r="BM100" s="1019"/>
      <c r="BN100" s="1019"/>
      <c r="BO100" s="1019"/>
      <c r="BP100" s="1019"/>
      <c r="BQ100" s="1019"/>
      <c r="BR100" s="1019"/>
      <c r="BS100" s="1019"/>
      <c r="BT100" s="1019"/>
      <c r="BU100" s="1019"/>
      <c r="BV100" s="1019"/>
      <c r="BW100" s="1019"/>
      <c r="BX100" s="1019"/>
      <c r="BY100" s="1019"/>
      <c r="BZ100" s="389">
        <v>0</v>
      </c>
    </row>
    <row r="101" spans="1:78" ht="17.399999999999999">
      <c r="A101" s="1003"/>
      <c r="B101" s="1003"/>
      <c r="C101" s="1003"/>
      <c r="D101" s="1003"/>
      <c r="E101" s="1003"/>
      <c r="F101" s="1003"/>
      <c r="G101" s="1003"/>
      <c r="H101" s="1003"/>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c r="AE101" s="1003"/>
      <c r="AF101" s="1003"/>
      <c r="AG101" s="1003"/>
      <c r="AH101" s="1003"/>
      <c r="AI101" s="1003"/>
      <c r="AJ101" s="1003"/>
      <c r="AK101" s="1003"/>
      <c r="AL101" s="1003"/>
      <c r="AM101" s="1003"/>
      <c r="AN101" s="1003"/>
      <c r="AO101" s="1003"/>
      <c r="AP101" s="1003"/>
      <c r="AQ101" s="1003"/>
      <c r="AR101" s="1003"/>
      <c r="AS101" s="1003"/>
      <c r="AT101" s="1003"/>
      <c r="AU101" s="1003"/>
      <c r="AV101" s="1003"/>
      <c r="AW101" s="1003"/>
      <c r="AX101" s="1003"/>
      <c r="AY101" s="1003"/>
      <c r="AZ101" s="1003"/>
      <c r="BA101" s="1003"/>
      <c r="BB101" s="1003"/>
      <c r="BC101" s="1003"/>
      <c r="BD101" s="1003"/>
      <c r="BE101" s="1003"/>
      <c r="BF101" s="1003"/>
      <c r="BG101" s="1003"/>
      <c r="BH101" s="1003"/>
      <c r="BI101" s="1003"/>
      <c r="BJ101" s="1003"/>
      <c r="BK101" s="1025">
        <v>0</v>
      </c>
      <c r="BL101" s="389" t="s">
        <v>746</v>
      </c>
      <c r="BM101" s="1019" t="s">
        <v>525</v>
      </c>
      <c r="BN101" s="1019" t="s">
        <v>525</v>
      </c>
      <c r="BO101" s="1019" t="s">
        <v>525</v>
      </c>
      <c r="BP101" s="1019" t="s">
        <v>525</v>
      </c>
      <c r="BQ101" s="1019" t="s">
        <v>525</v>
      </c>
      <c r="BR101" s="1019" t="s">
        <v>525</v>
      </c>
      <c r="BS101" s="1019" t="s">
        <v>525</v>
      </c>
      <c r="BT101" s="1019" t="s">
        <v>525</v>
      </c>
      <c r="BU101" s="1019" t="s">
        <v>525</v>
      </c>
      <c r="BV101" s="1019" t="s">
        <v>525</v>
      </c>
      <c r="BW101" s="1019" t="s">
        <v>525</v>
      </c>
      <c r="BX101" s="1019" t="s">
        <v>525</v>
      </c>
      <c r="BY101" s="1019">
        <v>0</v>
      </c>
      <c r="BZ101" s="389">
        <v>0</v>
      </c>
    </row>
    <row r="102" spans="1:78" ht="17.399999999999999">
      <c r="A102" s="1003"/>
      <c r="B102" s="1003"/>
      <c r="C102" s="1003"/>
      <c r="D102" s="1003"/>
      <c r="E102" s="1003"/>
      <c r="F102" s="1003"/>
      <c r="G102" s="1003"/>
      <c r="H102" s="1003"/>
      <c r="I102" s="1003"/>
      <c r="J102" s="1003"/>
      <c r="K102" s="1003"/>
      <c r="L102" s="1003"/>
      <c r="M102" s="1003"/>
      <c r="N102" s="1003"/>
      <c r="O102" s="1003"/>
      <c r="P102" s="1003"/>
      <c r="Q102" s="1003"/>
      <c r="R102" s="1003"/>
      <c r="S102" s="1003"/>
      <c r="T102" s="1003"/>
      <c r="U102" s="1003"/>
      <c r="V102" s="1003"/>
      <c r="W102" s="1003"/>
      <c r="X102" s="1003"/>
      <c r="Y102" s="1003"/>
      <c r="Z102" s="1003"/>
      <c r="AA102" s="1003"/>
      <c r="AB102" s="1003"/>
      <c r="AC102" s="1003"/>
      <c r="AD102" s="1003"/>
      <c r="AE102" s="1003"/>
      <c r="AF102" s="1003"/>
      <c r="AG102" s="1003"/>
      <c r="AH102" s="1003"/>
      <c r="AI102" s="1003"/>
      <c r="AJ102" s="1003"/>
      <c r="AK102" s="1003"/>
      <c r="AL102" s="1003"/>
      <c r="AM102" s="1003"/>
      <c r="AN102" s="1003"/>
      <c r="AO102" s="1003"/>
      <c r="AP102" s="1003"/>
      <c r="AQ102" s="1003"/>
      <c r="AR102" s="1003"/>
      <c r="AS102" s="1003"/>
      <c r="AT102" s="1003"/>
      <c r="AU102" s="1003"/>
      <c r="AV102" s="1003"/>
      <c r="AW102" s="1003"/>
      <c r="AX102" s="1003"/>
      <c r="AY102" s="1003"/>
      <c r="AZ102" s="1003"/>
      <c r="BA102" s="1003"/>
      <c r="BB102" s="1003"/>
      <c r="BC102" s="1003"/>
      <c r="BD102" s="1003"/>
      <c r="BE102" s="1003"/>
      <c r="BF102" s="1003"/>
      <c r="BG102" s="1003"/>
      <c r="BH102" s="1003"/>
      <c r="BI102" s="1003"/>
      <c r="BJ102" s="1003"/>
      <c r="BK102" s="1025">
        <v>0</v>
      </c>
      <c r="BL102" s="389" t="s">
        <v>745</v>
      </c>
      <c r="BM102" s="1019" t="s">
        <v>525</v>
      </c>
      <c r="BN102" s="1019" t="s">
        <v>525</v>
      </c>
      <c r="BO102" s="1019" t="s">
        <v>525</v>
      </c>
      <c r="BP102" s="1019" t="s">
        <v>525</v>
      </c>
      <c r="BQ102" s="1019" t="s">
        <v>525</v>
      </c>
      <c r="BR102" s="1019" t="s">
        <v>525</v>
      </c>
      <c r="BS102" s="1019" t="s">
        <v>525</v>
      </c>
      <c r="BT102" s="1019" t="s">
        <v>525</v>
      </c>
      <c r="BU102" s="1019" t="s">
        <v>525</v>
      </c>
      <c r="BV102" s="1019" t="s">
        <v>525</v>
      </c>
      <c r="BW102" s="1019" t="s">
        <v>525</v>
      </c>
      <c r="BX102" s="1019" t="s">
        <v>525</v>
      </c>
      <c r="BY102" s="1019">
        <v>0</v>
      </c>
      <c r="BZ102" s="389">
        <v>0</v>
      </c>
    </row>
    <row r="103" spans="1:78" ht="17.399999999999999">
      <c r="A103" s="1003"/>
      <c r="B103" s="1003"/>
      <c r="C103" s="1003"/>
      <c r="D103" s="1003"/>
      <c r="E103" s="1003"/>
      <c r="F103" s="1003"/>
      <c r="G103" s="1003"/>
      <c r="H103" s="1003"/>
      <c r="I103" s="1003"/>
      <c r="J103" s="1003"/>
      <c r="K103" s="1003"/>
      <c r="L103" s="1003"/>
      <c r="M103" s="1003"/>
      <c r="N103" s="1003"/>
      <c r="O103" s="1003"/>
      <c r="P103" s="1003"/>
      <c r="Q103" s="1003"/>
      <c r="R103" s="1003"/>
      <c r="S103" s="1003"/>
      <c r="T103" s="1003"/>
      <c r="U103" s="1003"/>
      <c r="V103" s="1003"/>
      <c r="W103" s="1003"/>
      <c r="X103" s="1003"/>
      <c r="Y103" s="1003"/>
      <c r="Z103" s="1003"/>
      <c r="AA103" s="1003"/>
      <c r="AB103" s="1003"/>
      <c r="AC103" s="1003"/>
      <c r="AD103" s="1003"/>
      <c r="AE103" s="1003"/>
      <c r="AF103" s="1003"/>
      <c r="AG103" s="1003"/>
      <c r="AH103" s="1003"/>
      <c r="AI103" s="1003"/>
      <c r="AJ103" s="1003"/>
      <c r="AK103" s="1003"/>
      <c r="AL103" s="1003"/>
      <c r="AM103" s="1003"/>
      <c r="AN103" s="1003"/>
      <c r="AO103" s="1003"/>
      <c r="AP103" s="1003"/>
      <c r="AQ103" s="1003"/>
      <c r="AR103" s="1003"/>
      <c r="AS103" s="1003"/>
      <c r="AT103" s="1003"/>
      <c r="AU103" s="1003"/>
      <c r="AV103" s="1003"/>
      <c r="AW103" s="1003"/>
      <c r="AX103" s="1003"/>
      <c r="AY103" s="1003"/>
      <c r="AZ103" s="1003"/>
      <c r="BA103" s="1003"/>
      <c r="BB103" s="1003"/>
      <c r="BC103" s="1003"/>
      <c r="BD103" s="1003"/>
      <c r="BE103" s="1003"/>
      <c r="BF103" s="1003"/>
      <c r="BG103" s="1003"/>
      <c r="BH103" s="1003"/>
      <c r="BI103" s="1003"/>
      <c r="BJ103" s="1003"/>
      <c r="BK103" s="1025">
        <v>0</v>
      </c>
      <c r="BL103" s="389" t="s">
        <v>746</v>
      </c>
      <c r="BM103" s="1019" t="s">
        <v>525</v>
      </c>
      <c r="BN103" s="1019" t="s">
        <v>525</v>
      </c>
      <c r="BO103" s="1019" t="s">
        <v>525</v>
      </c>
      <c r="BP103" s="1019" t="s">
        <v>525</v>
      </c>
      <c r="BQ103" s="1019" t="s">
        <v>525</v>
      </c>
      <c r="BR103" s="1019" t="s">
        <v>525</v>
      </c>
      <c r="BS103" s="1019" t="s">
        <v>525</v>
      </c>
      <c r="BT103" s="1019" t="s">
        <v>525</v>
      </c>
      <c r="BU103" s="1019" t="s">
        <v>525</v>
      </c>
      <c r="BV103" s="1019" t="s">
        <v>525</v>
      </c>
      <c r="BW103" s="1019" t="s">
        <v>525</v>
      </c>
      <c r="BX103" s="1019" t="s">
        <v>525</v>
      </c>
      <c r="BY103" s="1019">
        <v>0</v>
      </c>
      <c r="BZ103" s="389">
        <v>0</v>
      </c>
    </row>
    <row r="104" spans="1:78" ht="17.399999999999999">
      <c r="A104" s="1003"/>
      <c r="B104" s="1003"/>
      <c r="C104" s="1003"/>
      <c r="D104" s="1003"/>
      <c r="E104" s="1003"/>
      <c r="F104" s="1003"/>
      <c r="G104" s="1003"/>
      <c r="H104" s="1003"/>
      <c r="I104" s="1003"/>
      <c r="J104" s="1003"/>
      <c r="K104" s="1003"/>
      <c r="L104" s="1003"/>
      <c r="M104" s="1003"/>
      <c r="N104" s="1003"/>
      <c r="O104" s="1003"/>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3"/>
      <c r="AK104" s="1003"/>
      <c r="AL104" s="1003"/>
      <c r="AM104" s="1003"/>
      <c r="AN104" s="1003"/>
      <c r="AO104" s="1003"/>
      <c r="AP104" s="1003"/>
      <c r="AQ104" s="1003"/>
      <c r="AR104" s="1003"/>
      <c r="AS104" s="1003"/>
      <c r="AT104" s="1003"/>
      <c r="AU104" s="1003"/>
      <c r="AV104" s="1003"/>
      <c r="AW104" s="1003"/>
      <c r="AX104" s="1003"/>
      <c r="AY104" s="1003"/>
      <c r="AZ104" s="1003"/>
      <c r="BA104" s="1003"/>
      <c r="BB104" s="1003"/>
      <c r="BC104" s="1003"/>
      <c r="BD104" s="1003"/>
      <c r="BE104" s="1003"/>
      <c r="BF104" s="1003"/>
      <c r="BG104" s="1003"/>
      <c r="BH104" s="1003"/>
      <c r="BI104" s="1003"/>
      <c r="BJ104" s="1003"/>
      <c r="BK104" s="1025">
        <v>0</v>
      </c>
      <c r="BL104" s="389" t="s">
        <v>745</v>
      </c>
      <c r="BM104" s="1019" t="s">
        <v>525</v>
      </c>
      <c r="BN104" s="1019" t="s">
        <v>525</v>
      </c>
      <c r="BO104" s="1019" t="s">
        <v>525</v>
      </c>
      <c r="BP104" s="1019" t="s">
        <v>525</v>
      </c>
      <c r="BQ104" s="1019" t="s">
        <v>525</v>
      </c>
      <c r="BR104" s="1019" t="s">
        <v>525</v>
      </c>
      <c r="BS104" s="1019" t="s">
        <v>525</v>
      </c>
      <c r="BT104" s="1019" t="s">
        <v>525</v>
      </c>
      <c r="BU104" s="1019" t="s">
        <v>525</v>
      </c>
      <c r="BV104" s="1019" t="s">
        <v>525</v>
      </c>
      <c r="BW104" s="1019" t="s">
        <v>525</v>
      </c>
      <c r="BX104" s="1019" t="s">
        <v>525</v>
      </c>
      <c r="BY104" s="1019">
        <v>0</v>
      </c>
      <c r="BZ104" s="389">
        <v>0</v>
      </c>
    </row>
    <row r="105" spans="1:78" ht="17.399999999999999">
      <c r="A105" s="1003"/>
      <c r="B105" s="1003"/>
      <c r="C105" s="1003"/>
      <c r="D105" s="1003"/>
      <c r="E105" s="1003"/>
      <c r="F105" s="1003"/>
      <c r="G105" s="1003"/>
      <c r="H105" s="1003"/>
      <c r="I105" s="1003"/>
      <c r="J105" s="1003"/>
      <c r="K105" s="1003"/>
      <c r="L105" s="1003"/>
      <c r="M105" s="1003"/>
      <c r="N105" s="1003"/>
      <c r="O105" s="1003"/>
      <c r="P105" s="1003"/>
      <c r="Q105" s="1003"/>
      <c r="R105" s="1003"/>
      <c r="S105" s="1003"/>
      <c r="T105" s="1003"/>
      <c r="U105" s="1003"/>
      <c r="V105" s="1003"/>
      <c r="W105" s="1003"/>
      <c r="X105" s="1003"/>
      <c r="Y105" s="1003"/>
      <c r="Z105" s="1003"/>
      <c r="AA105" s="1003"/>
      <c r="AB105" s="1003"/>
      <c r="AC105" s="1003"/>
      <c r="AD105" s="1003"/>
      <c r="AE105" s="1003"/>
      <c r="AF105" s="1003"/>
      <c r="AG105" s="1003"/>
      <c r="AH105" s="1003"/>
      <c r="AI105" s="1003"/>
      <c r="AJ105" s="1003"/>
      <c r="AK105" s="1003"/>
      <c r="AL105" s="1003"/>
      <c r="AM105" s="1003"/>
      <c r="AN105" s="1003"/>
      <c r="AO105" s="1003"/>
      <c r="AP105" s="1003"/>
      <c r="AQ105" s="1003"/>
      <c r="AR105" s="1003"/>
      <c r="AS105" s="1003"/>
      <c r="AT105" s="1003"/>
      <c r="AU105" s="1003"/>
      <c r="AV105" s="1003"/>
      <c r="AW105" s="1003"/>
      <c r="AX105" s="1003"/>
      <c r="AY105" s="1003"/>
      <c r="AZ105" s="1003"/>
      <c r="BA105" s="1003"/>
      <c r="BB105" s="1003"/>
      <c r="BC105" s="1003"/>
      <c r="BD105" s="1003"/>
      <c r="BE105" s="1003"/>
      <c r="BF105" s="1003"/>
      <c r="BG105" s="1003"/>
      <c r="BH105" s="1003"/>
      <c r="BI105" s="1003"/>
      <c r="BJ105" s="1003"/>
      <c r="BK105" s="1025">
        <v>0</v>
      </c>
      <c r="BL105" s="389" t="s">
        <v>746</v>
      </c>
      <c r="BM105" s="1019" t="s">
        <v>525</v>
      </c>
      <c r="BN105" s="1019" t="s">
        <v>525</v>
      </c>
      <c r="BO105" s="1019" t="s">
        <v>525</v>
      </c>
      <c r="BP105" s="1019" t="s">
        <v>525</v>
      </c>
      <c r="BQ105" s="1019" t="s">
        <v>525</v>
      </c>
      <c r="BR105" s="1019" t="s">
        <v>525</v>
      </c>
      <c r="BS105" s="1019" t="s">
        <v>525</v>
      </c>
      <c r="BT105" s="1019" t="s">
        <v>525</v>
      </c>
      <c r="BU105" s="1019" t="s">
        <v>525</v>
      </c>
      <c r="BV105" s="1019" t="s">
        <v>525</v>
      </c>
      <c r="BW105" s="1019" t="s">
        <v>525</v>
      </c>
      <c r="BX105" s="1019" t="s">
        <v>525</v>
      </c>
      <c r="BY105" s="1019">
        <v>0</v>
      </c>
      <c r="BZ105" s="389">
        <v>0</v>
      </c>
    </row>
    <row r="106" spans="1:78" ht="17.399999999999999">
      <c r="A106" s="1003"/>
      <c r="B106" s="1003"/>
      <c r="C106" s="1003"/>
      <c r="D106" s="1003"/>
      <c r="E106" s="1003"/>
      <c r="F106" s="1003"/>
      <c r="G106" s="1003"/>
      <c r="H106" s="1003"/>
      <c r="I106" s="1003"/>
      <c r="J106" s="1003"/>
      <c r="K106" s="1003"/>
      <c r="L106" s="1003"/>
      <c r="M106" s="1003"/>
      <c r="N106" s="1003"/>
      <c r="O106" s="1003"/>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3"/>
      <c r="AK106" s="1003"/>
      <c r="AL106" s="1003"/>
      <c r="AM106" s="1003"/>
      <c r="AN106" s="1003"/>
      <c r="AO106" s="1003"/>
      <c r="AP106" s="1003"/>
      <c r="AQ106" s="1003"/>
      <c r="AR106" s="1003"/>
      <c r="AS106" s="1003"/>
      <c r="AT106" s="1003"/>
      <c r="AU106" s="1003"/>
      <c r="AV106" s="1003"/>
      <c r="AW106" s="1003"/>
      <c r="AX106" s="1003"/>
      <c r="AY106" s="1003"/>
      <c r="AZ106" s="1003"/>
      <c r="BA106" s="1003"/>
      <c r="BB106" s="1003"/>
      <c r="BC106" s="1003"/>
      <c r="BD106" s="1003"/>
      <c r="BE106" s="1003"/>
      <c r="BF106" s="1003"/>
      <c r="BG106" s="1003"/>
      <c r="BH106" s="1003"/>
      <c r="BI106" s="1003"/>
      <c r="BJ106" s="1003"/>
      <c r="BK106" s="1025">
        <v>0</v>
      </c>
      <c r="BL106" s="389" t="s">
        <v>745</v>
      </c>
      <c r="BM106" s="1019" t="s">
        <v>525</v>
      </c>
      <c r="BN106" s="1019" t="s">
        <v>525</v>
      </c>
      <c r="BO106" s="1019" t="s">
        <v>525</v>
      </c>
      <c r="BP106" s="1019" t="s">
        <v>525</v>
      </c>
      <c r="BQ106" s="1019" t="s">
        <v>525</v>
      </c>
      <c r="BR106" s="1019" t="s">
        <v>525</v>
      </c>
      <c r="BS106" s="1019" t="s">
        <v>525</v>
      </c>
      <c r="BT106" s="1019" t="s">
        <v>525</v>
      </c>
      <c r="BU106" s="1019" t="s">
        <v>525</v>
      </c>
      <c r="BV106" s="1019" t="s">
        <v>525</v>
      </c>
      <c r="BW106" s="1019" t="s">
        <v>525</v>
      </c>
      <c r="BX106" s="1019" t="s">
        <v>525</v>
      </c>
      <c r="BY106" s="1019">
        <v>0</v>
      </c>
      <c r="BZ106" s="389">
        <v>0</v>
      </c>
    </row>
    <row r="107" spans="1:78" ht="17.399999999999999">
      <c r="A107" s="1003"/>
      <c r="B107" s="1003"/>
      <c r="C107" s="1003"/>
      <c r="D107" s="1003"/>
      <c r="E107" s="1003"/>
      <c r="F107" s="1003"/>
      <c r="G107" s="1003"/>
      <c r="H107" s="1003"/>
      <c r="I107" s="1003"/>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c r="AP107" s="1003"/>
      <c r="AQ107" s="1003"/>
      <c r="AR107" s="1003"/>
      <c r="AS107" s="1003"/>
      <c r="AT107" s="1003"/>
      <c r="AU107" s="1003"/>
      <c r="AV107" s="1003"/>
      <c r="AW107" s="1003"/>
      <c r="AX107" s="1003"/>
      <c r="AY107" s="1003"/>
      <c r="AZ107" s="1003"/>
      <c r="BA107" s="1003"/>
      <c r="BB107" s="1003"/>
      <c r="BC107" s="1003"/>
      <c r="BD107" s="1003"/>
      <c r="BE107" s="1003"/>
      <c r="BF107" s="1003"/>
      <c r="BG107" s="1003"/>
      <c r="BH107" s="1003"/>
      <c r="BI107" s="1003"/>
      <c r="BJ107" s="1003"/>
    </row>
    <row r="108" spans="1:78" ht="17.399999999999999">
      <c r="A108" s="1003"/>
      <c r="B108" s="1003"/>
      <c r="C108" s="1003"/>
      <c r="D108" s="1003"/>
      <c r="E108" s="1003"/>
      <c r="F108" s="1003"/>
      <c r="G108" s="1003"/>
      <c r="H108" s="1003"/>
      <c r="I108" s="1003"/>
      <c r="J108" s="1003"/>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3"/>
      <c r="AL108" s="1003"/>
      <c r="AM108" s="1003"/>
      <c r="AN108" s="1003"/>
      <c r="AO108" s="1003"/>
      <c r="AP108" s="1003"/>
      <c r="AQ108" s="1003"/>
      <c r="AR108" s="1003"/>
      <c r="AS108" s="1003"/>
      <c r="AT108" s="1003"/>
      <c r="AU108" s="1003"/>
      <c r="AV108" s="1003"/>
      <c r="AW108" s="1003"/>
      <c r="AX108" s="1003"/>
      <c r="AY108" s="1003"/>
      <c r="AZ108" s="1003"/>
      <c r="BA108" s="1003"/>
      <c r="BB108" s="1003"/>
      <c r="BC108" s="1003"/>
      <c r="BD108" s="1003"/>
      <c r="BE108" s="1003"/>
      <c r="BF108" s="1003"/>
      <c r="BG108" s="1003"/>
      <c r="BH108" s="1003"/>
      <c r="BI108" s="1003"/>
      <c r="BJ108" s="1003"/>
    </row>
    <row r="109" spans="1:78" ht="17.399999999999999">
      <c r="A109" s="1003"/>
      <c r="B109" s="1003"/>
      <c r="C109" s="1003"/>
      <c r="D109" s="1003"/>
      <c r="E109" s="1003"/>
      <c r="F109" s="1003"/>
      <c r="G109" s="1003"/>
      <c r="H109" s="1003"/>
      <c r="I109" s="1003"/>
      <c r="J109" s="1003"/>
      <c r="K109" s="1003"/>
      <c r="L109" s="1003"/>
      <c r="M109" s="1003"/>
      <c r="N109" s="1003"/>
      <c r="O109" s="1003"/>
      <c r="P109" s="1003"/>
      <c r="Q109" s="1003"/>
      <c r="R109" s="1003"/>
      <c r="S109" s="1003"/>
      <c r="T109" s="1003"/>
      <c r="U109" s="1003"/>
      <c r="V109" s="1003"/>
      <c r="W109" s="1003"/>
      <c r="X109" s="1003"/>
      <c r="Y109" s="1003"/>
      <c r="Z109" s="1003"/>
      <c r="AA109" s="1003"/>
      <c r="AB109" s="1003"/>
      <c r="AC109" s="1003"/>
      <c r="AD109" s="1003"/>
      <c r="AE109" s="1003"/>
      <c r="AF109" s="1003"/>
      <c r="AG109" s="1003"/>
      <c r="AH109" s="1003"/>
      <c r="AI109" s="1003"/>
      <c r="AJ109" s="1003"/>
      <c r="AK109" s="1003"/>
      <c r="AL109" s="1003"/>
      <c r="AM109" s="1003"/>
      <c r="AN109" s="1003"/>
      <c r="AO109" s="1003"/>
      <c r="AP109" s="1003"/>
      <c r="AQ109" s="1003"/>
      <c r="AR109" s="1003"/>
      <c r="AS109" s="1003"/>
      <c r="AT109" s="1003"/>
      <c r="AU109" s="1003"/>
      <c r="AV109" s="1003"/>
      <c r="AW109" s="1003"/>
      <c r="AX109" s="1003"/>
      <c r="AY109" s="1003"/>
      <c r="AZ109" s="1003"/>
      <c r="BA109" s="1003"/>
      <c r="BB109" s="1003"/>
      <c r="BC109" s="1003"/>
      <c r="BD109" s="1003"/>
      <c r="BE109" s="1003"/>
      <c r="BF109" s="1003"/>
      <c r="BG109" s="1003"/>
      <c r="BH109" s="1003"/>
      <c r="BI109" s="1003"/>
      <c r="BJ109" s="1003"/>
    </row>
    <row r="110" spans="1:78" ht="17.399999999999999">
      <c r="A110" s="1003"/>
      <c r="B110" s="1003"/>
      <c r="C110" s="1003"/>
      <c r="D110" s="1003"/>
      <c r="E110" s="1003"/>
      <c r="F110" s="1003"/>
      <c r="G110" s="1003"/>
      <c r="H110" s="1003"/>
      <c r="I110" s="1003"/>
      <c r="J110" s="1003"/>
      <c r="K110" s="1003"/>
      <c r="L110" s="1003"/>
      <c r="M110" s="1003"/>
      <c r="N110" s="1003"/>
      <c r="O110" s="1003"/>
      <c r="P110" s="1003"/>
      <c r="Q110" s="1003"/>
      <c r="R110" s="1003"/>
      <c r="S110" s="1003"/>
      <c r="T110" s="1003"/>
      <c r="U110" s="1003"/>
      <c r="V110" s="1003"/>
      <c r="W110" s="1003"/>
      <c r="X110" s="1003"/>
      <c r="Y110" s="1003"/>
      <c r="Z110" s="1003"/>
      <c r="AA110" s="1003"/>
      <c r="AB110" s="1003"/>
      <c r="AC110" s="1003"/>
      <c r="AD110" s="1003"/>
      <c r="AE110" s="1003"/>
      <c r="AF110" s="1003"/>
      <c r="AG110" s="1003"/>
      <c r="AH110" s="1003"/>
      <c r="AI110" s="1003"/>
      <c r="AJ110" s="1003"/>
      <c r="AK110" s="1003"/>
      <c r="AL110" s="1003"/>
      <c r="AM110" s="1003"/>
      <c r="AN110" s="1003"/>
      <c r="AO110" s="1003"/>
      <c r="AP110" s="1003"/>
      <c r="AQ110" s="1003"/>
      <c r="AR110" s="1003"/>
      <c r="AS110" s="1003"/>
      <c r="AT110" s="1003"/>
      <c r="AU110" s="1003"/>
      <c r="AV110" s="1003"/>
      <c r="AW110" s="1003"/>
      <c r="AX110" s="1003"/>
      <c r="AY110" s="1003"/>
      <c r="AZ110" s="1003"/>
      <c r="BA110" s="1003"/>
      <c r="BB110" s="1003"/>
      <c r="BC110" s="1003"/>
      <c r="BD110" s="1003"/>
      <c r="BE110" s="1003"/>
      <c r="BF110" s="1003"/>
      <c r="BG110" s="1003"/>
      <c r="BH110" s="1003"/>
      <c r="BI110" s="1003"/>
      <c r="BJ110" s="1003"/>
    </row>
    <row r="111" spans="1:78" ht="17.399999999999999">
      <c r="A111" s="1003"/>
      <c r="B111" s="1003"/>
      <c r="C111" s="1003"/>
      <c r="D111" s="1003"/>
      <c r="E111" s="1003"/>
      <c r="F111" s="1003"/>
      <c r="G111" s="1003"/>
      <c r="H111" s="1003"/>
      <c r="I111" s="1003"/>
      <c r="J111" s="1003"/>
      <c r="K111" s="1003"/>
      <c r="L111" s="1003"/>
      <c r="M111" s="1003"/>
      <c r="N111" s="1003"/>
      <c r="O111" s="1003"/>
      <c r="P111" s="1003"/>
      <c r="Q111" s="1003"/>
      <c r="R111" s="1003"/>
      <c r="S111" s="1003"/>
      <c r="T111" s="1003"/>
      <c r="U111" s="1003"/>
      <c r="V111" s="1003"/>
      <c r="W111" s="1003"/>
      <c r="X111" s="1003"/>
      <c r="Y111" s="1003"/>
      <c r="Z111" s="1003"/>
      <c r="AA111" s="1003"/>
      <c r="AB111" s="1003"/>
      <c r="AC111" s="1003"/>
      <c r="AD111" s="1003"/>
      <c r="AE111" s="1003"/>
      <c r="AF111" s="1003"/>
      <c r="AG111" s="1003"/>
      <c r="AH111" s="1003"/>
      <c r="AI111" s="1003"/>
      <c r="AJ111" s="1003"/>
      <c r="AK111" s="1003"/>
      <c r="AL111" s="1003"/>
      <c r="AM111" s="1003"/>
      <c r="AN111" s="1003"/>
      <c r="AO111" s="1003"/>
      <c r="AP111" s="1003"/>
      <c r="AQ111" s="1003"/>
      <c r="AR111" s="1003"/>
      <c r="AS111" s="1003"/>
      <c r="AT111" s="1003"/>
      <c r="AU111" s="1003"/>
      <c r="AV111" s="1003"/>
      <c r="AW111" s="1003"/>
      <c r="AX111" s="1003"/>
      <c r="AY111" s="1003"/>
      <c r="AZ111" s="1003"/>
      <c r="BA111" s="1003"/>
      <c r="BB111" s="1003"/>
      <c r="BC111" s="1003"/>
      <c r="BD111" s="1003"/>
      <c r="BE111" s="1003"/>
      <c r="BF111" s="1003"/>
      <c r="BG111" s="1003"/>
      <c r="BH111" s="1003"/>
      <c r="BI111" s="1003"/>
      <c r="BJ111" s="1003"/>
    </row>
    <row r="112" spans="1:78" ht="17.399999999999999">
      <c r="A112" s="1003"/>
      <c r="B112" s="1003"/>
      <c r="C112" s="1003"/>
      <c r="D112" s="1003"/>
      <c r="E112" s="1003"/>
      <c r="F112" s="1003"/>
      <c r="G112" s="1003"/>
      <c r="H112" s="1003"/>
      <c r="I112" s="1003"/>
      <c r="J112" s="1003"/>
      <c r="K112" s="1003"/>
      <c r="L112" s="1003"/>
      <c r="M112" s="1003"/>
      <c r="N112" s="1003"/>
      <c r="O112" s="1003"/>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1003"/>
      <c r="AK112" s="1003"/>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row>
    <row r="113" spans="1:62" ht="17.399999999999999">
      <c r="A113" s="1003"/>
      <c r="B113" s="1003"/>
      <c r="C113" s="1003"/>
      <c r="D113" s="1003"/>
      <c r="E113" s="1003"/>
      <c r="F113" s="1003"/>
      <c r="G113" s="1003"/>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3"/>
      <c r="AB113" s="1003"/>
      <c r="AC113" s="1003"/>
      <c r="AD113" s="1003"/>
      <c r="AE113" s="1003"/>
      <c r="AF113" s="1003"/>
      <c r="AG113" s="1003"/>
      <c r="AH113" s="1003"/>
      <c r="AI113" s="1003"/>
      <c r="AJ113" s="1003"/>
      <c r="AK113" s="1003"/>
      <c r="AL113" s="1003"/>
      <c r="AM113" s="1003"/>
      <c r="AN113" s="1003"/>
      <c r="AO113" s="1003"/>
      <c r="AP113" s="1003"/>
      <c r="AQ113" s="1003"/>
      <c r="AR113" s="1003"/>
      <c r="AS113" s="1003"/>
      <c r="AT113" s="1003"/>
      <c r="AU113" s="1003"/>
      <c r="AV113" s="1003"/>
      <c r="AW113" s="1003"/>
      <c r="AX113" s="1003"/>
      <c r="AY113" s="1003"/>
      <c r="AZ113" s="1003"/>
      <c r="BA113" s="1003"/>
      <c r="BB113" s="1003"/>
      <c r="BC113" s="1003"/>
      <c r="BD113" s="1003"/>
      <c r="BE113" s="1003"/>
      <c r="BF113" s="1003"/>
      <c r="BG113" s="1003"/>
      <c r="BH113" s="1003"/>
      <c r="BI113" s="1003"/>
      <c r="BJ113" s="1003"/>
    </row>
    <row r="114" spans="1:62" ht="17.399999999999999">
      <c r="A114" s="1003"/>
      <c r="B114" s="1003"/>
      <c r="C114" s="1003"/>
      <c r="D114" s="1003"/>
      <c r="E114" s="1003"/>
      <c r="F114" s="1003"/>
      <c r="G114" s="1003"/>
      <c r="H114" s="1003"/>
      <c r="I114" s="1003"/>
      <c r="J114" s="1003"/>
      <c r="K114" s="1003"/>
      <c r="L114" s="1003"/>
      <c r="M114" s="1003"/>
      <c r="N114" s="1003"/>
      <c r="O114" s="1003"/>
      <c r="P114" s="1003"/>
      <c r="Q114" s="1003"/>
      <c r="R114" s="1003"/>
      <c r="S114" s="1003"/>
      <c r="T114" s="1003"/>
      <c r="U114" s="1003"/>
      <c r="V114" s="1003"/>
      <c r="W114" s="1003"/>
      <c r="X114" s="1003"/>
      <c r="Y114" s="1003"/>
      <c r="Z114" s="1003"/>
      <c r="AA114" s="1003"/>
      <c r="AB114" s="1003"/>
      <c r="AC114" s="1003"/>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03"/>
      <c r="BD114" s="1003"/>
      <c r="BE114" s="1003"/>
      <c r="BF114" s="1003"/>
      <c r="BG114" s="1003"/>
      <c r="BH114" s="1003"/>
      <c r="BI114" s="1003"/>
      <c r="BJ114" s="1003"/>
    </row>
    <row r="115" spans="1:62" ht="17.399999999999999">
      <c r="A115" s="1003"/>
      <c r="B115" s="1003"/>
      <c r="C115" s="1003"/>
      <c r="D115" s="1003"/>
      <c r="E115" s="1003"/>
      <c r="F115" s="1003"/>
      <c r="G115" s="1003"/>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1003"/>
      <c r="AR115" s="1003"/>
      <c r="AS115" s="1003"/>
      <c r="AT115" s="1003"/>
      <c r="AU115" s="1003"/>
      <c r="AV115" s="1003"/>
      <c r="AW115" s="1003"/>
      <c r="AX115" s="1003"/>
      <c r="AY115" s="1003"/>
      <c r="AZ115" s="1003"/>
      <c r="BA115" s="1003"/>
      <c r="BB115" s="1003"/>
      <c r="BC115" s="1003"/>
      <c r="BD115" s="1003"/>
      <c r="BE115" s="1003"/>
      <c r="BF115" s="1003"/>
      <c r="BG115" s="1003"/>
      <c r="BH115" s="1003"/>
      <c r="BI115" s="1003"/>
      <c r="BJ115" s="1003"/>
    </row>
    <row r="116" spans="1:62" ht="17.399999999999999">
      <c r="A116" s="1003"/>
      <c r="B116" s="1003"/>
      <c r="C116" s="1003"/>
      <c r="D116" s="1003"/>
      <c r="E116" s="1003"/>
      <c r="F116" s="1003"/>
      <c r="G116" s="1003"/>
      <c r="H116" s="1003"/>
      <c r="I116" s="1003"/>
      <c r="J116" s="1003"/>
      <c r="K116" s="1003"/>
      <c r="L116" s="1003"/>
      <c r="M116" s="1003"/>
      <c r="N116" s="1003"/>
      <c r="O116" s="1003"/>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3"/>
      <c r="BB116" s="1003"/>
      <c r="BC116" s="1003"/>
      <c r="BD116" s="1003"/>
      <c r="BE116" s="1003"/>
      <c r="BF116" s="1003"/>
      <c r="BG116" s="1003"/>
      <c r="BH116" s="1003"/>
      <c r="BI116" s="1003"/>
      <c r="BJ116" s="1003"/>
    </row>
    <row r="117" spans="1:62" ht="17.399999999999999">
      <c r="A117" s="1003"/>
      <c r="B117" s="1003"/>
      <c r="C117" s="1003"/>
      <c r="D117" s="1003"/>
      <c r="E117" s="1003"/>
      <c r="F117" s="1003"/>
      <c r="G117" s="1003"/>
      <c r="H117" s="1003"/>
      <c r="I117" s="1003"/>
      <c r="J117" s="1003"/>
      <c r="K117" s="1003"/>
      <c r="L117" s="1003"/>
      <c r="M117" s="1003"/>
      <c r="N117" s="1003"/>
      <c r="O117" s="1003"/>
      <c r="P117" s="1003"/>
      <c r="Q117" s="1003"/>
      <c r="R117" s="1003"/>
      <c r="S117" s="1003"/>
      <c r="T117" s="1003"/>
      <c r="U117" s="1003"/>
      <c r="V117" s="1003"/>
      <c r="W117" s="1003"/>
      <c r="X117" s="1003"/>
      <c r="Y117" s="1003"/>
      <c r="Z117" s="1003"/>
      <c r="AA117" s="1003"/>
      <c r="AB117" s="1003"/>
      <c r="AC117" s="1003"/>
      <c r="AD117" s="1003"/>
      <c r="AE117" s="1003"/>
      <c r="AF117" s="1003"/>
      <c r="AG117" s="1003"/>
      <c r="AH117" s="1003"/>
      <c r="AI117" s="1003"/>
      <c r="AJ117" s="1003"/>
      <c r="AK117" s="1003"/>
      <c r="AL117" s="1003"/>
      <c r="AM117" s="1003"/>
      <c r="AN117" s="1003"/>
      <c r="AO117" s="1003"/>
      <c r="AP117" s="1003"/>
      <c r="AQ117" s="1003"/>
      <c r="AR117" s="1003"/>
      <c r="AS117" s="1003"/>
      <c r="AT117" s="1003"/>
      <c r="AU117" s="1003"/>
      <c r="AV117" s="1003"/>
      <c r="AW117" s="1003"/>
      <c r="AX117" s="1003"/>
      <c r="AY117" s="1003"/>
      <c r="AZ117" s="1003"/>
      <c r="BA117" s="1003"/>
      <c r="BB117" s="1003"/>
      <c r="BC117" s="1003"/>
      <c r="BD117" s="1003"/>
      <c r="BE117" s="1003"/>
      <c r="BF117" s="1003"/>
      <c r="BG117" s="1003"/>
      <c r="BH117" s="1003"/>
      <c r="BI117" s="1003"/>
      <c r="BJ117" s="1003"/>
    </row>
    <row r="118" spans="1:62" ht="17.399999999999999">
      <c r="A118" s="1003"/>
      <c r="B118" s="1003"/>
      <c r="C118" s="1003"/>
      <c r="D118" s="1003"/>
      <c r="E118" s="1003"/>
      <c r="F118" s="1003"/>
      <c r="G118" s="1003"/>
      <c r="H118" s="1003"/>
      <c r="I118" s="1003"/>
      <c r="J118" s="1003"/>
      <c r="K118" s="1003"/>
      <c r="L118" s="1003"/>
      <c r="M118" s="1003"/>
      <c r="N118" s="1003"/>
      <c r="O118" s="1003"/>
      <c r="P118" s="1003"/>
      <c r="Q118" s="1003"/>
      <c r="R118" s="1003"/>
      <c r="S118" s="1003"/>
      <c r="T118" s="1003"/>
      <c r="U118" s="1003"/>
      <c r="V118" s="1003"/>
      <c r="W118" s="1003"/>
      <c r="X118" s="1003"/>
      <c r="Y118" s="1003"/>
      <c r="Z118" s="1003"/>
      <c r="AA118" s="1003"/>
      <c r="AB118" s="1003"/>
      <c r="AC118" s="1003"/>
      <c r="AD118" s="1003"/>
      <c r="AE118" s="1003"/>
      <c r="AF118" s="1003"/>
      <c r="AG118" s="1003"/>
      <c r="AH118" s="1003"/>
      <c r="AI118" s="1003"/>
      <c r="AJ118" s="1003"/>
      <c r="AK118" s="1003"/>
      <c r="AL118" s="1003"/>
      <c r="AM118" s="1003"/>
      <c r="AN118" s="1003"/>
      <c r="AO118" s="1003"/>
      <c r="AP118" s="1003"/>
      <c r="AQ118" s="1003"/>
      <c r="AR118" s="1003"/>
      <c r="AS118" s="1003"/>
      <c r="AT118" s="1003"/>
      <c r="AU118" s="1003"/>
      <c r="AV118" s="1003"/>
      <c r="AW118" s="1003"/>
      <c r="AX118" s="1003"/>
      <c r="AY118" s="1003"/>
      <c r="AZ118" s="1003"/>
      <c r="BA118" s="1003"/>
      <c r="BB118" s="1003"/>
      <c r="BC118" s="1003"/>
      <c r="BD118" s="1003"/>
      <c r="BE118" s="1003"/>
      <c r="BF118" s="1003"/>
      <c r="BG118" s="1003"/>
      <c r="BH118" s="1003"/>
      <c r="BI118" s="1003"/>
      <c r="BJ118" s="1003"/>
    </row>
    <row r="119" spans="1:62" ht="17.399999999999999">
      <c r="A119" s="1003"/>
      <c r="B119" s="1003"/>
      <c r="C119" s="1003"/>
      <c r="D119" s="1003"/>
      <c r="E119" s="1003"/>
      <c r="F119" s="1003"/>
      <c r="G119" s="1003"/>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c r="AF119" s="1003"/>
      <c r="AG119" s="1003"/>
      <c r="AH119" s="1003"/>
      <c r="AI119" s="1003"/>
      <c r="AJ119" s="1003"/>
      <c r="AK119" s="1003"/>
      <c r="AL119" s="1003"/>
      <c r="AM119" s="1003"/>
      <c r="AN119" s="1003"/>
      <c r="AO119" s="1003"/>
      <c r="AP119" s="1003"/>
      <c r="AQ119" s="1003"/>
      <c r="AR119" s="1003"/>
      <c r="AS119" s="1003"/>
      <c r="AT119" s="1003"/>
      <c r="AU119" s="1003"/>
      <c r="AV119" s="1003"/>
      <c r="AW119" s="1003"/>
      <c r="AX119" s="1003"/>
      <c r="AY119" s="1003"/>
      <c r="AZ119" s="1003"/>
      <c r="BA119" s="1003"/>
      <c r="BB119" s="1003"/>
      <c r="BC119" s="1003"/>
      <c r="BD119" s="1003"/>
      <c r="BE119" s="1003"/>
      <c r="BF119" s="1003"/>
      <c r="BG119" s="1003"/>
      <c r="BH119" s="1003"/>
      <c r="BI119" s="1003"/>
      <c r="BJ119" s="1003"/>
    </row>
    <row r="120" spans="1:62" ht="17.399999999999999">
      <c r="A120" s="1003"/>
      <c r="B120" s="1003"/>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3"/>
      <c r="X120" s="1003"/>
      <c r="Y120" s="1003"/>
      <c r="Z120" s="1003"/>
      <c r="AA120" s="1003"/>
      <c r="AB120" s="1003"/>
      <c r="AC120" s="1003"/>
      <c r="AD120" s="1003"/>
      <c r="AE120" s="1003"/>
      <c r="AF120" s="1003"/>
      <c r="AG120" s="1003"/>
      <c r="AH120" s="1003"/>
      <c r="AI120" s="1003"/>
      <c r="AJ120" s="1003"/>
      <c r="AK120" s="1003"/>
      <c r="AL120" s="1003"/>
      <c r="AM120" s="1003"/>
      <c r="AN120" s="1003"/>
      <c r="AO120" s="1003"/>
      <c r="AP120" s="1003"/>
      <c r="AQ120" s="1003"/>
      <c r="AR120" s="1003"/>
      <c r="AS120" s="1003"/>
      <c r="AT120" s="1003"/>
      <c r="AU120" s="1003"/>
      <c r="AV120" s="1003"/>
      <c r="AW120" s="1003"/>
      <c r="AX120" s="1003"/>
      <c r="AY120" s="1003"/>
      <c r="AZ120" s="1003"/>
      <c r="BA120" s="1003"/>
      <c r="BB120" s="1003"/>
      <c r="BC120" s="1003"/>
      <c r="BD120" s="1003"/>
      <c r="BE120" s="1003"/>
      <c r="BF120" s="1003"/>
      <c r="BG120" s="1003"/>
      <c r="BH120" s="1003"/>
      <c r="BI120" s="1003"/>
      <c r="BJ120" s="1003"/>
    </row>
    <row r="121" spans="1:62" ht="17.399999999999999">
      <c r="A121" s="1003"/>
      <c r="B121" s="1003"/>
      <c r="C121" s="1003"/>
      <c r="D121" s="1003"/>
      <c r="E121" s="1003"/>
      <c r="F121" s="1003"/>
      <c r="G121" s="1003"/>
      <c r="H121" s="1003"/>
      <c r="I121" s="1003"/>
      <c r="J121" s="1003"/>
      <c r="K121" s="1003"/>
      <c r="L121" s="1003"/>
      <c r="M121" s="1003"/>
      <c r="N121" s="1003"/>
      <c r="O121" s="1003"/>
      <c r="P121" s="1003"/>
      <c r="Q121" s="1003"/>
      <c r="R121" s="1003"/>
      <c r="S121" s="1003"/>
      <c r="T121" s="1003"/>
      <c r="U121" s="1003"/>
      <c r="V121" s="1003"/>
      <c r="W121" s="1003"/>
      <c r="X121" s="1003"/>
      <c r="Y121" s="1003"/>
      <c r="Z121" s="1003"/>
      <c r="AA121" s="1003"/>
      <c r="AB121" s="1003"/>
      <c r="AC121" s="1003"/>
      <c r="AD121" s="1003"/>
      <c r="AE121" s="1003"/>
      <c r="AF121" s="1003"/>
      <c r="AG121" s="1003"/>
      <c r="AH121" s="1003"/>
      <c r="AI121" s="1003"/>
      <c r="AJ121" s="1003"/>
      <c r="AK121" s="1003"/>
      <c r="AL121" s="1003"/>
      <c r="AM121" s="1003"/>
      <c r="AN121" s="1003"/>
      <c r="AO121" s="1003"/>
      <c r="AP121" s="1003"/>
      <c r="AQ121" s="1003"/>
      <c r="AR121" s="1003"/>
      <c r="AS121" s="1003"/>
      <c r="AT121" s="1003"/>
      <c r="AU121" s="1003"/>
      <c r="AV121" s="1003"/>
      <c r="AW121" s="1003"/>
      <c r="AX121" s="1003"/>
      <c r="AY121" s="1003"/>
      <c r="AZ121" s="1003"/>
      <c r="BA121" s="1003"/>
      <c r="BB121" s="1003"/>
      <c r="BC121" s="1003"/>
      <c r="BD121" s="1003"/>
      <c r="BE121" s="1003"/>
      <c r="BF121" s="1003"/>
      <c r="BG121" s="1003"/>
      <c r="BH121" s="1003"/>
      <c r="BI121" s="1003"/>
      <c r="BJ121" s="1003"/>
    </row>
    <row r="122" spans="1:62" ht="17.399999999999999">
      <c r="A122" s="1003"/>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c r="AP122" s="1003"/>
      <c r="AQ122" s="1003"/>
      <c r="AR122" s="1003"/>
      <c r="AS122" s="1003"/>
      <c r="AT122" s="1003"/>
      <c r="AU122" s="1003"/>
      <c r="AV122" s="1003"/>
      <c r="AW122" s="1003"/>
      <c r="AX122" s="1003"/>
      <c r="AY122" s="1003"/>
      <c r="AZ122" s="1003"/>
      <c r="BA122" s="1003"/>
      <c r="BB122" s="1003"/>
      <c r="BC122" s="1003"/>
      <c r="BD122" s="1003"/>
      <c r="BE122" s="1003"/>
      <c r="BF122" s="1003"/>
      <c r="BG122" s="1003"/>
      <c r="BH122" s="1003"/>
      <c r="BI122" s="1003"/>
      <c r="BJ122" s="1003"/>
    </row>
    <row r="123" spans="1:62" ht="17.399999999999999">
      <c r="A123" s="1003"/>
      <c r="B123" s="1003"/>
      <c r="C123" s="1003"/>
      <c r="D123" s="1003"/>
      <c r="E123" s="1003"/>
      <c r="F123" s="1003"/>
      <c r="G123" s="1003"/>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c r="AP123" s="1003"/>
      <c r="AQ123" s="1003"/>
      <c r="AR123" s="1003"/>
      <c r="AS123" s="1003"/>
      <c r="AT123" s="1003"/>
      <c r="AU123" s="1003"/>
      <c r="AV123" s="1003"/>
      <c r="AW123" s="1003"/>
      <c r="AX123" s="1003"/>
      <c r="AY123" s="1003"/>
      <c r="AZ123" s="1003"/>
      <c r="BA123" s="1003"/>
      <c r="BB123" s="1003"/>
      <c r="BC123" s="1003"/>
      <c r="BD123" s="1003"/>
      <c r="BE123" s="1003"/>
      <c r="BF123" s="1003"/>
      <c r="BG123" s="1003"/>
      <c r="BH123" s="1003"/>
      <c r="BI123" s="1003"/>
      <c r="BJ123" s="1003"/>
    </row>
    <row r="124" spans="1:62" ht="17.399999999999999">
      <c r="A124" s="1003"/>
      <c r="B124" s="1003"/>
      <c r="C124" s="1003"/>
      <c r="D124" s="1003"/>
      <c r="E124" s="1003"/>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c r="AP124" s="1003"/>
      <c r="AQ124" s="1003"/>
      <c r="AR124" s="1003"/>
      <c r="AS124" s="1003"/>
      <c r="AT124" s="1003"/>
      <c r="AU124" s="1003"/>
      <c r="AV124" s="1003"/>
      <c r="AW124" s="1003"/>
      <c r="AX124" s="1003"/>
      <c r="AY124" s="1003"/>
      <c r="AZ124" s="1003"/>
      <c r="BA124" s="1003"/>
      <c r="BB124" s="1003"/>
      <c r="BC124" s="1003"/>
      <c r="BD124" s="1003"/>
      <c r="BE124" s="1003"/>
      <c r="BF124" s="1003"/>
      <c r="BG124" s="1003"/>
      <c r="BH124" s="1003"/>
      <c r="BI124" s="1003"/>
      <c r="BJ124" s="1003"/>
    </row>
    <row r="125" spans="1:62" ht="17.399999999999999">
      <c r="A125" s="1003"/>
      <c r="B125" s="1003"/>
      <c r="C125" s="1003"/>
      <c r="D125" s="1003"/>
      <c r="E125" s="1003"/>
      <c r="F125" s="1003"/>
      <c r="G125" s="1003"/>
      <c r="H125" s="1003"/>
      <c r="I125" s="1003"/>
      <c r="J125" s="1003"/>
      <c r="K125" s="1003"/>
      <c r="L125" s="1003"/>
      <c r="M125" s="1003"/>
      <c r="N125" s="1003"/>
      <c r="O125" s="1003"/>
      <c r="P125" s="1003"/>
      <c r="Q125" s="1003"/>
      <c r="R125" s="1003"/>
      <c r="S125" s="1003"/>
      <c r="T125" s="1003"/>
      <c r="U125" s="1003"/>
      <c r="V125" s="1003"/>
      <c r="W125" s="1003"/>
      <c r="X125" s="1003"/>
      <c r="Y125" s="1003"/>
      <c r="Z125" s="1003"/>
      <c r="AA125" s="1003"/>
      <c r="AB125" s="1003"/>
      <c r="AC125" s="1003"/>
      <c r="AD125" s="1003"/>
      <c r="AE125" s="1003"/>
      <c r="AF125" s="1003"/>
      <c r="AG125" s="1003"/>
      <c r="AH125" s="1003"/>
      <c r="AI125" s="1003"/>
      <c r="AJ125" s="1003"/>
      <c r="AK125" s="1003"/>
      <c r="AL125" s="1003"/>
      <c r="AM125" s="1003"/>
      <c r="AN125" s="1003"/>
      <c r="AO125" s="1003"/>
      <c r="AP125" s="1003"/>
      <c r="AQ125" s="1003"/>
      <c r="AR125" s="1003"/>
      <c r="AS125" s="1003"/>
      <c r="AT125" s="1003"/>
      <c r="AU125" s="1003"/>
      <c r="AV125" s="1003"/>
      <c r="AW125" s="1003"/>
      <c r="AX125" s="1003"/>
      <c r="AY125" s="1003"/>
      <c r="AZ125" s="1003"/>
      <c r="BA125" s="1003"/>
      <c r="BB125" s="1003"/>
      <c r="BC125" s="1003"/>
      <c r="BD125" s="1003"/>
      <c r="BE125" s="1003"/>
      <c r="BF125" s="1003"/>
      <c r="BG125" s="1003"/>
      <c r="BH125" s="1003"/>
      <c r="BI125" s="1003"/>
      <c r="BJ125" s="1003"/>
    </row>
    <row r="126" spans="1:62" ht="17.399999999999999">
      <c r="A126" s="1003"/>
      <c r="B126" s="1003"/>
      <c r="C126" s="1003"/>
      <c r="D126" s="1003"/>
      <c r="E126" s="1003"/>
      <c r="F126" s="1003"/>
      <c r="G126" s="1003"/>
      <c r="H126" s="1003"/>
      <c r="I126" s="1003"/>
      <c r="J126" s="1003"/>
      <c r="K126" s="1003"/>
      <c r="L126" s="1003"/>
      <c r="M126" s="1003"/>
      <c r="N126" s="1003"/>
      <c r="O126" s="1003"/>
      <c r="P126" s="1003"/>
      <c r="Q126" s="1003"/>
      <c r="R126" s="1003"/>
      <c r="S126" s="1003"/>
      <c r="T126" s="1003"/>
      <c r="U126" s="1003"/>
      <c r="V126" s="1003"/>
      <c r="W126" s="1003"/>
      <c r="X126" s="1003"/>
      <c r="Y126" s="1003"/>
      <c r="Z126" s="1003"/>
      <c r="AA126" s="1003"/>
      <c r="AB126" s="1003"/>
      <c r="AC126" s="1003"/>
      <c r="AD126" s="1003"/>
      <c r="AE126" s="1003"/>
      <c r="AF126" s="1003"/>
      <c r="AG126" s="1003"/>
      <c r="AH126" s="1003"/>
      <c r="AI126" s="1003"/>
      <c r="AJ126" s="1003"/>
      <c r="AK126" s="1003"/>
      <c r="AL126" s="1003"/>
      <c r="AM126" s="1003"/>
      <c r="AN126" s="1003"/>
      <c r="AO126" s="1003"/>
      <c r="AP126" s="1003"/>
      <c r="AQ126" s="1003"/>
      <c r="AR126" s="1003"/>
      <c r="AS126" s="1003"/>
      <c r="AT126" s="1003"/>
      <c r="AU126" s="1003"/>
      <c r="AV126" s="1003"/>
      <c r="AW126" s="1003"/>
      <c r="AX126" s="1003"/>
      <c r="AY126" s="1003"/>
      <c r="AZ126" s="1003"/>
      <c r="BA126" s="1003"/>
      <c r="BB126" s="1003"/>
      <c r="BC126" s="1003"/>
      <c r="BD126" s="1003"/>
      <c r="BE126" s="1003"/>
      <c r="BF126" s="1003"/>
      <c r="BG126" s="1003"/>
      <c r="BH126" s="1003"/>
      <c r="BI126" s="1003"/>
      <c r="BJ126" s="1003"/>
    </row>
    <row r="127" spans="1:62" ht="17.399999999999999">
      <c r="A127" s="1003"/>
      <c r="B127" s="1003"/>
      <c r="C127" s="1003"/>
      <c r="D127" s="1003"/>
      <c r="E127" s="1003"/>
      <c r="F127" s="1003"/>
      <c r="G127" s="1003"/>
      <c r="H127" s="1003"/>
      <c r="I127" s="1003"/>
      <c r="J127" s="1003"/>
      <c r="K127" s="1003"/>
      <c r="L127" s="1003"/>
      <c r="M127" s="1003"/>
      <c r="N127" s="1003"/>
      <c r="O127" s="1003"/>
      <c r="P127" s="1003"/>
      <c r="Q127" s="1003"/>
      <c r="R127" s="1003"/>
      <c r="S127" s="1003"/>
      <c r="T127" s="1003"/>
      <c r="U127" s="1003"/>
      <c r="V127" s="1003"/>
      <c r="W127" s="1003"/>
      <c r="X127" s="1003"/>
      <c r="Y127" s="1003"/>
      <c r="Z127" s="1003"/>
      <c r="AA127" s="1003"/>
      <c r="AB127" s="1003"/>
      <c r="AC127" s="1003"/>
      <c r="AD127" s="1003"/>
      <c r="AE127" s="1003"/>
      <c r="AF127" s="1003"/>
      <c r="AG127" s="1003"/>
      <c r="AH127" s="1003"/>
      <c r="AI127" s="1003"/>
      <c r="AJ127" s="1003"/>
      <c r="AK127" s="1003"/>
      <c r="AL127" s="1003"/>
      <c r="AM127" s="1003"/>
      <c r="AN127" s="1003"/>
      <c r="AO127" s="1003"/>
      <c r="AP127" s="1003"/>
      <c r="AQ127" s="1003"/>
      <c r="AR127" s="1003"/>
      <c r="AS127" s="1003"/>
      <c r="AT127" s="1003"/>
      <c r="AU127" s="1003"/>
      <c r="AV127" s="1003"/>
      <c r="AW127" s="1003"/>
      <c r="AX127" s="1003"/>
      <c r="AY127" s="1003"/>
      <c r="AZ127" s="1003"/>
      <c r="BA127" s="1003"/>
      <c r="BB127" s="1003"/>
      <c r="BC127" s="1003"/>
      <c r="BD127" s="1003"/>
      <c r="BE127" s="1003"/>
      <c r="BF127" s="1003"/>
      <c r="BG127" s="1003"/>
      <c r="BH127" s="1003"/>
      <c r="BI127" s="1003"/>
      <c r="BJ127" s="1003"/>
    </row>
    <row r="128" spans="1:62" ht="17.399999999999999">
      <c r="A128" s="1003"/>
      <c r="B128" s="1003"/>
      <c r="C128" s="1003"/>
      <c r="D128" s="1003"/>
      <c r="E128" s="1003"/>
      <c r="F128" s="1003"/>
      <c r="G128" s="1003"/>
      <c r="H128" s="1003"/>
      <c r="I128" s="1003"/>
      <c r="J128" s="1003"/>
      <c r="K128" s="1003"/>
      <c r="L128" s="1003"/>
      <c r="M128" s="1003"/>
      <c r="N128" s="1003"/>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c r="AP128" s="1003"/>
      <c r="AQ128" s="1003"/>
      <c r="AR128" s="1003"/>
      <c r="AS128" s="1003"/>
      <c r="AT128" s="1003"/>
      <c r="AU128" s="1003"/>
      <c r="AV128" s="1003"/>
      <c r="AW128" s="1003"/>
      <c r="AX128" s="1003"/>
      <c r="AY128" s="1003"/>
      <c r="AZ128" s="1003"/>
      <c r="BA128" s="1003"/>
      <c r="BB128" s="1003"/>
      <c r="BC128" s="1003"/>
      <c r="BD128" s="1003"/>
      <c r="BE128" s="1003"/>
      <c r="BF128" s="1003"/>
      <c r="BG128" s="1003"/>
      <c r="BH128" s="1003"/>
      <c r="BI128" s="1003"/>
      <c r="BJ128" s="1003"/>
    </row>
    <row r="129" spans="1:62" ht="17.399999999999999">
      <c r="A129" s="1003"/>
      <c r="B129" s="1003"/>
      <c r="C129" s="1003"/>
      <c r="D129" s="1003"/>
      <c r="E129" s="1003"/>
      <c r="F129" s="1003"/>
      <c r="G129" s="1003"/>
      <c r="H129" s="1003"/>
      <c r="I129" s="1003"/>
      <c r="J129" s="1003"/>
      <c r="K129" s="1003"/>
      <c r="L129" s="1003"/>
      <c r="M129" s="1003"/>
      <c r="N129" s="1003"/>
      <c r="O129" s="1003"/>
      <c r="P129" s="1003"/>
      <c r="Q129" s="1003"/>
      <c r="R129" s="1003"/>
      <c r="S129" s="1003"/>
      <c r="T129" s="1003"/>
      <c r="U129" s="1003"/>
      <c r="V129" s="1003"/>
      <c r="W129" s="1003"/>
      <c r="X129" s="1003"/>
      <c r="Y129" s="1003"/>
      <c r="Z129" s="1003"/>
      <c r="AA129" s="1003"/>
      <c r="AB129" s="1003"/>
      <c r="AC129" s="1003"/>
      <c r="AD129" s="1003"/>
      <c r="AE129" s="1003"/>
      <c r="AF129" s="1003"/>
      <c r="AG129" s="1003"/>
      <c r="AH129" s="1003"/>
      <c r="AI129" s="1003"/>
      <c r="AJ129" s="1003"/>
      <c r="AK129" s="1003"/>
      <c r="AL129" s="1003"/>
      <c r="AM129" s="1003"/>
      <c r="AN129" s="1003"/>
      <c r="AO129" s="1003"/>
      <c r="AP129" s="1003"/>
      <c r="AQ129" s="1003"/>
      <c r="AR129" s="1003"/>
      <c r="AS129" s="1003"/>
      <c r="AT129" s="1003"/>
      <c r="AU129" s="1003"/>
      <c r="AV129" s="1003"/>
      <c r="AW129" s="1003"/>
      <c r="AX129" s="1003"/>
      <c r="AY129" s="1003"/>
      <c r="AZ129" s="1003"/>
      <c r="BA129" s="1003"/>
      <c r="BB129" s="1003"/>
      <c r="BC129" s="1003"/>
      <c r="BD129" s="1003"/>
      <c r="BE129" s="1003"/>
      <c r="BF129" s="1003"/>
      <c r="BG129" s="1003"/>
      <c r="BH129" s="1003"/>
      <c r="BI129" s="1003"/>
      <c r="BJ129" s="1003"/>
    </row>
    <row r="130" spans="1:62" ht="17.399999999999999">
      <c r="A130" s="1003"/>
      <c r="B130" s="1003"/>
      <c r="C130" s="1003"/>
      <c r="D130" s="1003"/>
      <c r="E130" s="1003"/>
      <c r="F130" s="1003"/>
      <c r="G130" s="1003"/>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c r="AH130" s="1003"/>
      <c r="AI130" s="1003"/>
      <c r="AJ130" s="1003"/>
      <c r="AK130" s="1003"/>
      <c r="AL130" s="1003"/>
      <c r="AM130" s="1003"/>
      <c r="AN130" s="1003"/>
      <c r="AO130" s="1003"/>
      <c r="AP130" s="1003"/>
      <c r="AQ130" s="1003"/>
      <c r="AR130" s="1003"/>
      <c r="AS130" s="1003"/>
      <c r="AT130" s="1003"/>
      <c r="AU130" s="1003"/>
      <c r="AV130" s="1003"/>
      <c r="AW130" s="1003"/>
      <c r="AX130" s="1003"/>
      <c r="AY130" s="1003"/>
      <c r="AZ130" s="1003"/>
      <c r="BA130" s="1003"/>
      <c r="BB130" s="1003"/>
      <c r="BC130" s="1003"/>
      <c r="BD130" s="1003"/>
      <c r="BE130" s="1003"/>
      <c r="BF130" s="1003"/>
      <c r="BG130" s="1003"/>
      <c r="BH130" s="1003"/>
      <c r="BI130" s="1003"/>
      <c r="BJ130" s="1003"/>
    </row>
    <row r="131" spans="1:62" ht="17.399999999999999">
      <c r="A131" s="1003"/>
      <c r="B131" s="1003"/>
      <c r="C131" s="1003"/>
      <c r="D131" s="1003"/>
      <c r="E131" s="1003"/>
      <c r="F131" s="1003"/>
      <c r="G131" s="1003"/>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c r="AH131" s="1003"/>
      <c r="AI131" s="1003"/>
      <c r="AJ131" s="1003"/>
      <c r="AK131" s="1003"/>
      <c r="AL131" s="1003"/>
      <c r="AM131" s="1003"/>
      <c r="AN131" s="1003"/>
      <c r="AO131" s="1003"/>
      <c r="AP131" s="1003"/>
      <c r="AQ131" s="1003"/>
      <c r="AR131" s="1003"/>
      <c r="AS131" s="1003"/>
      <c r="AT131" s="1003"/>
      <c r="AU131" s="1003"/>
      <c r="AV131" s="1003"/>
      <c r="AW131" s="1003"/>
      <c r="AX131" s="1003"/>
      <c r="AY131" s="1003"/>
      <c r="AZ131" s="1003"/>
      <c r="BA131" s="1003"/>
      <c r="BB131" s="1003"/>
      <c r="BC131" s="1003"/>
      <c r="BD131" s="1003"/>
      <c r="BE131" s="1003"/>
      <c r="BF131" s="1003"/>
      <c r="BG131" s="1003"/>
      <c r="BH131" s="1003"/>
      <c r="BI131" s="1003"/>
      <c r="BJ131" s="1003"/>
    </row>
    <row r="132" spans="1:62" ht="17.399999999999999">
      <c r="B132" s="1003"/>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row>
  </sheetData>
  <mergeCells count="7">
    <mergeCell ref="T3:U3"/>
    <mergeCell ref="B2:F2"/>
    <mergeCell ref="B3:C3"/>
    <mergeCell ref="D3:E3"/>
    <mergeCell ref="H3:I3"/>
    <mergeCell ref="L3:M3"/>
    <mergeCell ref="P3:Q3"/>
  </mergeCells>
  <pageMargins left="0.7" right="0.7" top="0.78740157499999996" bottom="0.78740157499999996"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25F84-ADC5-4933-AF15-8835E23F4B06}">
  <dimension ref="A1:CH42"/>
  <sheetViews>
    <sheetView topLeftCell="BD1" workbookViewId="0">
      <selection activeCell="BH1" sqref="BH1"/>
    </sheetView>
  </sheetViews>
  <sheetFormatPr baseColWidth="10" defaultRowHeight="13.8"/>
  <cols>
    <col min="1" max="57" width="11.5546875" style="565"/>
    <col min="58" max="58" width="11.6640625" style="565" bestFit="1" customWidth="1"/>
    <col min="59" max="59" width="12.5546875" style="565" bestFit="1" customWidth="1"/>
    <col min="60" max="60" width="13.21875" style="565" bestFit="1" customWidth="1"/>
    <col min="61" max="61" width="11.5546875" style="565"/>
    <col min="62" max="63" width="11.6640625" style="565" bestFit="1" customWidth="1"/>
    <col min="64" max="64" width="12.21875" style="565" bestFit="1" customWidth="1"/>
    <col min="65" max="16384" width="11.5546875" style="565"/>
  </cols>
  <sheetData>
    <row r="1" spans="1:86" ht="74.400000000000006" customHeight="1">
      <c r="S1" s="4486" t="s">
        <v>49</v>
      </c>
      <c r="T1" s="3057"/>
      <c r="U1" s="3057"/>
      <c r="V1" s="3061"/>
      <c r="W1" s="3099">
        <v>5.5021555102258946</v>
      </c>
      <c r="X1" s="3061" t="s">
        <v>28</v>
      </c>
      <c r="Y1" s="4486" t="s">
        <v>1080</v>
      </c>
      <c r="Z1" s="568"/>
      <c r="AA1" s="568"/>
      <c r="AB1" s="3100">
        <v>0</v>
      </c>
      <c r="AC1" s="4486" t="s">
        <v>70</v>
      </c>
      <c r="AD1" s="4486" t="s">
        <v>70</v>
      </c>
      <c r="AE1" s="3101">
        <v>4.33</v>
      </c>
      <c r="AF1" s="568"/>
      <c r="AG1" s="568"/>
      <c r="AH1" s="568"/>
      <c r="AI1" s="568"/>
      <c r="AJ1" s="568"/>
      <c r="AK1" s="2606"/>
      <c r="AL1" s="568"/>
      <c r="AM1" s="568"/>
      <c r="BF1" s="4477" t="s">
        <v>31</v>
      </c>
      <c r="BG1" s="4477"/>
      <c r="BH1" s="3102" t="s">
        <v>1146</v>
      </c>
      <c r="BI1" s="3103">
        <v>0</v>
      </c>
      <c r="BJ1" s="4477" t="s">
        <v>32</v>
      </c>
      <c r="BK1" s="4477"/>
      <c r="BL1" s="3102" t="s">
        <v>1146</v>
      </c>
      <c r="BM1" s="3103">
        <v>0</v>
      </c>
      <c r="BN1" s="4476" t="s">
        <v>1137</v>
      </c>
      <c r="BO1" s="4475" t="s">
        <v>1136</v>
      </c>
      <c r="BP1" s="4475" t="s">
        <v>1136</v>
      </c>
      <c r="BQ1" s="568"/>
      <c r="BR1" s="568"/>
      <c r="BS1" s="568"/>
      <c r="BT1" s="568"/>
    </row>
    <row r="2" spans="1:86" ht="21" customHeight="1">
      <c r="B2" s="3074" t="s">
        <v>1297</v>
      </c>
      <c r="C2" s="3074" t="s">
        <v>1296</v>
      </c>
      <c r="D2" s="3074" t="s">
        <v>1380</v>
      </c>
      <c r="E2" s="3075" t="s">
        <v>662</v>
      </c>
      <c r="F2" s="3076" t="s">
        <v>670</v>
      </c>
      <c r="G2" s="4479" t="s">
        <v>491</v>
      </c>
      <c r="H2" s="4480" t="s">
        <v>663</v>
      </c>
      <c r="I2" s="4480" t="s">
        <v>490</v>
      </c>
      <c r="J2" s="3074" t="s">
        <v>1296</v>
      </c>
      <c r="K2" s="4481" t="s">
        <v>1346</v>
      </c>
      <c r="L2" s="4482" t="s">
        <v>201</v>
      </c>
      <c r="M2" s="4478" t="s">
        <v>653</v>
      </c>
      <c r="N2" s="4483" t="s">
        <v>489</v>
      </c>
      <c r="O2" s="4484" t="s">
        <v>978</v>
      </c>
      <c r="P2" s="4485" t="s">
        <v>300</v>
      </c>
      <c r="Q2" s="4377" t="s">
        <v>493</v>
      </c>
      <c r="R2" s="4377" t="s">
        <v>664</v>
      </c>
      <c r="S2" s="4486"/>
      <c r="T2" s="3057" t="s">
        <v>1453</v>
      </c>
      <c r="U2" s="3057" t="s">
        <v>1077</v>
      </c>
      <c r="V2" s="3057" t="s">
        <v>1347</v>
      </c>
      <c r="W2" s="3057" t="s">
        <v>1078</v>
      </c>
      <c r="X2" s="3071"/>
      <c r="Y2" s="4486"/>
      <c r="Z2" s="568"/>
      <c r="AA2" s="568"/>
      <c r="AB2" s="3084" t="s">
        <v>60</v>
      </c>
      <c r="AC2" s="4486"/>
      <c r="AD2" s="4486"/>
      <c r="AE2" s="3085" t="s">
        <v>61</v>
      </c>
      <c r="AF2" s="3085" t="s">
        <v>513</v>
      </c>
      <c r="AG2" s="3085" t="s">
        <v>514</v>
      </c>
      <c r="AH2" s="3058" t="s">
        <v>61</v>
      </c>
      <c r="AI2" s="3058" t="s">
        <v>61</v>
      </c>
      <c r="AJ2" s="3058"/>
      <c r="AK2" s="3104">
        <v>0</v>
      </c>
      <c r="AL2" s="3059" t="s">
        <v>962</v>
      </c>
      <c r="AM2" s="568"/>
      <c r="AN2" s="4373" t="s">
        <v>168</v>
      </c>
      <c r="AO2" s="4373"/>
      <c r="AP2" s="4373" t="s">
        <v>169</v>
      </c>
      <c r="AQ2" s="4373"/>
      <c r="AR2" s="4373" t="s">
        <v>170</v>
      </c>
      <c r="AS2" s="4373"/>
      <c r="AT2" s="4373" t="s">
        <v>171</v>
      </c>
      <c r="AU2" s="4373"/>
      <c r="AV2" s="4373" t="s">
        <v>172</v>
      </c>
      <c r="AW2" s="4373"/>
      <c r="AX2" s="4373" t="s">
        <v>173</v>
      </c>
      <c r="AY2" s="4373"/>
      <c r="AZ2" s="3086" t="s">
        <v>1102</v>
      </c>
      <c r="BA2" s="3086" t="s">
        <v>1120</v>
      </c>
      <c r="BB2" s="3086" t="s">
        <v>1121</v>
      </c>
      <c r="BC2" s="3087" t="s">
        <v>1117</v>
      </c>
      <c r="BD2" s="3087" t="s">
        <v>1111</v>
      </c>
      <c r="BE2" s="3087" t="s">
        <v>1112</v>
      </c>
      <c r="BF2" s="4374" t="s">
        <v>1134</v>
      </c>
      <c r="BG2" s="4374"/>
      <c r="BH2" s="3089" t="s">
        <v>1147</v>
      </c>
      <c r="BI2" s="3090">
        <v>0</v>
      </c>
      <c r="BJ2" s="4374" t="s">
        <v>1134</v>
      </c>
      <c r="BK2" s="4374"/>
      <c r="BL2" s="3089" t="s">
        <v>1147</v>
      </c>
      <c r="BM2" s="3090">
        <v>0</v>
      </c>
      <c r="BN2" s="4476"/>
      <c r="BO2" s="4475"/>
      <c r="BP2" s="4475"/>
      <c r="BQ2" s="568"/>
      <c r="BR2" s="568"/>
      <c r="BS2" s="568"/>
      <c r="BT2" s="568"/>
    </row>
    <row r="3" spans="1:86" ht="41.4" customHeight="1">
      <c r="A3" s="565" t="s">
        <v>1345</v>
      </c>
      <c r="F3" s="3105"/>
      <c r="G3" s="4479"/>
      <c r="H3" s="4480"/>
      <c r="I3" s="4480"/>
      <c r="J3" s="3106"/>
      <c r="K3" s="4481"/>
      <c r="L3" s="4482"/>
      <c r="M3" s="4478"/>
      <c r="N3" s="4483"/>
      <c r="O3" s="4484"/>
      <c r="P3" s="4485"/>
      <c r="Q3" s="4377"/>
      <c r="R3" s="4377"/>
      <c r="S3" s="4486"/>
      <c r="T3" s="3057"/>
      <c r="U3" s="3057"/>
      <c r="V3" s="3071"/>
      <c r="W3" s="3071"/>
      <c r="X3" s="3071"/>
      <c r="Y3" s="4486"/>
      <c r="Z3" s="568"/>
      <c r="AA3" s="568"/>
      <c r="AB3" s="3084">
        <v>0</v>
      </c>
      <c r="AC3" s="3084" t="s">
        <v>69</v>
      </c>
      <c r="AD3" s="3084" t="s">
        <v>71</v>
      </c>
      <c r="AE3" s="3085" t="s">
        <v>190</v>
      </c>
      <c r="AF3" s="3085" t="s">
        <v>190</v>
      </c>
      <c r="AG3" s="3085" t="s">
        <v>190</v>
      </c>
      <c r="AH3" s="3058" t="s">
        <v>105</v>
      </c>
      <c r="AI3" s="3058" t="s">
        <v>63</v>
      </c>
      <c r="AJ3" s="3058"/>
      <c r="AK3" s="565" t="s">
        <v>89</v>
      </c>
      <c r="AL3" s="4376" t="s">
        <v>106</v>
      </c>
      <c r="AM3" s="4376"/>
      <c r="AN3" s="3106" t="s">
        <v>217</v>
      </c>
      <c r="AO3" s="3106" t="s">
        <v>61</v>
      </c>
      <c r="AP3" s="3106" t="s">
        <v>217</v>
      </c>
      <c r="AQ3" s="3106" t="s">
        <v>61</v>
      </c>
      <c r="AR3" s="3106" t="s">
        <v>217</v>
      </c>
      <c r="AS3" s="3106" t="s">
        <v>61</v>
      </c>
      <c r="AT3" s="3106" t="s">
        <v>217</v>
      </c>
      <c r="AU3" s="3106" t="s">
        <v>61</v>
      </c>
      <c r="AV3" s="3106" t="s">
        <v>217</v>
      </c>
      <c r="AW3" s="3106" t="s">
        <v>61</v>
      </c>
      <c r="AX3" s="3106" t="s">
        <v>217</v>
      </c>
      <c r="AY3" s="3106" t="s">
        <v>61</v>
      </c>
      <c r="BF3" s="3088" t="s">
        <v>1113</v>
      </c>
      <c r="BG3" s="3088" t="s">
        <v>1115</v>
      </c>
      <c r="BH3" s="3107" t="s">
        <v>1135</v>
      </c>
      <c r="BI3" s="3088" t="s">
        <v>907</v>
      </c>
      <c r="BJ3" s="3088" t="s">
        <v>1114</v>
      </c>
      <c r="BK3" s="3088" t="s">
        <v>1116</v>
      </c>
      <c r="BL3" s="3107" t="s">
        <v>1135</v>
      </c>
      <c r="BM3" s="3088" t="s">
        <v>907</v>
      </c>
      <c r="BN3" s="4476"/>
      <c r="BO3" s="3088" t="s">
        <v>127</v>
      </c>
      <c r="BP3" s="3088" t="s">
        <v>128</v>
      </c>
      <c r="BQ3" s="2606"/>
      <c r="BR3" s="3088" t="s">
        <v>1150</v>
      </c>
      <c r="BS3" s="3088" t="s">
        <v>1148</v>
      </c>
      <c r="BT3" s="3088" t="s">
        <v>1149</v>
      </c>
      <c r="BW3" s="3067" t="s">
        <v>1102</v>
      </c>
      <c r="BX3" s="3067" t="s">
        <v>1120</v>
      </c>
      <c r="BY3" s="3067" t="s">
        <v>1121</v>
      </c>
      <c r="BZ3" s="3067" t="s">
        <v>1113</v>
      </c>
      <c r="CA3" s="3067" t="s">
        <v>1115</v>
      </c>
      <c r="CB3" s="3067" t="s">
        <v>1368</v>
      </c>
      <c r="CC3" s="3067" t="s">
        <v>907</v>
      </c>
      <c r="CD3" s="3067" t="s">
        <v>1114</v>
      </c>
      <c r="CE3" s="3067" t="s">
        <v>1116</v>
      </c>
      <c r="CF3" s="3067" t="s">
        <v>1368</v>
      </c>
      <c r="CG3" s="3067" t="s">
        <v>907</v>
      </c>
      <c r="CH3" s="3067"/>
    </row>
    <row r="4" spans="1:86" ht="21" customHeight="1">
      <c r="A4" s="565" t="s">
        <v>1419</v>
      </c>
      <c r="B4" s="3064">
        <v>39.5</v>
      </c>
      <c r="C4" s="3063">
        <v>16.170000000000002</v>
      </c>
      <c r="D4" s="3063">
        <v>2765.6359500000003</v>
      </c>
      <c r="E4" s="3063">
        <v>0</v>
      </c>
      <c r="F4" s="3063">
        <v>0</v>
      </c>
      <c r="G4" s="3063">
        <v>0</v>
      </c>
      <c r="H4" s="3063">
        <v>125</v>
      </c>
      <c r="I4" s="3063">
        <v>0</v>
      </c>
      <c r="J4" s="3063">
        <v>16.170000000000002</v>
      </c>
      <c r="K4" s="3063">
        <v>2776.0526166666668</v>
      </c>
      <c r="L4" s="3063">
        <v>171.035</v>
      </c>
      <c r="M4" s="3063">
        <v>16.230903713664844</v>
      </c>
      <c r="N4" s="3064">
        <v>12</v>
      </c>
      <c r="O4" s="3064">
        <v>216.49133999999995</v>
      </c>
      <c r="P4" s="3064">
        <v>0.98750000000000004</v>
      </c>
      <c r="Q4" s="565">
        <v>33312.631399999998</v>
      </c>
      <c r="R4" s="3063">
        <v>10.416666666666666</v>
      </c>
      <c r="S4" s="3063">
        <v>4.63</v>
      </c>
      <c r="T4" s="3063">
        <v>11647</v>
      </c>
      <c r="U4" s="3063">
        <v>524.10304512971379</v>
      </c>
      <c r="V4" s="3065">
        <v>5.5021555102258944E-2</v>
      </c>
      <c r="W4" s="3063">
        <v>30.536963081753715</v>
      </c>
      <c r="X4" s="3063">
        <v>0</v>
      </c>
      <c r="Y4" s="3063">
        <v>554.62</v>
      </c>
      <c r="Z4" s="3063">
        <v>0</v>
      </c>
      <c r="AA4" s="3063">
        <v>0</v>
      </c>
      <c r="AB4" s="3063">
        <v>39.5</v>
      </c>
      <c r="AC4" s="3063">
        <v>5</v>
      </c>
      <c r="AD4" s="3063">
        <v>21</v>
      </c>
      <c r="AE4" s="3063">
        <v>11647</v>
      </c>
      <c r="AF4" s="3063">
        <v>11006.16394772399</v>
      </c>
      <c r="AG4" s="3063">
        <v>640.83605227600992</v>
      </c>
      <c r="AH4" s="3063">
        <v>2775</v>
      </c>
      <c r="AI4" s="3063">
        <v>68.09717309322653</v>
      </c>
      <c r="AJ4" s="3063"/>
      <c r="AK4" s="3063">
        <v>85.121466366533156</v>
      </c>
      <c r="AL4" s="3063" t="s">
        <v>1419</v>
      </c>
      <c r="AM4" s="3063">
        <v>116550</v>
      </c>
      <c r="AN4" s="565">
        <v>8</v>
      </c>
      <c r="AO4" s="565">
        <v>544.77738474581224</v>
      </c>
      <c r="AP4" s="3063">
        <v>8</v>
      </c>
      <c r="AQ4" s="3063">
        <v>544.77738474581224</v>
      </c>
      <c r="AR4" s="3064" t="s">
        <v>525</v>
      </c>
      <c r="AS4" s="3063" t="s">
        <v>525</v>
      </c>
      <c r="AT4" s="3064">
        <v>8</v>
      </c>
      <c r="AU4" s="3063">
        <v>544.77738474581224</v>
      </c>
      <c r="AV4" s="3064">
        <v>8</v>
      </c>
      <c r="AW4" s="3063">
        <v>544.77738474581224</v>
      </c>
      <c r="AX4" s="3064">
        <v>7.5</v>
      </c>
      <c r="AY4" s="3063">
        <v>510.72879819919899</v>
      </c>
      <c r="AZ4" s="3066">
        <v>216</v>
      </c>
      <c r="BA4" s="3066">
        <v>22</v>
      </c>
      <c r="BB4" s="3067">
        <v>12</v>
      </c>
      <c r="BC4" s="3067">
        <v>119797.92</v>
      </c>
      <c r="BD4" s="3067">
        <v>113206.25774801819</v>
      </c>
      <c r="BE4" s="3067">
        <v>6591.4565376961027</v>
      </c>
      <c r="BF4" s="3068">
        <v>0</v>
      </c>
      <c r="BG4" s="3068">
        <v>113206.25774801819</v>
      </c>
      <c r="BH4" s="3068">
        <v>-113206.25774801819</v>
      </c>
      <c r="BI4" s="3068" t="s">
        <v>525</v>
      </c>
      <c r="BJ4" s="3068">
        <v>0</v>
      </c>
      <c r="BK4" s="3068">
        <v>6591.4565376961036</v>
      </c>
      <c r="BL4" s="3068">
        <v>-6591.4565376961036</v>
      </c>
      <c r="BM4" s="3068" t="s">
        <v>525</v>
      </c>
      <c r="BN4" s="3068" t="s">
        <v>525</v>
      </c>
      <c r="BO4" s="3068" t="s">
        <v>525</v>
      </c>
      <c r="BP4" s="3068" t="s">
        <v>525</v>
      </c>
      <c r="BQ4" s="565" t="s">
        <v>1419</v>
      </c>
      <c r="BR4" s="565">
        <v>0</v>
      </c>
      <c r="BS4" s="565">
        <v>0</v>
      </c>
      <c r="BT4" s="565">
        <v>0</v>
      </c>
      <c r="BU4" s="565">
        <v>1</v>
      </c>
      <c r="BV4" s="3067" t="s">
        <v>1400</v>
      </c>
      <c r="BW4" s="3067">
        <v>18</v>
      </c>
      <c r="BX4" s="3067">
        <v>2</v>
      </c>
      <c r="BY4" s="3067">
        <v>0</v>
      </c>
      <c r="BZ4" s="3067">
        <v>0</v>
      </c>
      <c r="CA4" s="3067">
        <v>9433.8548123348482</v>
      </c>
      <c r="CB4" s="3067" t="s">
        <v>525</v>
      </c>
      <c r="CC4" s="3067" t="s">
        <v>525</v>
      </c>
      <c r="CD4" s="3067">
        <v>0</v>
      </c>
      <c r="CE4" s="3067">
        <v>549.28804480800852</v>
      </c>
      <c r="CF4" s="3067" t="s">
        <v>525</v>
      </c>
      <c r="CG4" s="3067" t="s">
        <v>525</v>
      </c>
      <c r="CH4" s="3067"/>
    </row>
    <row r="5" spans="1:86" ht="15.6" customHeight="1">
      <c r="A5" s="565" t="s">
        <v>1420</v>
      </c>
      <c r="B5" s="565">
        <v>0</v>
      </c>
      <c r="C5" s="3063">
        <v>0</v>
      </c>
      <c r="D5" s="3063">
        <v>1782.53</v>
      </c>
      <c r="E5" s="3063">
        <v>0</v>
      </c>
      <c r="F5" s="3063">
        <v>0</v>
      </c>
      <c r="G5" s="3063">
        <v>0</v>
      </c>
      <c r="H5" s="3063">
        <v>0</v>
      </c>
      <c r="I5" s="3063">
        <v>0</v>
      </c>
      <c r="J5" s="3063">
        <v>13.722324865280985</v>
      </c>
      <c r="K5" s="3063">
        <v>1782.53</v>
      </c>
      <c r="L5" s="3063">
        <v>129.9</v>
      </c>
      <c r="M5" s="3063">
        <v>13.722324865280985</v>
      </c>
      <c r="N5" s="3064">
        <v>12</v>
      </c>
      <c r="O5" s="3064">
        <v>173.193072</v>
      </c>
      <c r="P5" s="3064">
        <v>0.75</v>
      </c>
      <c r="Q5" s="565">
        <v>21390.36</v>
      </c>
      <c r="R5" s="3063">
        <v>0</v>
      </c>
      <c r="S5" s="3063">
        <v>4.63</v>
      </c>
      <c r="T5" s="3063">
        <v>8253</v>
      </c>
      <c r="U5" s="3063">
        <v>450.7547182162225</v>
      </c>
      <c r="V5" s="3065">
        <v>5.5021555102258944E-2</v>
      </c>
      <c r="W5" s="3063">
        <v>26.245281783777518</v>
      </c>
      <c r="X5" s="3063">
        <v>0</v>
      </c>
      <c r="Y5" s="3063">
        <v>476.5</v>
      </c>
      <c r="Z5" s="3063">
        <v>0</v>
      </c>
      <c r="AA5" s="3063">
        <v>0</v>
      </c>
      <c r="AB5" s="3063">
        <v>30</v>
      </c>
      <c r="AC5" s="3063">
        <v>4</v>
      </c>
      <c r="AD5" s="3063">
        <v>17.32</v>
      </c>
      <c r="AE5" s="3063">
        <v>8253</v>
      </c>
      <c r="AF5" s="3063">
        <v>7798.9071057410565</v>
      </c>
      <c r="AG5" s="3063">
        <v>454.09289425894309</v>
      </c>
      <c r="AH5" s="3063">
        <v>1908</v>
      </c>
      <c r="AI5" s="3063">
        <v>63.533487297921482</v>
      </c>
      <c r="AJ5" s="3063"/>
      <c r="AK5" s="3063">
        <v>79.41685912240186</v>
      </c>
      <c r="AL5" s="3063" t="s">
        <v>1420</v>
      </c>
      <c r="AM5" s="3063">
        <v>82616.399999999994</v>
      </c>
      <c r="AN5" s="565">
        <v>8</v>
      </c>
      <c r="AO5" s="565">
        <v>508.26789838337186</v>
      </c>
      <c r="AP5" s="3063">
        <v>8</v>
      </c>
      <c r="AQ5" s="3063">
        <v>508.26789838337186</v>
      </c>
      <c r="AR5" s="3064">
        <v>8</v>
      </c>
      <c r="AS5" s="3063">
        <v>508.26789838337186</v>
      </c>
      <c r="AT5" s="3064">
        <v>8</v>
      </c>
      <c r="AU5" s="3063">
        <v>508.26789838337186</v>
      </c>
      <c r="AV5" s="3064" t="s">
        <v>525</v>
      </c>
      <c r="AW5" s="3063" t="s">
        <v>525</v>
      </c>
      <c r="AX5" s="3064">
        <v>6</v>
      </c>
      <c r="AY5" s="3063">
        <v>381.20092378752889</v>
      </c>
      <c r="AZ5" s="3066">
        <v>170</v>
      </c>
      <c r="BA5" s="3066">
        <v>19</v>
      </c>
      <c r="BB5" s="3067">
        <v>10</v>
      </c>
      <c r="BC5" s="3067">
        <v>81005</v>
      </c>
      <c r="BD5" s="3067">
        <v>76628.30209675782</v>
      </c>
      <c r="BE5" s="3067">
        <v>4457.0318720566002</v>
      </c>
      <c r="BF5" s="3068">
        <v>0</v>
      </c>
      <c r="BG5" s="3068">
        <v>76628.30209675782</v>
      </c>
      <c r="BH5" s="3068">
        <v>-76628.30209675782</v>
      </c>
      <c r="BI5" s="3068" t="s">
        <v>525</v>
      </c>
      <c r="BJ5" s="3068">
        <v>0</v>
      </c>
      <c r="BK5" s="3068">
        <v>4457.0318720566002</v>
      </c>
      <c r="BL5" s="3068">
        <v>-4457.0318720566002</v>
      </c>
      <c r="BM5" s="3068" t="s">
        <v>525</v>
      </c>
      <c r="BN5" s="3068" t="s">
        <v>525</v>
      </c>
      <c r="BO5" s="3068" t="s">
        <v>525</v>
      </c>
      <c r="BP5" s="3068" t="s">
        <v>525</v>
      </c>
      <c r="BQ5" s="565" t="s">
        <v>1420</v>
      </c>
      <c r="BR5" s="565">
        <v>0</v>
      </c>
      <c r="BS5" s="565">
        <v>0</v>
      </c>
      <c r="BT5" s="565">
        <v>0</v>
      </c>
      <c r="BU5" s="565">
        <v>2</v>
      </c>
      <c r="BV5" s="3067" t="s">
        <v>1400</v>
      </c>
      <c r="BW5" s="3067">
        <v>13</v>
      </c>
      <c r="BX5" s="3067">
        <v>4</v>
      </c>
      <c r="BY5" s="3067">
        <v>0</v>
      </c>
      <c r="BZ5" s="3067">
        <v>0</v>
      </c>
      <c r="CA5" s="3067">
        <v>5859.8113368108925</v>
      </c>
      <c r="CB5" s="3067" t="s">
        <v>525</v>
      </c>
      <c r="CC5" s="3067" t="s">
        <v>525</v>
      </c>
      <c r="CD5" s="3067">
        <v>0</v>
      </c>
      <c r="CE5" s="3067">
        <v>340.8318490396224</v>
      </c>
      <c r="CF5" s="3067" t="s">
        <v>525</v>
      </c>
      <c r="CG5" s="3067" t="s">
        <v>525</v>
      </c>
    </row>
    <row r="6" spans="1:86" ht="49.8" customHeight="1">
      <c r="A6" s="565" t="s">
        <v>1421</v>
      </c>
      <c r="B6" s="565">
        <v>26</v>
      </c>
      <c r="C6" s="3063">
        <v>13.24</v>
      </c>
      <c r="D6" s="3063">
        <v>1490.5592000000001</v>
      </c>
      <c r="E6" s="3063">
        <v>0</v>
      </c>
      <c r="F6" s="3063">
        <v>0</v>
      </c>
      <c r="G6" s="3063">
        <v>0</v>
      </c>
      <c r="H6" s="3063">
        <v>0</v>
      </c>
      <c r="I6" s="3063">
        <v>0</v>
      </c>
      <c r="J6" s="3063">
        <v>13.240000000000002</v>
      </c>
      <c r="K6" s="3063">
        <v>1490.5592000000001</v>
      </c>
      <c r="L6" s="3063">
        <v>112.58</v>
      </c>
      <c r="M6" s="3063">
        <v>13.240000000000002</v>
      </c>
      <c r="N6" s="3064">
        <v>12</v>
      </c>
      <c r="O6" s="3064">
        <v>151.543938</v>
      </c>
      <c r="P6" s="3064">
        <v>0.65</v>
      </c>
      <c r="Q6" s="565">
        <v>17886.710400000004</v>
      </c>
      <c r="R6" s="3063">
        <v>0</v>
      </c>
      <c r="S6" s="3063">
        <v>4.63</v>
      </c>
      <c r="T6" s="3063">
        <v>6901</v>
      </c>
      <c r="U6" s="3063">
        <v>429.96519242847216</v>
      </c>
      <c r="V6" s="3065">
        <v>5.5021555102258944E-2</v>
      </c>
      <c r="W6" s="3063">
        <v>25.034807571527821</v>
      </c>
      <c r="X6" s="3063">
        <v>0</v>
      </c>
      <c r="Y6" s="3063">
        <v>455.36</v>
      </c>
      <c r="Z6" s="3063">
        <v>0</v>
      </c>
      <c r="AA6" s="3063">
        <v>0</v>
      </c>
      <c r="AB6" s="3063">
        <v>26</v>
      </c>
      <c r="AC6" s="3063">
        <v>3.5</v>
      </c>
      <c r="AD6" s="3063">
        <v>15.155000000000001</v>
      </c>
      <c r="AE6" s="3063">
        <v>6901</v>
      </c>
      <c r="AF6" s="3063">
        <v>6521.2962482393114</v>
      </c>
      <c r="AG6" s="3063">
        <v>379.70375176068899</v>
      </c>
      <c r="AH6" s="3063">
        <v>1592.5</v>
      </c>
      <c r="AI6" s="3063">
        <v>61.29863208385148</v>
      </c>
      <c r="AJ6" s="3063"/>
      <c r="AK6" s="3063">
        <v>76.623290104814345</v>
      </c>
      <c r="AL6" s="3063" t="s">
        <v>1421</v>
      </c>
      <c r="AM6" s="3063">
        <v>68955.25</v>
      </c>
      <c r="AN6" s="565">
        <v>4</v>
      </c>
      <c r="AO6" s="565">
        <v>245.19452833540592</v>
      </c>
      <c r="AP6" s="3063" t="s">
        <v>525</v>
      </c>
      <c r="AQ6" s="3063" t="s">
        <v>525</v>
      </c>
      <c r="AR6" s="3064">
        <v>8</v>
      </c>
      <c r="AS6" s="3063">
        <v>490.38905667081184</v>
      </c>
      <c r="AT6" s="3064" t="s">
        <v>525</v>
      </c>
      <c r="AU6" s="3063" t="s">
        <v>525</v>
      </c>
      <c r="AV6" s="3064">
        <v>8</v>
      </c>
      <c r="AW6" s="3063">
        <v>490.38905667081184</v>
      </c>
      <c r="AX6" s="3064">
        <v>8</v>
      </c>
      <c r="AY6" s="3063">
        <v>490.38905667081184</v>
      </c>
      <c r="AZ6" s="3066">
        <v>149</v>
      </c>
      <c r="BA6" s="3066">
        <v>17</v>
      </c>
      <c r="BB6" s="3067">
        <v>12</v>
      </c>
      <c r="BC6" s="3067">
        <v>67848.639999999999</v>
      </c>
      <c r="BD6" s="3067">
        <v>64064.813671842356</v>
      </c>
      <c r="BE6" s="3067">
        <v>3733.1480707583405</v>
      </c>
      <c r="BF6" s="3068">
        <v>0</v>
      </c>
      <c r="BG6" s="3068">
        <v>64064.813671842356</v>
      </c>
      <c r="BH6" s="3068">
        <v>-64064.813671842356</v>
      </c>
      <c r="BI6" s="3068" t="s">
        <v>525</v>
      </c>
      <c r="BJ6" s="3068">
        <v>0</v>
      </c>
      <c r="BK6" s="3068">
        <v>3733.148070758341</v>
      </c>
      <c r="BL6" s="3068">
        <v>-3733.148070758341</v>
      </c>
      <c r="BM6" s="3068" t="s">
        <v>525</v>
      </c>
      <c r="BN6" s="3068" t="s">
        <v>525</v>
      </c>
      <c r="BO6" s="3068" t="s">
        <v>525</v>
      </c>
      <c r="BP6" s="3068" t="s">
        <v>525</v>
      </c>
      <c r="BQ6" s="565" t="s">
        <v>1421</v>
      </c>
      <c r="BR6" s="565">
        <v>0</v>
      </c>
      <c r="BS6" s="565">
        <v>0</v>
      </c>
      <c r="BT6" s="565">
        <v>0</v>
      </c>
      <c r="BU6" s="565">
        <v>3</v>
      </c>
      <c r="BV6" s="3067" t="s">
        <v>1400</v>
      </c>
      <c r="BW6" s="3067">
        <v>15</v>
      </c>
      <c r="BX6" s="3067">
        <v>0</v>
      </c>
      <c r="BY6" s="3067">
        <v>0</v>
      </c>
      <c r="BZ6" s="3067">
        <v>0</v>
      </c>
      <c r="CA6" s="3067">
        <v>6449.4778864270829</v>
      </c>
      <c r="CB6" s="3067" t="s">
        <v>525</v>
      </c>
      <c r="CC6" s="3067" t="s">
        <v>525</v>
      </c>
      <c r="CD6" s="3067">
        <v>0</v>
      </c>
      <c r="CE6" s="3067">
        <v>375.82027557969872</v>
      </c>
      <c r="CF6" s="3067" t="s">
        <v>525</v>
      </c>
      <c r="CG6" s="3067" t="s">
        <v>525</v>
      </c>
    </row>
    <row r="7" spans="1:86" ht="21" customHeight="1">
      <c r="A7" s="565" t="s">
        <v>1422</v>
      </c>
      <c r="B7" s="565">
        <v>0</v>
      </c>
      <c r="C7" s="3063">
        <v>0</v>
      </c>
      <c r="D7" s="3063">
        <v>1310</v>
      </c>
      <c r="E7" s="3063">
        <v>0</v>
      </c>
      <c r="F7" s="3063">
        <v>0</v>
      </c>
      <c r="G7" s="3063">
        <v>0</v>
      </c>
      <c r="H7" s="3063">
        <v>125</v>
      </c>
      <c r="I7" s="3063">
        <v>0</v>
      </c>
      <c r="J7" s="3063">
        <v>13.75183707747218</v>
      </c>
      <c r="K7" s="3063">
        <v>1320.4166666666667</v>
      </c>
      <c r="L7" s="3063">
        <v>95.26</v>
      </c>
      <c r="M7" s="3063">
        <v>13.861186927006788</v>
      </c>
      <c r="N7" s="3064">
        <v>12</v>
      </c>
      <c r="O7" s="3064">
        <v>129.89480399999999</v>
      </c>
      <c r="P7" s="3064">
        <v>0.55000000000000004</v>
      </c>
      <c r="Q7" s="565">
        <v>15845</v>
      </c>
      <c r="R7" s="3063">
        <v>10.416666666666666</v>
      </c>
      <c r="S7" s="3063">
        <v>4.63</v>
      </c>
      <c r="T7" s="3063">
        <v>6065</v>
      </c>
      <c r="U7" s="3063">
        <v>441.30493376724507</v>
      </c>
      <c r="V7" s="3065">
        <v>5.5021555102258944E-2</v>
      </c>
      <c r="W7" s="3063">
        <v>25.695066232754925</v>
      </c>
      <c r="X7" s="3063">
        <v>0</v>
      </c>
      <c r="Y7" s="3063">
        <v>466.9</v>
      </c>
      <c r="Z7" s="3063">
        <v>0</v>
      </c>
      <c r="AA7" s="3063">
        <v>0</v>
      </c>
      <c r="AB7" s="3063">
        <v>22</v>
      </c>
      <c r="AC7" s="3063">
        <v>3</v>
      </c>
      <c r="AD7" s="3063">
        <v>12.99</v>
      </c>
      <c r="AE7" s="3063">
        <v>6065</v>
      </c>
      <c r="AF7" s="3063">
        <v>5731.2942683047995</v>
      </c>
      <c r="AG7" s="3063">
        <v>333.70573169520048</v>
      </c>
      <c r="AH7" s="3063">
        <v>1401</v>
      </c>
      <c r="AI7" s="3063">
        <v>63.667856393029609</v>
      </c>
      <c r="AJ7" s="3063"/>
      <c r="AK7" s="3063">
        <v>79.584820491287005</v>
      </c>
      <c r="AL7" s="3063" t="s">
        <v>1422</v>
      </c>
      <c r="AM7" s="3063">
        <v>60663.3</v>
      </c>
      <c r="AN7" s="565">
        <v>8</v>
      </c>
      <c r="AO7" s="565">
        <v>509.34285114423687</v>
      </c>
      <c r="AP7" s="3063">
        <v>8</v>
      </c>
      <c r="AQ7" s="3063">
        <v>509.34285114423687</v>
      </c>
      <c r="AR7" s="3064" t="s">
        <v>525</v>
      </c>
      <c r="AS7" s="3063" t="s">
        <v>525</v>
      </c>
      <c r="AT7" s="3064">
        <v>6</v>
      </c>
      <c r="AU7" s="3063">
        <v>382.00713835817766</v>
      </c>
      <c r="AV7" s="3064">
        <v>8</v>
      </c>
      <c r="AW7" s="3063">
        <v>509.34285114423687</v>
      </c>
      <c r="AX7" s="3064" t="s">
        <v>525</v>
      </c>
      <c r="AY7" s="3063" t="s">
        <v>525</v>
      </c>
      <c r="AZ7" s="3066">
        <v>128</v>
      </c>
      <c r="BA7" s="3066">
        <v>14</v>
      </c>
      <c r="BB7" s="3067">
        <v>12</v>
      </c>
      <c r="BC7" s="3067">
        <v>59763.199999999997</v>
      </c>
      <c r="BD7" s="3067">
        <v>56487.031522207377</v>
      </c>
      <c r="BE7" s="3067">
        <v>3288.2473946871178</v>
      </c>
      <c r="BF7" s="3068">
        <v>0</v>
      </c>
      <c r="BG7" s="3068">
        <v>56487.031522207377</v>
      </c>
      <c r="BH7" s="3068">
        <v>-56487.031522207377</v>
      </c>
      <c r="BI7" s="3068" t="s">
        <v>525</v>
      </c>
      <c r="BJ7" s="3068">
        <v>0</v>
      </c>
      <c r="BK7" s="3068">
        <v>3288.2473946871178</v>
      </c>
      <c r="BL7" s="3068">
        <v>-3288.2473946871178</v>
      </c>
      <c r="BM7" s="3068" t="s">
        <v>525</v>
      </c>
      <c r="BN7" s="3068" t="s">
        <v>525</v>
      </c>
      <c r="BO7" s="3068" t="s">
        <v>525</v>
      </c>
      <c r="BP7" s="3068" t="s">
        <v>525</v>
      </c>
      <c r="BQ7" s="565" t="s">
        <v>1422</v>
      </c>
      <c r="BR7" s="565">
        <v>0</v>
      </c>
      <c r="BS7" s="565">
        <v>0</v>
      </c>
      <c r="BT7" s="565">
        <v>0</v>
      </c>
      <c r="BU7" s="565">
        <v>4</v>
      </c>
      <c r="BV7" s="3067" t="s">
        <v>1400</v>
      </c>
      <c r="BW7" s="3067">
        <v>11</v>
      </c>
      <c r="BX7" s="3067">
        <v>0</v>
      </c>
      <c r="BY7" s="3067">
        <v>3</v>
      </c>
      <c r="BZ7" s="3067">
        <v>0</v>
      </c>
      <c r="CA7" s="3067">
        <v>4854.3542714396954</v>
      </c>
      <c r="CB7" s="3067" t="s">
        <v>525</v>
      </c>
      <c r="CC7" s="3067" t="s">
        <v>525</v>
      </c>
      <c r="CD7" s="3067">
        <v>0</v>
      </c>
      <c r="CE7" s="3067">
        <v>282.58376048092418</v>
      </c>
      <c r="CF7" s="3067" t="s">
        <v>525</v>
      </c>
      <c r="CG7" s="3067" t="s">
        <v>525</v>
      </c>
    </row>
    <row r="8" spans="1:86" ht="22.8" customHeight="1">
      <c r="A8" s="565" t="s">
        <v>1424</v>
      </c>
      <c r="B8" s="565">
        <v>0</v>
      </c>
      <c r="C8" s="3063">
        <v>0</v>
      </c>
      <c r="D8" s="3063">
        <v>1040</v>
      </c>
      <c r="E8" s="3063">
        <v>0</v>
      </c>
      <c r="F8" s="3063">
        <v>0</v>
      </c>
      <c r="G8" s="3063">
        <v>0</v>
      </c>
      <c r="H8" s="3063">
        <v>0</v>
      </c>
      <c r="I8" s="3063">
        <v>0</v>
      </c>
      <c r="J8" s="3063">
        <v>15.011547344110854</v>
      </c>
      <c r="K8" s="3063">
        <v>1040</v>
      </c>
      <c r="L8" s="3063">
        <v>69.28</v>
      </c>
      <c r="M8" s="3063">
        <v>15.011547344110854</v>
      </c>
      <c r="N8" s="3064">
        <v>12</v>
      </c>
      <c r="O8" s="3064">
        <v>86.596536</v>
      </c>
      <c r="P8" s="3064">
        <v>0.4</v>
      </c>
      <c r="Q8" s="565">
        <v>12480</v>
      </c>
      <c r="R8" s="3063">
        <v>0</v>
      </c>
      <c r="S8" s="3063">
        <v>4.63</v>
      </c>
      <c r="T8" s="3063">
        <v>4815</v>
      </c>
      <c r="U8" s="3063">
        <v>525.40801536314405</v>
      </c>
      <c r="V8" s="3065">
        <v>5.5021555102258944E-2</v>
      </c>
      <c r="W8" s="3063">
        <v>30.591984636855972</v>
      </c>
      <c r="X8" s="3063">
        <v>0</v>
      </c>
      <c r="Y8" s="3063">
        <v>556</v>
      </c>
      <c r="Z8" s="3063">
        <v>0</v>
      </c>
      <c r="AA8" s="3063">
        <v>0</v>
      </c>
      <c r="AB8" s="3063">
        <v>16</v>
      </c>
      <c r="AC8" s="3063">
        <v>2</v>
      </c>
      <c r="AD8" s="3063">
        <v>8.66</v>
      </c>
      <c r="AE8" s="3063">
        <v>4815</v>
      </c>
      <c r="AF8" s="3063">
        <v>4550.0712121826236</v>
      </c>
      <c r="AG8" s="3063">
        <v>264.92878781737681</v>
      </c>
      <c r="AH8" s="3063">
        <v>1112</v>
      </c>
      <c r="AI8" s="3063">
        <v>69.500577367205537</v>
      </c>
      <c r="AJ8" s="3063"/>
      <c r="AK8" s="3063">
        <v>86.87572170900691</v>
      </c>
      <c r="AL8" s="3063" t="s">
        <v>1424</v>
      </c>
      <c r="AM8" s="3063">
        <v>48149.599999999999</v>
      </c>
      <c r="AN8" s="565" t="s">
        <v>525</v>
      </c>
      <c r="AO8" s="565" t="s">
        <v>525</v>
      </c>
      <c r="AP8" s="3063" t="s">
        <v>525</v>
      </c>
      <c r="AQ8" s="3063" t="s">
        <v>525</v>
      </c>
      <c r="AR8" s="3064" t="s">
        <v>525</v>
      </c>
      <c r="AS8" s="3063" t="s">
        <v>525</v>
      </c>
      <c r="AT8" s="3064" t="s">
        <v>525</v>
      </c>
      <c r="AU8" s="3063" t="s">
        <v>525</v>
      </c>
      <c r="AV8" s="3064">
        <v>8</v>
      </c>
      <c r="AW8" s="3063">
        <v>556.0046189376443</v>
      </c>
      <c r="AX8" s="3064">
        <v>8</v>
      </c>
      <c r="AY8" s="3063">
        <v>556.0046189376443</v>
      </c>
      <c r="AZ8" s="3066">
        <v>88</v>
      </c>
      <c r="BA8" s="3066">
        <v>10</v>
      </c>
      <c r="BB8" s="3067">
        <v>5</v>
      </c>
      <c r="BC8" s="3067">
        <v>48928</v>
      </c>
      <c r="BD8" s="3067">
        <v>46235.905351956673</v>
      </c>
      <c r="BE8" s="3067">
        <v>2692.1170124629512</v>
      </c>
      <c r="BF8" s="3068">
        <v>0</v>
      </c>
      <c r="BG8" s="3068">
        <v>46235.905351956673</v>
      </c>
      <c r="BH8" s="3068">
        <v>-46235.905351956673</v>
      </c>
      <c r="BI8" s="3068" t="s">
        <v>525</v>
      </c>
      <c r="BJ8" s="3068">
        <v>0</v>
      </c>
      <c r="BK8" s="3068">
        <v>2692.1170124629512</v>
      </c>
      <c r="BL8" s="3068">
        <v>-2692.1170124629512</v>
      </c>
      <c r="BM8" s="3068" t="s">
        <v>525</v>
      </c>
      <c r="BN8" s="3068" t="s">
        <v>525</v>
      </c>
      <c r="BO8" s="3068" t="s">
        <v>525</v>
      </c>
      <c r="BP8" s="3068" t="s">
        <v>525</v>
      </c>
      <c r="BQ8" s="565" t="s">
        <v>1424</v>
      </c>
      <c r="BR8" s="565">
        <v>0</v>
      </c>
      <c r="BS8" s="565">
        <v>0</v>
      </c>
      <c r="BT8" s="565">
        <v>0</v>
      </c>
      <c r="BU8" s="565">
        <v>5</v>
      </c>
      <c r="BV8" s="3067" t="s">
        <v>1400</v>
      </c>
      <c r="BW8" s="3067">
        <v>9</v>
      </c>
      <c r="BX8" s="3067">
        <v>0</v>
      </c>
      <c r="BY8" s="3067">
        <v>0</v>
      </c>
      <c r="BZ8" s="3067">
        <v>0</v>
      </c>
      <c r="CA8" s="3067">
        <v>4728.6721382682963</v>
      </c>
      <c r="CB8" s="3067" t="s">
        <v>525</v>
      </c>
      <c r="CC8" s="3067" t="s">
        <v>525</v>
      </c>
      <c r="CD8" s="3067">
        <v>0</v>
      </c>
      <c r="CE8" s="3067">
        <v>275.33014900189272</v>
      </c>
      <c r="CF8" s="3067" t="s">
        <v>525</v>
      </c>
      <c r="CG8" s="3067" t="s">
        <v>525</v>
      </c>
    </row>
    <row r="9" spans="1:86" ht="21.6" customHeight="1">
      <c r="A9" s="565" t="s">
        <v>1418</v>
      </c>
      <c r="B9" s="565">
        <v>0</v>
      </c>
      <c r="C9" s="3063">
        <v>0</v>
      </c>
      <c r="D9" s="3063">
        <v>1350</v>
      </c>
      <c r="E9" s="3063">
        <v>0</v>
      </c>
      <c r="F9" s="3063">
        <v>0</v>
      </c>
      <c r="G9" s="3063">
        <v>0</v>
      </c>
      <c r="H9" s="3063">
        <v>0</v>
      </c>
      <c r="I9" s="3063">
        <v>0</v>
      </c>
      <c r="J9" s="3063">
        <v>14.846585285384361</v>
      </c>
      <c r="K9" s="3063">
        <v>1350</v>
      </c>
      <c r="L9" s="3063">
        <v>90.93</v>
      </c>
      <c r="M9" s="3063">
        <v>14.846585285384361</v>
      </c>
      <c r="N9" s="3064">
        <v>12</v>
      </c>
      <c r="O9" s="3064">
        <v>129.89480399999999</v>
      </c>
      <c r="P9" s="3064">
        <v>0.52500000000000002</v>
      </c>
      <c r="Q9" s="565">
        <v>16200</v>
      </c>
      <c r="R9" s="3063">
        <v>0</v>
      </c>
      <c r="S9" s="3063">
        <v>4.63</v>
      </c>
      <c r="T9" s="3063">
        <v>6251</v>
      </c>
      <c r="U9" s="3063">
        <v>454.53463199581347</v>
      </c>
      <c r="V9" s="3065">
        <v>5.5021555102258944E-2</v>
      </c>
      <c r="W9" s="3063">
        <v>26.465368004186551</v>
      </c>
      <c r="X9" s="3063">
        <v>0</v>
      </c>
      <c r="Y9" s="3063">
        <v>481.22</v>
      </c>
      <c r="Z9" s="3063">
        <v>0</v>
      </c>
      <c r="AA9" s="3063">
        <v>0</v>
      </c>
      <c r="AB9" s="3063">
        <v>21</v>
      </c>
      <c r="AC9" s="3063">
        <v>3</v>
      </c>
      <c r="AD9" s="3063">
        <v>12.99</v>
      </c>
      <c r="AE9" s="3063">
        <v>6251</v>
      </c>
      <c r="AF9" s="3063">
        <v>5907.0602590557792</v>
      </c>
      <c r="AG9" s="3063">
        <v>343.93974094422066</v>
      </c>
      <c r="AH9" s="3063">
        <v>1443</v>
      </c>
      <c r="AI9" s="3063">
        <v>68.745188606620474</v>
      </c>
      <c r="AJ9" s="3063"/>
      <c r="AK9" s="3063">
        <v>85.931485758275585</v>
      </c>
      <c r="AL9" s="3063" t="s">
        <v>1418</v>
      </c>
      <c r="AM9" s="3063">
        <v>62481.9</v>
      </c>
      <c r="AN9" s="565" t="s">
        <v>525</v>
      </c>
      <c r="AO9" s="565" t="s">
        <v>525</v>
      </c>
      <c r="AP9" s="3063">
        <v>7</v>
      </c>
      <c r="AQ9" s="3063">
        <v>481.21632024634334</v>
      </c>
      <c r="AR9" s="3064">
        <v>7</v>
      </c>
      <c r="AS9" s="3063">
        <v>481.21632024634334</v>
      </c>
      <c r="AT9" s="3064">
        <v>7</v>
      </c>
      <c r="AU9" s="3063">
        <v>481.21632024634334</v>
      </c>
      <c r="AV9" s="3064" t="s">
        <v>525</v>
      </c>
      <c r="AW9" s="3063" t="s">
        <v>525</v>
      </c>
      <c r="AX9" s="3064">
        <v>7</v>
      </c>
      <c r="AY9" s="3063">
        <v>481.21632024634334</v>
      </c>
      <c r="AZ9" s="3066">
        <v>129</v>
      </c>
      <c r="BA9" s="3066">
        <v>14</v>
      </c>
      <c r="BB9" s="3067">
        <v>12</v>
      </c>
      <c r="BC9" s="3067">
        <v>62077.380000000005</v>
      </c>
      <c r="BD9" s="3067">
        <v>58634.967527459936</v>
      </c>
      <c r="BE9" s="3067">
        <v>3415.56786618972</v>
      </c>
      <c r="BF9" s="3068">
        <v>0</v>
      </c>
      <c r="BG9" s="3068">
        <v>58634.967527459929</v>
      </c>
      <c r="BH9" s="3068">
        <v>-58634.967527459929</v>
      </c>
      <c r="BI9" s="3068" t="s">
        <v>525</v>
      </c>
      <c r="BJ9" s="3068">
        <v>0</v>
      </c>
      <c r="BK9" s="3068">
        <v>3415.5678661897196</v>
      </c>
      <c r="BL9" s="3068">
        <v>-3415.5678661897196</v>
      </c>
      <c r="BM9" s="3068" t="s">
        <v>525</v>
      </c>
      <c r="BN9" s="3068" t="s">
        <v>525</v>
      </c>
      <c r="BO9" s="3068" t="s">
        <v>525</v>
      </c>
      <c r="BP9" s="3068" t="s">
        <v>525</v>
      </c>
      <c r="BQ9" s="565" t="s">
        <v>1418</v>
      </c>
      <c r="BR9" s="565">
        <v>0</v>
      </c>
      <c r="BS9" s="565">
        <v>0</v>
      </c>
      <c r="BT9" s="565">
        <v>0</v>
      </c>
      <c r="BU9" s="565">
        <v>6</v>
      </c>
      <c r="BV9" s="3067" t="s">
        <v>1400</v>
      </c>
      <c r="BW9" s="3067">
        <v>13</v>
      </c>
      <c r="BX9" s="3067">
        <v>0</v>
      </c>
      <c r="BY9" s="3067">
        <v>0</v>
      </c>
      <c r="BZ9" s="3067">
        <v>0</v>
      </c>
      <c r="CA9" s="3067">
        <v>5908.9502159455751</v>
      </c>
      <c r="CB9" s="3067" t="s">
        <v>525</v>
      </c>
      <c r="CC9" s="3067" t="s">
        <v>525</v>
      </c>
      <c r="CD9" s="3067">
        <v>0</v>
      </c>
      <c r="CE9" s="3067">
        <v>344.20451364702603</v>
      </c>
      <c r="CF9" s="3067" t="s">
        <v>525</v>
      </c>
      <c r="CG9" s="3067" t="s">
        <v>525</v>
      </c>
    </row>
    <row r="10" spans="1:86" ht="21" customHeight="1">
      <c r="A10" s="565">
        <v>0</v>
      </c>
      <c r="B10" s="565">
        <v>0</v>
      </c>
      <c r="C10" s="3063">
        <v>0</v>
      </c>
      <c r="D10" s="3063" t="s">
        <v>525</v>
      </c>
      <c r="E10" s="3063">
        <v>0</v>
      </c>
      <c r="F10" s="3063">
        <v>0</v>
      </c>
      <c r="G10" s="3063">
        <v>0</v>
      </c>
      <c r="H10" s="3063">
        <v>0</v>
      </c>
      <c r="I10" s="3063">
        <v>0</v>
      </c>
      <c r="J10" s="3063" t="e">
        <v>#VALUE!</v>
      </c>
      <c r="K10" s="3063" t="s">
        <v>525</v>
      </c>
      <c r="L10" s="3063" t="s">
        <v>525</v>
      </c>
      <c r="M10" s="3063" t="s">
        <v>525</v>
      </c>
      <c r="N10" s="3064" t="s">
        <v>525</v>
      </c>
      <c r="O10" s="3064" t="s">
        <v>525</v>
      </c>
      <c r="P10" s="3064" t="s">
        <v>525</v>
      </c>
      <c r="Q10" s="565" t="s">
        <v>525</v>
      </c>
      <c r="R10" s="3063">
        <v>0</v>
      </c>
      <c r="S10" s="3063" t="s">
        <v>525</v>
      </c>
      <c r="T10" s="3063" t="s">
        <v>525</v>
      </c>
      <c r="U10" s="3063" t="s">
        <v>525</v>
      </c>
      <c r="V10" s="3065">
        <v>5.5021555102258944E-2</v>
      </c>
      <c r="W10" s="3063" t="s">
        <v>525</v>
      </c>
      <c r="X10" s="3063">
        <v>0</v>
      </c>
      <c r="Y10" s="3063" t="s">
        <v>525</v>
      </c>
      <c r="Z10" s="3063">
        <v>0</v>
      </c>
      <c r="AA10" s="3063">
        <v>0</v>
      </c>
      <c r="AB10" s="3063" t="s">
        <v>525</v>
      </c>
      <c r="AC10" s="3063" t="s">
        <v>525</v>
      </c>
      <c r="AD10" s="3063" t="s">
        <v>525</v>
      </c>
      <c r="AE10" s="3063" t="s">
        <v>525</v>
      </c>
      <c r="AF10" s="3063" t="s">
        <v>525</v>
      </c>
      <c r="AG10" s="3063" t="s">
        <v>525</v>
      </c>
      <c r="AH10" s="3063" t="s">
        <v>525</v>
      </c>
      <c r="AI10" s="3063" t="s">
        <v>525</v>
      </c>
      <c r="AJ10" s="3063"/>
      <c r="AK10" s="3063" t="s">
        <v>525</v>
      </c>
      <c r="AL10" s="3063" t="s">
        <v>525</v>
      </c>
      <c r="AM10" s="3063" t="s">
        <v>525</v>
      </c>
      <c r="AN10" s="565" t="s">
        <v>525</v>
      </c>
      <c r="AO10" s="565" t="s">
        <v>525</v>
      </c>
      <c r="AP10" s="3063" t="s">
        <v>525</v>
      </c>
      <c r="AQ10" s="3063" t="s">
        <v>525</v>
      </c>
      <c r="AR10" s="3064" t="s">
        <v>525</v>
      </c>
      <c r="AS10" s="3063" t="s">
        <v>525</v>
      </c>
      <c r="AT10" s="3064" t="s">
        <v>525</v>
      </c>
      <c r="AU10" s="3063" t="s">
        <v>525</v>
      </c>
      <c r="AV10" s="3064" t="s">
        <v>525</v>
      </c>
      <c r="AW10" s="3063" t="s">
        <v>525</v>
      </c>
      <c r="AX10" s="3064" t="s">
        <v>525</v>
      </c>
      <c r="AY10" s="3063" t="s">
        <v>525</v>
      </c>
      <c r="AZ10" s="3066" t="s">
        <v>525</v>
      </c>
      <c r="BA10" s="3066" t="s">
        <v>525</v>
      </c>
      <c r="BB10" s="3067" t="s">
        <v>525</v>
      </c>
      <c r="BC10" s="3067" t="s">
        <v>525</v>
      </c>
      <c r="BD10" s="3067" t="s">
        <v>525</v>
      </c>
      <c r="BE10" s="3067" t="s">
        <v>525</v>
      </c>
      <c r="BF10" s="3068" t="s">
        <v>525</v>
      </c>
      <c r="BG10" s="3068" t="s">
        <v>525</v>
      </c>
      <c r="BH10" s="3068" t="s">
        <v>525</v>
      </c>
      <c r="BI10" s="3068" t="s">
        <v>525</v>
      </c>
      <c r="BJ10" s="3068" t="s">
        <v>525</v>
      </c>
      <c r="BK10" s="3068" t="s">
        <v>525</v>
      </c>
      <c r="BL10" s="3068" t="s">
        <v>525</v>
      </c>
      <c r="BM10" s="3068" t="s">
        <v>525</v>
      </c>
      <c r="BN10" s="3068" t="s">
        <v>525</v>
      </c>
      <c r="BO10" s="3068" t="s">
        <v>525</v>
      </c>
      <c r="BP10" s="3068" t="s">
        <v>525</v>
      </c>
      <c r="BQ10" s="565" t="s">
        <v>525</v>
      </c>
      <c r="BR10" s="565" t="s">
        <v>525</v>
      </c>
      <c r="BS10" s="565" t="s">
        <v>525</v>
      </c>
      <c r="BT10" s="565" t="s">
        <v>525</v>
      </c>
      <c r="BU10" s="565">
        <v>7</v>
      </c>
      <c r="BV10" s="3067" t="s">
        <v>1400</v>
      </c>
      <c r="BW10" s="3067">
        <v>0</v>
      </c>
      <c r="BX10" s="3067">
        <v>0</v>
      </c>
      <c r="BY10" s="3067">
        <v>0</v>
      </c>
      <c r="BZ10" s="3067">
        <v>0</v>
      </c>
      <c r="CA10" s="3067" t="s">
        <v>525</v>
      </c>
      <c r="CB10" s="3067" t="s">
        <v>525</v>
      </c>
      <c r="CC10" s="3067" t="s">
        <v>525</v>
      </c>
      <c r="CD10" s="3067">
        <v>0</v>
      </c>
      <c r="CE10" s="3067" t="s">
        <v>525</v>
      </c>
      <c r="CF10" s="3067" t="s">
        <v>525</v>
      </c>
      <c r="CG10" s="3067" t="s">
        <v>525</v>
      </c>
    </row>
    <row r="11" spans="1:86" ht="15.6" customHeight="1">
      <c r="A11" s="565" t="s">
        <v>1423</v>
      </c>
      <c r="B11" s="565">
        <v>23.5</v>
      </c>
      <c r="C11" s="3063">
        <v>13.04</v>
      </c>
      <c r="D11" s="3063">
        <v>1326.8851999999999</v>
      </c>
      <c r="E11" s="3063">
        <v>0</v>
      </c>
      <c r="F11" s="3063">
        <v>0</v>
      </c>
      <c r="G11" s="3063">
        <v>0</v>
      </c>
      <c r="H11" s="3063">
        <v>0</v>
      </c>
      <c r="I11" s="3063">
        <v>0</v>
      </c>
      <c r="J11" s="3063">
        <v>13.04</v>
      </c>
      <c r="K11" s="3063">
        <v>1326.8851999999999</v>
      </c>
      <c r="L11" s="3063">
        <v>101.755</v>
      </c>
      <c r="M11" s="3063">
        <v>13.04</v>
      </c>
      <c r="N11" s="3064">
        <v>7</v>
      </c>
      <c r="O11" s="3064">
        <v>75.771968999999999</v>
      </c>
      <c r="P11" s="3064">
        <v>0.34270833333333334</v>
      </c>
      <c r="Q11" s="565">
        <v>9288.1963999999989</v>
      </c>
      <c r="R11" s="3063">
        <v>0</v>
      </c>
      <c r="S11" s="3063">
        <v>4.63</v>
      </c>
      <c r="T11" s="3063">
        <v>6143</v>
      </c>
      <c r="U11" s="3063">
        <v>446.97480443663153</v>
      </c>
      <c r="V11" s="3065">
        <v>5.5021555102258944E-2</v>
      </c>
      <c r="W11" s="3063">
        <v>26.025195563368481</v>
      </c>
      <c r="X11" s="3063">
        <v>0</v>
      </c>
      <c r="Y11" s="3063">
        <v>472.9</v>
      </c>
      <c r="Z11" s="3063">
        <v>0</v>
      </c>
      <c r="AA11" s="3063">
        <v>0</v>
      </c>
      <c r="AB11" s="3063">
        <v>23.5</v>
      </c>
      <c r="AC11" s="3063">
        <v>3</v>
      </c>
      <c r="AD11" s="3063">
        <v>12.99</v>
      </c>
      <c r="AE11" s="3063">
        <v>6143</v>
      </c>
      <c r="AF11" s="3063">
        <v>5805.002587006823</v>
      </c>
      <c r="AG11" s="3063">
        <v>337.99741299317668</v>
      </c>
      <c r="AH11" s="3063">
        <v>1419</v>
      </c>
      <c r="AI11" s="3063">
        <v>60.370497764237633</v>
      </c>
      <c r="AJ11" s="3063"/>
      <c r="AK11" s="3063">
        <v>75.46312220529704</v>
      </c>
      <c r="AL11" s="3063" t="s">
        <v>1423</v>
      </c>
      <c r="AM11" s="3063">
        <v>35841.575000000004</v>
      </c>
      <c r="AN11" s="565" t="s">
        <v>525</v>
      </c>
      <c r="AO11" s="565" t="s">
        <v>525</v>
      </c>
      <c r="AP11" s="3063" t="s">
        <v>525</v>
      </c>
      <c r="AQ11" s="3063" t="s">
        <v>525</v>
      </c>
      <c r="AR11" s="3064" t="s">
        <v>525</v>
      </c>
      <c r="AS11" s="3063" t="s">
        <v>525</v>
      </c>
      <c r="AT11" s="3064">
        <v>8</v>
      </c>
      <c r="AU11" s="3063">
        <v>482.96398211390107</v>
      </c>
      <c r="AV11" s="3064">
        <v>8</v>
      </c>
      <c r="AW11" s="3063">
        <v>482.96398211390107</v>
      </c>
      <c r="AX11" s="3064">
        <v>7.5</v>
      </c>
      <c r="AY11" s="3063">
        <v>452.77873323178227</v>
      </c>
      <c r="AZ11" s="3066">
        <v>80</v>
      </c>
      <c r="BA11" s="3066">
        <v>6</v>
      </c>
      <c r="BB11" s="3067">
        <v>5</v>
      </c>
      <c r="BC11" s="3067">
        <v>37832</v>
      </c>
      <c r="BD11" s="3067">
        <v>35757.984354930522</v>
      </c>
      <c r="BE11" s="3067">
        <v>2081.5852994191018</v>
      </c>
      <c r="BF11" s="3068">
        <v>0</v>
      </c>
      <c r="BG11" s="3068">
        <v>35757.984354930522</v>
      </c>
      <c r="BH11" s="3068">
        <v>-35757.984354930522</v>
      </c>
      <c r="BI11" s="3068" t="s">
        <v>525</v>
      </c>
      <c r="BJ11" s="3068">
        <v>0</v>
      </c>
      <c r="BK11" s="3068">
        <v>2081.5852994191018</v>
      </c>
      <c r="BL11" s="3068">
        <v>-2081.5852994191018</v>
      </c>
      <c r="BM11" s="3068" t="s">
        <v>525</v>
      </c>
      <c r="BN11" s="3068" t="s">
        <v>525</v>
      </c>
      <c r="BO11" s="3068" t="s">
        <v>525</v>
      </c>
      <c r="BP11" s="3068" t="s">
        <v>525</v>
      </c>
      <c r="BQ11" s="565" t="s">
        <v>1423</v>
      </c>
      <c r="BR11" s="565">
        <v>0</v>
      </c>
      <c r="BS11" s="565">
        <v>0</v>
      </c>
      <c r="BT11" s="565">
        <v>0</v>
      </c>
      <c r="BU11" s="565">
        <v>8</v>
      </c>
      <c r="BV11" s="3067" t="s">
        <v>1400</v>
      </c>
      <c r="BW11" s="3067">
        <v>13</v>
      </c>
      <c r="BX11" s="3067">
        <v>0</v>
      </c>
      <c r="BY11" s="3067">
        <v>0</v>
      </c>
      <c r="BZ11" s="3067">
        <v>0</v>
      </c>
      <c r="CA11" s="3067">
        <v>5810.6724576762099</v>
      </c>
      <c r="CB11" s="3067" t="s">
        <v>525</v>
      </c>
      <c r="CC11" s="3067" t="s">
        <v>525</v>
      </c>
      <c r="CD11" s="3067">
        <v>0</v>
      </c>
      <c r="CE11" s="3067">
        <v>338.25761115560408</v>
      </c>
      <c r="CF11" s="3067" t="s">
        <v>525</v>
      </c>
      <c r="CG11" s="3067" t="s">
        <v>525</v>
      </c>
    </row>
    <row r="12" spans="1:86" ht="19.8" customHeight="1">
      <c r="A12" s="565" t="s">
        <v>1423</v>
      </c>
      <c r="B12" s="565">
        <v>0</v>
      </c>
      <c r="C12" s="3063">
        <v>0</v>
      </c>
      <c r="D12" s="3063">
        <v>1600</v>
      </c>
      <c r="E12" s="3063">
        <v>0</v>
      </c>
      <c r="F12" s="3063">
        <v>0</v>
      </c>
      <c r="G12" s="3063">
        <v>0</v>
      </c>
      <c r="H12" s="3063">
        <v>0</v>
      </c>
      <c r="I12" s="3063">
        <v>0</v>
      </c>
      <c r="J12" s="3063">
        <v>14.490784766562513</v>
      </c>
      <c r="K12" s="3063">
        <v>1600</v>
      </c>
      <c r="L12" s="3063">
        <v>110.41500000000001</v>
      </c>
      <c r="M12" s="3063">
        <v>14.490784766562513</v>
      </c>
      <c r="N12" s="3064">
        <v>5</v>
      </c>
      <c r="O12" s="3064">
        <v>63.143307499999999</v>
      </c>
      <c r="P12" s="3064">
        <v>0.265625</v>
      </c>
      <c r="Q12" s="565">
        <v>8000</v>
      </c>
      <c r="R12" s="3063">
        <v>0</v>
      </c>
      <c r="S12" s="3063">
        <v>4.63</v>
      </c>
      <c r="T12" s="3063">
        <v>7408</v>
      </c>
      <c r="U12" s="3063">
        <v>462.09445955499535</v>
      </c>
      <c r="V12" s="3065">
        <v>5.5021555102258944E-2</v>
      </c>
      <c r="W12" s="3063">
        <v>26.905540445004625</v>
      </c>
      <c r="X12" s="3063">
        <v>0</v>
      </c>
      <c r="Y12" s="3063">
        <v>488.82</v>
      </c>
      <c r="Z12" s="3063">
        <v>0</v>
      </c>
      <c r="AA12" s="3063">
        <v>0</v>
      </c>
      <c r="AB12" s="3063">
        <v>25.5</v>
      </c>
      <c r="AC12" s="3063">
        <v>3.5</v>
      </c>
      <c r="AD12" s="3063">
        <v>15.155000000000001</v>
      </c>
      <c r="AE12" s="3063">
        <v>7408</v>
      </c>
      <c r="AF12" s="3063">
        <v>7000.4003198024657</v>
      </c>
      <c r="AG12" s="3063">
        <v>407.59968019753427</v>
      </c>
      <c r="AH12" s="3063">
        <v>1711.5</v>
      </c>
      <c r="AI12" s="3063">
        <v>67.092333469184439</v>
      </c>
      <c r="AJ12" s="3063"/>
      <c r="AK12" s="3063">
        <v>83.865416836480549</v>
      </c>
      <c r="AL12" s="3063" t="s">
        <v>1423</v>
      </c>
      <c r="AM12" s="3063">
        <v>30878.312500000004</v>
      </c>
      <c r="AN12" s="565" t="s">
        <v>525</v>
      </c>
      <c r="AO12" s="565" t="s">
        <v>525</v>
      </c>
      <c r="AP12" s="3063" t="s">
        <v>525</v>
      </c>
      <c r="AQ12" s="3063" t="s">
        <v>525</v>
      </c>
      <c r="AR12" s="3064">
        <v>4</v>
      </c>
      <c r="AS12" s="3063">
        <v>268.36933387673776</v>
      </c>
      <c r="AT12" s="3064">
        <v>8</v>
      </c>
      <c r="AU12" s="3063">
        <v>536.73866775347551</v>
      </c>
      <c r="AV12" s="3064">
        <v>8</v>
      </c>
      <c r="AW12" s="3063">
        <v>536.73866775347551</v>
      </c>
      <c r="AX12" s="3064">
        <v>7.5</v>
      </c>
      <c r="AY12" s="3063">
        <v>503.19250101888326</v>
      </c>
      <c r="AZ12" s="3066">
        <v>72</v>
      </c>
      <c r="BA12" s="3066">
        <v>5</v>
      </c>
      <c r="BB12" s="3067">
        <v>7</v>
      </c>
      <c r="BC12" s="3067">
        <v>35195.040000000001</v>
      </c>
      <c r="BD12" s="3067">
        <v>33270.801087959662</v>
      </c>
      <c r="BE12" s="3067">
        <v>1936.4682925913867</v>
      </c>
      <c r="BF12" s="3068">
        <v>0</v>
      </c>
      <c r="BG12" s="3068">
        <v>33270.801087959662</v>
      </c>
      <c r="BH12" s="3068">
        <v>-33270.801087959662</v>
      </c>
      <c r="BI12" s="3068" t="s">
        <v>525</v>
      </c>
      <c r="BJ12" s="3068">
        <v>0</v>
      </c>
      <c r="BK12" s="3068">
        <v>1936.4682925913871</v>
      </c>
      <c r="BL12" s="3068">
        <v>-1936.4682925913871</v>
      </c>
      <c r="BM12" s="3068" t="s">
        <v>525</v>
      </c>
      <c r="BN12" s="3068" t="s">
        <v>525</v>
      </c>
      <c r="BO12" s="3068" t="s">
        <v>525</v>
      </c>
      <c r="BP12" s="3068" t="s">
        <v>525</v>
      </c>
      <c r="BQ12" s="565" t="s">
        <v>1423</v>
      </c>
      <c r="BR12" s="565">
        <v>0</v>
      </c>
      <c r="BS12" s="565">
        <v>0</v>
      </c>
      <c r="BT12" s="565">
        <v>0</v>
      </c>
      <c r="BU12" s="565">
        <v>9</v>
      </c>
      <c r="BV12" s="3067" t="s">
        <v>1400</v>
      </c>
      <c r="BW12" s="3067">
        <v>0</v>
      </c>
      <c r="BX12" s="3067">
        <v>0</v>
      </c>
      <c r="BY12" s="3067">
        <v>0</v>
      </c>
      <c r="BZ12" s="3067">
        <v>0</v>
      </c>
      <c r="CA12" s="3067" t="s">
        <v>525</v>
      </c>
      <c r="CB12" s="3067" t="s">
        <v>525</v>
      </c>
      <c r="CC12" s="3067" t="s">
        <v>525</v>
      </c>
      <c r="CD12" s="3067">
        <v>0</v>
      </c>
      <c r="CE12" s="3067" t="s">
        <v>525</v>
      </c>
      <c r="CF12" s="3067" t="s">
        <v>525</v>
      </c>
      <c r="CG12" s="3067" t="s">
        <v>525</v>
      </c>
    </row>
    <row r="13" spans="1:86" ht="18.600000000000001" customHeight="1">
      <c r="A13" s="565">
        <v>0</v>
      </c>
      <c r="B13" s="565">
        <v>0</v>
      </c>
      <c r="C13" s="3063">
        <v>0</v>
      </c>
      <c r="D13" s="3063" t="s">
        <v>525</v>
      </c>
      <c r="E13" s="3063">
        <v>0</v>
      </c>
      <c r="F13" s="3063">
        <v>0</v>
      </c>
      <c r="G13" s="3063">
        <v>0</v>
      </c>
      <c r="H13" s="3063">
        <v>0</v>
      </c>
      <c r="I13" s="3063">
        <v>0</v>
      </c>
      <c r="J13" s="3063" t="e">
        <v>#VALUE!</v>
      </c>
      <c r="K13" s="3063" t="s">
        <v>525</v>
      </c>
      <c r="L13" s="3063" t="s">
        <v>525</v>
      </c>
      <c r="M13" s="3063" t="s">
        <v>525</v>
      </c>
      <c r="N13" s="3064" t="s">
        <v>525</v>
      </c>
      <c r="O13" s="3064" t="s">
        <v>525</v>
      </c>
      <c r="P13" s="3064" t="s">
        <v>525</v>
      </c>
      <c r="Q13" s="565" t="s">
        <v>525</v>
      </c>
      <c r="R13" s="3063">
        <v>0</v>
      </c>
      <c r="S13" s="3063" t="s">
        <v>525</v>
      </c>
      <c r="T13" s="3063" t="s">
        <v>525</v>
      </c>
      <c r="U13" s="3063" t="s">
        <v>525</v>
      </c>
      <c r="V13" s="3065">
        <v>5.5021555102258944E-2</v>
      </c>
      <c r="W13" s="3063" t="s">
        <v>525</v>
      </c>
      <c r="X13" s="3063">
        <v>0</v>
      </c>
      <c r="Y13" s="3063" t="s">
        <v>525</v>
      </c>
      <c r="Z13" s="3063">
        <v>0</v>
      </c>
      <c r="AA13" s="3063">
        <v>0</v>
      </c>
      <c r="AB13" s="3063" t="s">
        <v>525</v>
      </c>
      <c r="AC13" s="3063" t="s">
        <v>525</v>
      </c>
      <c r="AD13" s="3063" t="s">
        <v>525</v>
      </c>
      <c r="AE13" s="3063" t="s">
        <v>525</v>
      </c>
      <c r="AF13" s="3063" t="s">
        <v>525</v>
      </c>
      <c r="AG13" s="3063" t="s">
        <v>525</v>
      </c>
      <c r="AH13" s="3063" t="s">
        <v>525</v>
      </c>
      <c r="AI13" s="3063" t="s">
        <v>525</v>
      </c>
      <c r="AJ13" s="3063"/>
      <c r="AK13" s="3063" t="s">
        <v>525</v>
      </c>
      <c r="AL13" s="3063" t="s">
        <v>525</v>
      </c>
      <c r="AM13" s="3063" t="s">
        <v>525</v>
      </c>
      <c r="AN13" s="565" t="s">
        <v>525</v>
      </c>
      <c r="AO13" s="565" t="s">
        <v>525</v>
      </c>
      <c r="AP13" s="3063" t="s">
        <v>525</v>
      </c>
      <c r="AQ13" s="3063" t="s">
        <v>525</v>
      </c>
      <c r="AR13" s="3064" t="s">
        <v>525</v>
      </c>
      <c r="AS13" s="3063" t="s">
        <v>525</v>
      </c>
      <c r="AT13" s="3064" t="s">
        <v>525</v>
      </c>
      <c r="AU13" s="3063" t="s">
        <v>525</v>
      </c>
      <c r="AV13" s="3064" t="s">
        <v>525</v>
      </c>
      <c r="AW13" s="3063" t="s">
        <v>525</v>
      </c>
      <c r="AX13" s="3064" t="s">
        <v>525</v>
      </c>
      <c r="AY13" s="3063" t="s">
        <v>525</v>
      </c>
      <c r="AZ13" s="3066" t="s">
        <v>525</v>
      </c>
      <c r="BA13" s="3066" t="s">
        <v>525</v>
      </c>
      <c r="BB13" s="3067" t="s">
        <v>525</v>
      </c>
      <c r="BC13" s="3067" t="s">
        <v>525</v>
      </c>
      <c r="BD13" s="3067" t="s">
        <v>525</v>
      </c>
      <c r="BE13" s="3067" t="s">
        <v>525</v>
      </c>
      <c r="BF13" s="3068" t="s">
        <v>525</v>
      </c>
      <c r="BG13" s="3068" t="s">
        <v>525</v>
      </c>
      <c r="BH13" s="3068" t="s">
        <v>525</v>
      </c>
      <c r="BI13" s="3068" t="s">
        <v>525</v>
      </c>
      <c r="BJ13" s="3068" t="s">
        <v>525</v>
      </c>
      <c r="BK13" s="3068" t="s">
        <v>525</v>
      </c>
      <c r="BL13" s="3068" t="s">
        <v>525</v>
      </c>
      <c r="BM13" s="3068" t="s">
        <v>525</v>
      </c>
      <c r="BN13" s="3068" t="s">
        <v>525</v>
      </c>
      <c r="BO13" s="3068" t="s">
        <v>525</v>
      </c>
      <c r="BP13" s="3068" t="s">
        <v>525</v>
      </c>
      <c r="BQ13" s="565" t="s">
        <v>525</v>
      </c>
      <c r="BR13" s="565" t="s">
        <v>525</v>
      </c>
      <c r="BS13" s="565" t="s">
        <v>525</v>
      </c>
      <c r="BT13" s="565" t="s">
        <v>525</v>
      </c>
      <c r="BU13" s="565">
        <v>10</v>
      </c>
      <c r="BV13" s="3067" t="s">
        <v>1400</v>
      </c>
      <c r="BW13" s="3067">
        <v>0</v>
      </c>
      <c r="BX13" s="3067">
        <v>0</v>
      </c>
      <c r="BY13" s="3067">
        <v>0</v>
      </c>
      <c r="BZ13" s="3067">
        <v>0</v>
      </c>
      <c r="CA13" s="3067" t="s">
        <v>525</v>
      </c>
      <c r="CB13" s="3067" t="s">
        <v>525</v>
      </c>
      <c r="CC13" s="3067" t="s">
        <v>525</v>
      </c>
      <c r="CD13" s="3067">
        <v>0</v>
      </c>
      <c r="CE13" s="3067" t="s">
        <v>525</v>
      </c>
      <c r="CF13" s="3067" t="s">
        <v>525</v>
      </c>
      <c r="CG13" s="3067" t="s">
        <v>525</v>
      </c>
    </row>
    <row r="14" spans="1:86" ht="21" customHeight="1">
      <c r="A14" s="565">
        <v>0</v>
      </c>
      <c r="B14" s="565">
        <v>0</v>
      </c>
      <c r="C14" s="3063">
        <v>0</v>
      </c>
      <c r="D14" s="3063" t="s">
        <v>525</v>
      </c>
      <c r="E14" s="3063">
        <v>0</v>
      </c>
      <c r="F14" s="3063">
        <v>0</v>
      </c>
      <c r="G14" s="3063">
        <v>0</v>
      </c>
      <c r="H14" s="3063">
        <v>0</v>
      </c>
      <c r="I14" s="3063">
        <v>0</v>
      </c>
      <c r="J14" s="3063" t="e">
        <v>#VALUE!</v>
      </c>
      <c r="K14" s="3063" t="s">
        <v>525</v>
      </c>
      <c r="L14" s="3063" t="s">
        <v>525</v>
      </c>
      <c r="M14" s="3063" t="s">
        <v>525</v>
      </c>
      <c r="N14" s="3064" t="s">
        <v>525</v>
      </c>
      <c r="O14" s="3064" t="s">
        <v>525</v>
      </c>
      <c r="P14" s="3064" t="s">
        <v>525</v>
      </c>
      <c r="Q14" s="565" t="s">
        <v>525</v>
      </c>
      <c r="R14" s="3063">
        <v>0</v>
      </c>
      <c r="S14" s="3063" t="s">
        <v>525</v>
      </c>
      <c r="T14" s="3063" t="s">
        <v>525</v>
      </c>
      <c r="U14" s="3063" t="s">
        <v>525</v>
      </c>
      <c r="V14" s="3065">
        <v>5.5021555102258944E-2</v>
      </c>
      <c r="W14" s="3063" t="s">
        <v>525</v>
      </c>
      <c r="X14" s="3063">
        <v>0</v>
      </c>
      <c r="Y14" s="3063" t="s">
        <v>525</v>
      </c>
      <c r="Z14" s="3063">
        <v>0</v>
      </c>
      <c r="AA14" s="3063">
        <v>0</v>
      </c>
      <c r="AB14" s="3063" t="s">
        <v>525</v>
      </c>
      <c r="AC14" s="3063" t="s">
        <v>525</v>
      </c>
      <c r="AD14" s="3063" t="s">
        <v>525</v>
      </c>
      <c r="AE14" s="3063" t="s">
        <v>525</v>
      </c>
      <c r="AF14" s="3063" t="s">
        <v>525</v>
      </c>
      <c r="AG14" s="3063" t="s">
        <v>525</v>
      </c>
      <c r="AH14" s="3063" t="s">
        <v>525</v>
      </c>
      <c r="AI14" s="3063" t="s">
        <v>525</v>
      </c>
      <c r="AJ14" s="3063"/>
      <c r="AK14" s="3063" t="s">
        <v>525</v>
      </c>
      <c r="AL14" s="3063" t="s">
        <v>525</v>
      </c>
      <c r="AM14" s="3063" t="s">
        <v>525</v>
      </c>
      <c r="AN14" s="565" t="s">
        <v>525</v>
      </c>
      <c r="AO14" s="565" t="s">
        <v>525</v>
      </c>
      <c r="AP14" s="3063" t="s">
        <v>525</v>
      </c>
      <c r="AQ14" s="3063" t="s">
        <v>525</v>
      </c>
      <c r="AR14" s="3064" t="s">
        <v>525</v>
      </c>
      <c r="AS14" s="3063" t="s">
        <v>525</v>
      </c>
      <c r="AT14" s="3064" t="s">
        <v>525</v>
      </c>
      <c r="AU14" s="3063" t="s">
        <v>525</v>
      </c>
      <c r="AV14" s="3064" t="s">
        <v>525</v>
      </c>
      <c r="AW14" s="3063" t="s">
        <v>525</v>
      </c>
      <c r="AX14" s="3064" t="s">
        <v>525</v>
      </c>
      <c r="AY14" s="3063" t="s">
        <v>525</v>
      </c>
      <c r="AZ14" s="3066" t="s">
        <v>525</v>
      </c>
      <c r="BA14" s="3066" t="s">
        <v>525</v>
      </c>
      <c r="BB14" s="3067" t="s">
        <v>525</v>
      </c>
      <c r="BC14" s="3067" t="s">
        <v>525</v>
      </c>
      <c r="BD14" s="3067" t="s">
        <v>525</v>
      </c>
      <c r="BE14" s="3067" t="s">
        <v>525</v>
      </c>
      <c r="BF14" s="3068" t="s">
        <v>525</v>
      </c>
      <c r="BG14" s="3068" t="s">
        <v>525</v>
      </c>
      <c r="BH14" s="3068" t="s">
        <v>525</v>
      </c>
      <c r="BI14" s="3068" t="s">
        <v>525</v>
      </c>
      <c r="BJ14" s="3068" t="s">
        <v>525</v>
      </c>
      <c r="BK14" s="3068" t="s">
        <v>525</v>
      </c>
      <c r="BL14" s="3068" t="s">
        <v>525</v>
      </c>
      <c r="BM14" s="3068" t="s">
        <v>525</v>
      </c>
      <c r="BN14" s="3068" t="s">
        <v>525</v>
      </c>
      <c r="BO14" s="3068" t="s">
        <v>525</v>
      </c>
      <c r="BP14" s="3068" t="s">
        <v>525</v>
      </c>
      <c r="BQ14" s="565" t="s">
        <v>525</v>
      </c>
      <c r="BR14" s="565" t="s">
        <v>525</v>
      </c>
      <c r="BS14" s="565" t="s">
        <v>525</v>
      </c>
      <c r="BT14" s="565" t="s">
        <v>525</v>
      </c>
      <c r="BU14" s="565">
        <v>11</v>
      </c>
      <c r="BV14" s="3067" t="s">
        <v>1400</v>
      </c>
      <c r="BW14" s="3067">
        <v>0</v>
      </c>
      <c r="BX14" s="3067">
        <v>0</v>
      </c>
      <c r="BY14" s="3067">
        <v>0</v>
      </c>
      <c r="BZ14" s="3067">
        <v>0</v>
      </c>
      <c r="CA14" s="3067" t="s">
        <v>525</v>
      </c>
      <c r="CB14" s="3067" t="s">
        <v>525</v>
      </c>
      <c r="CC14" s="3067" t="s">
        <v>525</v>
      </c>
      <c r="CD14" s="3067">
        <v>0</v>
      </c>
      <c r="CE14" s="3067" t="s">
        <v>525</v>
      </c>
      <c r="CF14" s="3067" t="s">
        <v>525</v>
      </c>
      <c r="CG14" s="3067" t="s">
        <v>525</v>
      </c>
    </row>
    <row r="15" spans="1:86" ht="21" customHeight="1">
      <c r="A15" s="565">
        <v>0</v>
      </c>
      <c r="B15" s="565">
        <v>0</v>
      </c>
      <c r="C15" s="3063">
        <v>0</v>
      </c>
      <c r="D15" s="3063" t="s">
        <v>525</v>
      </c>
      <c r="E15" s="3063">
        <v>0</v>
      </c>
      <c r="F15" s="3063">
        <v>0</v>
      </c>
      <c r="G15" s="3063">
        <v>0</v>
      </c>
      <c r="H15" s="3063">
        <v>0</v>
      </c>
      <c r="I15" s="3063">
        <v>0</v>
      </c>
      <c r="J15" s="3063" t="e">
        <v>#VALUE!</v>
      </c>
      <c r="K15" s="3063" t="s">
        <v>525</v>
      </c>
      <c r="L15" s="3063" t="s">
        <v>525</v>
      </c>
      <c r="M15" s="3063" t="s">
        <v>525</v>
      </c>
      <c r="N15" s="3064" t="s">
        <v>525</v>
      </c>
      <c r="O15" s="3064" t="s">
        <v>525</v>
      </c>
      <c r="P15" s="3064" t="s">
        <v>525</v>
      </c>
      <c r="Q15" s="565" t="s">
        <v>525</v>
      </c>
      <c r="R15" s="3063">
        <v>0</v>
      </c>
      <c r="S15" s="3063" t="s">
        <v>525</v>
      </c>
      <c r="T15" s="3063" t="s">
        <v>525</v>
      </c>
      <c r="U15" s="3063" t="s">
        <v>525</v>
      </c>
      <c r="V15" s="3065">
        <v>5.5021555102258944E-2</v>
      </c>
      <c r="W15" s="3063" t="s">
        <v>525</v>
      </c>
      <c r="X15" s="3063">
        <v>0</v>
      </c>
      <c r="Y15" s="3063" t="s">
        <v>525</v>
      </c>
      <c r="Z15" s="3063">
        <v>0</v>
      </c>
      <c r="AA15" s="3063">
        <v>0</v>
      </c>
      <c r="AB15" s="3063" t="s">
        <v>525</v>
      </c>
      <c r="AC15" s="3063" t="s">
        <v>525</v>
      </c>
      <c r="AD15" s="3063" t="s">
        <v>525</v>
      </c>
      <c r="AE15" s="3063" t="s">
        <v>525</v>
      </c>
      <c r="AF15" s="3063" t="s">
        <v>525</v>
      </c>
      <c r="AG15" s="3063" t="s">
        <v>525</v>
      </c>
      <c r="AH15" s="3063" t="s">
        <v>525</v>
      </c>
      <c r="AI15" s="3063" t="s">
        <v>525</v>
      </c>
      <c r="AJ15" s="3063"/>
      <c r="AK15" s="3063" t="s">
        <v>525</v>
      </c>
      <c r="AL15" s="3063" t="s">
        <v>525</v>
      </c>
      <c r="AM15" s="3063" t="s">
        <v>525</v>
      </c>
      <c r="AN15" s="565" t="s">
        <v>525</v>
      </c>
      <c r="AO15" s="565" t="s">
        <v>525</v>
      </c>
      <c r="AP15" s="3063" t="s">
        <v>525</v>
      </c>
      <c r="AQ15" s="3063" t="s">
        <v>525</v>
      </c>
      <c r="AR15" s="3064" t="s">
        <v>525</v>
      </c>
      <c r="AS15" s="3063" t="s">
        <v>525</v>
      </c>
      <c r="AT15" s="3064" t="s">
        <v>525</v>
      </c>
      <c r="AU15" s="3063" t="s">
        <v>525</v>
      </c>
      <c r="AV15" s="3064" t="s">
        <v>525</v>
      </c>
      <c r="AW15" s="3063" t="s">
        <v>525</v>
      </c>
      <c r="AX15" s="3064" t="s">
        <v>525</v>
      </c>
      <c r="AY15" s="3063" t="s">
        <v>525</v>
      </c>
      <c r="AZ15" s="3066" t="s">
        <v>525</v>
      </c>
      <c r="BA15" s="3066" t="s">
        <v>525</v>
      </c>
      <c r="BB15" s="3067" t="s">
        <v>525</v>
      </c>
      <c r="BC15" s="3067" t="s">
        <v>525</v>
      </c>
      <c r="BD15" s="3067" t="s">
        <v>525</v>
      </c>
      <c r="BE15" s="3067" t="s">
        <v>525</v>
      </c>
      <c r="BF15" s="3068" t="s">
        <v>525</v>
      </c>
      <c r="BG15" s="3068" t="s">
        <v>525</v>
      </c>
      <c r="BH15" s="3068" t="s">
        <v>525</v>
      </c>
      <c r="BI15" s="3068" t="s">
        <v>525</v>
      </c>
      <c r="BJ15" s="3068" t="s">
        <v>525</v>
      </c>
      <c r="BK15" s="3068" t="s">
        <v>525</v>
      </c>
      <c r="BL15" s="3068" t="s">
        <v>525</v>
      </c>
      <c r="BM15" s="3068" t="s">
        <v>525</v>
      </c>
      <c r="BN15" s="3068" t="s">
        <v>525</v>
      </c>
      <c r="BO15" s="3068" t="s">
        <v>525</v>
      </c>
      <c r="BP15" s="3068" t="s">
        <v>525</v>
      </c>
      <c r="BQ15" s="565" t="s">
        <v>525</v>
      </c>
      <c r="BR15" s="565" t="s">
        <v>525</v>
      </c>
      <c r="BS15" s="565" t="s">
        <v>525</v>
      </c>
      <c r="BT15" s="565" t="s">
        <v>525</v>
      </c>
      <c r="BU15" s="565">
        <v>12</v>
      </c>
      <c r="BV15" s="3067" t="s">
        <v>1400</v>
      </c>
      <c r="BW15" s="3067">
        <v>0</v>
      </c>
      <c r="BX15" s="3067">
        <v>0</v>
      </c>
      <c r="BY15" s="3067">
        <v>0</v>
      </c>
      <c r="BZ15" s="3067">
        <v>0</v>
      </c>
      <c r="CA15" s="3067" t="s">
        <v>525</v>
      </c>
      <c r="CB15" s="3067" t="s">
        <v>525</v>
      </c>
      <c r="CC15" s="3067" t="s">
        <v>525</v>
      </c>
      <c r="CD15" s="3067">
        <v>0</v>
      </c>
      <c r="CE15" s="3067" t="s">
        <v>525</v>
      </c>
      <c r="CF15" s="3067" t="s">
        <v>525</v>
      </c>
      <c r="CG15" s="3067" t="s">
        <v>525</v>
      </c>
    </row>
    <row r="16" spans="1:86" ht="21" customHeight="1">
      <c r="A16" s="565">
        <v>0</v>
      </c>
      <c r="B16" s="565">
        <v>0</v>
      </c>
      <c r="C16" s="3063">
        <v>0</v>
      </c>
      <c r="D16" s="3063" t="s">
        <v>525</v>
      </c>
      <c r="E16" s="3063">
        <v>0</v>
      </c>
      <c r="F16" s="3063">
        <v>0</v>
      </c>
      <c r="G16" s="3063">
        <v>0</v>
      </c>
      <c r="H16" s="3063">
        <v>0</v>
      </c>
      <c r="I16" s="3063">
        <v>0</v>
      </c>
      <c r="J16" s="3063" t="e">
        <v>#VALUE!</v>
      </c>
      <c r="K16" s="3063" t="s">
        <v>525</v>
      </c>
      <c r="L16" s="3063" t="s">
        <v>525</v>
      </c>
      <c r="M16" s="3063" t="s">
        <v>525</v>
      </c>
      <c r="N16" s="3064" t="s">
        <v>525</v>
      </c>
      <c r="O16" s="3064" t="s">
        <v>525</v>
      </c>
      <c r="P16" s="3064" t="s">
        <v>525</v>
      </c>
      <c r="Q16" s="565" t="s">
        <v>525</v>
      </c>
      <c r="R16" s="3063">
        <v>0</v>
      </c>
      <c r="S16" s="3063" t="s">
        <v>525</v>
      </c>
      <c r="T16" s="3063" t="s">
        <v>525</v>
      </c>
      <c r="U16" s="3063" t="s">
        <v>525</v>
      </c>
      <c r="V16" s="3065">
        <v>5.5021555102258944E-2</v>
      </c>
      <c r="W16" s="3063" t="s">
        <v>525</v>
      </c>
      <c r="X16" s="3063">
        <v>0</v>
      </c>
      <c r="Y16" s="3063" t="s">
        <v>525</v>
      </c>
      <c r="Z16" s="3063">
        <v>0</v>
      </c>
      <c r="AA16" s="3063">
        <v>0</v>
      </c>
      <c r="AB16" s="3063" t="s">
        <v>525</v>
      </c>
      <c r="AC16" s="3063" t="s">
        <v>525</v>
      </c>
      <c r="AD16" s="3063" t="s">
        <v>525</v>
      </c>
      <c r="AE16" s="3063" t="s">
        <v>525</v>
      </c>
      <c r="AF16" s="3063" t="s">
        <v>525</v>
      </c>
      <c r="AG16" s="3063" t="s">
        <v>525</v>
      </c>
      <c r="AH16" s="3063" t="s">
        <v>525</v>
      </c>
      <c r="AI16" s="3063" t="s">
        <v>525</v>
      </c>
      <c r="AJ16" s="3063"/>
      <c r="AK16" s="3063" t="s">
        <v>525</v>
      </c>
      <c r="AL16" s="3063" t="s">
        <v>525</v>
      </c>
      <c r="AM16" s="3063" t="s">
        <v>525</v>
      </c>
      <c r="AN16" s="565" t="s">
        <v>525</v>
      </c>
      <c r="AO16" s="565" t="s">
        <v>525</v>
      </c>
      <c r="AP16" s="3063" t="s">
        <v>525</v>
      </c>
      <c r="AQ16" s="3063" t="s">
        <v>525</v>
      </c>
      <c r="AR16" s="3064" t="s">
        <v>525</v>
      </c>
      <c r="AS16" s="3063" t="s">
        <v>525</v>
      </c>
      <c r="AT16" s="3064" t="s">
        <v>525</v>
      </c>
      <c r="AU16" s="3063" t="s">
        <v>525</v>
      </c>
      <c r="AV16" s="3064" t="s">
        <v>525</v>
      </c>
      <c r="AW16" s="3063" t="s">
        <v>525</v>
      </c>
      <c r="AX16" s="3064" t="s">
        <v>525</v>
      </c>
      <c r="AY16" s="3063" t="s">
        <v>525</v>
      </c>
      <c r="AZ16" s="3066" t="s">
        <v>525</v>
      </c>
      <c r="BA16" s="3066" t="s">
        <v>525</v>
      </c>
      <c r="BB16" s="3067" t="s">
        <v>525</v>
      </c>
      <c r="BC16" s="3067" t="s">
        <v>525</v>
      </c>
      <c r="BD16" s="3067" t="s">
        <v>525</v>
      </c>
      <c r="BE16" s="3067" t="s">
        <v>525</v>
      </c>
      <c r="BF16" s="3068" t="s">
        <v>525</v>
      </c>
      <c r="BG16" s="3068" t="s">
        <v>525</v>
      </c>
      <c r="BH16" s="3068" t="s">
        <v>525</v>
      </c>
      <c r="BI16" s="3068" t="s">
        <v>525</v>
      </c>
      <c r="BJ16" s="3068" t="s">
        <v>525</v>
      </c>
      <c r="BK16" s="3068" t="s">
        <v>525</v>
      </c>
      <c r="BL16" s="3068" t="s">
        <v>525</v>
      </c>
      <c r="BM16" s="3068" t="s">
        <v>525</v>
      </c>
      <c r="BN16" s="3068" t="s">
        <v>525</v>
      </c>
      <c r="BO16" s="3068" t="s">
        <v>525</v>
      </c>
      <c r="BP16" s="3068" t="s">
        <v>525</v>
      </c>
      <c r="BQ16" s="565" t="s">
        <v>525</v>
      </c>
      <c r="BR16" s="565" t="s">
        <v>525</v>
      </c>
      <c r="BS16" s="565" t="s">
        <v>525</v>
      </c>
      <c r="BT16" s="565" t="s">
        <v>525</v>
      </c>
      <c r="BU16" s="565">
        <v>13</v>
      </c>
      <c r="BV16" s="3067" t="s">
        <v>1400</v>
      </c>
      <c r="BW16" s="3067">
        <v>0</v>
      </c>
      <c r="BX16" s="3067">
        <v>0</v>
      </c>
      <c r="BY16" s="3067">
        <v>0</v>
      </c>
      <c r="BZ16" s="3067">
        <v>0</v>
      </c>
      <c r="CA16" s="3067" t="s">
        <v>525</v>
      </c>
      <c r="CB16" s="3067" t="s">
        <v>525</v>
      </c>
      <c r="CC16" s="3067" t="s">
        <v>525</v>
      </c>
      <c r="CD16" s="3067">
        <v>0</v>
      </c>
      <c r="CE16" s="3067" t="s">
        <v>525</v>
      </c>
      <c r="CF16" s="3067" t="s">
        <v>525</v>
      </c>
      <c r="CG16" s="3067" t="s">
        <v>525</v>
      </c>
    </row>
    <row r="17" spans="1:85">
      <c r="A17" s="565">
        <v>0</v>
      </c>
      <c r="B17" s="565">
        <v>0</v>
      </c>
      <c r="C17" s="3063">
        <v>0</v>
      </c>
      <c r="D17" s="3063" t="s">
        <v>525</v>
      </c>
      <c r="E17" s="3063">
        <v>0</v>
      </c>
      <c r="F17" s="3063">
        <v>0</v>
      </c>
      <c r="G17" s="3063">
        <v>0</v>
      </c>
      <c r="H17" s="3063">
        <v>0</v>
      </c>
      <c r="I17" s="3063">
        <v>0</v>
      </c>
      <c r="J17" s="3063" t="e">
        <v>#VALUE!</v>
      </c>
      <c r="K17" s="3063" t="s">
        <v>525</v>
      </c>
      <c r="L17" s="3063" t="s">
        <v>525</v>
      </c>
      <c r="M17" s="3063" t="s">
        <v>525</v>
      </c>
      <c r="N17" s="3064" t="s">
        <v>525</v>
      </c>
      <c r="O17" s="3064" t="s">
        <v>525</v>
      </c>
      <c r="P17" s="3064" t="s">
        <v>525</v>
      </c>
      <c r="Q17" s="565" t="s">
        <v>525</v>
      </c>
      <c r="R17" s="3063">
        <v>0</v>
      </c>
      <c r="S17" s="3063" t="s">
        <v>525</v>
      </c>
      <c r="T17" s="3063" t="s">
        <v>525</v>
      </c>
      <c r="U17" s="3063" t="s">
        <v>525</v>
      </c>
      <c r="V17" s="3065">
        <v>5.5021555102258944E-2</v>
      </c>
      <c r="W17" s="3063" t="s">
        <v>525</v>
      </c>
      <c r="X17" s="3063">
        <v>0</v>
      </c>
      <c r="Y17" s="3063" t="s">
        <v>525</v>
      </c>
      <c r="Z17" s="3063">
        <v>0</v>
      </c>
      <c r="AA17" s="3063">
        <v>0</v>
      </c>
      <c r="AB17" s="3063" t="s">
        <v>525</v>
      </c>
      <c r="AC17" s="3063" t="s">
        <v>525</v>
      </c>
      <c r="AD17" s="3063" t="s">
        <v>525</v>
      </c>
      <c r="AE17" s="3063" t="s">
        <v>525</v>
      </c>
      <c r="AF17" s="3063" t="s">
        <v>525</v>
      </c>
      <c r="AG17" s="3063" t="s">
        <v>525</v>
      </c>
      <c r="AH17" s="3063" t="s">
        <v>525</v>
      </c>
      <c r="AI17" s="3063" t="s">
        <v>525</v>
      </c>
      <c r="AJ17" s="3063"/>
      <c r="AK17" s="3063" t="s">
        <v>525</v>
      </c>
      <c r="AL17" s="3063" t="s">
        <v>525</v>
      </c>
      <c r="AM17" s="3063" t="s">
        <v>525</v>
      </c>
      <c r="AN17" s="565" t="s">
        <v>525</v>
      </c>
      <c r="AO17" s="565" t="s">
        <v>525</v>
      </c>
      <c r="AP17" s="3063" t="s">
        <v>525</v>
      </c>
      <c r="AQ17" s="3063" t="s">
        <v>525</v>
      </c>
      <c r="AR17" s="3064" t="s">
        <v>525</v>
      </c>
      <c r="AS17" s="3063" t="s">
        <v>525</v>
      </c>
      <c r="AT17" s="3064" t="s">
        <v>525</v>
      </c>
      <c r="AU17" s="3063" t="s">
        <v>525</v>
      </c>
      <c r="AV17" s="3064" t="s">
        <v>525</v>
      </c>
      <c r="AW17" s="3063" t="s">
        <v>525</v>
      </c>
      <c r="AX17" s="3064" t="s">
        <v>525</v>
      </c>
      <c r="AY17" s="3063" t="s">
        <v>525</v>
      </c>
      <c r="AZ17" s="3066" t="s">
        <v>525</v>
      </c>
      <c r="BA17" s="3066" t="s">
        <v>525</v>
      </c>
      <c r="BB17" s="3067" t="s">
        <v>525</v>
      </c>
      <c r="BC17" s="3067" t="s">
        <v>525</v>
      </c>
      <c r="BD17" s="3067" t="s">
        <v>525</v>
      </c>
      <c r="BE17" s="3067" t="s">
        <v>525</v>
      </c>
      <c r="BF17" s="3068" t="s">
        <v>525</v>
      </c>
      <c r="BG17" s="3068" t="s">
        <v>525</v>
      </c>
      <c r="BH17" s="3068" t="s">
        <v>525</v>
      </c>
      <c r="BI17" s="3068" t="s">
        <v>525</v>
      </c>
      <c r="BJ17" s="3068" t="s">
        <v>525</v>
      </c>
      <c r="BK17" s="3068" t="s">
        <v>525</v>
      </c>
      <c r="BL17" s="3068" t="s">
        <v>525</v>
      </c>
      <c r="BM17" s="3068" t="s">
        <v>525</v>
      </c>
      <c r="BN17" s="3068" t="s">
        <v>525</v>
      </c>
      <c r="BO17" s="3068" t="s">
        <v>525</v>
      </c>
      <c r="BP17" s="3068" t="s">
        <v>525</v>
      </c>
      <c r="BQ17" s="565" t="s">
        <v>525</v>
      </c>
      <c r="BR17" s="565" t="s">
        <v>525</v>
      </c>
      <c r="BS17" s="565" t="s">
        <v>525</v>
      </c>
      <c r="BT17" s="565" t="s">
        <v>525</v>
      </c>
      <c r="BU17" s="565">
        <v>14</v>
      </c>
      <c r="BV17" s="3067" t="s">
        <v>1400</v>
      </c>
      <c r="BW17" s="3067">
        <v>0</v>
      </c>
      <c r="BX17" s="3067">
        <v>0</v>
      </c>
      <c r="BY17" s="3067">
        <v>0</v>
      </c>
      <c r="BZ17" s="3067">
        <v>0</v>
      </c>
      <c r="CA17" s="3067" t="s">
        <v>525</v>
      </c>
      <c r="CB17" s="3067" t="s">
        <v>525</v>
      </c>
      <c r="CC17" s="3067" t="s">
        <v>525</v>
      </c>
      <c r="CD17" s="3067">
        <v>0</v>
      </c>
      <c r="CE17" s="3067" t="s">
        <v>525</v>
      </c>
      <c r="CF17" s="3067" t="s">
        <v>525</v>
      </c>
      <c r="CG17" s="3067" t="s">
        <v>525</v>
      </c>
    </row>
    <row r="18" spans="1:85">
      <c r="A18" s="565">
        <v>0</v>
      </c>
      <c r="B18" s="565">
        <v>0</v>
      </c>
      <c r="C18" s="3063">
        <v>0</v>
      </c>
      <c r="D18" s="3063" t="s">
        <v>525</v>
      </c>
      <c r="E18" s="3063">
        <v>0</v>
      </c>
      <c r="F18" s="3063">
        <v>0</v>
      </c>
      <c r="G18" s="3063">
        <v>0</v>
      </c>
      <c r="H18" s="3063">
        <v>0</v>
      </c>
      <c r="I18" s="3063">
        <v>0</v>
      </c>
      <c r="J18" s="3063" t="e">
        <v>#VALUE!</v>
      </c>
      <c r="K18" s="3063" t="s">
        <v>525</v>
      </c>
      <c r="L18" s="3063" t="s">
        <v>525</v>
      </c>
      <c r="M18" s="3063" t="s">
        <v>525</v>
      </c>
      <c r="N18" s="3064" t="s">
        <v>525</v>
      </c>
      <c r="O18" s="3064" t="s">
        <v>525</v>
      </c>
      <c r="P18" s="3064" t="s">
        <v>525</v>
      </c>
      <c r="Q18" s="565" t="s">
        <v>525</v>
      </c>
      <c r="R18" s="3063">
        <v>0</v>
      </c>
      <c r="S18" s="3063" t="s">
        <v>525</v>
      </c>
      <c r="T18" s="3063" t="s">
        <v>525</v>
      </c>
      <c r="U18" s="3063" t="s">
        <v>525</v>
      </c>
      <c r="V18" s="3065">
        <v>5.5021555102258944E-2</v>
      </c>
      <c r="W18" s="3063" t="s">
        <v>525</v>
      </c>
      <c r="X18" s="3063">
        <v>0</v>
      </c>
      <c r="Y18" s="3063" t="s">
        <v>525</v>
      </c>
      <c r="Z18" s="3063">
        <v>0</v>
      </c>
      <c r="AA18" s="3063">
        <v>0</v>
      </c>
      <c r="AB18" s="3063" t="s">
        <v>525</v>
      </c>
      <c r="AC18" s="3063" t="s">
        <v>525</v>
      </c>
      <c r="AD18" s="3063" t="s">
        <v>525</v>
      </c>
      <c r="AE18" s="3063" t="s">
        <v>525</v>
      </c>
      <c r="AF18" s="3063" t="s">
        <v>525</v>
      </c>
      <c r="AG18" s="3063" t="s">
        <v>525</v>
      </c>
      <c r="AH18" s="3063" t="s">
        <v>525</v>
      </c>
      <c r="AI18" s="3063" t="s">
        <v>525</v>
      </c>
      <c r="AJ18" s="3063"/>
      <c r="AK18" s="3063" t="s">
        <v>525</v>
      </c>
      <c r="AL18" s="3063" t="s">
        <v>525</v>
      </c>
      <c r="AM18" s="3063" t="s">
        <v>525</v>
      </c>
      <c r="AN18" s="565" t="s">
        <v>525</v>
      </c>
      <c r="AO18" s="565" t="s">
        <v>525</v>
      </c>
      <c r="AP18" s="3063" t="s">
        <v>525</v>
      </c>
      <c r="AQ18" s="3063" t="s">
        <v>525</v>
      </c>
      <c r="AR18" s="3064" t="s">
        <v>525</v>
      </c>
      <c r="AS18" s="3063" t="s">
        <v>525</v>
      </c>
      <c r="AT18" s="3064" t="s">
        <v>525</v>
      </c>
      <c r="AU18" s="3063" t="s">
        <v>525</v>
      </c>
      <c r="AV18" s="3064" t="s">
        <v>525</v>
      </c>
      <c r="AW18" s="3063" t="s">
        <v>525</v>
      </c>
      <c r="AX18" s="3064" t="s">
        <v>525</v>
      </c>
      <c r="AY18" s="3063" t="s">
        <v>525</v>
      </c>
      <c r="AZ18" s="3066" t="s">
        <v>525</v>
      </c>
      <c r="BA18" s="3066" t="s">
        <v>525</v>
      </c>
      <c r="BB18" s="3067" t="s">
        <v>525</v>
      </c>
      <c r="BC18" s="3067" t="s">
        <v>525</v>
      </c>
      <c r="BD18" s="3067" t="s">
        <v>525</v>
      </c>
      <c r="BE18" s="3067" t="s">
        <v>525</v>
      </c>
      <c r="BF18" s="3068" t="s">
        <v>525</v>
      </c>
      <c r="BG18" s="3068" t="s">
        <v>525</v>
      </c>
      <c r="BH18" s="3068" t="s">
        <v>525</v>
      </c>
      <c r="BI18" s="3068" t="s">
        <v>525</v>
      </c>
      <c r="BJ18" s="3068" t="s">
        <v>525</v>
      </c>
      <c r="BK18" s="3068" t="s">
        <v>525</v>
      </c>
      <c r="BL18" s="3068" t="s">
        <v>525</v>
      </c>
      <c r="BM18" s="3068" t="s">
        <v>525</v>
      </c>
      <c r="BN18" s="3068" t="s">
        <v>525</v>
      </c>
      <c r="BO18" s="3068" t="s">
        <v>525</v>
      </c>
      <c r="BP18" s="3068" t="s">
        <v>525</v>
      </c>
      <c r="BQ18" s="565" t="s">
        <v>525</v>
      </c>
      <c r="BR18" s="565" t="s">
        <v>525</v>
      </c>
      <c r="BS18" s="565" t="s">
        <v>525</v>
      </c>
      <c r="BT18" s="565" t="s">
        <v>525</v>
      </c>
      <c r="BU18" s="565">
        <v>15</v>
      </c>
      <c r="BV18" s="3067" t="s">
        <v>1400</v>
      </c>
      <c r="BW18" s="3067">
        <v>0</v>
      </c>
      <c r="BX18" s="3067">
        <v>0</v>
      </c>
      <c r="BY18" s="3067">
        <v>0</v>
      </c>
      <c r="BZ18" s="3067">
        <v>0</v>
      </c>
      <c r="CA18" s="3067" t="s">
        <v>525</v>
      </c>
      <c r="CB18" s="3067" t="s">
        <v>525</v>
      </c>
      <c r="CC18" s="3067" t="s">
        <v>525</v>
      </c>
      <c r="CD18" s="3067">
        <v>0</v>
      </c>
      <c r="CE18" s="3067" t="s">
        <v>525</v>
      </c>
      <c r="CF18" s="3067" t="s">
        <v>525</v>
      </c>
      <c r="CG18" s="3067" t="s">
        <v>525</v>
      </c>
    </row>
    <row r="19" spans="1:85">
      <c r="A19" s="565">
        <v>0</v>
      </c>
      <c r="B19" s="565">
        <v>0</v>
      </c>
      <c r="C19" s="3063">
        <v>0</v>
      </c>
      <c r="D19" s="3063" t="s">
        <v>525</v>
      </c>
      <c r="E19" s="3063">
        <v>0</v>
      </c>
      <c r="F19" s="3063">
        <v>0</v>
      </c>
      <c r="G19" s="3063">
        <v>0</v>
      </c>
      <c r="H19" s="3063">
        <v>0</v>
      </c>
      <c r="I19" s="3063">
        <v>0</v>
      </c>
      <c r="J19" s="3063" t="e">
        <v>#VALUE!</v>
      </c>
      <c r="K19" s="3063" t="s">
        <v>525</v>
      </c>
      <c r="L19" s="3063" t="s">
        <v>525</v>
      </c>
      <c r="M19" s="3063" t="s">
        <v>525</v>
      </c>
      <c r="N19" s="3064" t="s">
        <v>525</v>
      </c>
      <c r="O19" s="3064" t="s">
        <v>525</v>
      </c>
      <c r="P19" s="3064" t="s">
        <v>525</v>
      </c>
      <c r="Q19" s="565" t="s">
        <v>525</v>
      </c>
      <c r="R19" s="3063">
        <v>0</v>
      </c>
      <c r="S19" s="3063" t="s">
        <v>525</v>
      </c>
      <c r="T19" s="3063" t="s">
        <v>525</v>
      </c>
      <c r="U19" s="3063" t="s">
        <v>525</v>
      </c>
      <c r="V19" s="3065">
        <v>5.5021555102258944E-2</v>
      </c>
      <c r="W19" s="3063" t="s">
        <v>525</v>
      </c>
      <c r="X19" s="3063">
        <v>0</v>
      </c>
      <c r="Y19" s="3063" t="s">
        <v>525</v>
      </c>
      <c r="Z19" s="3063">
        <v>0</v>
      </c>
      <c r="AA19" s="3063">
        <v>0</v>
      </c>
      <c r="AB19" s="3063" t="s">
        <v>525</v>
      </c>
      <c r="AC19" s="3063" t="s">
        <v>525</v>
      </c>
      <c r="AD19" s="3063" t="s">
        <v>525</v>
      </c>
      <c r="AE19" s="3063" t="s">
        <v>525</v>
      </c>
      <c r="AF19" s="3063" t="s">
        <v>525</v>
      </c>
      <c r="AG19" s="3063" t="s">
        <v>525</v>
      </c>
      <c r="AH19" s="3063" t="s">
        <v>525</v>
      </c>
      <c r="AI19" s="3063" t="s">
        <v>525</v>
      </c>
      <c r="AJ19" s="3063"/>
      <c r="AK19" s="3063" t="s">
        <v>525</v>
      </c>
      <c r="AL19" s="3063" t="s">
        <v>525</v>
      </c>
      <c r="AM19" s="3063" t="s">
        <v>525</v>
      </c>
      <c r="AN19" s="565" t="s">
        <v>525</v>
      </c>
      <c r="AO19" s="565" t="s">
        <v>525</v>
      </c>
      <c r="AP19" s="3063" t="s">
        <v>525</v>
      </c>
      <c r="AQ19" s="3063" t="s">
        <v>525</v>
      </c>
      <c r="AR19" s="3064" t="s">
        <v>525</v>
      </c>
      <c r="AS19" s="3063" t="s">
        <v>525</v>
      </c>
      <c r="AT19" s="3064" t="s">
        <v>525</v>
      </c>
      <c r="AU19" s="3063" t="s">
        <v>525</v>
      </c>
      <c r="AV19" s="3064" t="s">
        <v>525</v>
      </c>
      <c r="AW19" s="3063" t="s">
        <v>525</v>
      </c>
      <c r="AX19" s="3064" t="s">
        <v>525</v>
      </c>
      <c r="AY19" s="3063" t="s">
        <v>525</v>
      </c>
      <c r="AZ19" s="3066" t="s">
        <v>525</v>
      </c>
      <c r="BA19" s="3066" t="s">
        <v>525</v>
      </c>
      <c r="BB19" s="3067" t="s">
        <v>525</v>
      </c>
      <c r="BC19" s="3067" t="s">
        <v>525</v>
      </c>
      <c r="BD19" s="3067" t="s">
        <v>525</v>
      </c>
      <c r="BE19" s="3067" t="s">
        <v>525</v>
      </c>
      <c r="BF19" s="3068" t="s">
        <v>525</v>
      </c>
      <c r="BG19" s="3068" t="s">
        <v>525</v>
      </c>
      <c r="BH19" s="3068" t="s">
        <v>525</v>
      </c>
      <c r="BI19" s="3068" t="s">
        <v>525</v>
      </c>
      <c r="BJ19" s="3068" t="s">
        <v>525</v>
      </c>
      <c r="BK19" s="3068" t="s">
        <v>525</v>
      </c>
      <c r="BL19" s="3068" t="s">
        <v>525</v>
      </c>
      <c r="BM19" s="3068" t="s">
        <v>525</v>
      </c>
      <c r="BN19" s="3068" t="s">
        <v>525</v>
      </c>
      <c r="BO19" s="3068" t="s">
        <v>525</v>
      </c>
      <c r="BP19" s="3068" t="s">
        <v>525</v>
      </c>
      <c r="BQ19" s="565" t="s">
        <v>525</v>
      </c>
      <c r="BR19" s="565" t="s">
        <v>525</v>
      </c>
      <c r="BS19" s="565" t="s">
        <v>525</v>
      </c>
      <c r="BT19" s="565" t="s">
        <v>525</v>
      </c>
      <c r="BU19" s="565">
        <v>16</v>
      </c>
      <c r="BV19" s="3067" t="s">
        <v>1400</v>
      </c>
      <c r="BW19" s="3067">
        <v>0</v>
      </c>
      <c r="BX19" s="3067">
        <v>0</v>
      </c>
      <c r="BY19" s="3067">
        <v>0</v>
      </c>
      <c r="BZ19" s="3067">
        <v>0</v>
      </c>
      <c r="CA19" s="3067" t="s">
        <v>525</v>
      </c>
      <c r="CB19" s="3067" t="s">
        <v>525</v>
      </c>
      <c r="CC19" s="3067" t="s">
        <v>525</v>
      </c>
      <c r="CD19" s="3067">
        <v>0</v>
      </c>
      <c r="CE19" s="3067" t="s">
        <v>525</v>
      </c>
      <c r="CF19" s="3067" t="s">
        <v>525</v>
      </c>
      <c r="CG19" s="3067" t="s">
        <v>525</v>
      </c>
    </row>
    <row r="20" spans="1:85">
      <c r="C20" s="3063"/>
      <c r="D20" s="3063"/>
      <c r="E20" s="3063"/>
      <c r="F20" s="3063"/>
      <c r="G20" s="3063"/>
      <c r="H20" s="3063"/>
      <c r="I20" s="3063"/>
      <c r="J20" s="3063" t="e">
        <v>#DIV/0!</v>
      </c>
      <c r="K20" s="3063"/>
      <c r="L20" s="3063"/>
      <c r="M20" s="3063"/>
      <c r="N20" s="3064"/>
      <c r="O20" s="3064"/>
      <c r="P20" s="3064"/>
      <c r="R20" s="3063"/>
      <c r="S20" s="3063"/>
      <c r="T20" s="3063"/>
      <c r="U20" s="3063"/>
      <c r="V20" s="3065">
        <v>5.5021555102258944E-2</v>
      </c>
      <c r="W20" s="3063"/>
      <c r="X20" s="3063"/>
      <c r="Y20" s="3063"/>
      <c r="Z20" s="3063"/>
      <c r="AA20" s="3063"/>
      <c r="AB20" s="3063"/>
      <c r="AC20" s="3063"/>
      <c r="AD20" s="3063"/>
      <c r="AE20" s="3063"/>
      <c r="AF20" s="3063"/>
      <c r="AG20" s="3063"/>
      <c r="AH20" s="3063"/>
      <c r="AI20" s="3063"/>
      <c r="AJ20" s="3063"/>
      <c r="AK20" s="3063"/>
      <c r="AL20" s="3063"/>
      <c r="AM20" s="3063"/>
      <c r="AP20" s="3063"/>
      <c r="AQ20" s="3063"/>
      <c r="AR20" s="3064"/>
      <c r="AS20" s="3063"/>
      <c r="AT20" s="3064"/>
      <c r="AU20" s="3063"/>
      <c r="AV20" s="3064"/>
      <c r="AW20" s="3063"/>
      <c r="AX20" s="3064"/>
      <c r="AY20" s="3063"/>
      <c r="AZ20" s="3066"/>
      <c r="BA20" s="3066"/>
      <c r="BB20" s="3067"/>
      <c r="BC20" s="3067"/>
      <c r="BD20" s="3067"/>
      <c r="BE20" s="3067"/>
      <c r="BF20" s="3068"/>
      <c r="BG20" s="3068"/>
      <c r="BH20" s="3068"/>
      <c r="BI20" s="3068"/>
      <c r="BJ20" s="3068"/>
      <c r="BK20" s="3068"/>
      <c r="BL20" s="3068"/>
      <c r="BM20" s="3068"/>
      <c r="BN20" s="3068"/>
      <c r="BO20" s="3068"/>
      <c r="BP20" s="3068"/>
      <c r="BV20" s="3067" t="s">
        <v>1400</v>
      </c>
      <c r="BW20" s="3067">
        <v>0</v>
      </c>
      <c r="BX20" s="3067">
        <v>0</v>
      </c>
      <c r="BY20" s="3067">
        <v>0</v>
      </c>
      <c r="BZ20" s="3067">
        <v>0</v>
      </c>
      <c r="CA20" s="3067">
        <v>0</v>
      </c>
      <c r="CB20" s="3067">
        <v>0</v>
      </c>
      <c r="CC20" s="3067">
        <v>0</v>
      </c>
      <c r="CD20" s="3067">
        <v>0</v>
      </c>
      <c r="CE20" s="3067">
        <v>0</v>
      </c>
      <c r="CF20" s="3067">
        <v>0</v>
      </c>
      <c r="CG20" s="3067">
        <v>0</v>
      </c>
    </row>
    <row r="21" spans="1:85">
      <c r="A21" s="565">
        <v>0</v>
      </c>
      <c r="B21" s="565">
        <v>0</v>
      </c>
      <c r="C21" s="3063">
        <v>0</v>
      </c>
      <c r="D21" s="3063" t="s">
        <v>525</v>
      </c>
      <c r="E21" s="3063">
        <v>0</v>
      </c>
      <c r="F21" s="3063">
        <v>0</v>
      </c>
      <c r="G21" s="3063">
        <v>0</v>
      </c>
      <c r="H21" s="3063">
        <v>0</v>
      </c>
      <c r="I21" s="3063">
        <v>0</v>
      </c>
      <c r="J21" s="3063" t="e">
        <v>#VALUE!</v>
      </c>
      <c r="K21" s="3063" t="s">
        <v>525</v>
      </c>
      <c r="L21" s="3063" t="s">
        <v>525</v>
      </c>
      <c r="M21" s="3063" t="s">
        <v>525</v>
      </c>
      <c r="N21" s="3064" t="s">
        <v>525</v>
      </c>
      <c r="O21" s="3064" t="s">
        <v>525</v>
      </c>
      <c r="P21" s="3064" t="s">
        <v>525</v>
      </c>
      <c r="Q21" s="565" t="s">
        <v>525</v>
      </c>
      <c r="R21" s="3063">
        <v>0</v>
      </c>
      <c r="S21" s="3063" t="s">
        <v>525</v>
      </c>
      <c r="T21" s="3063" t="s">
        <v>525</v>
      </c>
      <c r="U21" s="3063" t="s">
        <v>525</v>
      </c>
      <c r="V21" s="3065">
        <v>5.5021555102258944E-2</v>
      </c>
      <c r="W21" s="3063" t="s">
        <v>525</v>
      </c>
      <c r="X21" s="3063">
        <v>0</v>
      </c>
      <c r="Y21" s="3063" t="s">
        <v>525</v>
      </c>
      <c r="Z21" s="3063">
        <v>0</v>
      </c>
      <c r="AA21" s="3063">
        <v>0</v>
      </c>
      <c r="AB21" s="3063" t="s">
        <v>525</v>
      </c>
      <c r="AC21" s="3063" t="s">
        <v>525</v>
      </c>
      <c r="AD21" s="3063" t="s">
        <v>525</v>
      </c>
      <c r="AE21" s="3063" t="s">
        <v>525</v>
      </c>
      <c r="AF21" s="3063" t="s">
        <v>525</v>
      </c>
      <c r="AG21" s="3063" t="s">
        <v>525</v>
      </c>
      <c r="AH21" s="3063" t="s">
        <v>525</v>
      </c>
      <c r="AI21" s="3063" t="s">
        <v>525</v>
      </c>
      <c r="AJ21" s="3063"/>
      <c r="AK21" s="3063" t="s">
        <v>525</v>
      </c>
      <c r="AL21" s="3063" t="s">
        <v>525</v>
      </c>
      <c r="AM21" s="3063" t="s">
        <v>525</v>
      </c>
      <c r="AN21" s="565" t="s">
        <v>525</v>
      </c>
      <c r="AO21" s="565" t="s">
        <v>525</v>
      </c>
      <c r="AP21" s="3063" t="s">
        <v>525</v>
      </c>
      <c r="AQ21" s="3063" t="s">
        <v>525</v>
      </c>
      <c r="AR21" s="3064" t="s">
        <v>525</v>
      </c>
      <c r="AS21" s="3063" t="s">
        <v>525</v>
      </c>
      <c r="AT21" s="3064" t="s">
        <v>525</v>
      </c>
      <c r="AU21" s="3063" t="s">
        <v>525</v>
      </c>
      <c r="AV21" s="3064" t="s">
        <v>525</v>
      </c>
      <c r="AW21" s="3063" t="s">
        <v>525</v>
      </c>
      <c r="AX21" s="3064" t="s">
        <v>525</v>
      </c>
      <c r="AY21" s="3063" t="s">
        <v>525</v>
      </c>
      <c r="AZ21" s="3066" t="s">
        <v>525</v>
      </c>
      <c r="BA21" s="3066" t="s">
        <v>525</v>
      </c>
      <c r="BB21" s="3067" t="s">
        <v>525</v>
      </c>
      <c r="BC21" s="3067" t="s">
        <v>525</v>
      </c>
      <c r="BD21" s="3067" t="s">
        <v>525</v>
      </c>
      <c r="BE21" s="3067" t="s">
        <v>525</v>
      </c>
      <c r="BF21" s="3068" t="s">
        <v>525</v>
      </c>
      <c r="BG21" s="3068" t="s">
        <v>525</v>
      </c>
      <c r="BH21" s="3068" t="s">
        <v>525</v>
      </c>
      <c r="BI21" s="3068" t="s">
        <v>525</v>
      </c>
      <c r="BJ21" s="3068" t="s">
        <v>525</v>
      </c>
      <c r="BK21" s="3068" t="s">
        <v>525</v>
      </c>
      <c r="BL21" s="3068" t="s">
        <v>525</v>
      </c>
      <c r="BM21" s="3068" t="s">
        <v>525</v>
      </c>
      <c r="BN21" s="3068" t="s">
        <v>525</v>
      </c>
      <c r="BO21" s="3068" t="s">
        <v>525</v>
      </c>
      <c r="BP21" s="3068" t="s">
        <v>525</v>
      </c>
      <c r="BQ21" s="565" t="s">
        <v>525</v>
      </c>
      <c r="BR21" s="565" t="s">
        <v>525</v>
      </c>
      <c r="BS21" s="565" t="s">
        <v>525</v>
      </c>
      <c r="BT21" s="565" t="s">
        <v>525</v>
      </c>
      <c r="BU21" s="565">
        <v>17</v>
      </c>
      <c r="BV21" s="3067" t="s">
        <v>1400</v>
      </c>
      <c r="BW21" s="3067">
        <v>0</v>
      </c>
      <c r="BX21" s="3067">
        <v>0</v>
      </c>
      <c r="BY21" s="3067">
        <v>0</v>
      </c>
      <c r="BZ21" s="3067">
        <v>0</v>
      </c>
      <c r="CA21" s="3067">
        <v>0</v>
      </c>
      <c r="CB21" s="3067">
        <v>0</v>
      </c>
      <c r="CC21" s="3067">
        <v>0</v>
      </c>
      <c r="CD21" s="3067">
        <v>0</v>
      </c>
      <c r="CE21" s="3067">
        <v>0</v>
      </c>
      <c r="CF21" s="3067">
        <v>0</v>
      </c>
      <c r="CG21" s="3067">
        <v>0</v>
      </c>
    </row>
    <row r="22" spans="1:85">
      <c r="A22" s="565">
        <v>0</v>
      </c>
      <c r="B22" s="565">
        <v>0</v>
      </c>
      <c r="C22" s="3063">
        <v>0</v>
      </c>
      <c r="D22" s="3063" t="s">
        <v>525</v>
      </c>
      <c r="E22" s="3063">
        <v>0</v>
      </c>
      <c r="F22" s="3063">
        <v>0</v>
      </c>
      <c r="G22" s="3063">
        <v>0</v>
      </c>
      <c r="H22" s="3063">
        <v>0</v>
      </c>
      <c r="I22" s="3063">
        <v>0</v>
      </c>
      <c r="J22" s="3063" t="e">
        <v>#VALUE!</v>
      </c>
      <c r="K22" s="3063" t="s">
        <v>525</v>
      </c>
      <c r="L22" s="3063" t="s">
        <v>525</v>
      </c>
      <c r="M22" s="3063" t="s">
        <v>525</v>
      </c>
      <c r="N22" s="3064" t="s">
        <v>525</v>
      </c>
      <c r="O22" s="3064" t="s">
        <v>525</v>
      </c>
      <c r="P22" s="3064" t="s">
        <v>525</v>
      </c>
      <c r="Q22" s="565" t="s">
        <v>525</v>
      </c>
      <c r="R22" s="3063">
        <v>0</v>
      </c>
      <c r="S22" s="3063" t="s">
        <v>525</v>
      </c>
      <c r="T22" s="3063" t="s">
        <v>525</v>
      </c>
      <c r="U22" s="3063" t="s">
        <v>525</v>
      </c>
      <c r="V22" s="3065">
        <v>5.5021555102258944E-2</v>
      </c>
      <c r="W22" s="3063" t="s">
        <v>525</v>
      </c>
      <c r="X22" s="3063">
        <v>0</v>
      </c>
      <c r="Y22" s="3063" t="s">
        <v>525</v>
      </c>
      <c r="Z22" s="3063">
        <v>0</v>
      </c>
      <c r="AA22" s="3063">
        <v>0</v>
      </c>
      <c r="AB22" s="3063" t="s">
        <v>525</v>
      </c>
      <c r="AC22" s="3063" t="s">
        <v>525</v>
      </c>
      <c r="AD22" s="3063" t="s">
        <v>525</v>
      </c>
      <c r="AE22" s="3063" t="s">
        <v>525</v>
      </c>
      <c r="AF22" s="3063" t="s">
        <v>525</v>
      </c>
      <c r="AG22" s="3063" t="s">
        <v>525</v>
      </c>
      <c r="AH22" s="3063" t="s">
        <v>525</v>
      </c>
      <c r="AI22" s="3063" t="s">
        <v>525</v>
      </c>
      <c r="AJ22" s="3063"/>
      <c r="AK22" s="3063" t="s">
        <v>525</v>
      </c>
      <c r="AL22" s="3063" t="s">
        <v>525</v>
      </c>
      <c r="AM22" s="3063" t="s">
        <v>525</v>
      </c>
      <c r="AN22" s="565" t="s">
        <v>525</v>
      </c>
      <c r="AO22" s="565" t="s">
        <v>525</v>
      </c>
      <c r="AP22" s="3063" t="s">
        <v>525</v>
      </c>
      <c r="AQ22" s="3063" t="s">
        <v>525</v>
      </c>
      <c r="AR22" s="3064" t="s">
        <v>525</v>
      </c>
      <c r="AS22" s="3063" t="s">
        <v>525</v>
      </c>
      <c r="AT22" s="3064" t="s">
        <v>525</v>
      </c>
      <c r="AU22" s="3063" t="s">
        <v>525</v>
      </c>
      <c r="AV22" s="3064" t="s">
        <v>525</v>
      </c>
      <c r="AW22" s="3063" t="s">
        <v>525</v>
      </c>
      <c r="AX22" s="3064" t="s">
        <v>525</v>
      </c>
      <c r="AY22" s="3063" t="s">
        <v>525</v>
      </c>
      <c r="AZ22" s="3066" t="s">
        <v>525</v>
      </c>
      <c r="BA22" s="3066" t="s">
        <v>525</v>
      </c>
      <c r="BB22" s="3067" t="s">
        <v>525</v>
      </c>
      <c r="BC22" s="3067" t="s">
        <v>525</v>
      </c>
      <c r="BD22" s="3067" t="s">
        <v>525</v>
      </c>
      <c r="BE22" s="3067" t="s">
        <v>525</v>
      </c>
      <c r="BF22" s="3068" t="s">
        <v>525</v>
      </c>
      <c r="BG22" s="3068" t="s">
        <v>525</v>
      </c>
      <c r="BH22" s="3068" t="s">
        <v>525</v>
      </c>
      <c r="BI22" s="3068" t="s">
        <v>525</v>
      </c>
      <c r="BJ22" s="3068" t="s">
        <v>525</v>
      </c>
      <c r="BK22" s="3068" t="s">
        <v>525</v>
      </c>
      <c r="BL22" s="3068" t="s">
        <v>525</v>
      </c>
      <c r="BM22" s="3068" t="s">
        <v>525</v>
      </c>
      <c r="BN22" s="3068" t="s">
        <v>525</v>
      </c>
      <c r="BO22" s="3068" t="s">
        <v>525</v>
      </c>
      <c r="BP22" s="3068" t="s">
        <v>525</v>
      </c>
      <c r="BQ22" s="565" t="s">
        <v>525</v>
      </c>
      <c r="BR22" s="565" t="s">
        <v>525</v>
      </c>
      <c r="BS22" s="565" t="s">
        <v>525</v>
      </c>
      <c r="BT22" s="565" t="s">
        <v>525</v>
      </c>
      <c r="BU22" s="565">
        <v>18</v>
      </c>
      <c r="BV22" s="3067" t="s">
        <v>1400</v>
      </c>
      <c r="BW22" s="3067">
        <v>0</v>
      </c>
      <c r="BX22" s="3067">
        <v>0</v>
      </c>
      <c r="BY22" s="3067">
        <v>0</v>
      </c>
      <c r="BZ22" s="3067">
        <v>0</v>
      </c>
      <c r="CA22" s="3067" t="s">
        <v>525</v>
      </c>
      <c r="CB22" s="3067" t="s">
        <v>525</v>
      </c>
      <c r="CC22" s="3067" t="s">
        <v>525</v>
      </c>
      <c r="CD22" s="3067">
        <v>0</v>
      </c>
      <c r="CE22" s="3067" t="s">
        <v>525</v>
      </c>
      <c r="CF22" s="3067" t="s">
        <v>525</v>
      </c>
      <c r="CG22" s="3067" t="s">
        <v>525</v>
      </c>
    </row>
    <row r="23" spans="1:85">
      <c r="A23" s="565">
        <v>0</v>
      </c>
      <c r="B23" s="565">
        <v>0</v>
      </c>
      <c r="C23" s="3063">
        <v>0</v>
      </c>
      <c r="D23" s="3063" t="s">
        <v>525</v>
      </c>
      <c r="E23" s="3063">
        <v>0</v>
      </c>
      <c r="F23" s="3063">
        <v>0</v>
      </c>
      <c r="G23" s="3063">
        <v>0</v>
      </c>
      <c r="H23" s="3063">
        <v>0</v>
      </c>
      <c r="I23" s="3063">
        <v>0</v>
      </c>
      <c r="J23" s="3063" t="e">
        <v>#VALUE!</v>
      </c>
      <c r="K23" s="3063" t="s">
        <v>525</v>
      </c>
      <c r="L23" s="3063" t="s">
        <v>525</v>
      </c>
      <c r="M23" s="3063" t="s">
        <v>525</v>
      </c>
      <c r="N23" s="3064" t="s">
        <v>525</v>
      </c>
      <c r="O23" s="3064" t="s">
        <v>525</v>
      </c>
      <c r="P23" s="3064" t="s">
        <v>525</v>
      </c>
      <c r="Q23" s="565" t="s">
        <v>525</v>
      </c>
      <c r="R23" s="3063">
        <v>0</v>
      </c>
      <c r="S23" s="3063" t="s">
        <v>525</v>
      </c>
      <c r="T23" s="3063" t="s">
        <v>525</v>
      </c>
      <c r="U23" s="3063" t="s">
        <v>525</v>
      </c>
      <c r="V23" s="3065">
        <v>5.5021555102258944E-2</v>
      </c>
      <c r="W23" s="3063" t="s">
        <v>525</v>
      </c>
      <c r="X23" s="3063">
        <v>0</v>
      </c>
      <c r="Y23" s="3063" t="s">
        <v>525</v>
      </c>
      <c r="Z23" s="3063">
        <v>0</v>
      </c>
      <c r="AA23" s="3063">
        <v>0</v>
      </c>
      <c r="AB23" s="3063" t="s">
        <v>525</v>
      </c>
      <c r="AC23" s="3063" t="s">
        <v>525</v>
      </c>
      <c r="AD23" s="3063" t="s">
        <v>525</v>
      </c>
      <c r="AE23" s="3063" t="s">
        <v>525</v>
      </c>
      <c r="AF23" s="3063" t="s">
        <v>525</v>
      </c>
      <c r="AG23" s="3063" t="s">
        <v>525</v>
      </c>
      <c r="AH23" s="3063" t="s">
        <v>525</v>
      </c>
      <c r="AI23" s="3063" t="s">
        <v>525</v>
      </c>
      <c r="AJ23" s="3063"/>
      <c r="AK23" s="3063" t="s">
        <v>525</v>
      </c>
      <c r="AL23" s="3063" t="s">
        <v>525</v>
      </c>
      <c r="AM23" s="3063" t="s">
        <v>525</v>
      </c>
      <c r="AN23" s="565" t="s">
        <v>525</v>
      </c>
      <c r="AO23" s="565" t="s">
        <v>525</v>
      </c>
      <c r="AP23" s="3063" t="s">
        <v>525</v>
      </c>
      <c r="AQ23" s="3063" t="s">
        <v>525</v>
      </c>
      <c r="AR23" s="3064" t="s">
        <v>525</v>
      </c>
      <c r="AS23" s="3063" t="s">
        <v>525</v>
      </c>
      <c r="AT23" s="3064" t="s">
        <v>525</v>
      </c>
      <c r="AU23" s="3063" t="s">
        <v>525</v>
      </c>
      <c r="AV23" s="3064" t="s">
        <v>525</v>
      </c>
      <c r="AW23" s="3063" t="s">
        <v>525</v>
      </c>
      <c r="AX23" s="3064" t="s">
        <v>525</v>
      </c>
      <c r="AY23" s="3063" t="s">
        <v>525</v>
      </c>
      <c r="AZ23" s="3066" t="s">
        <v>525</v>
      </c>
      <c r="BA23" s="3066" t="s">
        <v>525</v>
      </c>
      <c r="BB23" s="3067" t="s">
        <v>525</v>
      </c>
      <c r="BC23" s="3067" t="s">
        <v>525</v>
      </c>
      <c r="BD23" s="3067" t="s">
        <v>525</v>
      </c>
      <c r="BE23" s="3067" t="s">
        <v>525</v>
      </c>
      <c r="BF23" s="3068" t="s">
        <v>525</v>
      </c>
      <c r="BG23" s="3068" t="s">
        <v>525</v>
      </c>
      <c r="BH23" s="3068" t="s">
        <v>525</v>
      </c>
      <c r="BI23" s="3068" t="s">
        <v>525</v>
      </c>
      <c r="BJ23" s="3068" t="s">
        <v>525</v>
      </c>
      <c r="BK23" s="3068" t="s">
        <v>525</v>
      </c>
      <c r="BL23" s="3068" t="s">
        <v>525</v>
      </c>
      <c r="BM23" s="3068" t="s">
        <v>525</v>
      </c>
      <c r="BN23" s="3068" t="s">
        <v>525</v>
      </c>
      <c r="BO23" s="3068" t="s">
        <v>525</v>
      </c>
      <c r="BP23" s="3068" t="s">
        <v>525</v>
      </c>
      <c r="BQ23" s="565" t="s">
        <v>525</v>
      </c>
      <c r="BR23" s="565" t="s">
        <v>525</v>
      </c>
      <c r="BS23" s="565" t="s">
        <v>525</v>
      </c>
      <c r="BT23" s="565" t="s">
        <v>525</v>
      </c>
      <c r="BU23" s="565">
        <v>19</v>
      </c>
      <c r="BV23" s="3067" t="s">
        <v>1400</v>
      </c>
      <c r="BW23" s="3067">
        <v>0</v>
      </c>
      <c r="BX23" s="3067">
        <v>0</v>
      </c>
      <c r="BY23" s="3067">
        <v>0</v>
      </c>
      <c r="BZ23" s="3067">
        <v>0</v>
      </c>
      <c r="CA23" s="3067" t="s">
        <v>525</v>
      </c>
      <c r="CB23" s="3067" t="s">
        <v>525</v>
      </c>
      <c r="CC23" s="3067" t="s">
        <v>525</v>
      </c>
      <c r="CD23" s="3067">
        <v>0</v>
      </c>
      <c r="CE23" s="3067" t="s">
        <v>525</v>
      </c>
      <c r="CF23" s="3067" t="s">
        <v>525</v>
      </c>
      <c r="CG23" s="3067" t="s">
        <v>525</v>
      </c>
    </row>
    <row r="24" spans="1:85">
      <c r="A24" s="565">
        <v>0</v>
      </c>
      <c r="B24" s="565">
        <v>0</v>
      </c>
      <c r="C24" s="3063">
        <v>0</v>
      </c>
      <c r="D24" s="3063" t="s">
        <v>525</v>
      </c>
      <c r="E24" s="3063">
        <v>0</v>
      </c>
      <c r="F24" s="3063">
        <v>0</v>
      </c>
      <c r="G24" s="3063">
        <v>0</v>
      </c>
      <c r="H24" s="3063">
        <v>0</v>
      </c>
      <c r="I24" s="3063">
        <v>0</v>
      </c>
      <c r="J24" s="3063" t="e">
        <v>#VALUE!</v>
      </c>
      <c r="K24" s="3063" t="s">
        <v>525</v>
      </c>
      <c r="L24" s="3063" t="s">
        <v>525</v>
      </c>
      <c r="M24" s="3063" t="s">
        <v>525</v>
      </c>
      <c r="N24" s="3064" t="s">
        <v>525</v>
      </c>
      <c r="O24" s="3064" t="s">
        <v>525</v>
      </c>
      <c r="P24" s="3064" t="s">
        <v>525</v>
      </c>
      <c r="Q24" s="565" t="s">
        <v>525</v>
      </c>
      <c r="R24" s="3063">
        <v>0</v>
      </c>
      <c r="S24" s="3063" t="s">
        <v>525</v>
      </c>
      <c r="T24" s="3063" t="s">
        <v>525</v>
      </c>
      <c r="U24" s="3063" t="s">
        <v>525</v>
      </c>
      <c r="V24" s="3065">
        <v>5.5021555102258944E-2</v>
      </c>
      <c r="W24" s="3063" t="s">
        <v>525</v>
      </c>
      <c r="X24" s="3063">
        <v>0</v>
      </c>
      <c r="Y24" s="3063" t="s">
        <v>525</v>
      </c>
      <c r="Z24" s="3063">
        <v>0</v>
      </c>
      <c r="AA24" s="3063">
        <v>0</v>
      </c>
      <c r="AB24" s="3063" t="s">
        <v>525</v>
      </c>
      <c r="AC24" s="3063" t="s">
        <v>525</v>
      </c>
      <c r="AD24" s="3063" t="s">
        <v>525</v>
      </c>
      <c r="AE24" s="3063" t="s">
        <v>525</v>
      </c>
      <c r="AF24" s="3063" t="s">
        <v>525</v>
      </c>
      <c r="AG24" s="3063" t="s">
        <v>525</v>
      </c>
      <c r="AH24" s="3063" t="s">
        <v>525</v>
      </c>
      <c r="AI24" s="3063" t="s">
        <v>525</v>
      </c>
      <c r="AJ24" s="3063"/>
      <c r="AK24" s="3063" t="s">
        <v>525</v>
      </c>
      <c r="AL24" s="3063" t="s">
        <v>525</v>
      </c>
      <c r="AM24" s="3063" t="s">
        <v>525</v>
      </c>
      <c r="AN24" s="565" t="s">
        <v>525</v>
      </c>
      <c r="AO24" s="565" t="s">
        <v>525</v>
      </c>
      <c r="AP24" s="3063" t="s">
        <v>525</v>
      </c>
      <c r="AQ24" s="3063" t="s">
        <v>525</v>
      </c>
      <c r="AR24" s="3064" t="s">
        <v>525</v>
      </c>
      <c r="AS24" s="3063" t="s">
        <v>525</v>
      </c>
      <c r="AT24" s="3064" t="s">
        <v>525</v>
      </c>
      <c r="AU24" s="3063" t="s">
        <v>525</v>
      </c>
      <c r="AV24" s="3064" t="s">
        <v>525</v>
      </c>
      <c r="AW24" s="3063" t="s">
        <v>525</v>
      </c>
      <c r="AX24" s="3064" t="s">
        <v>525</v>
      </c>
      <c r="AY24" s="3063" t="s">
        <v>525</v>
      </c>
      <c r="AZ24" s="3066" t="s">
        <v>525</v>
      </c>
      <c r="BA24" s="3066" t="s">
        <v>525</v>
      </c>
      <c r="BB24" s="3067" t="s">
        <v>525</v>
      </c>
      <c r="BC24" s="3067" t="s">
        <v>525</v>
      </c>
      <c r="BD24" s="3067" t="s">
        <v>525</v>
      </c>
      <c r="BE24" s="3067" t="s">
        <v>525</v>
      </c>
      <c r="BF24" s="3068" t="s">
        <v>525</v>
      </c>
      <c r="BG24" s="3068" t="s">
        <v>525</v>
      </c>
      <c r="BH24" s="3068" t="s">
        <v>525</v>
      </c>
      <c r="BI24" s="3068" t="s">
        <v>525</v>
      </c>
      <c r="BJ24" s="3068" t="s">
        <v>525</v>
      </c>
      <c r="BK24" s="3068" t="s">
        <v>525</v>
      </c>
      <c r="BL24" s="3068" t="s">
        <v>525</v>
      </c>
      <c r="BM24" s="3068" t="s">
        <v>525</v>
      </c>
      <c r="BN24" s="3068" t="s">
        <v>525</v>
      </c>
      <c r="BO24" s="3068" t="s">
        <v>525</v>
      </c>
      <c r="BP24" s="3068" t="s">
        <v>525</v>
      </c>
      <c r="BQ24" s="565" t="s">
        <v>525</v>
      </c>
      <c r="BR24" s="565" t="s">
        <v>525</v>
      </c>
      <c r="BS24" s="565" t="s">
        <v>525</v>
      </c>
      <c r="BT24" s="565" t="s">
        <v>525</v>
      </c>
      <c r="BU24" s="565">
        <v>20</v>
      </c>
      <c r="BV24" s="3067" t="s">
        <v>1400</v>
      </c>
      <c r="BW24" s="3067">
        <v>0</v>
      </c>
      <c r="BX24" s="3067">
        <v>0</v>
      </c>
      <c r="BY24" s="3067">
        <v>0</v>
      </c>
      <c r="BZ24" s="3067">
        <v>0</v>
      </c>
      <c r="CA24" s="3067" t="s">
        <v>525</v>
      </c>
      <c r="CB24" s="3067" t="s">
        <v>525</v>
      </c>
      <c r="CC24" s="3067" t="s">
        <v>525</v>
      </c>
      <c r="CD24" s="3067">
        <v>0</v>
      </c>
      <c r="CE24" s="3067" t="s">
        <v>525</v>
      </c>
      <c r="CF24" s="3067" t="s">
        <v>525</v>
      </c>
      <c r="CG24" s="3067" t="s">
        <v>525</v>
      </c>
    </row>
    <row r="25" spans="1:85">
      <c r="A25" s="565">
        <v>0</v>
      </c>
      <c r="B25" s="565">
        <v>0</v>
      </c>
      <c r="C25" s="3063">
        <v>0</v>
      </c>
      <c r="D25" s="3063" t="s">
        <v>525</v>
      </c>
      <c r="E25" s="3063">
        <v>0</v>
      </c>
      <c r="F25" s="3063">
        <v>0</v>
      </c>
      <c r="G25" s="3063">
        <v>0</v>
      </c>
      <c r="H25" s="3063">
        <v>0</v>
      </c>
      <c r="I25" s="3063">
        <v>0</v>
      </c>
      <c r="J25" s="3063" t="e">
        <v>#VALUE!</v>
      </c>
      <c r="K25" s="3063" t="s">
        <v>525</v>
      </c>
      <c r="L25" s="3063" t="s">
        <v>525</v>
      </c>
      <c r="M25" s="3063" t="s">
        <v>525</v>
      </c>
      <c r="N25" s="3064" t="s">
        <v>525</v>
      </c>
      <c r="O25" s="3064" t="s">
        <v>525</v>
      </c>
      <c r="P25" s="3064" t="s">
        <v>525</v>
      </c>
      <c r="Q25" s="565" t="s">
        <v>525</v>
      </c>
      <c r="R25" s="3063">
        <v>0</v>
      </c>
      <c r="S25" s="3063" t="s">
        <v>525</v>
      </c>
      <c r="T25" s="3063" t="s">
        <v>525</v>
      </c>
      <c r="U25" s="3063" t="s">
        <v>525</v>
      </c>
      <c r="V25" s="3065">
        <v>5.5021555102258944E-2</v>
      </c>
      <c r="W25" s="3063" t="s">
        <v>525</v>
      </c>
      <c r="X25" s="3063">
        <v>0</v>
      </c>
      <c r="Y25" s="3063" t="s">
        <v>525</v>
      </c>
      <c r="Z25" s="3063">
        <v>0</v>
      </c>
      <c r="AA25" s="3063">
        <v>0</v>
      </c>
      <c r="AB25" s="3063" t="s">
        <v>525</v>
      </c>
      <c r="AC25" s="3063" t="s">
        <v>525</v>
      </c>
      <c r="AD25" s="3063" t="s">
        <v>525</v>
      </c>
      <c r="AE25" s="3063" t="s">
        <v>525</v>
      </c>
      <c r="AF25" s="3063" t="s">
        <v>525</v>
      </c>
      <c r="AG25" s="3063" t="s">
        <v>525</v>
      </c>
      <c r="AH25" s="3063" t="s">
        <v>525</v>
      </c>
      <c r="AI25" s="3063" t="s">
        <v>525</v>
      </c>
      <c r="AJ25" s="3063"/>
      <c r="AK25" s="3063" t="s">
        <v>525</v>
      </c>
      <c r="AL25" s="3063" t="s">
        <v>525</v>
      </c>
      <c r="AM25" s="3063" t="s">
        <v>525</v>
      </c>
      <c r="AN25" s="565" t="s">
        <v>525</v>
      </c>
      <c r="AO25" s="565" t="s">
        <v>525</v>
      </c>
      <c r="AP25" s="3063" t="s">
        <v>525</v>
      </c>
      <c r="AQ25" s="3063" t="s">
        <v>525</v>
      </c>
      <c r="AR25" s="3064" t="s">
        <v>525</v>
      </c>
      <c r="AS25" s="3063" t="s">
        <v>525</v>
      </c>
      <c r="AT25" s="3064" t="s">
        <v>525</v>
      </c>
      <c r="AU25" s="3063" t="s">
        <v>525</v>
      </c>
      <c r="AV25" s="3064" t="s">
        <v>525</v>
      </c>
      <c r="AW25" s="3063" t="s">
        <v>525</v>
      </c>
      <c r="AX25" s="3064" t="s">
        <v>525</v>
      </c>
      <c r="AY25" s="3063" t="s">
        <v>525</v>
      </c>
      <c r="AZ25" s="3066" t="s">
        <v>525</v>
      </c>
      <c r="BA25" s="3066" t="s">
        <v>525</v>
      </c>
      <c r="BB25" s="3067" t="s">
        <v>525</v>
      </c>
      <c r="BC25" s="3067" t="s">
        <v>525</v>
      </c>
      <c r="BD25" s="3067" t="s">
        <v>525</v>
      </c>
      <c r="BE25" s="3067" t="s">
        <v>525</v>
      </c>
      <c r="BF25" s="3068" t="s">
        <v>525</v>
      </c>
      <c r="BG25" s="3068" t="s">
        <v>525</v>
      </c>
      <c r="BH25" s="3068" t="s">
        <v>525</v>
      </c>
      <c r="BI25" s="3068" t="s">
        <v>525</v>
      </c>
      <c r="BJ25" s="3068" t="s">
        <v>525</v>
      </c>
      <c r="BK25" s="3068" t="s">
        <v>525</v>
      </c>
      <c r="BL25" s="3068" t="s">
        <v>525</v>
      </c>
      <c r="BM25" s="3068" t="s">
        <v>525</v>
      </c>
      <c r="BN25" s="3068" t="s">
        <v>525</v>
      </c>
      <c r="BO25" s="3068" t="s">
        <v>525</v>
      </c>
      <c r="BP25" s="3068" t="s">
        <v>525</v>
      </c>
      <c r="BQ25" s="565" t="s">
        <v>525</v>
      </c>
      <c r="BR25" s="565" t="s">
        <v>525</v>
      </c>
      <c r="BS25" s="565" t="s">
        <v>525</v>
      </c>
      <c r="BT25" s="565" t="s">
        <v>525</v>
      </c>
      <c r="BU25" s="565">
        <v>21</v>
      </c>
      <c r="BV25" s="3067" t="s">
        <v>1400</v>
      </c>
      <c r="BW25" s="3067">
        <v>0</v>
      </c>
      <c r="BX25" s="3067">
        <v>0</v>
      </c>
      <c r="BY25" s="3067">
        <v>0</v>
      </c>
      <c r="BZ25" s="3067">
        <v>0</v>
      </c>
      <c r="CA25" s="3067" t="s">
        <v>525</v>
      </c>
      <c r="CB25" s="3067" t="s">
        <v>525</v>
      </c>
      <c r="CC25" s="3067" t="s">
        <v>525</v>
      </c>
      <c r="CD25" s="3067">
        <v>0</v>
      </c>
      <c r="CE25" s="3067" t="s">
        <v>525</v>
      </c>
      <c r="CF25" s="3067" t="s">
        <v>525</v>
      </c>
      <c r="CG25" s="3067" t="s">
        <v>525</v>
      </c>
    </row>
    <row r="26" spans="1:85">
      <c r="A26" s="565">
        <v>0</v>
      </c>
      <c r="B26" s="565">
        <v>0</v>
      </c>
      <c r="C26" s="3063">
        <v>0</v>
      </c>
      <c r="D26" s="3063" t="s">
        <v>525</v>
      </c>
      <c r="E26" s="3063">
        <v>0</v>
      </c>
      <c r="F26" s="3063">
        <v>0</v>
      </c>
      <c r="G26" s="3063">
        <v>0</v>
      </c>
      <c r="H26" s="3063">
        <v>0</v>
      </c>
      <c r="I26" s="3063">
        <v>0</v>
      </c>
      <c r="J26" s="3063" t="e">
        <v>#VALUE!</v>
      </c>
      <c r="K26" s="3063" t="s">
        <v>525</v>
      </c>
      <c r="L26" s="3063" t="s">
        <v>525</v>
      </c>
      <c r="M26" s="3063" t="s">
        <v>525</v>
      </c>
      <c r="N26" s="3064" t="s">
        <v>525</v>
      </c>
      <c r="O26" s="3064" t="s">
        <v>525</v>
      </c>
      <c r="P26" s="3064" t="s">
        <v>525</v>
      </c>
      <c r="Q26" s="565" t="s">
        <v>525</v>
      </c>
      <c r="R26" s="3063">
        <v>0</v>
      </c>
      <c r="S26" s="3063" t="s">
        <v>525</v>
      </c>
      <c r="T26" s="3063" t="s">
        <v>525</v>
      </c>
      <c r="U26" s="3063" t="s">
        <v>525</v>
      </c>
      <c r="V26" s="3065">
        <v>5.5021555102258944E-2</v>
      </c>
      <c r="W26" s="3063" t="s">
        <v>525</v>
      </c>
      <c r="X26" s="3063">
        <v>0</v>
      </c>
      <c r="Y26" s="3063" t="s">
        <v>525</v>
      </c>
      <c r="Z26" s="3063">
        <v>0</v>
      </c>
      <c r="AA26" s="3063">
        <v>0</v>
      </c>
      <c r="AB26" s="3063" t="s">
        <v>525</v>
      </c>
      <c r="AC26" s="3063" t="s">
        <v>525</v>
      </c>
      <c r="AD26" s="3063" t="s">
        <v>525</v>
      </c>
      <c r="AE26" s="3063" t="s">
        <v>525</v>
      </c>
      <c r="AF26" s="3063" t="s">
        <v>525</v>
      </c>
      <c r="AG26" s="3063" t="s">
        <v>525</v>
      </c>
      <c r="AH26" s="3063" t="s">
        <v>525</v>
      </c>
      <c r="AI26" s="3063" t="s">
        <v>525</v>
      </c>
      <c r="AJ26" s="3063"/>
      <c r="AK26" s="3063" t="s">
        <v>525</v>
      </c>
      <c r="AL26" s="3063" t="s">
        <v>525</v>
      </c>
      <c r="AM26" s="3063" t="s">
        <v>525</v>
      </c>
      <c r="AN26" s="565" t="s">
        <v>525</v>
      </c>
      <c r="AO26" s="565" t="s">
        <v>525</v>
      </c>
      <c r="AP26" s="3063" t="s">
        <v>525</v>
      </c>
      <c r="AQ26" s="3063" t="s">
        <v>525</v>
      </c>
      <c r="AR26" s="3064" t="s">
        <v>525</v>
      </c>
      <c r="AS26" s="3063" t="s">
        <v>525</v>
      </c>
      <c r="AT26" s="3064" t="s">
        <v>525</v>
      </c>
      <c r="AU26" s="3063" t="s">
        <v>525</v>
      </c>
      <c r="AV26" s="3064" t="s">
        <v>525</v>
      </c>
      <c r="AW26" s="3063" t="s">
        <v>525</v>
      </c>
      <c r="AX26" s="3064" t="s">
        <v>525</v>
      </c>
      <c r="AY26" s="3063" t="s">
        <v>525</v>
      </c>
      <c r="AZ26" s="3066" t="s">
        <v>525</v>
      </c>
      <c r="BA26" s="3066" t="s">
        <v>525</v>
      </c>
      <c r="BB26" s="3067" t="s">
        <v>525</v>
      </c>
      <c r="BC26" s="3067" t="s">
        <v>525</v>
      </c>
      <c r="BD26" s="3067" t="s">
        <v>525</v>
      </c>
      <c r="BE26" s="3067" t="s">
        <v>525</v>
      </c>
      <c r="BF26" s="3068" t="s">
        <v>525</v>
      </c>
      <c r="BG26" s="3068" t="s">
        <v>525</v>
      </c>
      <c r="BH26" s="3068" t="s">
        <v>525</v>
      </c>
      <c r="BI26" s="3068" t="s">
        <v>525</v>
      </c>
      <c r="BJ26" s="3068" t="s">
        <v>525</v>
      </c>
      <c r="BK26" s="3068" t="s">
        <v>525</v>
      </c>
      <c r="BL26" s="3068" t="s">
        <v>525</v>
      </c>
      <c r="BM26" s="3068" t="s">
        <v>525</v>
      </c>
      <c r="BN26" s="3068" t="s">
        <v>525</v>
      </c>
      <c r="BO26" s="3068" t="s">
        <v>525</v>
      </c>
      <c r="BP26" s="3068" t="s">
        <v>525</v>
      </c>
      <c r="BQ26" s="565" t="s">
        <v>525</v>
      </c>
      <c r="BR26" s="565" t="s">
        <v>525</v>
      </c>
      <c r="BS26" s="565" t="s">
        <v>525</v>
      </c>
      <c r="BT26" s="565" t="s">
        <v>525</v>
      </c>
      <c r="BU26" s="565">
        <v>22</v>
      </c>
      <c r="BV26" s="3067" t="s">
        <v>1400</v>
      </c>
      <c r="BW26" s="3067">
        <v>0</v>
      </c>
      <c r="BX26" s="3067">
        <v>0</v>
      </c>
      <c r="BY26" s="3067">
        <v>0</v>
      </c>
      <c r="BZ26" s="3067">
        <v>0</v>
      </c>
      <c r="CA26" s="3067" t="s">
        <v>525</v>
      </c>
      <c r="CB26" s="3067" t="s">
        <v>525</v>
      </c>
      <c r="CC26" s="3067" t="s">
        <v>525</v>
      </c>
      <c r="CD26" s="3067">
        <v>0</v>
      </c>
      <c r="CE26" s="3067" t="s">
        <v>525</v>
      </c>
      <c r="CF26" s="3067" t="s">
        <v>525</v>
      </c>
      <c r="CG26" s="3067" t="s">
        <v>525</v>
      </c>
    </row>
    <row r="27" spans="1:85">
      <c r="A27" s="565">
        <v>0</v>
      </c>
      <c r="B27" s="565">
        <v>0</v>
      </c>
      <c r="C27" s="3063">
        <v>0</v>
      </c>
      <c r="D27" s="3063" t="s">
        <v>525</v>
      </c>
      <c r="E27" s="3063">
        <v>0</v>
      </c>
      <c r="F27" s="3063">
        <v>0</v>
      </c>
      <c r="G27" s="3063">
        <v>0</v>
      </c>
      <c r="H27" s="3063">
        <v>0</v>
      </c>
      <c r="I27" s="3063">
        <v>0</v>
      </c>
      <c r="J27" s="3063" t="e">
        <v>#VALUE!</v>
      </c>
      <c r="K27" s="3063" t="s">
        <v>525</v>
      </c>
      <c r="L27" s="3063" t="s">
        <v>525</v>
      </c>
      <c r="M27" s="3063" t="s">
        <v>525</v>
      </c>
      <c r="N27" s="3064" t="s">
        <v>525</v>
      </c>
      <c r="O27" s="3064" t="s">
        <v>525</v>
      </c>
      <c r="P27" s="3064" t="s">
        <v>525</v>
      </c>
      <c r="Q27" s="565" t="s">
        <v>525</v>
      </c>
      <c r="R27" s="3063">
        <v>0</v>
      </c>
      <c r="S27" s="3063" t="s">
        <v>525</v>
      </c>
      <c r="T27" s="3063" t="s">
        <v>525</v>
      </c>
      <c r="U27" s="3063" t="s">
        <v>525</v>
      </c>
      <c r="V27" s="3065">
        <v>5.5021555102258944E-2</v>
      </c>
      <c r="W27" s="3063" t="s">
        <v>525</v>
      </c>
      <c r="X27" s="3063">
        <v>0</v>
      </c>
      <c r="Y27" s="3063" t="s">
        <v>525</v>
      </c>
      <c r="Z27" s="3063">
        <v>0</v>
      </c>
      <c r="AA27" s="3063">
        <v>0</v>
      </c>
      <c r="AB27" s="3063" t="s">
        <v>525</v>
      </c>
      <c r="AC27" s="3063" t="s">
        <v>525</v>
      </c>
      <c r="AD27" s="3063" t="s">
        <v>525</v>
      </c>
      <c r="AE27" s="3063" t="s">
        <v>525</v>
      </c>
      <c r="AF27" s="3063" t="s">
        <v>525</v>
      </c>
      <c r="AG27" s="3063" t="s">
        <v>525</v>
      </c>
      <c r="AH27" s="3063" t="s">
        <v>525</v>
      </c>
      <c r="AI27" s="3063" t="s">
        <v>525</v>
      </c>
      <c r="AJ27" s="3063"/>
      <c r="AK27" s="3063" t="s">
        <v>525</v>
      </c>
      <c r="AL27" s="3063" t="s">
        <v>525</v>
      </c>
      <c r="AM27" s="3063" t="s">
        <v>525</v>
      </c>
      <c r="AN27" s="565" t="s">
        <v>525</v>
      </c>
      <c r="AO27" s="565" t="s">
        <v>525</v>
      </c>
      <c r="AP27" s="3063" t="s">
        <v>525</v>
      </c>
      <c r="AQ27" s="3063" t="s">
        <v>525</v>
      </c>
      <c r="AR27" s="3064" t="s">
        <v>525</v>
      </c>
      <c r="AS27" s="3063" t="s">
        <v>525</v>
      </c>
      <c r="AT27" s="3064" t="s">
        <v>525</v>
      </c>
      <c r="AU27" s="3063" t="s">
        <v>525</v>
      </c>
      <c r="AV27" s="3064" t="s">
        <v>525</v>
      </c>
      <c r="AW27" s="3063" t="s">
        <v>525</v>
      </c>
      <c r="AX27" s="3064" t="s">
        <v>525</v>
      </c>
      <c r="AY27" s="3063" t="s">
        <v>525</v>
      </c>
      <c r="AZ27" s="3066" t="s">
        <v>525</v>
      </c>
      <c r="BA27" s="3066" t="s">
        <v>525</v>
      </c>
      <c r="BB27" s="3067" t="s">
        <v>525</v>
      </c>
      <c r="BC27" s="3067" t="s">
        <v>525</v>
      </c>
      <c r="BD27" s="3067" t="s">
        <v>525</v>
      </c>
      <c r="BE27" s="3067" t="s">
        <v>525</v>
      </c>
      <c r="BF27" s="3068" t="s">
        <v>525</v>
      </c>
      <c r="BG27" s="3068" t="s">
        <v>525</v>
      </c>
      <c r="BH27" s="3068" t="s">
        <v>525</v>
      </c>
      <c r="BI27" s="3068" t="s">
        <v>525</v>
      </c>
      <c r="BJ27" s="3068" t="s">
        <v>525</v>
      </c>
      <c r="BK27" s="3068" t="s">
        <v>525</v>
      </c>
      <c r="BL27" s="3068" t="s">
        <v>525</v>
      </c>
      <c r="BM27" s="3068" t="s">
        <v>525</v>
      </c>
      <c r="BN27" s="3068" t="s">
        <v>525</v>
      </c>
      <c r="BO27" s="3068" t="s">
        <v>525</v>
      </c>
      <c r="BP27" s="3068" t="s">
        <v>525</v>
      </c>
      <c r="BQ27" s="565" t="s">
        <v>525</v>
      </c>
      <c r="BR27" s="565" t="s">
        <v>525</v>
      </c>
      <c r="BS27" s="565" t="s">
        <v>525</v>
      </c>
      <c r="BT27" s="565" t="s">
        <v>525</v>
      </c>
      <c r="BU27" s="565">
        <v>23</v>
      </c>
      <c r="BV27" s="3067" t="s">
        <v>1400</v>
      </c>
      <c r="BW27" s="3067">
        <v>0</v>
      </c>
      <c r="BX27" s="3067">
        <v>0</v>
      </c>
      <c r="BY27" s="3067">
        <v>0</v>
      </c>
      <c r="BZ27" s="3067">
        <v>0</v>
      </c>
      <c r="CA27" s="3067" t="s">
        <v>525</v>
      </c>
      <c r="CB27" s="3067" t="s">
        <v>525</v>
      </c>
      <c r="CC27" s="3067" t="s">
        <v>525</v>
      </c>
      <c r="CD27" s="3067">
        <v>0</v>
      </c>
      <c r="CE27" s="3067" t="s">
        <v>525</v>
      </c>
      <c r="CF27" s="3067" t="s">
        <v>525</v>
      </c>
      <c r="CG27" s="3067" t="s">
        <v>525</v>
      </c>
    </row>
    <row r="28" spans="1:85">
      <c r="A28" s="565">
        <v>0</v>
      </c>
      <c r="B28" s="565">
        <v>0</v>
      </c>
      <c r="C28" s="3063">
        <v>0</v>
      </c>
      <c r="D28" s="3063" t="s">
        <v>525</v>
      </c>
      <c r="E28" s="3063">
        <v>0</v>
      </c>
      <c r="F28" s="3063">
        <v>0</v>
      </c>
      <c r="G28" s="3063">
        <v>0</v>
      </c>
      <c r="H28" s="3063">
        <v>0</v>
      </c>
      <c r="I28" s="3063">
        <v>0</v>
      </c>
      <c r="J28" s="3063" t="e">
        <v>#VALUE!</v>
      </c>
      <c r="K28" s="3063" t="s">
        <v>525</v>
      </c>
      <c r="L28" s="3063" t="s">
        <v>525</v>
      </c>
      <c r="M28" s="3063" t="s">
        <v>525</v>
      </c>
      <c r="N28" s="3064" t="s">
        <v>525</v>
      </c>
      <c r="O28" s="3064" t="s">
        <v>525</v>
      </c>
      <c r="P28" s="3064" t="s">
        <v>525</v>
      </c>
      <c r="Q28" s="565" t="s">
        <v>525</v>
      </c>
      <c r="R28" s="3063">
        <v>0</v>
      </c>
      <c r="S28" s="3063" t="s">
        <v>525</v>
      </c>
      <c r="T28" s="3063" t="s">
        <v>525</v>
      </c>
      <c r="U28" s="3063" t="s">
        <v>525</v>
      </c>
      <c r="V28" s="3065">
        <v>5.5021555102258944E-2</v>
      </c>
      <c r="W28" s="3063" t="s">
        <v>525</v>
      </c>
      <c r="X28" s="3063">
        <v>0</v>
      </c>
      <c r="Y28" s="3063" t="s">
        <v>525</v>
      </c>
      <c r="Z28" s="3063">
        <v>0</v>
      </c>
      <c r="AA28" s="3063">
        <v>0</v>
      </c>
      <c r="AB28" s="3063" t="s">
        <v>525</v>
      </c>
      <c r="AC28" s="3063" t="s">
        <v>525</v>
      </c>
      <c r="AD28" s="3063" t="s">
        <v>525</v>
      </c>
      <c r="AE28" s="3063" t="s">
        <v>525</v>
      </c>
      <c r="AF28" s="3063" t="s">
        <v>525</v>
      </c>
      <c r="AG28" s="3063" t="s">
        <v>525</v>
      </c>
      <c r="AH28" s="3063" t="s">
        <v>525</v>
      </c>
      <c r="AI28" s="3063" t="s">
        <v>525</v>
      </c>
      <c r="AJ28" s="3063"/>
      <c r="AK28" s="3063" t="s">
        <v>525</v>
      </c>
      <c r="AL28" s="3063" t="s">
        <v>525</v>
      </c>
      <c r="AM28" s="3063" t="s">
        <v>525</v>
      </c>
      <c r="AN28" s="565" t="s">
        <v>525</v>
      </c>
      <c r="AO28" s="565" t="s">
        <v>525</v>
      </c>
      <c r="AP28" s="3063" t="s">
        <v>525</v>
      </c>
      <c r="AQ28" s="3063" t="s">
        <v>525</v>
      </c>
      <c r="AR28" s="3064" t="s">
        <v>525</v>
      </c>
      <c r="AS28" s="3063" t="s">
        <v>525</v>
      </c>
      <c r="AT28" s="3064" t="s">
        <v>525</v>
      </c>
      <c r="AU28" s="3063" t="s">
        <v>525</v>
      </c>
      <c r="AV28" s="3064" t="s">
        <v>525</v>
      </c>
      <c r="AW28" s="3063" t="s">
        <v>525</v>
      </c>
      <c r="AX28" s="3064" t="s">
        <v>525</v>
      </c>
      <c r="AY28" s="3063" t="s">
        <v>525</v>
      </c>
      <c r="AZ28" s="3066" t="s">
        <v>525</v>
      </c>
      <c r="BA28" s="3066" t="s">
        <v>525</v>
      </c>
      <c r="BB28" s="3067" t="s">
        <v>525</v>
      </c>
      <c r="BC28" s="3067" t="s">
        <v>525</v>
      </c>
      <c r="BD28" s="3067" t="s">
        <v>525</v>
      </c>
      <c r="BE28" s="3067" t="s">
        <v>525</v>
      </c>
      <c r="BF28" s="3068" t="s">
        <v>525</v>
      </c>
      <c r="BG28" s="3068" t="s">
        <v>525</v>
      </c>
      <c r="BH28" s="3068" t="s">
        <v>525</v>
      </c>
      <c r="BI28" s="3068" t="s">
        <v>525</v>
      </c>
      <c r="BJ28" s="3068" t="s">
        <v>525</v>
      </c>
      <c r="BK28" s="3068" t="s">
        <v>525</v>
      </c>
      <c r="BL28" s="3068" t="s">
        <v>525</v>
      </c>
      <c r="BM28" s="3068" t="s">
        <v>525</v>
      </c>
      <c r="BN28" s="3068" t="s">
        <v>525</v>
      </c>
      <c r="BO28" s="3068" t="s">
        <v>525</v>
      </c>
      <c r="BP28" s="3068" t="s">
        <v>525</v>
      </c>
      <c r="BQ28" s="565" t="s">
        <v>525</v>
      </c>
      <c r="BR28" s="565" t="s">
        <v>525</v>
      </c>
      <c r="BS28" s="565" t="s">
        <v>525</v>
      </c>
      <c r="BT28" s="565" t="s">
        <v>525</v>
      </c>
      <c r="BU28" s="565">
        <v>24</v>
      </c>
      <c r="BV28" s="3067" t="s">
        <v>1400</v>
      </c>
      <c r="BW28" s="3067">
        <v>0</v>
      </c>
      <c r="BX28" s="3067">
        <v>0</v>
      </c>
      <c r="BY28" s="3067">
        <v>0</v>
      </c>
      <c r="BZ28" s="3067">
        <v>0</v>
      </c>
      <c r="CA28" s="3067" t="s">
        <v>525</v>
      </c>
      <c r="CB28" s="3067" t="s">
        <v>525</v>
      </c>
      <c r="CC28" s="3067" t="s">
        <v>525</v>
      </c>
      <c r="CD28" s="3067">
        <v>0</v>
      </c>
      <c r="CE28" s="3067" t="s">
        <v>525</v>
      </c>
      <c r="CF28" s="3067" t="s">
        <v>525</v>
      </c>
      <c r="CG28" s="3067" t="s">
        <v>525</v>
      </c>
    </row>
    <row r="29" spans="1:85">
      <c r="A29" s="565">
        <v>0</v>
      </c>
      <c r="B29" s="565">
        <v>0</v>
      </c>
      <c r="C29" s="3063">
        <v>0</v>
      </c>
      <c r="D29" s="3063" t="s">
        <v>525</v>
      </c>
      <c r="E29" s="3063">
        <v>0</v>
      </c>
      <c r="F29" s="3063">
        <v>0</v>
      </c>
      <c r="G29" s="3063">
        <v>0</v>
      </c>
      <c r="H29" s="3063">
        <v>0</v>
      </c>
      <c r="I29" s="3063">
        <v>0</v>
      </c>
      <c r="J29" s="3063" t="e">
        <v>#VALUE!</v>
      </c>
      <c r="K29" s="3063" t="s">
        <v>525</v>
      </c>
      <c r="L29" s="3063" t="s">
        <v>525</v>
      </c>
      <c r="M29" s="3063" t="s">
        <v>525</v>
      </c>
      <c r="N29" s="3064" t="s">
        <v>525</v>
      </c>
      <c r="O29" s="3064" t="s">
        <v>525</v>
      </c>
      <c r="P29" s="3064" t="s">
        <v>525</v>
      </c>
      <c r="Q29" s="565" t="s">
        <v>525</v>
      </c>
      <c r="R29" s="3063">
        <v>0</v>
      </c>
      <c r="S29" s="3063" t="s">
        <v>525</v>
      </c>
      <c r="T29" s="3063" t="s">
        <v>525</v>
      </c>
      <c r="U29" s="3063" t="s">
        <v>525</v>
      </c>
      <c r="V29" s="3065">
        <v>5.5021555102258944E-2</v>
      </c>
      <c r="W29" s="3063" t="s">
        <v>525</v>
      </c>
      <c r="X29" s="3063">
        <v>0</v>
      </c>
      <c r="Y29" s="3063" t="s">
        <v>525</v>
      </c>
      <c r="Z29" s="3063">
        <v>0</v>
      </c>
      <c r="AA29" s="3063">
        <v>0</v>
      </c>
      <c r="AB29" s="3063" t="s">
        <v>525</v>
      </c>
      <c r="AC29" s="3063" t="s">
        <v>525</v>
      </c>
      <c r="AD29" s="3063" t="s">
        <v>525</v>
      </c>
      <c r="AE29" s="3063" t="s">
        <v>525</v>
      </c>
      <c r="AF29" s="3063" t="s">
        <v>525</v>
      </c>
      <c r="AG29" s="3063" t="s">
        <v>525</v>
      </c>
      <c r="AH29" s="3063" t="s">
        <v>525</v>
      </c>
      <c r="AI29" s="3063" t="s">
        <v>525</v>
      </c>
      <c r="AJ29" s="3063"/>
      <c r="AK29" s="3063" t="s">
        <v>525</v>
      </c>
      <c r="AL29" s="3063" t="s">
        <v>525</v>
      </c>
      <c r="AM29" s="3063" t="s">
        <v>525</v>
      </c>
      <c r="AN29" s="565" t="s">
        <v>525</v>
      </c>
      <c r="AO29" s="565" t="s">
        <v>525</v>
      </c>
      <c r="AP29" s="3063" t="s">
        <v>525</v>
      </c>
      <c r="AQ29" s="3063" t="s">
        <v>525</v>
      </c>
      <c r="AR29" s="3064" t="s">
        <v>525</v>
      </c>
      <c r="AS29" s="3063" t="s">
        <v>525</v>
      </c>
      <c r="AT29" s="3064" t="s">
        <v>525</v>
      </c>
      <c r="AU29" s="3063" t="s">
        <v>525</v>
      </c>
      <c r="AV29" s="3064" t="s">
        <v>525</v>
      </c>
      <c r="AW29" s="3063" t="s">
        <v>525</v>
      </c>
      <c r="AX29" s="3064" t="s">
        <v>525</v>
      </c>
      <c r="AY29" s="3063" t="s">
        <v>525</v>
      </c>
      <c r="AZ29" s="3066" t="s">
        <v>525</v>
      </c>
      <c r="BA29" s="3066" t="s">
        <v>525</v>
      </c>
      <c r="BB29" s="3067" t="s">
        <v>525</v>
      </c>
      <c r="BC29" s="3067" t="s">
        <v>525</v>
      </c>
      <c r="BD29" s="3067" t="s">
        <v>525</v>
      </c>
      <c r="BE29" s="3067" t="s">
        <v>525</v>
      </c>
      <c r="BF29" s="3068" t="s">
        <v>525</v>
      </c>
      <c r="BG29" s="3068" t="s">
        <v>525</v>
      </c>
      <c r="BH29" s="3068" t="s">
        <v>525</v>
      </c>
      <c r="BI29" s="3068" t="s">
        <v>525</v>
      </c>
      <c r="BJ29" s="3068" t="s">
        <v>525</v>
      </c>
      <c r="BK29" s="3068" t="s">
        <v>525</v>
      </c>
      <c r="BL29" s="3068" t="s">
        <v>525</v>
      </c>
      <c r="BM29" s="3068" t="s">
        <v>525</v>
      </c>
      <c r="BN29" s="3068" t="s">
        <v>525</v>
      </c>
      <c r="BO29" s="3068" t="s">
        <v>525</v>
      </c>
      <c r="BP29" s="3068" t="s">
        <v>525</v>
      </c>
      <c r="BQ29" s="565" t="s">
        <v>525</v>
      </c>
      <c r="BR29" s="565" t="s">
        <v>525</v>
      </c>
      <c r="BS29" s="565" t="s">
        <v>525</v>
      </c>
      <c r="BT29" s="565" t="s">
        <v>525</v>
      </c>
      <c r="BU29" s="565">
        <v>25</v>
      </c>
      <c r="BV29" s="3067" t="s">
        <v>1400</v>
      </c>
      <c r="BW29" s="3067">
        <v>0</v>
      </c>
      <c r="BX29" s="3067">
        <v>0</v>
      </c>
      <c r="BY29" s="3067">
        <v>0</v>
      </c>
      <c r="BZ29" s="3067">
        <v>0</v>
      </c>
      <c r="CA29" s="3067" t="s">
        <v>525</v>
      </c>
      <c r="CB29" s="3067" t="s">
        <v>525</v>
      </c>
      <c r="CC29" s="3067" t="s">
        <v>525</v>
      </c>
      <c r="CD29" s="3067">
        <v>0</v>
      </c>
      <c r="CE29" s="3067" t="s">
        <v>525</v>
      </c>
      <c r="CF29" s="3067" t="s">
        <v>525</v>
      </c>
      <c r="CG29" s="3067" t="s">
        <v>525</v>
      </c>
    </row>
    <row r="30" spans="1:85">
      <c r="A30" s="565">
        <v>0</v>
      </c>
      <c r="B30" s="565">
        <v>0</v>
      </c>
      <c r="C30" s="3063">
        <v>0</v>
      </c>
      <c r="D30" s="3063" t="s">
        <v>525</v>
      </c>
      <c r="E30" s="3063">
        <v>0</v>
      </c>
      <c r="F30" s="3063">
        <v>0</v>
      </c>
      <c r="G30" s="3063">
        <v>0</v>
      </c>
      <c r="H30" s="3063">
        <v>0</v>
      </c>
      <c r="I30" s="3063">
        <v>0</v>
      </c>
      <c r="J30" s="3063" t="e">
        <v>#VALUE!</v>
      </c>
      <c r="K30" s="3063" t="s">
        <v>525</v>
      </c>
      <c r="L30" s="3063" t="s">
        <v>525</v>
      </c>
      <c r="M30" s="3063" t="s">
        <v>525</v>
      </c>
      <c r="N30" s="3064" t="s">
        <v>525</v>
      </c>
      <c r="O30" s="3064" t="s">
        <v>525</v>
      </c>
      <c r="P30" s="3064" t="s">
        <v>525</v>
      </c>
      <c r="Q30" s="565" t="s">
        <v>525</v>
      </c>
      <c r="R30" s="3063">
        <v>0</v>
      </c>
      <c r="S30" s="3063" t="s">
        <v>525</v>
      </c>
      <c r="T30" s="3063" t="s">
        <v>525</v>
      </c>
      <c r="U30" s="3063" t="s">
        <v>525</v>
      </c>
      <c r="V30" s="3065">
        <v>5.5021555102258944E-2</v>
      </c>
      <c r="W30" s="3063" t="s">
        <v>525</v>
      </c>
      <c r="X30" s="3063">
        <v>0</v>
      </c>
      <c r="Y30" s="3063" t="s">
        <v>525</v>
      </c>
      <c r="Z30" s="3063">
        <v>0</v>
      </c>
      <c r="AA30" s="3063">
        <v>0</v>
      </c>
      <c r="AB30" s="3063" t="s">
        <v>525</v>
      </c>
      <c r="AC30" s="3063" t="s">
        <v>525</v>
      </c>
      <c r="AD30" s="3063" t="s">
        <v>525</v>
      </c>
      <c r="AE30" s="3063" t="s">
        <v>525</v>
      </c>
      <c r="AF30" s="3063" t="s">
        <v>525</v>
      </c>
      <c r="AG30" s="3063" t="s">
        <v>525</v>
      </c>
      <c r="AH30" s="3063" t="s">
        <v>525</v>
      </c>
      <c r="AI30" s="3063" t="s">
        <v>525</v>
      </c>
      <c r="AJ30" s="3063"/>
      <c r="AK30" s="3063" t="s">
        <v>525</v>
      </c>
      <c r="AL30" s="3063" t="s">
        <v>525</v>
      </c>
      <c r="AM30" s="3063" t="s">
        <v>525</v>
      </c>
      <c r="AN30" s="565" t="s">
        <v>525</v>
      </c>
      <c r="AO30" s="565" t="s">
        <v>525</v>
      </c>
      <c r="AP30" s="3063" t="s">
        <v>525</v>
      </c>
      <c r="AQ30" s="3063" t="s">
        <v>525</v>
      </c>
      <c r="AR30" s="3064" t="s">
        <v>525</v>
      </c>
      <c r="AS30" s="3063" t="s">
        <v>525</v>
      </c>
      <c r="AT30" s="3064" t="s">
        <v>525</v>
      </c>
      <c r="AU30" s="3063" t="s">
        <v>525</v>
      </c>
      <c r="AV30" s="3064" t="s">
        <v>525</v>
      </c>
      <c r="AW30" s="3063" t="s">
        <v>525</v>
      </c>
      <c r="AX30" s="3064" t="s">
        <v>525</v>
      </c>
      <c r="AY30" s="3063" t="s">
        <v>525</v>
      </c>
      <c r="AZ30" s="3066" t="s">
        <v>525</v>
      </c>
      <c r="BA30" s="3066" t="s">
        <v>525</v>
      </c>
      <c r="BB30" s="3067" t="s">
        <v>525</v>
      </c>
      <c r="BC30" s="3067" t="s">
        <v>525</v>
      </c>
      <c r="BD30" s="3067" t="s">
        <v>525</v>
      </c>
      <c r="BE30" s="3067" t="s">
        <v>525</v>
      </c>
      <c r="BF30" s="3068" t="s">
        <v>525</v>
      </c>
      <c r="BG30" s="3068" t="s">
        <v>525</v>
      </c>
      <c r="BH30" s="3068" t="s">
        <v>525</v>
      </c>
      <c r="BI30" s="3068" t="s">
        <v>525</v>
      </c>
      <c r="BJ30" s="3068" t="s">
        <v>525</v>
      </c>
      <c r="BK30" s="3068" t="s">
        <v>525</v>
      </c>
      <c r="BL30" s="3068" t="s">
        <v>525</v>
      </c>
      <c r="BM30" s="3068" t="s">
        <v>525</v>
      </c>
      <c r="BN30" s="3068" t="s">
        <v>525</v>
      </c>
      <c r="BO30" s="3068" t="s">
        <v>525</v>
      </c>
      <c r="BP30" s="3068" t="s">
        <v>525</v>
      </c>
      <c r="BQ30" s="565" t="s">
        <v>525</v>
      </c>
      <c r="BR30" s="565" t="s">
        <v>525</v>
      </c>
      <c r="BS30" s="565" t="s">
        <v>525</v>
      </c>
      <c r="BT30" s="565" t="s">
        <v>525</v>
      </c>
      <c r="BU30" s="565">
        <v>26</v>
      </c>
      <c r="BV30" s="3067" t="s">
        <v>1400</v>
      </c>
      <c r="BW30" s="3067">
        <v>0</v>
      </c>
      <c r="BX30" s="3067">
        <v>0</v>
      </c>
      <c r="BY30" s="3067">
        <v>0</v>
      </c>
      <c r="BZ30" s="3067">
        <v>0</v>
      </c>
      <c r="CA30" s="3067" t="s">
        <v>525</v>
      </c>
      <c r="CB30" s="3067" t="s">
        <v>525</v>
      </c>
      <c r="CC30" s="3067" t="s">
        <v>525</v>
      </c>
      <c r="CD30" s="3067">
        <v>0</v>
      </c>
      <c r="CE30" s="3067" t="s">
        <v>525</v>
      </c>
      <c r="CF30" s="3067" t="s">
        <v>525</v>
      </c>
      <c r="CG30" s="3067" t="s">
        <v>525</v>
      </c>
    </row>
    <row r="31" spans="1:85">
      <c r="A31" s="565">
        <v>0</v>
      </c>
      <c r="B31" s="565">
        <v>0</v>
      </c>
      <c r="C31" s="3063">
        <v>0</v>
      </c>
      <c r="D31" s="3063" t="s">
        <v>525</v>
      </c>
      <c r="E31" s="3063">
        <v>0</v>
      </c>
      <c r="F31" s="3063">
        <v>0</v>
      </c>
      <c r="G31" s="3063">
        <v>0</v>
      </c>
      <c r="H31" s="3063">
        <v>0</v>
      </c>
      <c r="I31" s="3063">
        <v>0</v>
      </c>
      <c r="J31" s="3063" t="e">
        <v>#VALUE!</v>
      </c>
      <c r="K31" s="3063" t="s">
        <v>525</v>
      </c>
      <c r="L31" s="3063" t="s">
        <v>525</v>
      </c>
      <c r="M31" s="3063" t="s">
        <v>525</v>
      </c>
      <c r="N31" s="3064" t="s">
        <v>525</v>
      </c>
      <c r="O31" s="3064" t="s">
        <v>525</v>
      </c>
      <c r="P31" s="3064" t="s">
        <v>525</v>
      </c>
      <c r="Q31" s="565" t="s">
        <v>525</v>
      </c>
      <c r="R31" s="3063">
        <v>0</v>
      </c>
      <c r="S31" s="3063" t="s">
        <v>525</v>
      </c>
      <c r="T31" s="3063" t="s">
        <v>525</v>
      </c>
      <c r="U31" s="3063" t="s">
        <v>525</v>
      </c>
      <c r="V31" s="3065">
        <v>5.5021555102258944E-2</v>
      </c>
      <c r="W31" s="3063" t="s">
        <v>525</v>
      </c>
      <c r="X31" s="3063">
        <v>0</v>
      </c>
      <c r="Y31" s="3063" t="s">
        <v>525</v>
      </c>
      <c r="Z31" s="3063">
        <v>0</v>
      </c>
      <c r="AA31" s="3063">
        <v>0</v>
      </c>
      <c r="AB31" s="3063" t="s">
        <v>525</v>
      </c>
      <c r="AC31" s="3063" t="s">
        <v>525</v>
      </c>
      <c r="AD31" s="3063" t="s">
        <v>525</v>
      </c>
      <c r="AE31" s="3063" t="s">
        <v>525</v>
      </c>
      <c r="AF31" s="3063" t="s">
        <v>525</v>
      </c>
      <c r="AG31" s="3063" t="s">
        <v>525</v>
      </c>
      <c r="AH31" s="3063" t="s">
        <v>525</v>
      </c>
      <c r="AI31" s="3063" t="s">
        <v>525</v>
      </c>
      <c r="AJ31" s="3063"/>
      <c r="AK31" s="3063" t="s">
        <v>525</v>
      </c>
      <c r="AL31" s="3063" t="s">
        <v>525</v>
      </c>
      <c r="AM31" s="3063" t="s">
        <v>525</v>
      </c>
      <c r="AN31" s="565" t="s">
        <v>525</v>
      </c>
      <c r="AO31" s="565" t="s">
        <v>525</v>
      </c>
      <c r="AP31" s="3063" t="s">
        <v>525</v>
      </c>
      <c r="AQ31" s="3063" t="s">
        <v>525</v>
      </c>
      <c r="AR31" s="3064" t="s">
        <v>525</v>
      </c>
      <c r="AS31" s="3063" t="s">
        <v>525</v>
      </c>
      <c r="AT31" s="3064" t="s">
        <v>525</v>
      </c>
      <c r="AU31" s="3063" t="s">
        <v>525</v>
      </c>
      <c r="AV31" s="3064" t="s">
        <v>525</v>
      </c>
      <c r="AW31" s="3063" t="s">
        <v>525</v>
      </c>
      <c r="AX31" s="3064" t="s">
        <v>525</v>
      </c>
      <c r="AY31" s="3063" t="s">
        <v>525</v>
      </c>
      <c r="AZ31" s="3066" t="s">
        <v>525</v>
      </c>
      <c r="BA31" s="3066" t="s">
        <v>525</v>
      </c>
      <c r="BB31" s="3067" t="s">
        <v>525</v>
      </c>
      <c r="BC31" s="3067" t="s">
        <v>525</v>
      </c>
      <c r="BD31" s="3067" t="s">
        <v>525</v>
      </c>
      <c r="BE31" s="3067" t="s">
        <v>525</v>
      </c>
      <c r="BF31" s="3068" t="s">
        <v>525</v>
      </c>
      <c r="BG31" s="3068" t="s">
        <v>525</v>
      </c>
      <c r="BH31" s="3068" t="s">
        <v>525</v>
      </c>
      <c r="BI31" s="3068" t="s">
        <v>525</v>
      </c>
      <c r="BJ31" s="3068" t="s">
        <v>525</v>
      </c>
      <c r="BK31" s="3068" t="s">
        <v>525</v>
      </c>
      <c r="BL31" s="3068" t="s">
        <v>525</v>
      </c>
      <c r="BM31" s="3068" t="s">
        <v>525</v>
      </c>
      <c r="BN31" s="3068" t="s">
        <v>525</v>
      </c>
      <c r="BO31" s="3068" t="s">
        <v>525</v>
      </c>
      <c r="BP31" s="3068" t="s">
        <v>525</v>
      </c>
      <c r="BQ31" s="565" t="s">
        <v>525</v>
      </c>
      <c r="BR31" s="565" t="s">
        <v>525</v>
      </c>
      <c r="BS31" s="565" t="s">
        <v>525</v>
      </c>
      <c r="BT31" s="565" t="s">
        <v>525</v>
      </c>
      <c r="BU31" s="565">
        <v>27</v>
      </c>
      <c r="BV31" s="3067" t="s">
        <v>1400</v>
      </c>
      <c r="BW31" s="3067">
        <v>0</v>
      </c>
      <c r="BX31" s="3067">
        <v>0</v>
      </c>
      <c r="BY31" s="3067">
        <v>0</v>
      </c>
      <c r="BZ31" s="3067">
        <v>0</v>
      </c>
      <c r="CA31" s="3067" t="s">
        <v>525</v>
      </c>
      <c r="CB31" s="3067" t="s">
        <v>525</v>
      </c>
      <c r="CC31" s="3067" t="s">
        <v>525</v>
      </c>
      <c r="CD31" s="3067">
        <v>0</v>
      </c>
      <c r="CE31" s="3067" t="s">
        <v>525</v>
      </c>
      <c r="CF31" s="3067" t="s">
        <v>525</v>
      </c>
      <c r="CG31" s="3067" t="s">
        <v>525</v>
      </c>
    </row>
    <row r="32" spans="1:85">
      <c r="A32" s="565">
        <v>0</v>
      </c>
      <c r="B32" s="565">
        <v>0</v>
      </c>
      <c r="C32" s="3063">
        <v>0</v>
      </c>
      <c r="D32" s="3063" t="s">
        <v>525</v>
      </c>
      <c r="E32" s="3063">
        <v>0</v>
      </c>
      <c r="F32" s="3063">
        <v>0</v>
      </c>
      <c r="G32" s="3063">
        <v>0</v>
      </c>
      <c r="H32" s="3063">
        <v>0</v>
      </c>
      <c r="I32" s="3063">
        <v>0</v>
      </c>
      <c r="J32" s="3063" t="e">
        <v>#VALUE!</v>
      </c>
      <c r="K32" s="3063" t="s">
        <v>525</v>
      </c>
      <c r="L32" s="3063" t="s">
        <v>525</v>
      </c>
      <c r="M32" s="3063" t="s">
        <v>525</v>
      </c>
      <c r="N32" s="3064" t="s">
        <v>525</v>
      </c>
      <c r="O32" s="3064" t="s">
        <v>525</v>
      </c>
      <c r="P32" s="3064" t="s">
        <v>525</v>
      </c>
      <c r="Q32" s="565" t="s">
        <v>525</v>
      </c>
      <c r="R32" s="3063">
        <v>0</v>
      </c>
      <c r="S32" s="3063" t="s">
        <v>525</v>
      </c>
      <c r="T32" s="3063" t="s">
        <v>525</v>
      </c>
      <c r="U32" s="3063" t="s">
        <v>525</v>
      </c>
      <c r="V32" s="3065">
        <v>5.5021555102258944E-2</v>
      </c>
      <c r="W32" s="3063" t="s">
        <v>525</v>
      </c>
      <c r="X32" s="3063">
        <v>0</v>
      </c>
      <c r="Y32" s="3063" t="s">
        <v>525</v>
      </c>
      <c r="Z32" s="3063">
        <v>0</v>
      </c>
      <c r="AA32" s="3063">
        <v>0</v>
      </c>
      <c r="AB32" s="3063" t="s">
        <v>525</v>
      </c>
      <c r="AC32" s="3063" t="s">
        <v>525</v>
      </c>
      <c r="AD32" s="3063" t="s">
        <v>525</v>
      </c>
      <c r="AE32" s="3063" t="s">
        <v>525</v>
      </c>
      <c r="AF32" s="3063" t="s">
        <v>525</v>
      </c>
      <c r="AG32" s="3063" t="s">
        <v>525</v>
      </c>
      <c r="AH32" s="3063" t="s">
        <v>525</v>
      </c>
      <c r="AI32" s="3063" t="s">
        <v>525</v>
      </c>
      <c r="AJ32" s="3063"/>
      <c r="AK32" s="3063" t="s">
        <v>525</v>
      </c>
      <c r="AL32" s="3063" t="s">
        <v>525</v>
      </c>
      <c r="AM32" s="3063" t="s">
        <v>525</v>
      </c>
      <c r="AN32" s="565" t="s">
        <v>525</v>
      </c>
      <c r="AO32" s="565" t="s">
        <v>525</v>
      </c>
      <c r="AP32" s="3063" t="s">
        <v>525</v>
      </c>
      <c r="AQ32" s="3063" t="s">
        <v>525</v>
      </c>
      <c r="AR32" s="3064" t="s">
        <v>525</v>
      </c>
      <c r="AS32" s="3063" t="s">
        <v>525</v>
      </c>
      <c r="AT32" s="3064" t="s">
        <v>525</v>
      </c>
      <c r="AU32" s="3063" t="s">
        <v>525</v>
      </c>
      <c r="AV32" s="3064" t="s">
        <v>525</v>
      </c>
      <c r="AW32" s="3063" t="s">
        <v>525</v>
      </c>
      <c r="AX32" s="3064" t="s">
        <v>525</v>
      </c>
      <c r="AY32" s="3063" t="s">
        <v>525</v>
      </c>
      <c r="AZ32" s="3066" t="s">
        <v>525</v>
      </c>
      <c r="BA32" s="3066" t="s">
        <v>525</v>
      </c>
      <c r="BB32" s="3067" t="s">
        <v>525</v>
      </c>
      <c r="BC32" s="3067" t="s">
        <v>525</v>
      </c>
      <c r="BD32" s="3067" t="s">
        <v>525</v>
      </c>
      <c r="BE32" s="3067" t="s">
        <v>525</v>
      </c>
      <c r="BF32" s="3068" t="s">
        <v>525</v>
      </c>
      <c r="BG32" s="3068" t="s">
        <v>525</v>
      </c>
      <c r="BH32" s="3068" t="s">
        <v>525</v>
      </c>
      <c r="BI32" s="3068" t="s">
        <v>525</v>
      </c>
      <c r="BJ32" s="3068" t="s">
        <v>525</v>
      </c>
      <c r="BK32" s="3068" t="s">
        <v>525</v>
      </c>
      <c r="BL32" s="3068" t="s">
        <v>525</v>
      </c>
      <c r="BM32" s="3068" t="s">
        <v>525</v>
      </c>
      <c r="BN32" s="3068" t="s">
        <v>525</v>
      </c>
      <c r="BO32" s="3068" t="s">
        <v>525</v>
      </c>
      <c r="BP32" s="3068" t="s">
        <v>525</v>
      </c>
      <c r="BQ32" s="565" t="s">
        <v>525</v>
      </c>
      <c r="BR32" s="565" t="s">
        <v>525</v>
      </c>
      <c r="BS32" s="565" t="s">
        <v>525</v>
      </c>
      <c r="BT32" s="565" t="s">
        <v>525</v>
      </c>
      <c r="BU32" s="565">
        <v>28</v>
      </c>
      <c r="BV32" s="3067" t="s">
        <v>1400</v>
      </c>
      <c r="BW32" s="3067">
        <v>0</v>
      </c>
      <c r="BX32" s="3067">
        <v>0</v>
      </c>
      <c r="BY32" s="3067">
        <v>0</v>
      </c>
      <c r="BZ32" s="3067">
        <v>0</v>
      </c>
      <c r="CA32" s="3067" t="s">
        <v>525</v>
      </c>
      <c r="CB32" s="3067" t="s">
        <v>525</v>
      </c>
      <c r="CC32" s="3067" t="s">
        <v>525</v>
      </c>
      <c r="CD32" s="3067">
        <v>0</v>
      </c>
      <c r="CE32" s="3067" t="s">
        <v>525</v>
      </c>
      <c r="CF32" s="3067" t="s">
        <v>525</v>
      </c>
      <c r="CG32" s="3067" t="s">
        <v>525</v>
      </c>
    </row>
    <row r="33" spans="1:85">
      <c r="A33" s="565">
        <v>0</v>
      </c>
      <c r="B33" s="565">
        <v>0</v>
      </c>
      <c r="C33" s="3063">
        <v>0</v>
      </c>
      <c r="D33" s="3063" t="s">
        <v>525</v>
      </c>
      <c r="E33" s="3063">
        <v>0</v>
      </c>
      <c r="F33" s="3063">
        <v>0</v>
      </c>
      <c r="G33" s="3063">
        <v>0</v>
      </c>
      <c r="H33" s="3063">
        <v>0</v>
      </c>
      <c r="I33" s="3063">
        <v>0</v>
      </c>
      <c r="J33" s="3063" t="e">
        <v>#VALUE!</v>
      </c>
      <c r="K33" s="3063" t="s">
        <v>525</v>
      </c>
      <c r="L33" s="3063" t="s">
        <v>525</v>
      </c>
      <c r="M33" s="3063" t="s">
        <v>525</v>
      </c>
      <c r="N33" s="3064" t="s">
        <v>525</v>
      </c>
      <c r="O33" s="3064" t="s">
        <v>525</v>
      </c>
      <c r="P33" s="3064" t="s">
        <v>525</v>
      </c>
      <c r="Q33" s="565" t="s">
        <v>525</v>
      </c>
      <c r="R33" s="3063">
        <v>0</v>
      </c>
      <c r="S33" s="3063" t="s">
        <v>525</v>
      </c>
      <c r="T33" s="3063" t="s">
        <v>525</v>
      </c>
      <c r="U33" s="3063" t="s">
        <v>525</v>
      </c>
      <c r="V33" s="3065">
        <v>5.5021555102258944E-2</v>
      </c>
      <c r="W33" s="3063" t="s">
        <v>525</v>
      </c>
      <c r="X33" s="3063">
        <v>0</v>
      </c>
      <c r="Y33" s="3063" t="s">
        <v>525</v>
      </c>
      <c r="Z33" s="3063">
        <v>0</v>
      </c>
      <c r="AA33" s="3063">
        <v>0</v>
      </c>
      <c r="AB33" s="3063" t="s">
        <v>525</v>
      </c>
      <c r="AC33" s="3063" t="s">
        <v>525</v>
      </c>
      <c r="AD33" s="3063" t="s">
        <v>525</v>
      </c>
      <c r="AE33" s="3063" t="s">
        <v>525</v>
      </c>
      <c r="AF33" s="3063" t="s">
        <v>525</v>
      </c>
      <c r="AG33" s="3063" t="s">
        <v>525</v>
      </c>
      <c r="AH33" s="3063" t="s">
        <v>525</v>
      </c>
      <c r="AI33" s="3063" t="s">
        <v>525</v>
      </c>
      <c r="AJ33" s="3063"/>
      <c r="AK33" s="3063" t="s">
        <v>525</v>
      </c>
      <c r="AL33" s="3063" t="s">
        <v>525</v>
      </c>
      <c r="AM33" s="3063" t="s">
        <v>525</v>
      </c>
      <c r="AN33" s="565" t="s">
        <v>525</v>
      </c>
      <c r="AO33" s="565" t="s">
        <v>525</v>
      </c>
      <c r="AP33" s="3063" t="s">
        <v>525</v>
      </c>
      <c r="AQ33" s="3063" t="s">
        <v>525</v>
      </c>
      <c r="AR33" s="3064" t="s">
        <v>525</v>
      </c>
      <c r="AS33" s="3063" t="s">
        <v>525</v>
      </c>
      <c r="AT33" s="3064" t="s">
        <v>525</v>
      </c>
      <c r="AU33" s="3063" t="s">
        <v>525</v>
      </c>
      <c r="AV33" s="3064" t="s">
        <v>525</v>
      </c>
      <c r="AW33" s="3063" t="s">
        <v>525</v>
      </c>
      <c r="AX33" s="3064" t="s">
        <v>525</v>
      </c>
      <c r="AY33" s="3063" t="s">
        <v>525</v>
      </c>
      <c r="AZ33" s="3066" t="s">
        <v>525</v>
      </c>
      <c r="BA33" s="3066" t="s">
        <v>525</v>
      </c>
      <c r="BB33" s="3067" t="s">
        <v>525</v>
      </c>
      <c r="BC33" s="3067" t="s">
        <v>525</v>
      </c>
      <c r="BD33" s="3067" t="s">
        <v>525</v>
      </c>
      <c r="BE33" s="3067" t="s">
        <v>525</v>
      </c>
      <c r="BF33" s="3068" t="s">
        <v>525</v>
      </c>
      <c r="BG33" s="3068" t="s">
        <v>525</v>
      </c>
      <c r="BH33" s="3068" t="s">
        <v>525</v>
      </c>
      <c r="BI33" s="3068" t="s">
        <v>525</v>
      </c>
      <c r="BJ33" s="3068" t="s">
        <v>525</v>
      </c>
      <c r="BK33" s="3068" t="s">
        <v>525</v>
      </c>
      <c r="BL33" s="3068" t="s">
        <v>525</v>
      </c>
      <c r="BM33" s="3068" t="s">
        <v>525</v>
      </c>
      <c r="BN33" s="3068" t="s">
        <v>525</v>
      </c>
      <c r="BO33" s="3068" t="s">
        <v>525</v>
      </c>
      <c r="BP33" s="3068" t="s">
        <v>525</v>
      </c>
      <c r="BQ33" s="565" t="s">
        <v>525</v>
      </c>
      <c r="BR33" s="565" t="s">
        <v>525</v>
      </c>
      <c r="BS33" s="565" t="s">
        <v>525</v>
      </c>
      <c r="BT33" s="565" t="s">
        <v>525</v>
      </c>
      <c r="BU33" s="565">
        <v>29</v>
      </c>
      <c r="BV33" s="3067" t="s">
        <v>1400</v>
      </c>
      <c r="BW33" s="3067">
        <v>0</v>
      </c>
      <c r="BX33" s="3067">
        <v>0</v>
      </c>
      <c r="BY33" s="3067">
        <v>0</v>
      </c>
      <c r="BZ33" s="3067">
        <v>0</v>
      </c>
      <c r="CA33" s="3067" t="s">
        <v>525</v>
      </c>
      <c r="CB33" s="3067" t="s">
        <v>525</v>
      </c>
      <c r="CC33" s="3067" t="s">
        <v>525</v>
      </c>
      <c r="CD33" s="3067">
        <v>0</v>
      </c>
      <c r="CE33" s="3067" t="s">
        <v>525</v>
      </c>
      <c r="CF33" s="3067" t="s">
        <v>525</v>
      </c>
      <c r="CG33" s="3067" t="s">
        <v>525</v>
      </c>
    </row>
    <row r="34" spans="1:85">
      <c r="A34" s="565">
        <v>0</v>
      </c>
      <c r="B34" s="565">
        <v>0</v>
      </c>
      <c r="C34" s="3063">
        <v>0</v>
      </c>
      <c r="D34" s="3063" t="s">
        <v>525</v>
      </c>
      <c r="E34" s="3063">
        <v>0</v>
      </c>
      <c r="F34" s="3063">
        <v>0</v>
      </c>
      <c r="G34" s="3063">
        <v>0</v>
      </c>
      <c r="H34" s="3063">
        <v>0</v>
      </c>
      <c r="I34" s="3063">
        <v>0</v>
      </c>
      <c r="J34" s="3063" t="e">
        <v>#VALUE!</v>
      </c>
      <c r="K34" s="3063" t="s">
        <v>525</v>
      </c>
      <c r="L34" s="3063" t="s">
        <v>525</v>
      </c>
      <c r="M34" s="3063" t="s">
        <v>525</v>
      </c>
      <c r="N34" s="3064" t="s">
        <v>525</v>
      </c>
      <c r="O34" s="3064" t="s">
        <v>525</v>
      </c>
      <c r="P34" s="3064" t="s">
        <v>525</v>
      </c>
      <c r="Q34" s="565" t="s">
        <v>525</v>
      </c>
      <c r="R34" s="3063">
        <v>0</v>
      </c>
      <c r="S34" s="3063" t="s">
        <v>525</v>
      </c>
      <c r="T34" s="3063" t="s">
        <v>525</v>
      </c>
      <c r="U34" s="3063" t="s">
        <v>525</v>
      </c>
      <c r="V34" s="3065">
        <v>5.5021555102258944E-2</v>
      </c>
      <c r="W34" s="3063" t="s">
        <v>525</v>
      </c>
      <c r="X34" s="3063">
        <v>0</v>
      </c>
      <c r="Y34" s="3063" t="s">
        <v>525</v>
      </c>
      <c r="Z34" s="3063">
        <v>0</v>
      </c>
      <c r="AA34" s="3063">
        <v>0</v>
      </c>
      <c r="AB34" s="3063" t="s">
        <v>525</v>
      </c>
      <c r="AC34" s="3063" t="s">
        <v>525</v>
      </c>
      <c r="AD34" s="3063" t="s">
        <v>525</v>
      </c>
      <c r="AE34" s="3063" t="s">
        <v>525</v>
      </c>
      <c r="AF34" s="3063" t="s">
        <v>525</v>
      </c>
      <c r="AG34" s="3063" t="s">
        <v>525</v>
      </c>
      <c r="AH34" s="3063" t="s">
        <v>525</v>
      </c>
      <c r="AI34" s="3063" t="s">
        <v>525</v>
      </c>
      <c r="AJ34" s="3063"/>
      <c r="AK34" s="3063" t="s">
        <v>525</v>
      </c>
      <c r="AL34" s="3063" t="s">
        <v>525</v>
      </c>
      <c r="AM34" s="3063" t="s">
        <v>525</v>
      </c>
      <c r="AN34" s="565">
        <v>0</v>
      </c>
      <c r="AO34" s="565">
        <v>0</v>
      </c>
      <c r="AP34" s="3063" t="s">
        <v>525</v>
      </c>
      <c r="AQ34" s="3063" t="s">
        <v>525</v>
      </c>
      <c r="AR34" s="3064" t="s">
        <v>525</v>
      </c>
      <c r="AS34" s="3063" t="s">
        <v>525</v>
      </c>
      <c r="AT34" s="3064" t="s">
        <v>525</v>
      </c>
      <c r="AU34" s="3063" t="s">
        <v>525</v>
      </c>
      <c r="AV34" s="3064" t="s">
        <v>525</v>
      </c>
      <c r="AW34" s="3063" t="s">
        <v>525</v>
      </c>
      <c r="AX34" s="3064" t="s">
        <v>525</v>
      </c>
      <c r="AY34" s="3063" t="s">
        <v>525</v>
      </c>
      <c r="AZ34" s="3066" t="s">
        <v>525</v>
      </c>
      <c r="BA34" s="3066" t="s">
        <v>525</v>
      </c>
      <c r="BB34" s="3067" t="s">
        <v>525</v>
      </c>
      <c r="BC34" s="3067" t="s">
        <v>525</v>
      </c>
      <c r="BD34" s="3067" t="s">
        <v>525</v>
      </c>
      <c r="BE34" s="3067" t="s">
        <v>525</v>
      </c>
      <c r="BF34" s="3068" t="s">
        <v>525</v>
      </c>
      <c r="BG34" s="3068" t="s">
        <v>525</v>
      </c>
      <c r="BH34" s="3068" t="s">
        <v>525</v>
      </c>
      <c r="BI34" s="3068" t="s">
        <v>525</v>
      </c>
      <c r="BJ34" s="3068" t="s">
        <v>525</v>
      </c>
      <c r="BK34" s="3068" t="s">
        <v>525</v>
      </c>
      <c r="BL34" s="3068" t="s">
        <v>525</v>
      </c>
      <c r="BM34" s="3068" t="s">
        <v>525</v>
      </c>
      <c r="BN34" s="3068" t="s">
        <v>525</v>
      </c>
      <c r="BO34" s="3068" t="s">
        <v>525</v>
      </c>
      <c r="BP34" s="3068" t="s">
        <v>525</v>
      </c>
      <c r="BQ34" s="565" t="s">
        <v>525</v>
      </c>
      <c r="BR34" s="565" t="s">
        <v>525</v>
      </c>
      <c r="BS34" s="565" t="s">
        <v>525</v>
      </c>
      <c r="BT34" s="565" t="s">
        <v>525</v>
      </c>
      <c r="BU34" s="565">
        <v>30</v>
      </c>
      <c r="BV34" s="3067" t="s">
        <v>1400</v>
      </c>
      <c r="BW34" s="3067">
        <v>0</v>
      </c>
      <c r="BX34" s="3067">
        <v>0</v>
      </c>
      <c r="BY34" s="3067">
        <v>0</v>
      </c>
      <c r="BZ34" s="3067">
        <v>0</v>
      </c>
      <c r="CA34" s="3067" t="s">
        <v>525</v>
      </c>
      <c r="CB34" s="3067" t="s">
        <v>525</v>
      </c>
      <c r="CC34" s="3067" t="s">
        <v>525</v>
      </c>
      <c r="CD34" s="3067">
        <v>0</v>
      </c>
      <c r="CE34" s="3067" t="s">
        <v>525</v>
      </c>
      <c r="CF34" s="3067" t="s">
        <v>525</v>
      </c>
      <c r="CG34" s="3067" t="s">
        <v>525</v>
      </c>
    </row>
    <row r="35" spans="1:85">
      <c r="A35" s="565">
        <v>0</v>
      </c>
      <c r="B35" s="565">
        <v>0</v>
      </c>
      <c r="C35" s="3063">
        <v>0</v>
      </c>
      <c r="D35" s="3063" t="s">
        <v>525</v>
      </c>
      <c r="E35" s="3063">
        <v>0</v>
      </c>
      <c r="F35" s="3063">
        <v>0</v>
      </c>
      <c r="G35" s="3063">
        <v>0</v>
      </c>
      <c r="H35" s="3063">
        <v>0</v>
      </c>
      <c r="I35" s="3063">
        <v>0</v>
      </c>
      <c r="J35" s="3063" t="e">
        <v>#VALUE!</v>
      </c>
      <c r="K35" s="3063" t="s">
        <v>525</v>
      </c>
      <c r="L35" s="3063" t="s">
        <v>525</v>
      </c>
      <c r="M35" s="3063" t="s">
        <v>525</v>
      </c>
      <c r="N35" s="3064" t="s">
        <v>525</v>
      </c>
      <c r="O35" s="3064" t="s">
        <v>525</v>
      </c>
      <c r="P35" s="3064" t="s">
        <v>525</v>
      </c>
      <c r="Q35" s="565" t="s">
        <v>525</v>
      </c>
      <c r="R35" s="3063">
        <v>0</v>
      </c>
      <c r="S35" s="3063" t="s">
        <v>525</v>
      </c>
      <c r="T35" s="3063" t="s">
        <v>525</v>
      </c>
      <c r="U35" s="3063" t="s">
        <v>525</v>
      </c>
      <c r="V35" s="3065">
        <v>5.5021555102258944E-2</v>
      </c>
      <c r="W35" s="3063" t="s">
        <v>525</v>
      </c>
      <c r="X35" s="3063">
        <v>0</v>
      </c>
      <c r="Y35" s="3063" t="s">
        <v>525</v>
      </c>
      <c r="Z35" s="3063">
        <v>0</v>
      </c>
      <c r="AA35" s="3063">
        <v>0</v>
      </c>
      <c r="AB35" s="3063" t="s">
        <v>525</v>
      </c>
      <c r="AC35" s="3063" t="s">
        <v>525</v>
      </c>
      <c r="AD35" s="3063" t="s">
        <v>525</v>
      </c>
      <c r="AE35" s="3063" t="s">
        <v>525</v>
      </c>
      <c r="AF35" s="3063" t="s">
        <v>525</v>
      </c>
      <c r="AG35" s="3063" t="s">
        <v>525</v>
      </c>
      <c r="AH35" s="3063" t="s">
        <v>525</v>
      </c>
      <c r="AI35" s="3063" t="s">
        <v>525</v>
      </c>
      <c r="AJ35" s="3063"/>
      <c r="AK35" s="3063" t="s">
        <v>525</v>
      </c>
      <c r="AL35" s="3063" t="s">
        <v>525</v>
      </c>
      <c r="AM35" s="3063" t="s">
        <v>525</v>
      </c>
      <c r="AN35" s="565">
        <v>0</v>
      </c>
      <c r="AO35" s="565">
        <v>0</v>
      </c>
      <c r="AP35" s="3063" t="s">
        <v>525</v>
      </c>
      <c r="AQ35" s="3063" t="s">
        <v>525</v>
      </c>
      <c r="AR35" s="3064" t="s">
        <v>525</v>
      </c>
      <c r="AS35" s="3063" t="s">
        <v>525</v>
      </c>
      <c r="AT35" s="3064" t="s">
        <v>525</v>
      </c>
      <c r="AU35" s="3063" t="s">
        <v>525</v>
      </c>
      <c r="AV35" s="3064" t="s">
        <v>525</v>
      </c>
      <c r="AW35" s="3063" t="s">
        <v>525</v>
      </c>
      <c r="AX35" s="3064" t="s">
        <v>525</v>
      </c>
      <c r="AY35" s="3063" t="s">
        <v>525</v>
      </c>
      <c r="AZ35" s="3066" t="s">
        <v>525</v>
      </c>
      <c r="BA35" s="3066" t="s">
        <v>525</v>
      </c>
      <c r="BB35" s="3067" t="s">
        <v>525</v>
      </c>
      <c r="BC35" s="3067" t="s">
        <v>525</v>
      </c>
      <c r="BD35" s="3067" t="s">
        <v>525</v>
      </c>
      <c r="BE35" s="3067" t="s">
        <v>525</v>
      </c>
      <c r="BF35" s="3068" t="s">
        <v>525</v>
      </c>
      <c r="BG35" s="3068" t="s">
        <v>525</v>
      </c>
      <c r="BH35" s="3068" t="s">
        <v>525</v>
      </c>
      <c r="BI35" s="3068" t="s">
        <v>525</v>
      </c>
      <c r="BJ35" s="3068" t="s">
        <v>525</v>
      </c>
      <c r="BK35" s="3068" t="s">
        <v>525</v>
      </c>
      <c r="BL35" s="3068" t="s">
        <v>525</v>
      </c>
      <c r="BM35" s="3068" t="s">
        <v>525</v>
      </c>
      <c r="BN35" s="3068" t="s">
        <v>525</v>
      </c>
      <c r="BO35" s="3068" t="s">
        <v>525</v>
      </c>
      <c r="BP35" s="3068" t="s">
        <v>525</v>
      </c>
      <c r="BQ35" s="565" t="s">
        <v>525</v>
      </c>
      <c r="BR35" s="565" t="s">
        <v>525</v>
      </c>
      <c r="BS35" s="565" t="s">
        <v>525</v>
      </c>
      <c r="BT35" s="565" t="s">
        <v>525</v>
      </c>
      <c r="BU35" s="565">
        <v>31</v>
      </c>
      <c r="BV35" s="3067" t="s">
        <v>1400</v>
      </c>
      <c r="BW35" s="3067">
        <v>0</v>
      </c>
      <c r="BX35" s="3067">
        <v>0</v>
      </c>
      <c r="BY35" s="3067">
        <v>0</v>
      </c>
      <c r="BZ35" s="3067">
        <v>0</v>
      </c>
      <c r="CA35" s="3067" t="s">
        <v>525</v>
      </c>
      <c r="CB35" s="3067" t="s">
        <v>525</v>
      </c>
      <c r="CC35" s="3067" t="s">
        <v>525</v>
      </c>
      <c r="CD35" s="3067">
        <v>0</v>
      </c>
      <c r="CE35" s="3067" t="s">
        <v>525</v>
      </c>
      <c r="CF35" s="3067" t="s">
        <v>525</v>
      </c>
      <c r="CG35" s="3067" t="s">
        <v>525</v>
      </c>
    </row>
    <row r="36" spans="1:85">
      <c r="A36" s="565">
        <v>0</v>
      </c>
      <c r="B36" s="565">
        <v>0</v>
      </c>
      <c r="C36" s="3063">
        <v>0</v>
      </c>
      <c r="D36" s="3063" t="s">
        <v>525</v>
      </c>
      <c r="E36" s="3063">
        <v>0</v>
      </c>
      <c r="F36" s="3063">
        <v>0</v>
      </c>
      <c r="G36" s="3063">
        <v>0</v>
      </c>
      <c r="H36" s="3063">
        <v>0</v>
      </c>
      <c r="I36" s="3063">
        <v>0</v>
      </c>
      <c r="J36" s="3063" t="e">
        <v>#VALUE!</v>
      </c>
      <c r="K36" s="3063" t="s">
        <v>525</v>
      </c>
      <c r="L36" s="3063" t="s">
        <v>525</v>
      </c>
      <c r="M36" s="3063" t="s">
        <v>525</v>
      </c>
      <c r="N36" s="3064" t="s">
        <v>525</v>
      </c>
      <c r="O36" s="3064" t="s">
        <v>525</v>
      </c>
      <c r="P36" s="3064" t="s">
        <v>525</v>
      </c>
      <c r="Q36" s="565" t="s">
        <v>525</v>
      </c>
      <c r="R36" s="3063">
        <v>0</v>
      </c>
      <c r="S36" s="3063" t="s">
        <v>525</v>
      </c>
      <c r="T36" s="3063" t="s">
        <v>525</v>
      </c>
      <c r="U36" s="3063" t="s">
        <v>525</v>
      </c>
      <c r="V36" s="3065">
        <v>5.5021555102258944E-2</v>
      </c>
      <c r="W36" s="3063" t="s">
        <v>525</v>
      </c>
      <c r="X36" s="3063">
        <v>0</v>
      </c>
      <c r="Y36" s="3063" t="s">
        <v>525</v>
      </c>
      <c r="Z36" s="3063">
        <v>0</v>
      </c>
      <c r="AA36" s="3063">
        <v>0</v>
      </c>
      <c r="AB36" s="3063" t="s">
        <v>525</v>
      </c>
      <c r="AC36" s="3063" t="s">
        <v>525</v>
      </c>
      <c r="AD36" s="3063" t="s">
        <v>525</v>
      </c>
      <c r="AE36" s="3063" t="s">
        <v>525</v>
      </c>
      <c r="AF36" s="3063" t="s">
        <v>525</v>
      </c>
      <c r="AG36" s="3063" t="s">
        <v>525</v>
      </c>
      <c r="AH36" s="3063" t="s">
        <v>525</v>
      </c>
      <c r="AI36" s="3063" t="s">
        <v>525</v>
      </c>
      <c r="AJ36" s="3063"/>
      <c r="AK36" s="3063" t="s">
        <v>525</v>
      </c>
      <c r="AL36" s="3063" t="s">
        <v>525</v>
      </c>
      <c r="AM36" s="3063" t="s">
        <v>525</v>
      </c>
      <c r="AN36" s="565">
        <v>0</v>
      </c>
      <c r="AO36" s="565">
        <v>0</v>
      </c>
      <c r="AP36" s="3063" t="s">
        <v>525</v>
      </c>
      <c r="AQ36" s="3063" t="s">
        <v>525</v>
      </c>
      <c r="AR36" s="3064" t="s">
        <v>525</v>
      </c>
      <c r="AS36" s="3063" t="s">
        <v>525</v>
      </c>
      <c r="AT36" s="3064" t="s">
        <v>525</v>
      </c>
      <c r="AU36" s="3063" t="s">
        <v>525</v>
      </c>
      <c r="AV36" s="3064" t="s">
        <v>525</v>
      </c>
      <c r="AW36" s="3063" t="s">
        <v>525</v>
      </c>
      <c r="AX36" s="3064" t="s">
        <v>525</v>
      </c>
      <c r="AY36" s="3063" t="s">
        <v>525</v>
      </c>
      <c r="AZ36" s="3066" t="s">
        <v>525</v>
      </c>
      <c r="BA36" s="3066" t="s">
        <v>525</v>
      </c>
      <c r="BB36" s="3067" t="s">
        <v>525</v>
      </c>
      <c r="BC36" s="3067" t="s">
        <v>525</v>
      </c>
      <c r="BD36" s="3067" t="s">
        <v>525</v>
      </c>
      <c r="BE36" s="3067" t="s">
        <v>525</v>
      </c>
      <c r="BF36" s="3068" t="s">
        <v>525</v>
      </c>
      <c r="BG36" s="3068" t="s">
        <v>525</v>
      </c>
      <c r="BH36" s="3068" t="s">
        <v>525</v>
      </c>
      <c r="BI36" s="3068" t="s">
        <v>525</v>
      </c>
      <c r="BJ36" s="3068" t="s">
        <v>525</v>
      </c>
      <c r="BK36" s="3068" t="s">
        <v>525</v>
      </c>
      <c r="BL36" s="3068" t="s">
        <v>525</v>
      </c>
      <c r="BM36" s="3068" t="s">
        <v>525</v>
      </c>
      <c r="BN36" s="3068" t="s">
        <v>525</v>
      </c>
      <c r="BO36" s="3068" t="s">
        <v>525</v>
      </c>
      <c r="BP36" s="3068" t="s">
        <v>525</v>
      </c>
      <c r="BQ36" s="565" t="s">
        <v>525</v>
      </c>
      <c r="BR36" s="565" t="s">
        <v>525</v>
      </c>
      <c r="BS36" s="565" t="s">
        <v>525</v>
      </c>
      <c r="BT36" s="565" t="s">
        <v>525</v>
      </c>
      <c r="BU36" s="565">
        <v>32</v>
      </c>
      <c r="BV36" s="3067" t="s">
        <v>1400</v>
      </c>
      <c r="BW36" s="3067">
        <v>0</v>
      </c>
      <c r="BX36" s="3067">
        <v>0</v>
      </c>
      <c r="BY36" s="3067">
        <v>0</v>
      </c>
      <c r="BZ36" s="3067">
        <v>0</v>
      </c>
      <c r="CA36" s="3067" t="s">
        <v>525</v>
      </c>
      <c r="CB36" s="3067" t="s">
        <v>525</v>
      </c>
      <c r="CC36" s="3067" t="s">
        <v>525</v>
      </c>
      <c r="CD36" s="3067">
        <v>0</v>
      </c>
      <c r="CE36" s="3067" t="s">
        <v>525</v>
      </c>
      <c r="CF36" s="3067" t="s">
        <v>525</v>
      </c>
      <c r="CG36" s="3067" t="s">
        <v>525</v>
      </c>
    </row>
    <row r="37" spans="1:85">
      <c r="C37" s="3063"/>
      <c r="D37" s="3063"/>
      <c r="E37" s="3063"/>
      <c r="F37" s="3063"/>
      <c r="G37" s="3063"/>
      <c r="H37" s="3063"/>
      <c r="I37" s="3063"/>
      <c r="K37" s="3063"/>
      <c r="L37" s="3063"/>
      <c r="M37" s="3063"/>
      <c r="N37" s="3064"/>
      <c r="O37" s="3064"/>
      <c r="P37" s="3064"/>
      <c r="R37" s="3063"/>
      <c r="S37" s="3063"/>
      <c r="T37" s="3063"/>
      <c r="U37" s="3063"/>
      <c r="V37" s="3063"/>
      <c r="W37" s="3063"/>
      <c r="X37" s="3063"/>
      <c r="Y37" s="3063"/>
      <c r="Z37" s="3063"/>
      <c r="AA37" s="3063"/>
      <c r="AB37" s="3063"/>
      <c r="AC37" s="3063"/>
      <c r="AD37" s="3063"/>
      <c r="AE37" s="3063"/>
      <c r="AF37" s="3063"/>
      <c r="AG37" s="3063"/>
      <c r="AH37" s="3063"/>
      <c r="AI37" s="3063"/>
      <c r="AJ37" s="3063"/>
      <c r="AK37" s="3063"/>
      <c r="AL37" s="3063"/>
      <c r="AM37" s="3063"/>
      <c r="AP37" s="3063"/>
      <c r="AQ37" s="3063"/>
      <c r="AR37" s="3064"/>
      <c r="AS37" s="3063"/>
      <c r="AT37" s="3064"/>
      <c r="AU37" s="3063"/>
      <c r="AV37" s="3064"/>
      <c r="AW37" s="3063"/>
      <c r="AX37" s="3064"/>
      <c r="AY37" s="3063"/>
      <c r="AZ37" s="3066"/>
      <c r="BA37" s="3066"/>
      <c r="BB37" s="3067"/>
      <c r="BC37" s="3067"/>
      <c r="BD37" s="3067"/>
      <c r="BE37" s="3067"/>
      <c r="BF37" s="3068"/>
      <c r="BG37" s="3068"/>
      <c r="BH37" s="3068"/>
      <c r="BI37" s="3068"/>
      <c r="BJ37" s="3068"/>
      <c r="BK37" s="3068"/>
      <c r="BL37" s="3068"/>
      <c r="BM37" s="3068"/>
      <c r="BN37" s="3068"/>
      <c r="BO37" s="3068"/>
      <c r="BP37" s="3068"/>
    </row>
    <row r="38" spans="1:85">
      <c r="C38" s="3063"/>
      <c r="D38" s="3063"/>
      <c r="E38" s="3063"/>
      <c r="F38" s="3063"/>
      <c r="G38" s="3063"/>
      <c r="H38" s="3063"/>
      <c r="I38" s="3063"/>
      <c r="K38" s="3063"/>
      <c r="L38" s="3063"/>
      <c r="M38" s="3063"/>
      <c r="N38" s="3064"/>
      <c r="O38" s="3064"/>
      <c r="P38" s="3064"/>
      <c r="R38" s="3063"/>
      <c r="S38" s="3063"/>
      <c r="T38" s="3063"/>
      <c r="U38" s="3063"/>
      <c r="V38" s="3063"/>
      <c r="W38" s="3063"/>
      <c r="X38" s="3063"/>
      <c r="Y38" s="3063"/>
      <c r="Z38" s="3063"/>
      <c r="AA38" s="3063"/>
      <c r="AB38" s="3063"/>
      <c r="AC38" s="3063"/>
      <c r="AD38" s="3063"/>
      <c r="AE38" s="3063"/>
      <c r="AF38" s="3063"/>
      <c r="AG38" s="3063"/>
      <c r="AH38" s="3063"/>
      <c r="AI38" s="3063"/>
      <c r="AJ38" s="3063"/>
      <c r="AK38" s="3063"/>
      <c r="AL38" s="3063"/>
      <c r="AM38" s="3063"/>
      <c r="AP38" s="3063"/>
      <c r="AQ38" s="3063"/>
      <c r="AR38" s="3064"/>
      <c r="AS38" s="3063"/>
      <c r="AT38" s="3064"/>
      <c r="AU38" s="3063"/>
      <c r="AV38" s="3064"/>
      <c r="AW38" s="3063"/>
      <c r="AX38" s="3064"/>
      <c r="AY38" s="3063"/>
      <c r="AZ38" s="3066"/>
      <c r="BA38" s="3066"/>
      <c r="BB38" s="3067"/>
      <c r="BC38" s="3067"/>
      <c r="BD38" s="3067"/>
      <c r="BE38" s="3067"/>
      <c r="BF38" s="3068"/>
      <c r="BG38" s="3068"/>
      <c r="BH38" s="3068"/>
      <c r="BI38" s="3068"/>
      <c r="BJ38" s="3068"/>
      <c r="BK38" s="3068"/>
      <c r="BL38" s="3068"/>
      <c r="BM38" s="3068"/>
      <c r="BN38" s="3068"/>
      <c r="BO38" s="3068"/>
      <c r="BP38" s="3068"/>
    </row>
    <row r="39" spans="1:85">
      <c r="C39" s="3063"/>
      <c r="D39" s="3063"/>
      <c r="E39" s="3063"/>
      <c r="F39" s="3063"/>
      <c r="G39" s="3063"/>
      <c r="H39" s="3063"/>
      <c r="I39" s="3063"/>
      <c r="K39" s="3063"/>
      <c r="L39" s="3063"/>
      <c r="M39" s="3063"/>
      <c r="N39" s="3064"/>
      <c r="O39" s="3064"/>
      <c r="P39" s="3064"/>
      <c r="R39" s="3063"/>
      <c r="S39" s="3063"/>
      <c r="T39" s="3063"/>
      <c r="U39" s="3063"/>
      <c r="V39" s="3063"/>
      <c r="W39" s="3063"/>
      <c r="X39" s="3063"/>
      <c r="Y39" s="3063"/>
      <c r="Z39" s="3063"/>
      <c r="AA39" s="3063"/>
      <c r="AB39" s="3063"/>
      <c r="AC39" s="3063"/>
      <c r="AD39" s="3063"/>
      <c r="AE39" s="3063"/>
      <c r="AF39" s="3063"/>
      <c r="AG39" s="3063"/>
      <c r="AH39" s="3063"/>
      <c r="AI39" s="3063"/>
      <c r="AJ39" s="3063"/>
      <c r="AK39" s="3063"/>
      <c r="AL39" s="3063"/>
      <c r="AM39" s="3063"/>
      <c r="AP39" s="3063"/>
      <c r="AQ39" s="3063"/>
      <c r="AR39" s="3064"/>
      <c r="AS39" s="3063"/>
      <c r="AT39" s="3064"/>
      <c r="AU39" s="3063"/>
      <c r="AV39" s="3064"/>
      <c r="AW39" s="3063"/>
      <c r="AX39" s="3064"/>
      <c r="AY39" s="3063"/>
      <c r="AZ39" s="3066"/>
      <c r="BA39" s="3066"/>
      <c r="BB39" s="3067"/>
      <c r="BC39" s="3067"/>
      <c r="BD39" s="3067"/>
      <c r="BE39" s="3067"/>
      <c r="BF39" s="3068"/>
      <c r="BG39" s="3068"/>
      <c r="BH39" s="3068"/>
      <c r="BI39" s="3068"/>
      <c r="BJ39" s="3068"/>
      <c r="BK39" s="3068"/>
      <c r="BL39" s="3068"/>
      <c r="BM39" s="3068"/>
      <c r="BN39" s="3068"/>
      <c r="BO39" s="3068"/>
      <c r="BP39" s="3068"/>
    </row>
    <row r="40" spans="1:85">
      <c r="C40" s="3063"/>
      <c r="D40" s="3063"/>
      <c r="E40" s="3063"/>
      <c r="F40" s="3063"/>
      <c r="G40" s="3063"/>
      <c r="H40" s="3063"/>
      <c r="I40" s="3063"/>
      <c r="K40" s="3063"/>
      <c r="L40" s="3063"/>
      <c r="M40" s="3063"/>
      <c r="N40" s="3064"/>
      <c r="O40" s="3064"/>
      <c r="P40" s="3064"/>
      <c r="R40" s="3063"/>
      <c r="S40" s="3063"/>
      <c r="T40" s="3063"/>
      <c r="U40" s="3063"/>
      <c r="V40" s="3063"/>
      <c r="W40" s="3063"/>
      <c r="X40" s="3063"/>
      <c r="Y40" s="3063"/>
      <c r="Z40" s="3063"/>
      <c r="AA40" s="3063"/>
      <c r="AB40" s="3063"/>
      <c r="AC40" s="3063"/>
      <c r="AD40" s="3063"/>
      <c r="AE40" s="3063"/>
      <c r="AF40" s="3063"/>
      <c r="AG40" s="3063"/>
      <c r="AH40" s="3063"/>
      <c r="AI40" s="3063"/>
      <c r="AJ40" s="3063"/>
      <c r="AK40" s="3063"/>
      <c r="AL40" s="3063"/>
      <c r="AM40" s="3063"/>
      <c r="AP40" s="3063"/>
      <c r="AQ40" s="3063"/>
      <c r="AR40" s="3064"/>
      <c r="AS40" s="3063"/>
      <c r="AT40" s="3064"/>
      <c r="AU40" s="3063"/>
      <c r="AV40" s="3064"/>
      <c r="AW40" s="3063"/>
      <c r="AX40" s="3064"/>
      <c r="AY40" s="3063"/>
      <c r="AZ40" s="3066"/>
      <c r="BA40" s="3066"/>
      <c r="BB40" s="3067"/>
      <c r="BC40" s="3067"/>
      <c r="BD40" s="3067"/>
      <c r="BE40" s="3067"/>
      <c r="BF40" s="3068"/>
      <c r="BG40" s="3068"/>
      <c r="BH40" s="3068"/>
      <c r="BI40" s="3068"/>
      <c r="BJ40" s="3068"/>
      <c r="BK40" s="3068"/>
      <c r="BL40" s="3068"/>
      <c r="BM40" s="3068"/>
      <c r="BN40" s="3068"/>
      <c r="BO40" s="3068"/>
      <c r="BP40" s="3068"/>
    </row>
    <row r="41" spans="1:85">
      <c r="C41" s="3063"/>
      <c r="D41" s="3063"/>
      <c r="E41" s="3063"/>
      <c r="F41" s="3063"/>
      <c r="G41" s="3063"/>
      <c r="H41" s="3063"/>
      <c r="I41" s="3063"/>
      <c r="K41" s="3063"/>
      <c r="L41" s="3063"/>
      <c r="M41" s="3063"/>
      <c r="N41" s="3064"/>
      <c r="O41" s="3064"/>
      <c r="P41" s="3064"/>
      <c r="R41" s="3063"/>
      <c r="S41" s="3063"/>
      <c r="T41" s="3063"/>
      <c r="U41" s="3063"/>
      <c r="V41" s="3063"/>
      <c r="W41" s="3063"/>
      <c r="X41" s="3063"/>
      <c r="Y41" s="3063"/>
      <c r="Z41" s="3063"/>
      <c r="AA41" s="3063"/>
      <c r="AB41" s="3063"/>
      <c r="AC41" s="3063"/>
      <c r="AD41" s="3063"/>
      <c r="AE41" s="3063"/>
      <c r="AF41" s="3063"/>
      <c r="AG41" s="3063"/>
      <c r="AH41" s="3063"/>
      <c r="AI41" s="3063"/>
      <c r="AJ41" s="3063"/>
      <c r="AK41" s="3063"/>
      <c r="AL41" s="3063"/>
      <c r="AM41" s="3063"/>
      <c r="AP41" s="3063"/>
      <c r="AQ41" s="3063"/>
      <c r="AR41" s="3064"/>
      <c r="AS41" s="3063"/>
      <c r="AT41" s="3064"/>
      <c r="AU41" s="3063"/>
      <c r="AV41" s="3064"/>
      <c r="AW41" s="3063"/>
      <c r="AX41" s="3064"/>
      <c r="AY41" s="3063"/>
      <c r="AZ41" s="3066"/>
      <c r="BA41" s="3066"/>
      <c r="BB41" s="3067"/>
      <c r="BC41" s="3067"/>
      <c r="BD41" s="3067"/>
      <c r="BE41" s="3067"/>
      <c r="BF41" s="3068"/>
      <c r="BG41" s="3068"/>
      <c r="BH41" s="3068"/>
      <c r="BI41" s="3068"/>
      <c r="BJ41" s="3068"/>
      <c r="BK41" s="3068"/>
      <c r="BL41" s="3068"/>
      <c r="BM41" s="3068"/>
      <c r="BN41" s="3068"/>
      <c r="BO41" s="3068"/>
      <c r="BP41" s="3068"/>
    </row>
    <row r="42" spans="1:85">
      <c r="C42" s="3063"/>
      <c r="D42" s="3063"/>
      <c r="E42" s="3063"/>
      <c r="F42" s="3063"/>
      <c r="G42" s="3063"/>
      <c r="H42" s="3063"/>
      <c r="I42" s="3063"/>
      <c r="K42" s="3063"/>
      <c r="L42" s="3063"/>
      <c r="M42" s="3063"/>
      <c r="N42" s="3064"/>
      <c r="O42" s="3064"/>
      <c r="P42" s="3064"/>
      <c r="R42" s="3063"/>
      <c r="S42" s="3063"/>
      <c r="T42" s="3063"/>
      <c r="U42" s="3063"/>
      <c r="V42" s="3063"/>
      <c r="W42" s="3063"/>
      <c r="X42" s="3063"/>
      <c r="Y42" s="3063"/>
      <c r="Z42" s="3063"/>
      <c r="AA42" s="3063"/>
      <c r="AB42" s="3063"/>
      <c r="AC42" s="3063"/>
      <c r="AD42" s="3063"/>
      <c r="AE42" s="3063"/>
      <c r="AF42" s="3063"/>
      <c r="AG42" s="3063"/>
      <c r="AH42" s="3063"/>
      <c r="AI42" s="3063"/>
      <c r="AJ42" s="3063"/>
      <c r="AK42" s="3063"/>
      <c r="AL42" s="3063"/>
      <c r="AM42" s="3063"/>
      <c r="AP42" s="3063"/>
      <c r="AQ42" s="3063"/>
      <c r="AR42" s="3064"/>
      <c r="AS42" s="3063"/>
      <c r="AT42" s="3064"/>
      <c r="AU42" s="3063"/>
      <c r="AV42" s="3064"/>
      <c r="AW42" s="3063"/>
      <c r="AX42" s="3064"/>
      <c r="AY42" s="3063"/>
      <c r="AZ42" s="3066"/>
      <c r="BA42" s="3066"/>
      <c r="BB42" s="3067"/>
      <c r="BC42" s="3067"/>
      <c r="BD42" s="3067"/>
      <c r="BE42" s="3067"/>
      <c r="BF42" s="3068"/>
      <c r="BG42" s="3068"/>
      <c r="BH42" s="3068"/>
      <c r="BI42" s="3068"/>
      <c r="BJ42" s="3068"/>
      <c r="BK42" s="3068"/>
      <c r="BL42" s="3068"/>
      <c r="BM42" s="3068"/>
      <c r="BN42" s="3068"/>
      <c r="BO42" s="3068"/>
      <c r="BP42" s="3068"/>
    </row>
  </sheetData>
  <mergeCells count="29">
    <mergeCell ref="AX2:AY2"/>
    <mergeCell ref="S1:S3"/>
    <mergeCell ref="Y1:Y3"/>
    <mergeCell ref="AC1:AC2"/>
    <mergeCell ref="AD1:AD2"/>
    <mergeCell ref="AL3:AM3"/>
    <mergeCell ref="AN2:AO2"/>
    <mergeCell ref="AP2:AQ2"/>
    <mergeCell ref="AR2:AS2"/>
    <mergeCell ref="AT2:AU2"/>
    <mergeCell ref="AV2:AW2"/>
    <mergeCell ref="N2:N3"/>
    <mergeCell ref="O2:O3"/>
    <mergeCell ref="P2:P3"/>
    <mergeCell ref="Q2:Q3"/>
    <mergeCell ref="R2:R3"/>
    <mergeCell ref="M2:M3"/>
    <mergeCell ref="G2:G3"/>
    <mergeCell ref="H2:H3"/>
    <mergeCell ref="I2:I3"/>
    <mergeCell ref="K2:K3"/>
    <mergeCell ref="L2:L3"/>
    <mergeCell ref="BJ2:BK2"/>
    <mergeCell ref="BF2:BG2"/>
    <mergeCell ref="BP1:BP2"/>
    <mergeCell ref="BO1:BO2"/>
    <mergeCell ref="BN1:BN3"/>
    <mergeCell ref="BF1:BG1"/>
    <mergeCell ref="BJ1:BK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522"/>
  <sheetViews>
    <sheetView showGridLines="0" zoomScale="90" zoomScaleNormal="90" workbookViewId="0"/>
  </sheetViews>
  <sheetFormatPr baseColWidth="10" defaultColWidth="11" defaultRowHeight="13.2"/>
  <cols>
    <col min="1" max="1" width="26.44140625" style="34" customWidth="1"/>
    <col min="2" max="2" width="19.44140625" style="34" customWidth="1"/>
    <col min="3" max="3" width="13.21875" style="34" customWidth="1"/>
    <col min="4" max="4" width="8.44140625" style="34" bestFit="1" customWidth="1"/>
    <col min="5" max="5" width="16" style="34" customWidth="1"/>
    <col min="6" max="6" width="16.44140625" style="56" customWidth="1"/>
    <col min="7" max="7" width="15.44140625" style="34" customWidth="1"/>
    <col min="8" max="8" width="1.21875" style="34" customWidth="1"/>
    <col min="9" max="9" width="6.21875" style="36" customWidth="1"/>
    <col min="10" max="10" width="26.44140625" style="34" customWidth="1"/>
    <col min="11" max="11" width="18.77734375" style="34" customWidth="1"/>
    <col min="12" max="12" width="12.77734375" style="57" customWidth="1"/>
    <col min="13" max="13" width="3.44140625" style="76" customWidth="1"/>
    <col min="14" max="14" width="12.21875" style="34" customWidth="1"/>
    <col min="15" max="15" width="13.44140625" style="34" customWidth="1"/>
    <col min="16" max="16" width="13.5546875" style="13" customWidth="1"/>
    <col min="17" max="17" width="11" style="13" customWidth="1"/>
    <col min="18" max="18" width="9.44140625" style="34" customWidth="1"/>
    <col min="19" max="19" width="7.77734375" style="34" customWidth="1"/>
    <col min="20" max="20" width="8.77734375" style="34" customWidth="1"/>
    <col min="21" max="21" width="8.21875" style="34" customWidth="1"/>
    <col min="22" max="22" width="9.21875" style="34" customWidth="1"/>
    <col min="23" max="24" width="7.21875" style="34" customWidth="1"/>
    <col min="25" max="25" width="12.21875" style="34" customWidth="1"/>
    <col min="26" max="26" width="12.77734375" style="34" customWidth="1"/>
    <col min="27" max="36" width="11.6640625" style="34" customWidth="1"/>
    <col min="37" max="38" width="11" style="34"/>
    <col min="39" max="39" width="14.21875" style="34" customWidth="1"/>
    <col min="40" max="16384" width="11" style="34"/>
  </cols>
  <sheetData>
    <row r="1" spans="1:46" s="3" customFormat="1" ht="28.5" customHeight="1" thickBot="1">
      <c r="A1" s="1" t="s">
        <v>778</v>
      </c>
      <c r="E1" s="1"/>
      <c r="I1" s="31"/>
      <c r="J1" s="3473"/>
      <c r="K1" s="3473"/>
      <c r="U1" s="3526">
        <f ca="1">TODAY()</f>
        <v>44939</v>
      </c>
      <c r="V1" s="3526"/>
      <c r="W1" s="2459" t="s">
        <v>447</v>
      </c>
      <c r="X1" s="2459"/>
      <c r="Y1" s="2459"/>
      <c r="Z1" s="2460" t="s">
        <v>503</v>
      </c>
      <c r="AA1" s="2391">
        <v>45300</v>
      </c>
      <c r="AB1" s="2462">
        <f ca="1">Start!M16</f>
        <v>45300</v>
      </c>
      <c r="AC1" s="2461" t="str">
        <f ca="1">IF(AB1=AA1,"ok","falsch")</f>
        <v>ok</v>
      </c>
    </row>
    <row r="2" spans="1:46" ht="138" customHeight="1">
      <c r="A2" s="3552" t="s">
        <v>779</v>
      </c>
      <c r="B2" s="3552"/>
      <c r="C2" s="3552"/>
      <c r="D2" s="3552"/>
      <c r="E2" s="3552"/>
      <c r="F2" s="3497"/>
      <c r="G2" s="3497"/>
      <c r="H2" s="3497"/>
      <c r="I2" s="3497"/>
      <c r="J2" s="3474" t="s">
        <v>1414</v>
      </c>
      <c r="K2" s="3475"/>
      <c r="L2" s="3475"/>
      <c r="M2" s="3476"/>
      <c r="W2" s="2382"/>
      <c r="X2" s="3"/>
      <c r="Y2" s="3"/>
      <c r="Z2" s="3"/>
      <c r="AB2" s="398" t="str">
        <f ca="1">IF(AC1="ok","ok","")</f>
        <v>ok</v>
      </c>
      <c r="AD2" s="3"/>
      <c r="AI2" s="3"/>
      <c r="AJ2" s="3"/>
      <c r="AK2" s="3"/>
      <c r="AL2" s="3"/>
      <c r="AM2" s="3"/>
      <c r="AN2" s="3"/>
      <c r="AO2" s="3"/>
      <c r="AP2" s="3"/>
      <c r="AQ2" s="3"/>
      <c r="AR2" s="3"/>
      <c r="AS2" s="3"/>
      <c r="AT2" s="3"/>
    </row>
    <row r="3" spans="1:46" ht="20.100000000000001" customHeight="1" thickBot="1">
      <c r="A3" s="1671"/>
      <c r="B3" s="1671"/>
      <c r="C3" s="1671"/>
      <c r="D3" s="1671"/>
      <c r="E3" s="1671"/>
      <c r="F3" s="1616"/>
      <c r="G3" s="1616"/>
      <c r="H3" s="1616"/>
      <c r="I3" s="1616"/>
      <c r="J3" s="3479" t="s">
        <v>1415</v>
      </c>
      <c r="K3" s="3480"/>
      <c r="L3" s="3480"/>
      <c r="M3" s="1676"/>
      <c r="W3" s="2382"/>
      <c r="X3" s="3"/>
      <c r="Y3" s="3"/>
      <c r="Z3" s="3"/>
      <c r="AB3" s="3"/>
      <c r="AC3" s="3"/>
      <c r="AD3" s="3"/>
      <c r="AF3" s="398"/>
      <c r="AH3" s="3"/>
      <c r="AI3" s="3"/>
      <c r="AJ3" s="3"/>
      <c r="AK3" s="3"/>
      <c r="AL3" s="3"/>
      <c r="AM3" s="3"/>
      <c r="AN3" s="3"/>
      <c r="AO3" s="3"/>
      <c r="AP3" s="3"/>
      <c r="AQ3" s="3"/>
      <c r="AR3" s="3"/>
      <c r="AS3" s="3"/>
      <c r="AT3" s="3"/>
    </row>
    <row r="4" spans="1:46" ht="57" customHeight="1">
      <c r="A4" s="3517" t="s">
        <v>1223</v>
      </c>
      <c r="B4" s="3517"/>
      <c r="C4" s="3518" t="s">
        <v>1224</v>
      </c>
      <c r="D4" s="3518"/>
      <c r="F4" s="3505"/>
      <c r="G4" s="3505"/>
      <c r="I4" s="3"/>
      <c r="J4" s="1610" t="s">
        <v>1157</v>
      </c>
      <c r="L4" s="34"/>
      <c r="M4" s="3"/>
      <c r="N4" s="3"/>
      <c r="S4" s="3"/>
      <c r="T4" s="3"/>
      <c r="U4" s="3"/>
      <c r="V4" s="3"/>
      <c r="W4" s="2382"/>
      <c r="X4" s="3"/>
      <c r="Y4" s="3"/>
      <c r="Z4" s="3"/>
      <c r="AB4" s="3"/>
      <c r="AC4" s="3"/>
      <c r="AD4" s="3"/>
      <c r="AE4" s="3"/>
      <c r="AF4" s="3"/>
      <c r="AG4" s="3"/>
      <c r="AH4" s="3"/>
      <c r="AI4" s="3"/>
      <c r="AJ4" s="3"/>
    </row>
    <row r="5" spans="1:46" ht="25.05" customHeight="1">
      <c r="B5" s="56"/>
      <c r="C5" s="3518"/>
      <c r="D5" s="3518"/>
      <c r="E5" s="56"/>
      <c r="J5" s="3355" t="s">
        <v>1158</v>
      </c>
      <c r="L5" s="3481" t="s">
        <v>1163</v>
      </c>
      <c r="M5" s="3481"/>
      <c r="N5" s="56"/>
      <c r="R5" s="56"/>
      <c r="S5" s="56"/>
      <c r="T5" s="56"/>
      <c r="U5" s="3"/>
      <c r="V5" s="3"/>
      <c r="W5" s="2382"/>
      <c r="X5" s="3"/>
      <c r="Y5" s="3"/>
      <c r="Z5" s="3"/>
      <c r="AB5" s="3"/>
      <c r="AC5" s="3"/>
      <c r="AD5" s="3"/>
      <c r="AE5" s="3"/>
      <c r="AF5" s="3"/>
      <c r="AG5" s="3"/>
      <c r="AH5" s="3"/>
      <c r="AI5" s="3"/>
      <c r="AJ5" s="3"/>
    </row>
    <row r="6" spans="1:46" ht="27" customHeight="1">
      <c r="C6" s="3506" t="s">
        <v>1159</v>
      </c>
      <c r="D6" s="3519" t="s">
        <v>843</v>
      </c>
      <c r="J6" s="3355"/>
      <c r="L6" s="3481"/>
      <c r="M6" s="3481"/>
      <c r="N6" s="56"/>
      <c r="R6" s="56"/>
      <c r="S6" s="56"/>
      <c r="T6" s="56"/>
      <c r="U6" s="56"/>
      <c r="V6" s="56"/>
      <c r="W6" s="2383"/>
      <c r="X6" s="56"/>
      <c r="Y6" s="3"/>
      <c r="Z6" s="3"/>
      <c r="AB6" s="3"/>
      <c r="AC6" s="3"/>
      <c r="AD6" s="3"/>
      <c r="AE6" s="3"/>
      <c r="AF6" s="3"/>
      <c r="AG6" s="3"/>
      <c r="AH6" s="3"/>
      <c r="AI6" s="3"/>
    </row>
    <row r="7" spans="1:46" ht="27" customHeight="1">
      <c r="C7" s="3507"/>
      <c r="D7" s="3519"/>
      <c r="J7" s="3355"/>
      <c r="L7" s="3481"/>
      <c r="M7" s="3481"/>
      <c r="N7" s="56"/>
      <c r="R7" s="56"/>
      <c r="S7" s="56"/>
      <c r="T7" s="56"/>
      <c r="U7" s="56"/>
      <c r="V7" s="56"/>
      <c r="W7" s="2383"/>
      <c r="X7" s="56"/>
      <c r="Y7" s="3"/>
      <c r="Z7" s="3"/>
      <c r="AB7" s="3"/>
      <c r="AC7" s="3"/>
      <c r="AD7" s="3"/>
      <c r="AE7" s="3"/>
      <c r="AF7" s="3"/>
      <c r="AG7" s="3"/>
      <c r="AH7" s="3"/>
      <c r="AI7" s="3"/>
    </row>
    <row r="8" spans="1:46" ht="31.5" customHeight="1">
      <c r="A8" s="3502" t="s">
        <v>815</v>
      </c>
      <c r="B8" s="3503"/>
      <c r="C8" s="3504"/>
      <c r="D8" s="39"/>
      <c r="E8" s="3502" t="s">
        <v>774</v>
      </c>
      <c r="F8" s="3503"/>
      <c r="G8" s="3504"/>
      <c r="J8" s="3355"/>
      <c r="L8" s="3481"/>
      <c r="M8" s="3481"/>
      <c r="N8" s="56"/>
      <c r="R8" s="56"/>
      <c r="S8" s="56"/>
      <c r="T8" s="56"/>
      <c r="U8" s="56"/>
      <c r="V8" s="56"/>
      <c r="W8" s="2383"/>
      <c r="X8" s="56"/>
      <c r="Y8" s="3"/>
      <c r="Z8" s="3"/>
      <c r="AB8" s="3"/>
      <c r="AC8" s="3"/>
      <c r="AD8" s="3"/>
      <c r="AE8" s="3"/>
      <c r="AF8" s="3"/>
      <c r="AG8" s="3"/>
      <c r="AH8" s="3"/>
      <c r="AI8" s="3"/>
    </row>
    <row r="9" spans="1:46" ht="20.25" customHeight="1">
      <c r="A9" s="3501" t="s">
        <v>1252</v>
      </c>
      <c r="B9" s="3497"/>
      <c r="C9" s="753"/>
      <c r="D9" s="39"/>
      <c r="E9" s="3508" t="s">
        <v>775</v>
      </c>
      <c r="F9" s="3355"/>
      <c r="G9" s="3509"/>
      <c r="J9" s="35" t="s">
        <v>25</v>
      </c>
      <c r="K9" s="39" t="s">
        <v>6</v>
      </c>
      <c r="L9" s="40" t="s">
        <v>28</v>
      </c>
      <c r="M9" s="56"/>
      <c r="N9" s="56"/>
      <c r="R9" s="56"/>
      <c r="S9" s="56"/>
      <c r="T9" s="56"/>
      <c r="U9" s="56"/>
      <c r="V9" s="56"/>
      <c r="W9" s="2383"/>
      <c r="X9" s="56"/>
      <c r="Y9" s="3"/>
      <c r="Z9" s="3"/>
      <c r="AB9" s="3"/>
      <c r="AC9" s="3"/>
      <c r="AD9" s="3"/>
      <c r="AE9" s="3"/>
      <c r="AF9" s="3"/>
      <c r="AG9" s="3"/>
      <c r="AH9" s="3"/>
      <c r="AI9" s="3"/>
    </row>
    <row r="10" spans="1:46" ht="20.25" customHeight="1">
      <c r="A10" s="3501"/>
      <c r="B10" s="3497"/>
      <c r="C10" s="3520" t="s">
        <v>1253</v>
      </c>
      <c r="E10" s="3510"/>
      <c r="F10" s="3511"/>
      <c r="G10" s="3512"/>
      <c r="J10" s="1130" t="s">
        <v>29</v>
      </c>
      <c r="K10" s="1248">
        <f>IF(G21=0,0,G21)</f>
        <v>304149.44400000002</v>
      </c>
      <c r="L10" s="818">
        <f t="shared" ref="L10:L15" si="0">IF(K10=0,"",K10/$K$14*100)</f>
        <v>75.759357492121211</v>
      </c>
      <c r="M10" s="56"/>
      <c r="N10" s="3486" t="s">
        <v>777</v>
      </c>
      <c r="O10" s="3487"/>
      <c r="P10" s="3488"/>
      <c r="R10" s="56"/>
      <c r="S10" s="56"/>
      <c r="T10" s="56"/>
      <c r="U10" s="56"/>
      <c r="V10" s="56"/>
      <c r="W10" s="2383"/>
      <c r="X10" s="56"/>
      <c r="Y10" s="3"/>
      <c r="Z10" s="3"/>
      <c r="AB10" s="3"/>
      <c r="AC10" s="3"/>
      <c r="AD10" s="3"/>
      <c r="AE10" s="3"/>
      <c r="AF10" s="3"/>
      <c r="AG10" s="3"/>
      <c r="AH10" s="3"/>
      <c r="AI10" s="3"/>
    </row>
    <row r="11" spans="1:46" ht="20.25" customHeight="1">
      <c r="A11" s="3484" t="s">
        <v>806</v>
      </c>
      <c r="B11" s="3485"/>
      <c r="C11" s="3520"/>
      <c r="E11" s="822"/>
      <c r="F11" s="2678" t="str">
        <f>IF(SUM(F18:F245)=0,"","Es sind Eingaben 
in der Hochrechnung")</f>
        <v>Es sind Eingaben 
in der Hochrechnung</v>
      </c>
      <c r="G11" s="3514" t="s">
        <v>776</v>
      </c>
      <c r="J11" s="1131" t="s">
        <v>30</v>
      </c>
      <c r="K11" s="1248">
        <f>IF(G22=0,0,G22)</f>
        <v>75228.995999999999</v>
      </c>
      <c r="L11" s="819">
        <f t="shared" si="0"/>
        <v>18.738486997652892</v>
      </c>
      <c r="M11" s="56"/>
      <c r="N11" s="3489"/>
      <c r="O11" s="3490"/>
      <c r="P11" s="3491"/>
      <c r="R11" s="56"/>
      <c r="S11" s="56"/>
      <c r="T11" s="56"/>
      <c r="U11" s="56"/>
      <c r="V11" s="56"/>
      <c r="W11" s="2383"/>
      <c r="X11" s="56"/>
      <c r="Y11" s="3"/>
      <c r="Z11" s="3"/>
      <c r="AB11" s="3"/>
      <c r="AC11" s="3"/>
      <c r="AD11" s="3"/>
      <c r="AE11" s="3"/>
      <c r="AF11" s="3"/>
      <c r="AG11" s="3"/>
      <c r="AH11" s="3"/>
      <c r="AI11" s="3"/>
    </row>
    <row r="12" spans="1:46" ht="20.25" customHeight="1">
      <c r="A12" s="3484"/>
      <c r="B12" s="3485"/>
      <c r="C12" s="3520"/>
      <c r="E12" s="823"/>
      <c r="F12" s="3495" t="s">
        <v>650</v>
      </c>
      <c r="G12" s="3515"/>
      <c r="J12" s="1130" t="s">
        <v>31</v>
      </c>
      <c r="K12" s="1248">
        <f>IF(G19=0,0,G19)</f>
        <v>379378.44000000006</v>
      </c>
      <c r="L12" s="818">
        <f t="shared" si="0"/>
        <v>94.497844489774124</v>
      </c>
      <c r="M12" s="56"/>
      <c r="N12" s="3492"/>
      <c r="O12" s="3493"/>
      <c r="P12" s="3494"/>
      <c r="R12" s="56"/>
      <c r="S12" s="56"/>
      <c r="T12" s="56" t="s">
        <v>952</v>
      </c>
      <c r="U12" s="56"/>
      <c r="V12" s="56"/>
      <c r="W12" s="2383"/>
      <c r="X12" s="56"/>
      <c r="Y12" s="3"/>
      <c r="Z12" s="3"/>
      <c r="AB12" s="3"/>
      <c r="AC12" s="3"/>
      <c r="AD12" s="3"/>
      <c r="AE12" s="3"/>
      <c r="AF12" s="3"/>
      <c r="AG12" s="3"/>
      <c r="AH12" s="3"/>
      <c r="AI12" s="3"/>
    </row>
    <row r="13" spans="1:46" ht="24.75" customHeight="1">
      <c r="A13" s="351"/>
      <c r="C13" s="3521" t="s">
        <v>814</v>
      </c>
      <c r="E13" s="823"/>
      <c r="F13" s="3495"/>
      <c r="G13" s="3515"/>
      <c r="J13" s="1130" t="s">
        <v>32</v>
      </c>
      <c r="K13" s="1248">
        <f>IF(G20=0,0,G20)</f>
        <v>22089.383999999998</v>
      </c>
      <c r="L13" s="818">
        <f t="shared" si="0"/>
        <v>5.5021555102258946</v>
      </c>
      <c r="M13" s="56"/>
      <c r="N13" s="3513" t="s">
        <v>310</v>
      </c>
      <c r="O13" s="3513"/>
      <c r="P13" s="1133">
        <f>K19</f>
        <v>36205.944000000003</v>
      </c>
      <c r="R13" s="56"/>
      <c r="S13" s="1569" t="s">
        <v>953</v>
      </c>
      <c r="T13" s="2353" t="s">
        <v>66</v>
      </c>
      <c r="U13" s="56"/>
      <c r="V13" s="56"/>
      <c r="W13" s="2383"/>
      <c r="X13" s="56"/>
      <c r="Y13" s="3"/>
      <c r="Z13" s="3"/>
      <c r="AB13" s="3"/>
      <c r="AC13" s="3"/>
      <c r="AD13" s="3"/>
      <c r="AE13" s="3"/>
      <c r="AF13" s="3"/>
      <c r="AG13" s="3"/>
      <c r="AH13" s="3"/>
      <c r="AI13" s="3"/>
    </row>
    <row r="14" spans="1:46" ht="33" customHeight="1">
      <c r="A14" s="3498" t="s">
        <v>704</v>
      </c>
      <c r="B14" s="3326"/>
      <c r="C14" s="3521"/>
      <c r="E14" s="3495" t="s">
        <v>649</v>
      </c>
      <c r="F14" s="3495"/>
      <c r="G14" s="3515"/>
      <c r="I14" s="3"/>
      <c r="J14" s="1134" t="s">
        <v>33</v>
      </c>
      <c r="K14" s="1249">
        <f>IF(M14=1,"keine Übernahme der Daten",IF(G18=0,0,G18))</f>
        <v>401467.82400000002</v>
      </c>
      <c r="L14" s="820">
        <f t="shared" si="0"/>
        <v>100</v>
      </c>
      <c r="M14" s="942"/>
      <c r="N14" s="56"/>
      <c r="R14" s="56"/>
      <c r="S14" s="13"/>
      <c r="T14" s="1570">
        <f>IF(T13="","",K14)</f>
        <v>401467.82400000002</v>
      </c>
      <c r="U14" s="3477" t="str">
        <f>IF(T13="","","Gesamtumsatz")</f>
        <v>Gesamtumsatz</v>
      </c>
      <c r="V14" s="3477"/>
      <c r="W14" s="3478"/>
      <c r="X14" s="2379"/>
      <c r="Y14" s="3"/>
      <c r="Z14" s="3"/>
      <c r="AB14" s="3"/>
      <c r="AC14" s="3"/>
      <c r="AD14" s="3"/>
      <c r="AE14" s="3"/>
      <c r="AF14" s="3"/>
      <c r="AG14" s="3"/>
      <c r="AH14" s="3"/>
      <c r="AI14" s="3"/>
    </row>
    <row r="15" spans="1:46" ht="24.75" customHeight="1">
      <c r="A15" s="3498"/>
      <c r="B15" s="3326"/>
      <c r="C15" s="3522"/>
      <c r="D15" s="3"/>
      <c r="E15" s="3495"/>
      <c r="F15" s="3495"/>
      <c r="G15" s="3515"/>
      <c r="I15" s="3"/>
      <c r="J15" s="1131" t="s">
        <v>194</v>
      </c>
      <c r="K15" s="1248">
        <f>IF(G49=0,0,G49)</f>
        <v>39607.032000000007</v>
      </c>
      <c r="L15" s="821">
        <f t="shared" si="0"/>
        <v>9.8655557512374905</v>
      </c>
      <c r="M15" s="56"/>
      <c r="N15" s="56"/>
      <c r="P15" s="1573"/>
      <c r="R15" s="56"/>
      <c r="S15" s="56"/>
      <c r="T15" s="1570">
        <f>IF(T13="","",K15)</f>
        <v>39607.032000000007</v>
      </c>
      <c r="U15" s="3477" t="str">
        <f>IF(T13="","","Material")</f>
        <v>Material</v>
      </c>
      <c r="V15" s="3477"/>
      <c r="W15" s="3478"/>
      <c r="X15" s="2379"/>
      <c r="Y15" s="3"/>
      <c r="Z15" s="3"/>
      <c r="AB15" s="3"/>
      <c r="AC15" s="3"/>
      <c r="AD15" s="3"/>
      <c r="AE15" s="3"/>
      <c r="AF15" s="3"/>
      <c r="AG15" s="3"/>
      <c r="AH15" s="3"/>
      <c r="AI15" s="3"/>
    </row>
    <row r="16" spans="1:46" ht="33" customHeight="1" thickBot="1">
      <c r="A16" s="3499"/>
      <c r="B16" s="3500"/>
      <c r="C16" s="1263">
        <v>10</v>
      </c>
      <c r="D16" s="774"/>
      <c r="E16" s="3496"/>
      <c r="F16" s="3496"/>
      <c r="G16" s="3516"/>
      <c r="H16" s="3"/>
      <c r="I16" s="3"/>
      <c r="J16" s="1134" t="s">
        <v>34</v>
      </c>
      <c r="K16" s="1249">
        <f>IF(C16="","",K14-K15)</f>
        <v>361860.79200000002</v>
      </c>
      <c r="L16" s="820">
        <f>IF(K$14="","",IF(K16=0,"",K16/$K$14*100))</f>
        <v>90.13444424876252</v>
      </c>
      <c r="M16" s="56"/>
      <c r="N16" s="56"/>
      <c r="R16" s="56"/>
      <c r="S16" s="56"/>
      <c r="T16" s="1571">
        <f>IF(T13="","",T14-T15)</f>
        <v>361860.79200000002</v>
      </c>
      <c r="U16" s="3477"/>
      <c r="V16" s="3477"/>
      <c r="W16" s="3478"/>
      <c r="X16" s="2379"/>
      <c r="Y16" s="3"/>
      <c r="Z16" s="3"/>
      <c r="AA16" s="142" t="s">
        <v>1165</v>
      </c>
      <c r="AB16" s="3"/>
      <c r="AC16" s="3"/>
      <c r="AD16" s="3"/>
      <c r="AE16" s="3"/>
      <c r="AF16" s="3"/>
      <c r="AG16" s="3"/>
      <c r="AH16" s="3"/>
      <c r="AI16" s="3"/>
    </row>
    <row r="17" spans="1:38" ht="26.25" customHeight="1">
      <c r="A17" s="778" t="s">
        <v>633</v>
      </c>
      <c r="B17" s="2338" t="s">
        <v>686</v>
      </c>
      <c r="C17" s="2467"/>
      <c r="D17" s="3553" t="str">
        <f>IF(C18="","","Wenn Sie den Gesamtumsatz eingeben, geben Sie bitte keine weiteren Umsätze ein.")</f>
        <v/>
      </c>
      <c r="E17" s="3554"/>
      <c r="F17" s="3554"/>
      <c r="G17" s="3554"/>
      <c r="I17" s="34"/>
      <c r="J17" s="1131" t="s">
        <v>35</v>
      </c>
      <c r="K17" s="1248">
        <f>IF(G65=0,0,G65)</f>
        <v>135052.58400000003</v>
      </c>
      <c r="L17" s="821">
        <f>IF(K17=0,"",K17/$K$14*100)</f>
        <v>33.639703091124943</v>
      </c>
      <c r="M17" s="56"/>
      <c r="N17" s="1231" t="str">
        <f>B64</f>
        <v>Erstattung AAG (Krank.Kas)</v>
      </c>
      <c r="O17" s="1232">
        <f>D64</f>
        <v>3419.89</v>
      </c>
      <c r="P17" s="1231"/>
      <c r="R17" s="56"/>
      <c r="S17" s="56"/>
      <c r="T17" s="1570">
        <f>IF(T13="","",K32+C42)</f>
        <v>7400.4000000000005</v>
      </c>
      <c r="U17" s="3477" t="str">
        <f>IF(T13="","","sonstige Erlöse")</f>
        <v>sonstige Erlöse</v>
      </c>
      <c r="V17" s="3477"/>
      <c r="W17" s="3478"/>
      <c r="X17" s="2379"/>
      <c r="Y17" s="3"/>
      <c r="Z17" s="3"/>
      <c r="AA17" s="174" t="s">
        <v>1168</v>
      </c>
      <c r="AB17" s="3"/>
      <c r="AC17" s="3"/>
      <c r="AD17" s="3"/>
      <c r="AE17" s="3"/>
      <c r="AF17" s="3"/>
      <c r="AG17" s="3"/>
      <c r="AH17" s="3"/>
      <c r="AI17" s="3"/>
    </row>
    <row r="18" spans="1:38" ht="24.75" customHeight="1" thickBot="1">
      <c r="A18" s="3593" t="s">
        <v>1075</v>
      </c>
      <c r="B18" s="770" t="s">
        <v>256</v>
      </c>
      <c r="C18" s="835"/>
      <c r="D18" s="2354">
        <f>IF(C18="",SUM(D19,D20),C18)</f>
        <v>334556.52</v>
      </c>
      <c r="E18" s="794">
        <f>IF(C16="","",IF(C18&gt;0,C18/$C$16*12,SUM(D19:D20)/$C$16*12))</f>
        <v>401467.82400000002</v>
      </c>
      <c r="F18" s="755"/>
      <c r="G18" s="795">
        <f>IF(F18="",E18,F18)</f>
        <v>401467.82400000002</v>
      </c>
      <c r="H18" s="252"/>
      <c r="I18" s="873">
        <f>IF(C18=0,0,1)</f>
        <v>0</v>
      </c>
      <c r="J18" s="1135" t="s">
        <v>7</v>
      </c>
      <c r="K18" s="1249">
        <f>IF(K16="","",K16-K17)</f>
        <v>226808.20799999998</v>
      </c>
      <c r="L18" s="820">
        <f>IF(K$14=0,"",IF(K18=0,"",K18/$K$14*100))</f>
        <v>56.494741157637577</v>
      </c>
      <c r="M18" s="56"/>
      <c r="N18" s="56"/>
      <c r="R18" s="56"/>
      <c r="T18" s="1571">
        <f>IF(T13="","",T16+T17)</f>
        <v>369261.19200000004</v>
      </c>
      <c r="U18" s="2379"/>
      <c r="V18" s="394"/>
      <c r="W18" s="2384"/>
      <c r="X18" s="2379"/>
      <c r="Y18" s="394"/>
      <c r="AA18" s="3418" t="s">
        <v>1194</v>
      </c>
      <c r="AB18" s="3418"/>
      <c r="AC18" s="3418"/>
      <c r="AD18" s="3418"/>
      <c r="AE18" s="3418"/>
      <c r="AF18" s="3418"/>
      <c r="AG18" s="3418"/>
      <c r="AH18" s="3418"/>
      <c r="AI18" s="3418"/>
      <c r="AJ18" s="3418"/>
      <c r="AK18" s="3418"/>
    </row>
    <row r="19" spans="1:38" ht="26.25" customHeight="1">
      <c r="A19" s="3355"/>
      <c r="B19" s="1827" t="s">
        <v>1045</v>
      </c>
      <c r="C19" s="836"/>
      <c r="D19" s="2355">
        <f>IF(C19="",SUM(D21,D22),SUM(D21,D22)+C19)</f>
        <v>316148.7</v>
      </c>
      <c r="E19" s="794">
        <f>IF(C16="","",IF(C19&gt;0,D19/$C$16*12,IF(E21=0,0,IF(D19&gt;0,D19/$C$16*12))))</f>
        <v>379378.44000000006</v>
      </c>
      <c r="F19" s="754"/>
      <c r="G19" s="795">
        <f>IF(F19="",E19,F19)</f>
        <v>379378.44000000006</v>
      </c>
      <c r="H19" s="252"/>
      <c r="I19" s="873">
        <f>IF(C19="",0,1)</f>
        <v>0</v>
      </c>
      <c r="J19" s="1136" t="s">
        <v>9</v>
      </c>
      <c r="K19" s="1248">
        <f>IF(G82=0,0,G82)</f>
        <v>36205.944000000003</v>
      </c>
      <c r="L19" s="819">
        <f t="shared" ref="L19:L27" si="1">IF(K19=0,"",K19/$K$14*100)</f>
        <v>9.0183924677360938</v>
      </c>
      <c r="M19" s="56"/>
      <c r="N19" s="56"/>
      <c r="R19" s="56"/>
      <c r="S19" s="56"/>
      <c r="T19" s="1570">
        <f>IF(T13="","",K17+D64)</f>
        <v>138472.47400000005</v>
      </c>
      <c r="U19" s="3477" t="str">
        <f>IF(T13="","","Personalkosten")</f>
        <v>Personalkosten</v>
      </c>
      <c r="V19" s="3477"/>
      <c r="W19" s="3478"/>
      <c r="X19" s="2379"/>
      <c r="Y19" s="3" t="s">
        <v>1190</v>
      </c>
      <c r="AA19" s="3418"/>
      <c r="AB19" s="3418"/>
      <c r="AC19" s="3418"/>
      <c r="AD19" s="3418"/>
      <c r="AE19" s="3418"/>
      <c r="AF19" s="3418"/>
      <c r="AG19" s="3418"/>
      <c r="AH19" s="3418"/>
      <c r="AI19" s="3418"/>
      <c r="AJ19" s="3418"/>
      <c r="AK19" s="3418"/>
    </row>
    <row r="20" spans="1:38" ht="27.75" customHeight="1" thickBot="1">
      <c r="A20" s="3594"/>
      <c r="B20" s="2554" t="str">
        <f>IF(D30&gt;0,"Verkauf incl. Wert von Zelle D30","Haarpflege Verkauf")</f>
        <v>Haarpflege Verkauf</v>
      </c>
      <c r="C20" s="837">
        <f>18407.82</f>
        <v>18407.82</v>
      </c>
      <c r="D20" s="2356">
        <f>SUM(D30,C20)</f>
        <v>18407.82</v>
      </c>
      <c r="E20" s="849">
        <f>IF(C16="","",D20/$C$16*12)</f>
        <v>22089.383999999998</v>
      </c>
      <c r="F20" s="850"/>
      <c r="G20" s="851">
        <f>IF(F20="",E20,F20)</f>
        <v>22089.383999999998</v>
      </c>
      <c r="H20" s="252"/>
      <c r="I20" s="873">
        <f>IF(C20=0,0,1)</f>
        <v>1</v>
      </c>
      <c r="J20" s="1137" t="s">
        <v>52</v>
      </c>
      <c r="K20" s="1248">
        <f>IF(G97=0,0,G97)</f>
        <v>10718.1</v>
      </c>
      <c r="L20" s="819">
        <f t="shared" si="1"/>
        <v>2.6697282719224842</v>
      </c>
      <c r="M20" s="56"/>
      <c r="N20" s="56"/>
      <c r="R20" s="56"/>
      <c r="S20" s="56"/>
      <c r="T20" s="1570">
        <f>IF(T13="","",K19)</f>
        <v>36205.944000000003</v>
      </c>
      <c r="U20" s="3477" t="str">
        <f>IF(T13="","","Raumkosten")</f>
        <v>Raumkosten</v>
      </c>
      <c r="V20" s="3477"/>
      <c r="W20" s="3478"/>
      <c r="X20" s="2379"/>
      <c r="Z20" s="2410" t="s">
        <v>1166</v>
      </c>
      <c r="AA20" s="2400"/>
      <c r="AB20" s="2397"/>
      <c r="AC20" s="2396" t="s">
        <v>1167</v>
      </c>
      <c r="AD20" s="2394" t="s">
        <v>1195</v>
      </c>
      <c r="AE20" s="2394" t="s">
        <v>1170</v>
      </c>
      <c r="AF20" s="3268" t="s">
        <v>1171</v>
      </c>
      <c r="AG20" s="3355"/>
      <c r="AH20" s="3355"/>
      <c r="AI20" s="3355"/>
    </row>
    <row r="21" spans="1:38" ht="29.25" customHeight="1" thickBot="1">
      <c r="A21" s="824" t="s">
        <v>807</v>
      </c>
      <c r="B21" s="2349" t="str">
        <f>IF(C19&gt;0,"Hier nichts mehr eingeben,     ist in DL Umsatz",IF(SUM(D24+D27)&gt;0,"Umsatz Damen                     incl. Umsätze unten",""))</f>
        <v/>
      </c>
      <c r="C21" s="836">
        <v>252790.99</v>
      </c>
      <c r="D21" s="2355">
        <f>SUM(D24:D29)+C21+D23</f>
        <v>253457.87</v>
      </c>
      <c r="E21" s="796">
        <f>IF(C16="","",IF(C21=0,0,D21/$C$16*12))</f>
        <v>304149.44400000002</v>
      </c>
      <c r="F21" s="754"/>
      <c r="G21" s="797">
        <f>IF(F21="",E21,F21)</f>
        <v>304149.44400000002</v>
      </c>
      <c r="H21" s="252"/>
      <c r="I21" s="873"/>
      <c r="J21" s="1137" t="s">
        <v>10</v>
      </c>
      <c r="K21" s="1248">
        <f>G113</f>
        <v>2944.8600000000006</v>
      </c>
      <c r="L21" s="819">
        <f t="shared" si="1"/>
        <v>0.73352329226762647</v>
      </c>
      <c r="M21" s="56"/>
      <c r="N21" s="56"/>
      <c r="R21" s="56"/>
      <c r="S21" s="56"/>
      <c r="T21" s="1570">
        <f>IF(T13="","",K20)</f>
        <v>10718.1</v>
      </c>
      <c r="U21" s="3477" t="str">
        <f>IF(T13="","","Steuern, Vers., Beiträge")</f>
        <v>Steuern, Vers., Beiträge</v>
      </c>
      <c r="V21" s="3477"/>
      <c r="W21" s="3478"/>
      <c r="X21" s="2379"/>
      <c r="Y21" s="3419" t="s">
        <v>1188</v>
      </c>
      <c r="AA21" s="2399" t="s">
        <v>94</v>
      </c>
      <c r="AB21" s="2398">
        <f>SUM(AD21:AE21)</f>
        <v>9000</v>
      </c>
      <c r="AC21" s="2402" t="s">
        <v>1164</v>
      </c>
      <c r="AD21" s="2395">
        <v>4000</v>
      </c>
      <c r="AE21" s="2395">
        <v>5000</v>
      </c>
      <c r="AF21" s="3268" t="s">
        <v>1174</v>
      </c>
      <c r="AG21" s="3355"/>
      <c r="AH21" s="3355"/>
      <c r="AI21" s="3355"/>
    </row>
    <row r="22" spans="1:38" ht="20.25" customHeight="1">
      <c r="A22" s="825" t="s">
        <v>542</v>
      </c>
      <c r="B22" s="2350" t="str">
        <f>IF(C19&gt;0,"Hier nichts mehr eingeben,    ist  in DL Umsatz","")</f>
        <v/>
      </c>
      <c r="C22" s="836">
        <v>62023.95</v>
      </c>
      <c r="D22" s="2355">
        <f>IF(C22=0,0,C22+D23)</f>
        <v>62690.829999999994</v>
      </c>
      <c r="E22" s="794">
        <f>IF(C16="","",IF(C22=0,0,D22/$C$16*12))</f>
        <v>75228.995999999999</v>
      </c>
      <c r="F22" s="754"/>
      <c r="G22" s="795">
        <f>IF(F22="",E22,F22)</f>
        <v>75228.995999999999</v>
      </c>
      <c r="H22" s="252"/>
      <c r="I22" s="873">
        <f>IF(SUM(D21:D29)=0,2,1)</f>
        <v>1</v>
      </c>
      <c r="J22" s="1137" t="s">
        <v>142</v>
      </c>
      <c r="K22" s="1248">
        <f>G126</f>
        <v>7429</v>
      </c>
      <c r="L22" s="819">
        <f t="shared" si="1"/>
        <v>1.8504596273697889</v>
      </c>
      <c r="M22" s="56"/>
      <c r="N22" s="56"/>
      <c r="R22" s="56"/>
      <c r="S22" s="56"/>
      <c r="T22" s="1570">
        <f>IF(T13="","",K21)</f>
        <v>2944.8600000000006</v>
      </c>
      <c r="U22" s="3477" t="str">
        <f>IF(T13="","","KFZ")</f>
        <v>KFZ</v>
      </c>
      <c r="V22" s="3477"/>
      <c r="W22" s="3477"/>
      <c r="X22" s="2411"/>
      <c r="Y22" s="3420"/>
      <c r="Z22" s="2406"/>
      <c r="AA22" s="510"/>
      <c r="AB22" s="3"/>
      <c r="AC22" s="3"/>
      <c r="AD22" s="3"/>
      <c r="AE22" s="3"/>
      <c r="AF22" s="3"/>
      <c r="AG22" s="3"/>
      <c r="AH22" s="3"/>
      <c r="AI22" s="3"/>
    </row>
    <row r="23" spans="1:38" ht="20.25" customHeight="1">
      <c r="A23" s="825" t="s">
        <v>954</v>
      </c>
      <c r="B23" s="2350" t="str">
        <f>IF(C19&gt;0,"Hier nichts mehr eingeben,    ist  in DL Umsatz",IF(C23&gt;0,"Kinder -     50% zu Damen 50% zu Herren",""))</f>
        <v>Kinder -     50% zu Damen 50% zu Herren</v>
      </c>
      <c r="C23" s="836">
        <v>1333.76</v>
      </c>
      <c r="D23" s="2355">
        <f>IF(C22&gt;0,C23*50%,C23)</f>
        <v>666.88</v>
      </c>
      <c r="E23" s="1485" t="str">
        <f>IF(I22=I19,"Bitte geben Sie den DL-Umsatz als Gesamtwert oder einzeln ein!","")</f>
        <v/>
      </c>
      <c r="F23" s="281"/>
      <c r="G23" s="252"/>
      <c r="H23" s="252"/>
      <c r="I23" s="873"/>
      <c r="J23" s="1137" t="s">
        <v>59</v>
      </c>
      <c r="K23" s="1248">
        <f>G109</f>
        <v>8327.0519999999997</v>
      </c>
      <c r="L23" s="819">
        <f t="shared" si="1"/>
        <v>2.0741517756102912</v>
      </c>
      <c r="M23" s="56"/>
      <c r="N23" s="56"/>
      <c r="R23" s="56"/>
      <c r="S23" s="56"/>
      <c r="T23" s="1570">
        <f>IF(T13="","",K22+G139)</f>
        <v>7429</v>
      </c>
      <c r="U23" s="3477" t="str">
        <f>IF(T13="","","Werbekosten ncl Reisekosten")</f>
        <v>Werbekosten ncl Reisekosten</v>
      </c>
      <c r="V23" s="3477"/>
      <c r="W23" s="3477"/>
      <c r="X23" s="2411"/>
      <c r="Y23" s="2405" t="str">
        <f>A24</f>
        <v>Erlöse Perücken</v>
      </c>
      <c r="Z23" s="3412" t="str">
        <f>IF(Y24="","",IF(AA24=0,"",IF(Y24&gt;AA24,"Summe der Eingaben niedriger als Spalte Y",IF(Y24&lt;AA24,"Summe der Eingaben höher als Spalte Y","ok"))))</f>
        <v/>
      </c>
      <c r="AA23" s="2397"/>
      <c r="AB23" s="2396" t="s">
        <v>1167</v>
      </c>
      <c r="AC23" s="2392"/>
      <c r="AD23" s="2392"/>
      <c r="AE23" s="2392"/>
      <c r="AF23" s="2392"/>
      <c r="AG23" s="2392"/>
      <c r="AH23" s="2392"/>
      <c r="AI23" s="3414" t="s">
        <v>1171</v>
      </c>
      <c r="AJ23" s="3415"/>
      <c r="AK23" s="3415"/>
      <c r="AL23" s="3415"/>
    </row>
    <row r="24" spans="1:38" ht="21.6" customHeight="1" thickBot="1">
      <c r="A24" s="825" t="s">
        <v>955</v>
      </c>
      <c r="B24" s="3445" t="str">
        <f>IF(SUM(C24:C31)&gt;0,"die Umsätze Zeile 24 - 31  können Sie ab Spalte Y weiter aufteilen","")</f>
        <v/>
      </c>
      <c r="C24" s="836"/>
      <c r="D24" s="3549">
        <f>SUM(C26,C25,C24)</f>
        <v>0</v>
      </c>
      <c r="E24" s="3463" t="str">
        <f>IF(SUM(C24:C31)=0,"","Umsätze wie Kosmetik, Kinder, Haarverlängerung, Perücken usw., die Sie links eintragen, werden ggf. anteilig auf Damen oder Herren verteilt.. Kinder werden zu 50% Damen und 50% Herren aufgeteilt, Kosmetik, Haarverl. und Perücken in Damenumsatz übernommen.")</f>
        <v/>
      </c>
      <c r="F24" s="3464"/>
      <c r="G24" s="3464"/>
      <c r="H24" s="252"/>
      <c r="I24" s="873">
        <f>IF(SUM(D30)=0,2,1)</f>
        <v>2</v>
      </c>
      <c r="J24" s="1137" t="s">
        <v>12</v>
      </c>
      <c r="K24" s="1248">
        <f>G190</f>
        <v>914.02800000000013</v>
      </c>
      <c r="L24" s="819">
        <f t="shared" si="1"/>
        <v>0.22767154560311664</v>
      </c>
      <c r="M24" s="56"/>
      <c r="N24" s="56"/>
      <c r="O24" s="1390" t="str">
        <f>B191</f>
        <v>anderer Neutr. Aufwand</v>
      </c>
      <c r="P24" s="1391">
        <f>G191</f>
        <v>0</v>
      </c>
      <c r="Q24" s="1390" t="s">
        <v>821</v>
      </c>
      <c r="R24" s="56"/>
      <c r="S24" s="56"/>
      <c r="T24" s="1570">
        <f>IF(T13="","",G148)</f>
        <v>3564</v>
      </c>
      <c r="U24" s="3477" t="str">
        <f>IF(T13="","","Warenabgabe")</f>
        <v>Warenabgabe</v>
      </c>
      <c r="V24" s="3477"/>
      <c r="W24" s="3477"/>
      <c r="X24" s="2411"/>
      <c r="Y24" s="2403" t="str">
        <f>IF(C24="","",C24)</f>
        <v/>
      </c>
      <c r="Z24" s="3413"/>
      <c r="AA24" s="2398" t="str">
        <f>IF(Y24="","",SUM(AC24:AH24))</f>
        <v/>
      </c>
      <c r="AB24" s="2402" t="str">
        <f>IF(Y24="","",Y23)</f>
        <v/>
      </c>
      <c r="AC24" s="2393"/>
      <c r="AD24" s="2393"/>
      <c r="AE24" s="2393"/>
      <c r="AF24" s="2393"/>
      <c r="AG24" s="2393"/>
      <c r="AH24" s="2393"/>
      <c r="AI24" s="3421" t="s">
        <v>1174</v>
      </c>
      <c r="AJ24" s="3422"/>
      <c r="AK24" s="3422"/>
      <c r="AL24" s="3422"/>
    </row>
    <row r="25" spans="1:38" ht="27" customHeight="1">
      <c r="A25" s="825" t="s">
        <v>1173</v>
      </c>
      <c r="B25" s="3446"/>
      <c r="C25" s="836"/>
      <c r="D25" s="3452"/>
      <c r="E25" s="3463"/>
      <c r="F25" s="3464"/>
      <c r="G25" s="3464"/>
      <c r="H25" s="252"/>
      <c r="I25" s="401"/>
      <c r="J25" s="1138" t="s">
        <v>455</v>
      </c>
      <c r="K25" s="1248">
        <f>G153</f>
        <v>1166.7719999999999</v>
      </c>
      <c r="L25" s="819">
        <f t="shared" si="1"/>
        <v>0.29062652851601872</v>
      </c>
      <c r="M25" s="56"/>
      <c r="N25" s="56"/>
      <c r="O25" s="1390" t="str">
        <f>A202</f>
        <v>Vorsteuer</v>
      </c>
      <c r="P25" s="3482">
        <f>D202</f>
        <v>0</v>
      </c>
      <c r="Q25" s="1390"/>
      <c r="R25" s="56"/>
      <c r="S25" s="56"/>
      <c r="T25" s="1570"/>
      <c r="U25" s="2379"/>
      <c r="V25" s="2380"/>
      <c r="W25" s="2385"/>
      <c r="X25" s="2379"/>
      <c r="Y25" s="2405" t="str">
        <f>A25</f>
        <v>Erlöse Haar-Verlängerung</v>
      </c>
      <c r="Z25" s="3412" t="str">
        <f>IF(Y26="","",IF(AA26=0,"",IF(Y26&gt;AA26,"Summe der Eingaben niedriger als Spalte Y",IF(Y26&lt;AA26,"Summe der Eingaben höher als Spalte Y","ok"))))</f>
        <v/>
      </c>
      <c r="AA25" s="2397"/>
      <c r="AB25" s="2396" t="str">
        <f>AB23</f>
        <v>Name Erlös  --&gt;</v>
      </c>
      <c r="AC25" s="2392"/>
      <c r="AD25" s="2392"/>
      <c r="AE25" s="2392"/>
      <c r="AF25" s="2392"/>
      <c r="AG25" s="2392"/>
      <c r="AH25" s="2392"/>
      <c r="AI25" s="3414" t="s">
        <v>1171</v>
      </c>
      <c r="AJ25" s="3415"/>
      <c r="AK25" s="3415"/>
      <c r="AL25" s="3415"/>
    </row>
    <row r="26" spans="1:38" ht="25.5" customHeight="1" thickBot="1">
      <c r="A26" s="825" t="s">
        <v>1213</v>
      </c>
      <c r="B26" s="2351" t="str">
        <f>IF(C26=0,"","Wert geht in Damen Umsatz)")</f>
        <v/>
      </c>
      <c r="C26" s="836"/>
      <c r="D26" s="3550"/>
      <c r="E26" s="3463"/>
      <c r="F26" s="3464"/>
      <c r="G26" s="3464"/>
      <c r="H26" s="758"/>
      <c r="I26" s="401"/>
      <c r="J26" s="1138" t="s">
        <v>456</v>
      </c>
      <c r="K26" s="1248">
        <f>G154</f>
        <v>11272.763999999999</v>
      </c>
      <c r="L26" s="819">
        <f t="shared" si="1"/>
        <v>2.8078872891193387</v>
      </c>
      <c r="M26" s="56"/>
      <c r="N26" s="56"/>
      <c r="O26" s="1390" t="str">
        <f>A203</f>
        <v>Zahlungen FA / Ust. Zahlung</v>
      </c>
      <c r="P26" s="3483"/>
      <c r="Q26" s="1390"/>
      <c r="R26" s="56"/>
      <c r="S26" s="56"/>
      <c r="T26" s="1570">
        <f>IF(T13="","",K25)</f>
        <v>1166.7719999999999</v>
      </c>
      <c r="U26" s="3477" t="str">
        <f>IF(T13="","","Rep usw.")</f>
        <v>Rep usw.</v>
      </c>
      <c r="V26" s="3477"/>
      <c r="W26" s="3478"/>
      <c r="X26" s="2379"/>
      <c r="Y26" s="2403" t="str">
        <f>IF(C25="","",C25)</f>
        <v/>
      </c>
      <c r="Z26" s="3413"/>
      <c r="AA26" s="2398" t="str">
        <f>IF(Y26="","",SUM(AC26:AH26))</f>
        <v/>
      </c>
      <c r="AB26" s="2402" t="str">
        <f t="shared" ref="AB26" si="2">IF(Y26="","",Y25)</f>
        <v/>
      </c>
      <c r="AC26" s="2393"/>
      <c r="AD26" s="2393"/>
      <c r="AE26" s="2393"/>
      <c r="AF26" s="2393"/>
      <c r="AG26" s="2393"/>
      <c r="AH26" s="2393"/>
      <c r="AI26" s="3421" t="s">
        <v>1174</v>
      </c>
      <c r="AJ26" s="3422"/>
      <c r="AK26" s="3422"/>
      <c r="AL26" s="3422"/>
    </row>
    <row r="27" spans="1:38" ht="20.25" customHeight="1">
      <c r="A27" s="1237" t="s">
        <v>658</v>
      </c>
      <c r="B27" s="2351" t="str">
        <f>IF(C27=0,"","Gutscheine gehen in Damen Umsatz)")</f>
        <v/>
      </c>
      <c r="C27" s="836"/>
      <c r="D27" s="3436">
        <f>SUM(C27,C29,-C28)</f>
        <v>0</v>
      </c>
      <c r="E27" s="3423" t="str">
        <f>IF(C27="","","Gutscheine können in der BWA im Soll oder Haben stehen, wenn der Umsatz im Soll steht (hinten ein S) dann bitte mit - (Minus) eingeben.")</f>
        <v/>
      </c>
      <c r="F27" s="3424"/>
      <c r="G27" s="3424"/>
      <c r="H27" s="758"/>
      <c r="I27" s="707"/>
      <c r="J27" s="1137" t="s">
        <v>230</v>
      </c>
      <c r="K27" s="1248">
        <f>G168+G148</f>
        <v>62833.044000000009</v>
      </c>
      <c r="L27" s="819">
        <f t="shared" si="1"/>
        <v>15.650829342677286</v>
      </c>
      <c r="M27" s="56"/>
      <c r="O27" s="1390" t="str">
        <f>A251</f>
        <v>Anlagenzugänge</v>
      </c>
      <c r="P27" s="1391">
        <f>D251</f>
        <v>0</v>
      </c>
      <c r="Q27" s="1390" t="str">
        <f>IF(P27="","","ist in neutr. Aufwand")</f>
        <v>ist in neutr. Aufwand</v>
      </c>
      <c r="S27" s="56"/>
      <c r="T27" s="1570">
        <f>IF(T13="","",K26)</f>
        <v>11272.763999999999</v>
      </c>
      <c r="U27" s="3477" t="str">
        <f>IF(T13="","","Abschreibung")</f>
        <v>Abschreibung</v>
      </c>
      <c r="V27" s="3477"/>
      <c r="W27" s="3478"/>
      <c r="X27" s="2379"/>
      <c r="Y27" s="2405" t="str">
        <f>A26</f>
        <v>ggf. Webshop</v>
      </c>
      <c r="Z27" s="3412" t="str">
        <f>IF(Y28="","",IF(AA28=0,"",IF(Y28&gt;AA28,"Summe der Eingaben niedriger als Spalte Y",IF(Y28&lt;AA28,"Summe der Eingaben höher als Spalte Y","ok"))))</f>
        <v/>
      </c>
      <c r="AA27" s="2397"/>
      <c r="AB27" s="2396" t="str">
        <f>AB25</f>
        <v>Name Erlös  --&gt;</v>
      </c>
      <c r="AC27" s="2392"/>
      <c r="AD27" s="2392"/>
      <c r="AE27" s="2392"/>
      <c r="AF27" s="2392"/>
      <c r="AG27" s="2392"/>
      <c r="AH27" s="2392"/>
      <c r="AI27" s="3414" t="s">
        <v>1171</v>
      </c>
      <c r="AJ27" s="3415"/>
      <c r="AK27" s="3415"/>
      <c r="AL27" s="3415"/>
    </row>
    <row r="28" spans="1:38" ht="20.25" customHeight="1" thickBot="1">
      <c r="A28" s="1237" t="s">
        <v>533</v>
      </c>
      <c r="B28" s="2351" t="str">
        <f>IF(C28=0,"","Rabatte mindern den Damen Umsatz)")</f>
        <v/>
      </c>
      <c r="C28" s="836"/>
      <c r="D28" s="3437"/>
      <c r="E28" s="3423"/>
      <c r="F28" s="3424"/>
      <c r="G28" s="3424"/>
      <c r="H28" s="758"/>
      <c r="I28" s="758"/>
      <c r="J28" s="1139" t="s">
        <v>16</v>
      </c>
      <c r="K28" s="1248">
        <f>SUM(K19:K27)</f>
        <v>141811.56400000001</v>
      </c>
      <c r="L28" s="821">
        <f>IF(K$14="","",IF(K28=0,"",K28/$K$14*100))</f>
        <v>35.323270140822046</v>
      </c>
      <c r="M28" s="1387"/>
      <c r="N28" s="1388" t="s">
        <v>826</v>
      </c>
      <c r="O28" s="1392" t="str">
        <f>A252</f>
        <v>sonstige Posten</v>
      </c>
      <c r="P28" s="1391">
        <f>D252</f>
        <v>0</v>
      </c>
      <c r="Q28" s="1390" t="str">
        <f>IF(P28="","","ist in neutr. Aufwand")</f>
        <v>ist in neutr. Aufwand</v>
      </c>
      <c r="T28" s="1570">
        <f>IF(T13="","",K27+G167)</f>
        <v>71160.096000000005</v>
      </c>
      <c r="U28" s="2379"/>
      <c r="V28" s="2381"/>
      <c r="W28" s="2386"/>
      <c r="X28" s="2379"/>
      <c r="Y28" s="2403" t="str">
        <f>IF(C26="","",C26)</f>
        <v/>
      </c>
      <c r="Z28" s="3413"/>
      <c r="AA28" s="2398" t="str">
        <f>IF(Y28="","",SUM(AC28:AH28))</f>
        <v/>
      </c>
      <c r="AB28" s="2402" t="str">
        <f t="shared" ref="AB28" si="3">IF(Y28="","",Y27)</f>
        <v/>
      </c>
      <c r="AC28" s="2393"/>
      <c r="AD28" s="2393"/>
      <c r="AE28" s="2393"/>
      <c r="AF28" s="2393"/>
      <c r="AG28" s="2393"/>
      <c r="AH28" s="2393"/>
      <c r="AI28" s="3421" t="s">
        <v>1174</v>
      </c>
      <c r="AJ28" s="3422"/>
      <c r="AK28" s="3422"/>
      <c r="AL28" s="3422"/>
    </row>
    <row r="29" spans="1:38" ht="20.25" customHeight="1" thickBot="1">
      <c r="A29" s="1264" t="s">
        <v>818</v>
      </c>
      <c r="B29" s="2352"/>
      <c r="C29" s="837"/>
      <c r="D29" s="3462"/>
      <c r="E29" s="3556" t="str">
        <f>IF(C28="","","Gewährte Rabatt bitte ohne - (minus) eingeben.")</f>
        <v/>
      </c>
      <c r="F29" s="3557"/>
      <c r="G29" s="3557"/>
      <c r="H29" s="252"/>
      <c r="I29" s="252"/>
      <c r="J29" s="1140" t="s">
        <v>18</v>
      </c>
      <c r="K29" s="2553">
        <f>IF(C16="","",IF(K28="","",K18-K28))</f>
        <v>84996.643999999971</v>
      </c>
      <c r="L29" s="820">
        <f>IF(K$14=0,"",IF(K29=0,"",K29/$K$14*100))</f>
        <v>21.171471016815527</v>
      </c>
      <c r="M29" s="3238"/>
      <c r="N29" s="1389">
        <f>SUM(P23:P29)</f>
        <v>0</v>
      </c>
      <c r="O29" s="1393" t="str">
        <f>A248</f>
        <v>Zugang Forderungen</v>
      </c>
      <c r="P29" s="1394">
        <f>D248</f>
        <v>0</v>
      </c>
      <c r="Q29" s="1395" t="str">
        <f>IF(P29="","","ist in neutr. Aufwand")</f>
        <v>ist in neutr. Aufwand</v>
      </c>
      <c r="T29" s="1571">
        <f>IF(T13="","",SUM(T19:T28))</f>
        <v>282934.01000000007</v>
      </c>
      <c r="U29" s="2379"/>
      <c r="V29" s="2380"/>
      <c r="W29" s="2385"/>
      <c r="X29" s="2379"/>
      <c r="Y29" s="2405" t="str">
        <f>A27</f>
        <v>Erlöse Gutscheine</v>
      </c>
      <c r="Z29" s="3412" t="str">
        <f>IF(Y30="","",IF(AA30=0,"",IF(Y30&gt;AA30,"Summe der Eingaben niedriger als Spalte Y",IF(Y30&lt;AA30,"Summe der Eingaben höher als Spalte Y","ok"))))</f>
        <v/>
      </c>
      <c r="AA29" s="2397"/>
      <c r="AB29" s="2396" t="str">
        <f>AB27</f>
        <v>Name Erlös  --&gt;</v>
      </c>
      <c r="AC29" s="2392"/>
      <c r="AD29" s="2392"/>
      <c r="AE29" s="2392"/>
      <c r="AF29" s="2392"/>
      <c r="AG29" s="2392"/>
      <c r="AH29" s="2392"/>
      <c r="AI29" s="3414" t="s">
        <v>1171</v>
      </c>
      <c r="AJ29" s="3415"/>
      <c r="AK29" s="3415"/>
      <c r="AL29" s="3415"/>
    </row>
    <row r="30" spans="1:38" ht="20.25" customHeight="1" thickBot="1">
      <c r="A30" s="824" t="s">
        <v>543</v>
      </c>
      <c r="B30" s="2351" t="str">
        <f>IF(C20&gt;0,"Verkauf nicht doppelt eingeben","")</f>
        <v>Verkauf nicht doppelt eingeben</v>
      </c>
      <c r="C30" s="835"/>
      <c r="D30" s="3595">
        <v>0</v>
      </c>
      <c r="E30" s="3457" t="str">
        <f>IF(I24=I20,"Dieser Wert wird zum VK-Umsatz dazugerechnet !!","")</f>
        <v/>
      </c>
      <c r="F30" s="3458"/>
      <c r="G30" s="3458"/>
      <c r="H30" s="252"/>
      <c r="I30" s="252"/>
      <c r="J30" s="1179" t="str">
        <f>IF(D192=0,"Neutraler Aufwand","Vj. Neutraler Aufwand mit Umsatzst.-Zahlung")</f>
        <v>Neutraler Aufwand</v>
      </c>
      <c r="K30" s="1384">
        <f>SUM(G191,P29,P27,P28)</f>
        <v>0</v>
      </c>
      <c r="L30" s="1385"/>
      <c r="M30" s="1386"/>
      <c r="N30" s="1399"/>
      <c r="O30" s="1400" t="str">
        <f>A249</f>
        <v>Zugang Verbindlichkeiten</v>
      </c>
      <c r="P30" s="1401">
        <f>D249</f>
        <v>0</v>
      </c>
      <c r="Q30" s="1400" t="str">
        <f>IF(P30="","","ist in neutr. Ertrag")</f>
        <v>ist in neutr. Ertrag</v>
      </c>
      <c r="T30" s="1572">
        <f>IF(T13="","",T18-T29)</f>
        <v>86327.181999999972</v>
      </c>
      <c r="U30" s="3477" t="str">
        <f>IF(T13="","","BWA Betriebsergebnis")</f>
        <v>BWA Betriebsergebnis</v>
      </c>
      <c r="V30" s="3477"/>
      <c r="W30" s="3478"/>
      <c r="X30" s="2379"/>
      <c r="Y30" s="2403" t="str">
        <f>IF(C27="","",C27)</f>
        <v/>
      </c>
      <c r="Z30" s="3413"/>
      <c r="AA30" s="2398" t="str">
        <f t="shared" ref="AA30" si="4">IF(Y30="","",SUM(AC30:AH30))</f>
        <v/>
      </c>
      <c r="AB30" s="2402" t="str">
        <f t="shared" ref="AB30" si="5">IF(Y30="","",Y29)</f>
        <v/>
      </c>
      <c r="AC30" s="2393"/>
      <c r="AD30" s="2393"/>
      <c r="AE30" s="2393"/>
      <c r="AF30" s="2393"/>
      <c r="AG30" s="2393"/>
      <c r="AH30" s="2393"/>
      <c r="AI30" s="3421" t="s">
        <v>1174</v>
      </c>
      <c r="AJ30" s="3422"/>
      <c r="AK30" s="3422"/>
      <c r="AL30" s="3422"/>
    </row>
    <row r="31" spans="1:38" ht="20.25" customHeight="1" thickBot="1">
      <c r="A31" s="827" t="s">
        <v>956</v>
      </c>
      <c r="B31" s="785"/>
      <c r="C31" s="838"/>
      <c r="D31" s="3596"/>
      <c r="E31" s="3459"/>
      <c r="F31" s="3460"/>
      <c r="G31" s="3460"/>
      <c r="H31" s="758"/>
      <c r="I31" s="758"/>
      <c r="J31" s="1179" t="str">
        <f>IF(P32=0,"Neutraler Ertrag","Vj. Neutraler Ertrag mit Umsatzst.-Einnahme")</f>
        <v>Neutraler Ertrag</v>
      </c>
      <c r="K31" s="1396">
        <f>SUM(P33,D45,P30,P31,D44)</f>
        <v>1500</v>
      </c>
      <c r="L31" s="1397"/>
      <c r="M31" s="1398"/>
      <c r="N31" s="1399"/>
      <c r="O31" s="1402" t="str">
        <f>A250</f>
        <v>Anlagenabgänge</v>
      </c>
      <c r="P31" s="1403">
        <f>D250</f>
        <v>0</v>
      </c>
      <c r="Q31" s="1402" t="str">
        <f>IF(P31="","","ist in neutr. Ertrag")</f>
        <v>ist in neutr. Ertrag</v>
      </c>
      <c r="T31" s="1570">
        <f>IF(T13="","",K24)</f>
        <v>914.02800000000013</v>
      </c>
      <c r="U31" s="2379"/>
      <c r="V31" s="3"/>
      <c r="W31" s="2382"/>
      <c r="X31" s="2379"/>
      <c r="Y31" s="2405" t="str">
        <f>A28</f>
        <v>gewährte Rabatte</v>
      </c>
      <c r="Z31" s="3412" t="str">
        <f>IF(Y32="","",IF(AA32=0,"",IF(Y32&gt;AA32,"Summe der Eingaben niedriger als Spalte Y",IF(Y32&lt;AA32,"Summe der Eingaben höher als Spalte Y","ok"))))</f>
        <v/>
      </c>
      <c r="AA31" s="2397"/>
      <c r="AB31" s="2396" t="str">
        <f>AB29</f>
        <v>Name Erlös  --&gt;</v>
      </c>
      <c r="AC31" s="2392"/>
      <c r="AD31" s="2392"/>
      <c r="AE31" s="2392"/>
      <c r="AF31" s="2392"/>
      <c r="AG31" s="2392"/>
      <c r="AH31" s="2392"/>
      <c r="AI31" s="3414" t="s">
        <v>1171</v>
      </c>
      <c r="AJ31" s="3415"/>
      <c r="AK31" s="3415"/>
      <c r="AL31" s="3415"/>
    </row>
    <row r="32" spans="1:38" ht="31.05" customHeight="1" thickBot="1">
      <c r="A32" s="766" t="s">
        <v>785</v>
      </c>
      <c r="B32" s="2338" t="s">
        <v>687</v>
      </c>
      <c r="C32" s="2567"/>
      <c r="D32" s="2357">
        <f>SUM(D33:D41)</f>
        <v>6167</v>
      </c>
      <c r="E32" s="3525" t="str">
        <f>IF(C32=0,"","in die weißen Felder bitte nichts eintragen, nur in Graue")</f>
        <v/>
      </c>
      <c r="F32" s="3525"/>
      <c r="G32" s="3525"/>
      <c r="H32" s="758"/>
      <c r="I32" s="758"/>
      <c r="J32" s="1149" t="s">
        <v>39</v>
      </c>
      <c r="K32" s="1408">
        <f>G37+G41</f>
        <v>7400.4000000000005</v>
      </c>
      <c r="L32" s="1409"/>
      <c r="M32" s="1410"/>
      <c r="N32" s="1404" t="s">
        <v>827</v>
      </c>
      <c r="O32" s="1402" t="str">
        <f>A45</f>
        <v>Umsatzsteuereinnahme</v>
      </c>
      <c r="P32" s="1403">
        <f>SUM(D45,-D44)</f>
        <v>0</v>
      </c>
      <c r="Q32" s="1402"/>
      <c r="R32" s="56"/>
      <c r="S32" s="56"/>
      <c r="T32" s="1570">
        <f>IF(T13="","",K30)</f>
        <v>0</v>
      </c>
      <c r="U32" s="2379"/>
      <c r="V32" s="3"/>
      <c r="W32" s="2382"/>
      <c r="X32" s="2379"/>
      <c r="Y32" s="2403" t="str">
        <f>IF(C28="","",C28)</f>
        <v/>
      </c>
      <c r="Z32" s="3413"/>
      <c r="AA32" s="2398" t="str">
        <f t="shared" ref="AA32" si="6">IF(Y32="","",SUM(AC32:AH32))</f>
        <v/>
      </c>
      <c r="AB32" s="2402" t="str">
        <f t="shared" ref="AB32" si="7">IF(Y32="","",Y31)</f>
        <v/>
      </c>
      <c r="AC32" s="2393"/>
      <c r="AD32" s="2393"/>
      <c r="AE32" s="2393"/>
      <c r="AF32" s="2393"/>
      <c r="AG32" s="2393"/>
      <c r="AH32" s="2393"/>
      <c r="AI32" s="3421" t="s">
        <v>1174</v>
      </c>
      <c r="AJ32" s="3422"/>
      <c r="AK32" s="3422"/>
      <c r="AL32" s="3422"/>
    </row>
    <row r="33" spans="1:46" ht="20.25" customHeight="1" thickBot="1">
      <c r="A33" s="825" t="s">
        <v>544</v>
      </c>
      <c r="B33" s="858"/>
      <c r="C33" s="836">
        <v>4940</v>
      </c>
      <c r="D33" s="3547">
        <f>SUM(C33:C37)</f>
        <v>6167</v>
      </c>
      <c r="E33" s="3463" t="s">
        <v>656</v>
      </c>
      <c r="F33" s="3464"/>
      <c r="G33" s="3464"/>
      <c r="H33" s="3464"/>
      <c r="I33" s="2928" t="s">
        <v>937</v>
      </c>
      <c r="J33" s="1134" t="s">
        <v>40</v>
      </c>
      <c r="K33" s="2553">
        <f>IF(K29="","",K29-K30+K31+K32)</f>
        <v>93897.043999999965</v>
      </c>
      <c r="L33" s="2687" t="str">
        <f>IF(C16&lt;12,"Hochrechnung","")</f>
        <v>Hochrechnung</v>
      </c>
      <c r="M33" s="1411"/>
      <c r="N33" s="1405">
        <f>SUM(P30:P33)</f>
        <v>1500</v>
      </c>
      <c r="O33" s="1406" t="str">
        <f>B208</f>
        <v>Summe neutrale Erträge</v>
      </c>
      <c r="P33" s="1407">
        <f>SUM(G209:G216)</f>
        <v>1500</v>
      </c>
      <c r="Q33" s="1406"/>
      <c r="R33" s="56"/>
      <c r="S33" s="56"/>
      <c r="T33" s="1570">
        <f>IF(T13="","",K31)</f>
        <v>1500</v>
      </c>
      <c r="U33" s="2379"/>
      <c r="V33" s="3"/>
      <c r="W33" s="2382"/>
      <c r="X33" s="2379"/>
      <c r="Y33" s="2405" t="str">
        <f>A29</f>
        <v>weitere Erlöse (Friseur)</v>
      </c>
      <c r="Z33" s="3412" t="str">
        <f>IF(Y34="","",IF(AA34=0,"",IF(Y34&gt;AA34,"Summe der Eingaben niedriger als Spalte Y",IF(Y34&lt;AA34,"Summe der Eingaben höher als Spalte Y","ok"))))</f>
        <v/>
      </c>
      <c r="AA33" s="2397"/>
      <c r="AB33" s="2396" t="str">
        <f>AB31</f>
        <v>Name Erlös  --&gt;</v>
      </c>
      <c r="AC33" s="2392"/>
      <c r="AD33" s="2392"/>
      <c r="AE33" s="2392"/>
      <c r="AF33" s="2392"/>
      <c r="AG33" s="2392"/>
      <c r="AH33" s="2392"/>
      <c r="AI33" s="3414" t="s">
        <v>1171</v>
      </c>
      <c r="AJ33" s="3415"/>
      <c r="AK33" s="3415"/>
      <c r="AL33" s="3415"/>
    </row>
    <row r="34" spans="1:46" ht="20.25" customHeight="1" thickBot="1">
      <c r="A34" s="825" t="s">
        <v>624</v>
      </c>
      <c r="B34" s="858"/>
      <c r="C34" s="836">
        <v>1227</v>
      </c>
      <c r="D34" s="3437"/>
      <c r="E34" s="3463"/>
      <c r="F34" s="3464"/>
      <c r="G34" s="3464"/>
      <c r="H34" s="3464"/>
      <c r="I34" s="758"/>
      <c r="J34" s="1131" t="s">
        <v>14</v>
      </c>
      <c r="K34" s="1250">
        <f>K26</f>
        <v>11272.763999999999</v>
      </c>
      <c r="L34" s="819"/>
      <c r="M34" s="1412"/>
      <c r="N34" s="1413"/>
      <c r="O34" s="1414" t="str">
        <f>A32</f>
        <v>Sonstige betrieb. Erlöse</v>
      </c>
      <c r="P34" s="1415">
        <f>G41</f>
        <v>0</v>
      </c>
      <c r="Q34" s="1414" t="s">
        <v>620</v>
      </c>
      <c r="R34" s="56"/>
      <c r="S34" s="56"/>
      <c r="T34" s="1570">
        <f>IF(T13="","",T30-T31-T32+T33)</f>
        <v>86913.153999999966</v>
      </c>
      <c r="U34" s="3477" t="str">
        <f>IF(T13="","","vorläufiges Ergebnis")</f>
        <v>vorläufiges Ergebnis</v>
      </c>
      <c r="V34" s="3477"/>
      <c r="W34" s="3478"/>
      <c r="X34" s="2379"/>
      <c r="Y34" s="2403" t="str">
        <f>IF(C29="","",C29)</f>
        <v/>
      </c>
      <c r="Z34" s="3413"/>
      <c r="AA34" s="2398" t="str">
        <f t="shared" ref="AA34" si="8">IF(Y34="","",SUM(AC34:AH34))</f>
        <v/>
      </c>
      <c r="AB34" s="2402" t="str">
        <f t="shared" ref="AB34" si="9">IF(Y34="","",Y33)</f>
        <v/>
      </c>
      <c r="AC34" s="2393"/>
      <c r="AD34" s="2393"/>
      <c r="AE34" s="2393"/>
      <c r="AF34" s="2393"/>
      <c r="AG34" s="2393"/>
      <c r="AH34" s="2393"/>
      <c r="AI34" s="3421" t="s">
        <v>1174</v>
      </c>
      <c r="AJ34" s="3422"/>
      <c r="AK34" s="3422"/>
      <c r="AL34" s="3422"/>
    </row>
    <row r="35" spans="1:46" ht="22.5" customHeight="1">
      <c r="A35" s="825" t="s">
        <v>545</v>
      </c>
      <c r="B35" s="858"/>
      <c r="C35" s="836"/>
      <c r="D35" s="3437"/>
      <c r="E35" s="3463"/>
      <c r="F35" s="3464"/>
      <c r="G35" s="3464"/>
      <c r="H35" s="3464"/>
      <c r="I35" s="758"/>
      <c r="J35" s="1130"/>
      <c r="K35" s="1250"/>
      <c r="L35" s="821"/>
      <c r="M35" s="1412"/>
      <c r="N35" s="1413"/>
      <c r="O35" s="1416" t="str">
        <f>A32</f>
        <v>Sonstige betrieb. Erlöse</v>
      </c>
      <c r="P35" s="1417">
        <f>G37</f>
        <v>7400.4000000000005</v>
      </c>
      <c r="Q35" s="1416" t="s">
        <v>824</v>
      </c>
      <c r="R35" s="56"/>
      <c r="S35" s="56"/>
      <c r="T35" s="56"/>
      <c r="U35" s="56"/>
      <c r="V35" s="56"/>
      <c r="W35" s="2383"/>
      <c r="X35" s="2379"/>
      <c r="Y35" s="2405" t="str">
        <f>A30</f>
        <v>Erlöse Verkauf</v>
      </c>
      <c r="Z35" s="3412" t="str">
        <f>IF(Y36="","",IF(AA36=0,"",IF(Y36&gt;AA36,"Summe der Eingaben niedriger als Spalte Y",IF(Y36&lt;AA36,"Summe der Eingaben höher als Spalte Y","ok"))))</f>
        <v/>
      </c>
      <c r="AA35" s="2397"/>
      <c r="AB35" s="2396" t="str">
        <f>AB33</f>
        <v>Name Erlös  --&gt;</v>
      </c>
      <c r="AC35" s="2392"/>
      <c r="AD35" s="2392"/>
      <c r="AE35" s="2392"/>
      <c r="AF35" s="2392"/>
      <c r="AG35" s="2392"/>
      <c r="AH35" s="2392"/>
      <c r="AI35" s="3414" t="s">
        <v>1171</v>
      </c>
      <c r="AJ35" s="3415"/>
      <c r="AK35" s="3415"/>
      <c r="AL35" s="3415"/>
      <c r="AM35" s="3"/>
      <c r="AN35" s="3"/>
      <c r="AP35" s="3"/>
      <c r="AQ35" s="3"/>
      <c r="AR35" s="3"/>
      <c r="AS35" s="3"/>
      <c r="AT35" s="3"/>
    </row>
    <row r="36" spans="1:46" ht="22.05" customHeight="1" thickBot="1">
      <c r="A36" s="825" t="s">
        <v>546</v>
      </c>
      <c r="B36" s="858"/>
      <c r="C36" s="836"/>
      <c r="D36" s="3437"/>
      <c r="E36" s="3463"/>
      <c r="F36" s="3464"/>
      <c r="G36" s="3464"/>
      <c r="H36" s="3464"/>
      <c r="I36" s="758"/>
      <c r="J36" s="1134" t="s">
        <v>42</v>
      </c>
      <c r="K36" s="2553">
        <f>IF(C16="","",IF(K28="","",K33+K34))</f>
        <v>105169.80799999996</v>
      </c>
      <c r="L36" s="820"/>
      <c r="M36" s="56"/>
      <c r="Q36" s="56"/>
      <c r="R36" s="56"/>
      <c r="S36" s="56"/>
      <c r="T36" s="56"/>
      <c r="U36" s="56"/>
      <c r="V36" s="56"/>
      <c r="W36" s="2383"/>
      <c r="X36" s="2379"/>
      <c r="Y36" s="2403" t="str">
        <f>IF(C30="","",C30)</f>
        <v/>
      </c>
      <c r="Z36" s="3413"/>
      <c r="AA36" s="2398" t="str">
        <f t="shared" ref="AA36" si="10">IF(Y36="","",SUM(AC36:AH36))</f>
        <v/>
      </c>
      <c r="AB36" s="2402" t="str">
        <f t="shared" ref="AB36" si="11">IF(Y36="","",Y35)</f>
        <v/>
      </c>
      <c r="AC36" s="2393"/>
      <c r="AD36" s="2393"/>
      <c r="AE36" s="2393"/>
      <c r="AF36" s="2393"/>
      <c r="AG36" s="2393"/>
      <c r="AH36" s="2393"/>
      <c r="AI36" s="3421" t="s">
        <v>1174</v>
      </c>
      <c r="AJ36" s="3422"/>
      <c r="AK36" s="3422"/>
      <c r="AL36" s="3422"/>
      <c r="AM36" s="3"/>
      <c r="AN36" s="3"/>
      <c r="AP36" s="3"/>
      <c r="AQ36" s="3"/>
      <c r="AR36" s="3"/>
      <c r="AS36" s="3"/>
      <c r="AT36" s="3"/>
    </row>
    <row r="37" spans="1:46" ht="21.75" customHeight="1" thickBot="1">
      <c r="A37" s="827" t="s">
        <v>822</v>
      </c>
      <c r="B37" s="864"/>
      <c r="C37" s="838"/>
      <c r="D37" s="3548"/>
      <c r="E37" s="794">
        <f>IF(C16="","",D33/$C$16*12)</f>
        <v>7400.4000000000005</v>
      </c>
      <c r="F37" s="836"/>
      <c r="G37" s="795">
        <f>IF(F37="",E37,F37)</f>
        <v>7400.4000000000005</v>
      </c>
      <c r="H37" s="809"/>
      <c r="I37" s="758"/>
      <c r="J37" s="817" t="str">
        <f>IF('2 Unternehmensdaten'!F5="ja","","Persönliche Entnahmen ")</f>
        <v xml:space="preserve">Persönliche Entnahmen </v>
      </c>
      <c r="K37" s="1248">
        <f>G220</f>
        <v>103861.212</v>
      </c>
      <c r="L37" s="819"/>
      <c r="M37" s="56"/>
      <c r="Q37" s="56"/>
      <c r="R37" s="56"/>
      <c r="S37" s="56"/>
      <c r="T37" s="56"/>
      <c r="U37" s="56"/>
      <c r="V37" s="56"/>
      <c r="W37" s="2383"/>
      <c r="X37" s="2379"/>
      <c r="Y37" s="2405" t="str">
        <f>A31</f>
        <v>Erlöse Getränke</v>
      </c>
      <c r="Z37" s="3412" t="str">
        <f>IF(Y38="","",IF(AA38=0,"",IF(Y38&gt;AA38,"Summe der Eingaben niedriger als Spalte Y",IF(Y38&lt;AA38,"Summe der Eingaben höher als Spalte Y","ok"))))</f>
        <v/>
      </c>
      <c r="AA37" s="2397"/>
      <c r="AB37" s="2396" t="str">
        <f>AB35</f>
        <v>Name Erlös  --&gt;</v>
      </c>
      <c r="AC37" s="2392"/>
      <c r="AD37" s="2392"/>
      <c r="AE37" s="2392"/>
      <c r="AF37" s="2392"/>
      <c r="AG37" s="2392"/>
      <c r="AH37" s="2392"/>
      <c r="AI37" s="3414" t="s">
        <v>1171</v>
      </c>
      <c r="AJ37" s="3415"/>
      <c r="AK37" s="3415"/>
      <c r="AL37" s="3415"/>
      <c r="AM37" s="3"/>
      <c r="AN37" s="3"/>
      <c r="AP37" s="3"/>
      <c r="AQ37" s="3"/>
      <c r="AR37" s="3"/>
      <c r="AS37" s="3"/>
      <c r="AT37" s="3"/>
    </row>
    <row r="38" spans="1:46" ht="17.55" customHeight="1" thickBot="1">
      <c r="A38" s="824" t="s">
        <v>823</v>
      </c>
      <c r="B38" s="865"/>
      <c r="C38" s="835"/>
      <c r="D38" s="3461">
        <f>SUM(C38:C41)</f>
        <v>0</v>
      </c>
      <c r="E38" s="3423" t="s">
        <v>1216</v>
      </c>
      <c r="F38" s="3424"/>
      <c r="G38" s="3424"/>
      <c r="H38" s="809"/>
      <c r="I38" s="758"/>
      <c r="J38" s="817"/>
      <c r="K38" s="1248"/>
      <c r="L38" s="819"/>
      <c r="M38" s="56"/>
      <c r="N38" s="56"/>
      <c r="O38" s="56"/>
      <c r="P38" s="56"/>
      <c r="Q38" s="56"/>
      <c r="R38" s="56"/>
      <c r="S38" s="56"/>
      <c r="T38" s="56"/>
      <c r="U38" s="56"/>
      <c r="V38" s="56"/>
      <c r="W38" s="2383"/>
      <c r="X38" s="2379"/>
      <c r="Y38" s="2403" t="str">
        <f>IF(C31="","",C31)</f>
        <v/>
      </c>
      <c r="Z38" s="3413"/>
      <c r="AA38" s="2398" t="str">
        <f t="shared" ref="AA38" si="12">IF(Y38="","",SUM(AC38:AH38))</f>
        <v/>
      </c>
      <c r="AB38" s="2402" t="str">
        <f t="shared" ref="AB38" si="13">IF(Y38="","",Y37)</f>
        <v/>
      </c>
      <c r="AC38" s="2393"/>
      <c r="AD38" s="2393"/>
      <c r="AE38" s="2393"/>
      <c r="AF38" s="2393"/>
      <c r="AG38" s="2393"/>
      <c r="AH38" s="2393"/>
      <c r="AI38" s="3421" t="s">
        <v>1174</v>
      </c>
      <c r="AJ38" s="3422"/>
      <c r="AK38" s="3422"/>
      <c r="AL38" s="3422"/>
      <c r="AM38" s="3"/>
      <c r="AN38" s="3"/>
      <c r="AP38" s="3"/>
      <c r="AQ38" s="3"/>
      <c r="AR38" s="3"/>
      <c r="AS38" s="3"/>
      <c r="AT38" s="3"/>
    </row>
    <row r="39" spans="1:46" ht="18.75" customHeight="1">
      <c r="A39" s="825" t="s">
        <v>790</v>
      </c>
      <c r="B39" s="858"/>
      <c r="C39" s="836"/>
      <c r="D39" s="3437"/>
      <c r="E39" s="3423"/>
      <c r="F39" s="3424"/>
      <c r="G39" s="3424"/>
      <c r="H39" s="809"/>
      <c r="I39" s="758"/>
      <c r="J39" s="1132" t="s">
        <v>111</v>
      </c>
      <c r="K39" s="1248">
        <f>G236</f>
        <v>13282.2</v>
      </c>
      <c r="L39" s="819"/>
      <c r="M39" s="56"/>
      <c r="N39" s="56"/>
      <c r="O39" s="56"/>
      <c r="P39" s="56"/>
      <c r="Q39" s="56"/>
      <c r="R39" s="56"/>
      <c r="S39" s="56"/>
      <c r="T39" s="56"/>
      <c r="U39" s="56"/>
      <c r="V39" s="56"/>
      <c r="W39" s="2383"/>
      <c r="X39" s="2379"/>
      <c r="AA39" s="3"/>
      <c r="AB39" s="3"/>
      <c r="AC39" s="3"/>
      <c r="AD39" s="3"/>
      <c r="AE39" s="3"/>
      <c r="AF39" s="3"/>
      <c r="AG39" s="3"/>
      <c r="AH39" s="3"/>
      <c r="AI39" s="3"/>
      <c r="AJ39" s="3"/>
      <c r="AK39" s="3"/>
      <c r="AL39" s="3"/>
      <c r="AM39" s="3"/>
      <c r="AN39" s="3"/>
      <c r="AO39" s="3"/>
      <c r="AP39" s="3"/>
      <c r="AQ39" s="3"/>
      <c r="AR39" s="3"/>
      <c r="AS39" s="3"/>
      <c r="AT39" s="3"/>
    </row>
    <row r="40" spans="1:46" ht="18.75" customHeight="1">
      <c r="A40" s="825" t="s">
        <v>1162</v>
      </c>
      <c r="B40" s="858"/>
      <c r="C40" s="836"/>
      <c r="D40" s="3437"/>
      <c r="E40" s="3465"/>
      <c r="F40" s="3466"/>
      <c r="G40" s="3466"/>
      <c r="H40" s="809"/>
      <c r="I40" s="758"/>
      <c r="J40" s="1130" t="str">
        <f>IF('2 Unternehmensdaten'!F5="ja","","Einlagen")</f>
        <v>Einlagen</v>
      </c>
      <c r="K40" s="1248">
        <f>G233</f>
        <v>7250</v>
      </c>
      <c r="L40" s="819"/>
      <c r="O40" s="56"/>
      <c r="P40" s="56"/>
      <c r="Q40" s="56"/>
      <c r="R40" s="56"/>
      <c r="S40" s="56"/>
      <c r="T40" s="56"/>
      <c r="U40" s="56"/>
      <c r="V40" s="56"/>
      <c r="W40" s="2383"/>
      <c r="X40" s="2379"/>
      <c r="AB40" s="3"/>
      <c r="AC40" s="3"/>
      <c r="AD40" s="3"/>
      <c r="AE40" s="3"/>
      <c r="AF40" s="3"/>
      <c r="AG40" s="3"/>
      <c r="AH40" s="3"/>
      <c r="AI40" s="3"/>
      <c r="AJ40" s="3"/>
      <c r="AK40" s="3"/>
      <c r="AL40" s="3"/>
      <c r="AM40" s="3"/>
      <c r="AN40" s="3"/>
      <c r="AO40" s="3"/>
      <c r="AP40" s="3"/>
      <c r="AQ40" s="3"/>
      <c r="AR40" s="3"/>
      <c r="AS40" s="3"/>
      <c r="AT40" s="3"/>
    </row>
    <row r="41" spans="1:46" ht="21.75" customHeight="1" thickBot="1">
      <c r="A41" s="1190" t="s">
        <v>620</v>
      </c>
      <c r="B41" s="1191"/>
      <c r="C41" s="962"/>
      <c r="D41" s="3462"/>
      <c r="E41" s="1192">
        <f>IF(C16="","",D38/$C$16*12)</f>
        <v>0</v>
      </c>
      <c r="F41" s="1193"/>
      <c r="G41" s="1194">
        <f>IF(F41="",E41,F41)</f>
        <v>0</v>
      </c>
      <c r="H41" s="252"/>
      <c r="I41" s="252"/>
      <c r="J41" s="1141" t="s">
        <v>81</v>
      </c>
      <c r="K41" s="1273">
        <f>IF(K33="","",K36-K37-K38-K39+K40)</f>
        <v>-4723.6040000000394</v>
      </c>
      <c r="L41" s="820">
        <f>IF(K41=0,"",K41/$K$14*100)</f>
        <v>-1.1765834564116997</v>
      </c>
      <c r="O41" s="56"/>
      <c r="P41" s="56"/>
      <c r="Q41" s="56"/>
      <c r="R41" s="56"/>
      <c r="S41" s="56"/>
      <c r="T41" s="56"/>
      <c r="U41" s="56"/>
      <c r="V41" s="56"/>
      <c r="W41" s="2383"/>
      <c r="X41" s="2379"/>
      <c r="AB41" s="3"/>
      <c r="AC41" s="3"/>
      <c r="AD41" s="3"/>
      <c r="AE41" s="3"/>
      <c r="AF41" s="3"/>
      <c r="AG41" s="3"/>
      <c r="AH41" s="3"/>
      <c r="AI41" s="3"/>
      <c r="AJ41" s="3"/>
      <c r="AK41" s="3"/>
      <c r="AL41" s="3"/>
      <c r="AM41" s="3"/>
      <c r="AN41" s="3"/>
      <c r="AO41" s="3"/>
      <c r="AP41" s="3"/>
      <c r="AQ41" s="3"/>
      <c r="AR41" s="3"/>
      <c r="AS41" s="3"/>
      <c r="AT41" s="3"/>
    </row>
    <row r="42" spans="1:46" ht="21" customHeight="1" thickBot="1">
      <c r="A42" s="1195" t="s">
        <v>552</v>
      </c>
      <c r="B42" s="1196"/>
      <c r="C42" s="950"/>
      <c r="D42" s="2358">
        <f>C42</f>
        <v>0</v>
      </c>
      <c r="E42" s="3601" t="str">
        <f>IF(D42=0,"","Betrag vom Aufwendungsausgleichgesetzt wandert in die Personalkosten")</f>
        <v/>
      </c>
      <c r="F42" s="3602"/>
      <c r="G42" s="3602"/>
      <c r="H42" s="1287"/>
      <c r="I42" s="252"/>
      <c r="J42" s="758"/>
      <c r="K42" s="758"/>
      <c r="L42" s="758"/>
      <c r="M42" s="56"/>
      <c r="N42" s="56"/>
      <c r="O42" s="56"/>
      <c r="P42" s="56"/>
      <c r="Q42" s="56"/>
      <c r="R42" s="56"/>
      <c r="S42" s="56"/>
      <c r="T42" s="56"/>
      <c r="U42" s="56"/>
      <c r="V42" s="56"/>
      <c r="W42" s="2383"/>
      <c r="X42" s="2379"/>
      <c r="AB42" s="3"/>
      <c r="AC42" s="3"/>
      <c r="AD42" s="3"/>
      <c r="AE42" s="3"/>
      <c r="AF42" s="3"/>
      <c r="AG42" s="3"/>
      <c r="AH42" s="3"/>
      <c r="AI42" s="3"/>
      <c r="AJ42" s="3"/>
      <c r="AK42" s="3"/>
      <c r="AL42" s="3"/>
      <c r="AM42" s="3"/>
      <c r="AN42" s="3"/>
      <c r="AO42" s="3"/>
      <c r="AP42" s="3"/>
      <c r="AQ42" s="3"/>
      <c r="AR42" s="3"/>
      <c r="AS42" s="3"/>
      <c r="AT42" s="3"/>
    </row>
    <row r="43" spans="1:46" ht="23.55" customHeight="1">
      <c r="A43" s="3447" t="str">
        <f>IF(D45=0,"","Summe Sonstige Erlöse")</f>
        <v/>
      </c>
      <c r="B43" s="3447"/>
      <c r="C43" s="840"/>
      <c r="D43" s="2359" t="str">
        <f>IF(D45=0,"",D33)</f>
        <v/>
      </c>
      <c r="E43" s="3603" t="str">
        <f>IF(C43="","","in die weißen Felder bitte nichts eintragen")</f>
        <v/>
      </c>
      <c r="F43" s="3604"/>
      <c r="G43" s="3604"/>
      <c r="H43" s="1288"/>
      <c r="I43" s="401"/>
      <c r="J43" s="3425" t="s">
        <v>1002</v>
      </c>
      <c r="K43" s="3426"/>
      <c r="L43" s="3427"/>
      <c r="M43" s="1217"/>
      <c r="N43" s="1217"/>
      <c r="O43" s="1217"/>
      <c r="P43" s="1217"/>
      <c r="V43" s="3"/>
      <c r="W43" s="2382"/>
      <c r="X43" s="2379"/>
      <c r="AB43" s="3"/>
      <c r="AC43" s="3"/>
      <c r="AD43" s="3"/>
      <c r="AE43" s="3"/>
      <c r="AF43" s="3"/>
      <c r="AG43" s="3"/>
      <c r="AH43" s="3"/>
      <c r="AI43" s="3"/>
      <c r="AJ43" s="3"/>
      <c r="AK43" s="3"/>
      <c r="AL43" s="3"/>
      <c r="AM43" s="3"/>
      <c r="AN43" s="3"/>
      <c r="AO43" s="3"/>
      <c r="AP43" s="3"/>
      <c r="AQ43" s="3"/>
      <c r="AR43" s="3"/>
      <c r="AS43" s="3"/>
      <c r="AT43" s="3"/>
    </row>
    <row r="44" spans="1:46" ht="19.05" customHeight="1">
      <c r="A44" s="904" t="s">
        <v>813</v>
      </c>
      <c r="B44" s="858"/>
      <c r="C44" s="844"/>
      <c r="D44" s="2360">
        <f>-C44</f>
        <v>0</v>
      </c>
      <c r="E44" s="3471" t="str">
        <f>IF(D44=0,"","Läuft als minus Betrag ohne Hochrechnung in der neutralen Ertrag")</f>
        <v/>
      </c>
      <c r="F44" s="3472"/>
      <c r="G44" s="3472"/>
      <c r="H44" s="1260"/>
      <c r="I44" s="758"/>
      <c r="J44" s="3428"/>
      <c r="K44" s="3429"/>
      <c r="L44" s="3430"/>
      <c r="M44" s="34"/>
      <c r="P44" s="34"/>
      <c r="Q44" s="34"/>
      <c r="W44" s="2387"/>
      <c r="X44" s="2379"/>
      <c r="AG44" s="3"/>
      <c r="AH44" s="3"/>
      <c r="AI44" s="3"/>
    </row>
    <row r="45" spans="1:46" ht="19.05" customHeight="1" thickBot="1">
      <c r="A45" s="1230" t="s">
        <v>643</v>
      </c>
      <c r="B45" s="1262"/>
      <c r="C45" s="845"/>
      <c r="D45" s="2361">
        <f>C45</f>
        <v>0</v>
      </c>
      <c r="E45" s="3558" t="str">
        <f>IF(D45=0,"","Der Betrag läuft ohne Hochrechnung in der neutralen Ertrag")</f>
        <v/>
      </c>
      <c r="F45" s="3559"/>
      <c r="G45" s="3559"/>
      <c r="H45" s="1261"/>
      <c r="I45" s="758"/>
      <c r="J45" s="3428"/>
      <c r="K45" s="3429"/>
      <c r="L45" s="3430"/>
      <c r="M45" s="34"/>
      <c r="P45" s="34"/>
      <c r="Q45" s="34"/>
      <c r="W45" s="2387"/>
      <c r="X45" s="2379"/>
      <c r="AG45" s="3"/>
      <c r="AH45" s="3"/>
      <c r="AI45" s="3"/>
    </row>
    <row r="46" spans="1:46" ht="37.5" customHeight="1">
      <c r="A46" s="778" t="s">
        <v>547</v>
      </c>
      <c r="B46" s="2338" t="s">
        <v>688</v>
      </c>
      <c r="C46" s="2568"/>
      <c r="D46" s="2362"/>
      <c r="E46" s="3467" t="str">
        <f>IF(C46+C47=0,"","in die weißen Felder bitte nichts eintragen")</f>
        <v/>
      </c>
      <c r="F46" s="3467"/>
      <c r="G46" s="3467"/>
      <c r="H46" s="758"/>
      <c r="I46" s="758"/>
      <c r="J46" s="3428"/>
      <c r="K46" s="3429"/>
      <c r="L46" s="3430"/>
      <c r="M46" s="34"/>
      <c r="P46" s="34"/>
      <c r="Q46" s="34"/>
      <c r="W46" s="2387"/>
      <c r="X46" s="2379"/>
      <c r="AA46" s="142" t="s">
        <v>1165</v>
      </c>
      <c r="AG46" s="3"/>
      <c r="AH46" s="3"/>
      <c r="AI46" s="3"/>
    </row>
    <row r="47" spans="1:46" ht="19.05" customHeight="1">
      <c r="A47" s="3449" t="s">
        <v>1290</v>
      </c>
      <c r="B47" s="780"/>
      <c r="C47" s="3410"/>
      <c r="D47" s="2362"/>
      <c r="H47" s="758"/>
      <c r="I47" s="758"/>
      <c r="J47" s="3428"/>
      <c r="K47" s="3429"/>
      <c r="L47" s="3430"/>
      <c r="M47" s="34"/>
      <c r="P47" s="34"/>
      <c r="Q47" s="34"/>
      <c r="W47" s="2387"/>
      <c r="X47" s="2379"/>
      <c r="AA47" s="174" t="s">
        <v>1189</v>
      </c>
      <c r="AB47" s="3"/>
      <c r="AC47" s="3"/>
      <c r="AD47" s="3"/>
      <c r="AE47" s="3"/>
      <c r="AF47" s="3"/>
      <c r="AG47" s="3"/>
      <c r="AH47" s="3"/>
      <c r="AI47" s="3"/>
    </row>
    <row r="48" spans="1:46" s="3" customFormat="1" ht="18.75" customHeight="1">
      <c r="A48" s="3450"/>
      <c r="B48" s="771"/>
      <c r="C48" s="3411"/>
      <c r="D48" s="2362"/>
      <c r="E48" s="34"/>
      <c r="F48" s="56"/>
      <c r="G48" s="34"/>
      <c r="H48" s="758"/>
      <c r="I48" s="758"/>
      <c r="J48" s="3428"/>
      <c r="K48" s="3429"/>
      <c r="L48" s="3430"/>
      <c r="M48" s="34"/>
      <c r="W48" s="2382"/>
      <c r="X48" s="2379"/>
      <c r="Y48" s="3" t="s">
        <v>1190</v>
      </c>
      <c r="Z48" s="34"/>
    </row>
    <row r="49" spans="1:38" ht="18.75" customHeight="1" thickBot="1">
      <c r="A49" s="3451"/>
      <c r="B49" s="781" t="s">
        <v>645</v>
      </c>
      <c r="C49" s="2645"/>
      <c r="D49" s="2370">
        <f>D53+D50</f>
        <v>33005.86</v>
      </c>
      <c r="E49" s="794">
        <f>IF(C16="","",D49/$C$16*12)</f>
        <v>39607.032000000007</v>
      </c>
      <c r="F49" s="836"/>
      <c r="G49" s="795">
        <f>IF(F49="",E49,F49)</f>
        <v>39607.032000000007</v>
      </c>
      <c r="H49" s="252"/>
      <c r="I49" s="873">
        <f>IF(C49="",0,1)</f>
        <v>0</v>
      </c>
      <c r="J49" s="3431"/>
      <c r="K49" s="3432"/>
      <c r="L49" s="3433"/>
      <c r="M49" s="34"/>
      <c r="W49" s="2387"/>
      <c r="X49" s="2379"/>
      <c r="Z49" s="2410" t="s">
        <v>1166</v>
      </c>
      <c r="AA49" s="2400"/>
      <c r="AB49" s="2397"/>
      <c r="AC49" s="2396" t="s">
        <v>1175</v>
      </c>
      <c r="AD49" s="2394" t="s">
        <v>1169</v>
      </c>
      <c r="AE49" s="2401" t="s">
        <v>1170</v>
      </c>
      <c r="AF49" s="3443" t="s">
        <v>1176</v>
      </c>
      <c r="AG49" s="3444"/>
      <c r="AH49" s="3444"/>
      <c r="AI49" s="3444"/>
    </row>
    <row r="50" spans="1:38" ht="18.75" customHeight="1" thickBot="1">
      <c r="A50" s="3591" t="s">
        <v>1181</v>
      </c>
      <c r="B50" s="3592"/>
      <c r="C50" s="836">
        <v>35070.480000000003</v>
      </c>
      <c r="D50" s="3436">
        <f>SUM(C50:C52)</f>
        <v>35070.480000000003</v>
      </c>
      <c r="E50" s="3441" t="str">
        <f>IF(I49=I50,"in die weißen Felder bitte nichts eintragen","")</f>
        <v/>
      </c>
      <c r="F50" s="3442"/>
      <c r="G50" s="3442"/>
      <c r="H50" s="252"/>
      <c r="I50" s="873">
        <f>IF(D53+D50=0,2,1)</f>
        <v>1</v>
      </c>
      <c r="X50" s="2411"/>
      <c r="Y50" s="3419" t="s">
        <v>1188</v>
      </c>
      <c r="AA50" s="2399" t="s">
        <v>94</v>
      </c>
      <c r="AB50" s="2398">
        <f>SUM(AD50:AE50)</f>
        <v>9000</v>
      </c>
      <c r="AC50" s="2402" t="s">
        <v>1178</v>
      </c>
      <c r="AD50" s="2395">
        <v>4000</v>
      </c>
      <c r="AE50" s="2395">
        <v>5000</v>
      </c>
      <c r="AF50" s="3443" t="s">
        <v>1177</v>
      </c>
      <c r="AG50" s="3444"/>
      <c r="AH50" s="3444"/>
      <c r="AI50" s="3444"/>
    </row>
    <row r="51" spans="1:38" ht="18.75" customHeight="1">
      <c r="A51" s="825" t="s">
        <v>1179</v>
      </c>
      <c r="B51" s="858"/>
      <c r="C51" s="836"/>
      <c r="D51" s="3437"/>
      <c r="E51" s="3441"/>
      <c r="F51" s="3442"/>
      <c r="G51" s="3442"/>
      <c r="H51" s="758"/>
      <c r="I51" s="758"/>
      <c r="X51" s="2411"/>
      <c r="Y51" s="3420"/>
      <c r="Z51" s="42"/>
    </row>
    <row r="52" spans="1:38" ht="18.75" customHeight="1">
      <c r="A52" s="825" t="s">
        <v>1180</v>
      </c>
      <c r="B52" s="2407" t="str">
        <f>IF(C52&gt;0,"siehe Text rechts","")</f>
        <v/>
      </c>
      <c r="C52" s="836"/>
      <c r="D52" s="3438"/>
      <c r="E52" s="3441"/>
      <c r="F52" s="3442"/>
      <c r="G52" s="3442"/>
      <c r="H52" s="758"/>
      <c r="I52" s="758"/>
      <c r="W52" s="2387"/>
      <c r="X52" s="2379"/>
      <c r="Y52" s="2405" t="str">
        <f>A52</f>
        <v>Wareneingang Verkauf</v>
      </c>
      <c r="Z52" s="3412" t="str">
        <f>IF(Y53="","",IF(AA53=0,"",IF(Y53&gt;AA53,"Summe der Eingaben niedriger als Spalte Y",IF(Y53&lt;AA53,"Summe der Eingaben höher als Spalte Y","ok"))))</f>
        <v/>
      </c>
      <c r="AA52" s="2397"/>
      <c r="AB52" s="2396" t="s">
        <v>1175</v>
      </c>
      <c r="AC52" s="2392"/>
      <c r="AD52" s="2392"/>
      <c r="AE52" s="2392"/>
      <c r="AF52" s="2392"/>
      <c r="AG52" s="2392"/>
      <c r="AH52" s="2392"/>
      <c r="AI52" s="3414" t="s">
        <v>1182</v>
      </c>
      <c r="AJ52" s="3415"/>
      <c r="AK52" s="3415"/>
      <c r="AL52" s="3415"/>
    </row>
    <row r="53" spans="1:38" ht="18.75" customHeight="1" thickBot="1">
      <c r="A53" s="825" t="s">
        <v>1068</v>
      </c>
      <c r="B53" s="2407" t="str">
        <f>IF(D53&gt;0,"siehe Text rechts","")</f>
        <v/>
      </c>
      <c r="C53" s="836"/>
      <c r="D53" s="3434">
        <f>SUM(C53:C55,C59:C60)-SUM(C56:C58,C61)</f>
        <v>-2064.62</v>
      </c>
      <c r="E53" s="3439" t="str">
        <f>IF(SUM(C52:D53)&gt;0,"Ab Zeile 52 - WE Verkauf - bis Zeile 59 können alle Positionen in Spalte Y weiter unterteilt werden","")</f>
        <v/>
      </c>
      <c r="F53" s="3440"/>
      <c r="G53" s="758"/>
      <c r="H53" s="758"/>
      <c r="I53" s="758"/>
      <c r="W53" s="2387"/>
      <c r="Y53" s="2403" t="str">
        <f>IF(C52="","",C52)</f>
        <v/>
      </c>
      <c r="Z53" s="3413"/>
      <c r="AA53" s="2398" t="str">
        <f t="shared" ref="AA53" si="14">IF(Y53="","",SUM(AC53:AH53))</f>
        <v/>
      </c>
      <c r="AB53" s="2402" t="str">
        <f t="shared" ref="AB53" si="15">IF(Y53="","",Y52)</f>
        <v/>
      </c>
      <c r="AC53" s="2393"/>
      <c r="AD53" s="2393"/>
      <c r="AE53" s="2393"/>
      <c r="AF53" s="2393"/>
      <c r="AG53" s="2393"/>
      <c r="AH53" s="2393"/>
      <c r="AI53" s="3416" t="s">
        <v>1183</v>
      </c>
      <c r="AJ53" s="3417"/>
      <c r="AK53" s="3417"/>
      <c r="AL53" s="3417"/>
    </row>
    <row r="54" spans="1:38" ht="18.75" customHeight="1">
      <c r="A54" s="825" t="s">
        <v>1187</v>
      </c>
      <c r="B54" s="2404" t="s">
        <v>1186</v>
      </c>
      <c r="C54" s="836"/>
      <c r="D54" s="3434"/>
      <c r="E54" s="3439"/>
      <c r="F54" s="3440"/>
      <c r="G54" s="758"/>
      <c r="H54" s="758"/>
      <c r="I54" s="758"/>
      <c r="W54" s="2387"/>
      <c r="Y54" s="2405" t="str">
        <f>A53</f>
        <v>Perücken</v>
      </c>
      <c r="Z54" s="3412" t="str">
        <f>IF(Y55="","",IF(AA55=0,"",IF(Y55&gt;AA55,"Summe der Eingaben niedriger als Spalte Y",IF(Y55&lt;AA55,"Summe der Eingaben höher als Spalte Y","ok"))))</f>
        <v/>
      </c>
      <c r="AA54" s="2397"/>
      <c r="AB54" s="2396" t="s">
        <v>1175</v>
      </c>
      <c r="AC54" s="2392"/>
      <c r="AD54" s="2392"/>
      <c r="AE54" s="2392"/>
      <c r="AF54" s="2392"/>
      <c r="AG54" s="2392"/>
      <c r="AH54" s="2392"/>
      <c r="AI54" s="3414" t="s">
        <v>1185</v>
      </c>
      <c r="AJ54" s="3415"/>
      <c r="AK54" s="3415"/>
      <c r="AL54" s="3415"/>
    </row>
    <row r="55" spans="1:38" ht="18.75" customHeight="1" thickBot="1">
      <c r="A55" s="825" t="s">
        <v>1213</v>
      </c>
      <c r="B55" s="858"/>
      <c r="C55" s="836"/>
      <c r="D55" s="3434"/>
      <c r="E55" s="3439"/>
      <c r="F55" s="3440"/>
      <c r="G55" s="758"/>
      <c r="H55" s="758"/>
      <c r="I55" s="758"/>
      <c r="W55" s="2387"/>
      <c r="Y55" s="2403" t="str">
        <f>IF(C53="","",C53)</f>
        <v/>
      </c>
      <c r="Z55" s="3413"/>
      <c r="AA55" s="2398" t="str">
        <f>IF(Y55="","",SUM(AC55:AH55))</f>
        <v/>
      </c>
      <c r="AB55" s="2402" t="str">
        <f>IF(Y55="","",Y54)</f>
        <v/>
      </c>
      <c r="AC55" s="2393"/>
      <c r="AD55" s="2393"/>
      <c r="AE55" s="2393"/>
      <c r="AF55" s="2393"/>
      <c r="AG55" s="2393"/>
      <c r="AH55" s="2393"/>
      <c r="AI55" s="3421" t="s">
        <v>1183</v>
      </c>
      <c r="AJ55" s="3422"/>
      <c r="AK55" s="3422"/>
      <c r="AL55" s="3422"/>
    </row>
    <row r="56" spans="1:38" ht="18.75" customHeight="1">
      <c r="A56" s="1237" t="s">
        <v>548</v>
      </c>
      <c r="B56" s="858"/>
      <c r="C56" s="836"/>
      <c r="D56" s="3434"/>
      <c r="E56" s="3439"/>
      <c r="F56" s="3440"/>
      <c r="G56" s="252"/>
      <c r="H56" s="252"/>
      <c r="I56" s="401"/>
      <c r="W56" s="2387"/>
      <c r="Y56" s="2405" t="str">
        <f>A54</f>
        <v xml:space="preserve">EU-Erwerb </v>
      </c>
      <c r="Z56" s="3412" t="str">
        <f>IF(Y57="","",IF(AA57=0,"",IF(Y57&gt;AA57,"Summe der Eingaben niedriger als Spalte Y",IF(Y57&lt;AA57,"Summe der Eingaben höher als Spalte Y","ok"))))</f>
        <v/>
      </c>
      <c r="AA56" s="2397"/>
      <c r="AB56" s="2396" t="s">
        <v>1175</v>
      </c>
      <c r="AC56" s="2392"/>
      <c r="AD56" s="2392"/>
      <c r="AE56" s="2392"/>
      <c r="AF56" s="2392"/>
      <c r="AG56" s="2392"/>
      <c r="AH56" s="2392"/>
      <c r="AI56" s="3414" t="s">
        <v>1185</v>
      </c>
      <c r="AJ56" s="3415"/>
      <c r="AK56" s="3415"/>
      <c r="AL56" s="3415"/>
    </row>
    <row r="57" spans="1:38" ht="18.75" customHeight="1" thickBot="1">
      <c r="A57" s="1237" t="s">
        <v>549</v>
      </c>
      <c r="B57" s="868"/>
      <c r="C57" s="836">
        <v>2064.62</v>
      </c>
      <c r="D57" s="3434"/>
      <c r="E57" s="252"/>
      <c r="F57" s="281"/>
      <c r="G57" s="252"/>
      <c r="H57" s="252"/>
      <c r="I57" s="401"/>
      <c r="M57" s="758"/>
      <c r="N57" s="758"/>
      <c r="O57" s="758"/>
      <c r="P57" s="758"/>
      <c r="Q57" s="758"/>
      <c r="R57" s="758"/>
      <c r="S57" s="758"/>
      <c r="T57" s="758"/>
      <c r="U57" s="758"/>
      <c r="V57" s="758"/>
      <c r="W57" s="2388"/>
      <c r="X57" s="758"/>
      <c r="Y57" s="2403" t="str">
        <f>IF(C54="","",C54)</f>
        <v/>
      </c>
      <c r="Z57" s="3413"/>
      <c r="AA57" s="2398" t="str">
        <f>IF(Y57="","",SUM(AC57:AH57))</f>
        <v/>
      </c>
      <c r="AB57" s="2402" t="str">
        <f t="shared" ref="AB57" si="16">IF(Y57="","",Y56)</f>
        <v/>
      </c>
      <c r="AC57" s="2393"/>
      <c r="AD57" s="2393"/>
      <c r="AE57" s="2393"/>
      <c r="AF57" s="2393"/>
      <c r="AG57" s="2393"/>
      <c r="AH57" s="2393"/>
      <c r="AI57" s="3421" t="s">
        <v>1183</v>
      </c>
      <c r="AJ57" s="3422"/>
      <c r="AK57" s="3422"/>
      <c r="AL57" s="3422"/>
    </row>
    <row r="58" spans="1:38" ht="16.5" customHeight="1">
      <c r="A58" s="1237" t="s">
        <v>550</v>
      </c>
      <c r="B58" s="868"/>
      <c r="C58" s="836"/>
      <c r="D58" s="3434"/>
      <c r="E58" s="252"/>
      <c r="F58" s="281"/>
      <c r="G58" s="252"/>
      <c r="H58" s="252"/>
      <c r="I58" s="401"/>
      <c r="M58" s="34"/>
      <c r="P58" s="34"/>
      <c r="Q58" s="34"/>
      <c r="W58" s="2387"/>
      <c r="Y58" s="2405" t="str">
        <f>A55</f>
        <v>ggf. Webshop</v>
      </c>
      <c r="Z58" s="3412" t="str">
        <f>IF(Y59="","",IF(AA59=0,"",IF(Y59&gt;AA59,"Summe der Eingaben niedriger als Spalte Y",IF(Y59&lt;AA59,"Summe der Eingaben höher als Spalte Y","ok"))))</f>
        <v/>
      </c>
      <c r="AA58" s="2397"/>
      <c r="AB58" s="2396" t="s">
        <v>1175</v>
      </c>
      <c r="AC58" s="2392"/>
      <c r="AD58" s="2392"/>
      <c r="AE58" s="2392"/>
      <c r="AF58" s="2392"/>
      <c r="AG58" s="2392"/>
      <c r="AH58" s="2392"/>
      <c r="AI58" s="3414" t="s">
        <v>1185</v>
      </c>
      <c r="AJ58" s="3415"/>
      <c r="AK58" s="3415"/>
      <c r="AL58" s="3415"/>
    </row>
    <row r="59" spans="1:38" ht="19.05" customHeight="1" thickBot="1">
      <c r="A59" s="825" t="s">
        <v>1184</v>
      </c>
      <c r="B59" s="868"/>
      <c r="C59" s="836"/>
      <c r="D59" s="3434"/>
      <c r="E59" s="252"/>
      <c r="F59" s="281"/>
      <c r="G59" s="252"/>
      <c r="H59" s="252"/>
      <c r="I59" s="401"/>
      <c r="M59" s="34"/>
      <c r="P59" s="34"/>
      <c r="Q59" s="34"/>
      <c r="T59" s="758"/>
      <c r="U59" s="758"/>
      <c r="V59" s="758"/>
      <c r="W59" s="2388"/>
      <c r="X59" s="758"/>
      <c r="Y59" s="2403" t="str">
        <f>IF(C55="","",C55)</f>
        <v/>
      </c>
      <c r="Z59" s="3413"/>
      <c r="AA59" s="2398" t="str">
        <f>IF(Y59="","",SUM(AC59:AH59))</f>
        <v/>
      </c>
      <c r="AB59" s="2402" t="str">
        <f t="shared" ref="AB59" si="17">IF(Y59="","",Y58)</f>
        <v/>
      </c>
      <c r="AC59" s="2393"/>
      <c r="AD59" s="2393"/>
      <c r="AE59" s="2393"/>
      <c r="AF59" s="2393"/>
      <c r="AG59" s="2393"/>
      <c r="AH59" s="2393"/>
      <c r="AI59" s="3421" t="s">
        <v>1183</v>
      </c>
      <c r="AJ59" s="3422"/>
      <c r="AK59" s="3422"/>
      <c r="AL59" s="3422"/>
    </row>
    <row r="60" spans="1:38" ht="19.05" customHeight="1" thickBot="1">
      <c r="A60" s="826" t="s">
        <v>1172</v>
      </c>
      <c r="B60" s="859"/>
      <c r="C60" s="837"/>
      <c r="D60" s="3434"/>
      <c r="E60" s="252"/>
      <c r="F60" s="281"/>
      <c r="G60" s="252"/>
      <c r="H60" s="252"/>
      <c r="I60" s="401"/>
      <c r="M60" s="34"/>
      <c r="P60" s="34"/>
      <c r="Q60" s="34"/>
      <c r="W60" s="2387"/>
      <c r="Y60" s="2405" t="str">
        <f>A56</f>
        <v>Erhaltene Skonti</v>
      </c>
      <c r="Z60" s="3412" t="str">
        <f>IF(Y61="","",IF(AA61=0,"",IF(Y61&gt;AA61,"Summe der Eingaben niedriger als Spalte Y",IF(Y61&lt;AA61,"Summe der Eingaben höher als Spalte Y","ok"))))</f>
        <v/>
      </c>
      <c r="AA60" s="2397"/>
      <c r="AB60" s="2396" t="s">
        <v>1175</v>
      </c>
      <c r="AC60" s="2392"/>
      <c r="AD60" s="2392"/>
      <c r="AE60" s="2392"/>
      <c r="AF60" s="2392"/>
      <c r="AG60" s="2392"/>
      <c r="AH60" s="2392"/>
      <c r="AI60" s="3414" t="s">
        <v>1185</v>
      </c>
      <c r="AJ60" s="3415"/>
      <c r="AK60" s="3415"/>
      <c r="AL60" s="3415"/>
    </row>
    <row r="61" spans="1:38" ht="18.75" customHeight="1" thickBot="1">
      <c r="A61" s="772" t="s">
        <v>551</v>
      </c>
      <c r="B61" s="774"/>
      <c r="C61" s="842"/>
      <c r="D61" s="3435"/>
      <c r="E61" s="799"/>
      <c r="F61" s="800"/>
      <c r="G61" s="799"/>
      <c r="H61" s="252"/>
      <c r="I61" s="401"/>
      <c r="M61" s="758"/>
      <c r="N61" s="758"/>
      <c r="O61" s="758"/>
      <c r="P61" s="758"/>
      <c r="Q61" s="758"/>
      <c r="R61" s="758"/>
      <c r="S61" s="758"/>
      <c r="T61" s="758"/>
      <c r="U61" s="758"/>
      <c r="V61" s="758"/>
      <c r="W61" s="2388"/>
      <c r="X61" s="758"/>
      <c r="Y61" s="2403" t="str">
        <f>IF(C56="","",C56)</f>
        <v/>
      </c>
      <c r="Z61" s="3413"/>
      <c r="AA61" s="2398" t="str">
        <f t="shared" ref="AA61" si="18">IF(Y61="","",SUM(AC61:AH61))</f>
        <v/>
      </c>
      <c r="AB61" s="2402" t="str">
        <f t="shared" ref="AB61" si="19">IF(Y61="","",Y60)</f>
        <v/>
      </c>
      <c r="AC61" s="2393"/>
      <c r="AD61" s="2393"/>
      <c r="AE61" s="2393"/>
      <c r="AF61" s="2393"/>
      <c r="AG61" s="2393"/>
      <c r="AH61" s="2393"/>
      <c r="AI61" s="3421" t="s">
        <v>1183</v>
      </c>
      <c r="AJ61" s="3422"/>
      <c r="AK61" s="3422"/>
      <c r="AL61" s="3422"/>
    </row>
    <row r="62" spans="1:38" ht="34.049999999999997" customHeight="1">
      <c r="A62" s="767" t="s">
        <v>35</v>
      </c>
      <c r="B62" s="2338" t="s">
        <v>689</v>
      </c>
      <c r="C62" s="841"/>
      <c r="D62" s="2032"/>
      <c r="E62" s="3467" t="str">
        <f>IF(C62+C64+C65=0,"","in die weißen Felder bitte nichts eintragen")</f>
        <v/>
      </c>
      <c r="F62" s="3467"/>
      <c r="G62" s="3467"/>
      <c r="H62" s="252"/>
      <c r="I62" s="401"/>
      <c r="J62" s="3425" t="s">
        <v>1002</v>
      </c>
      <c r="K62" s="3426"/>
      <c r="L62" s="3427"/>
      <c r="M62" s="758"/>
      <c r="N62" s="758"/>
      <c r="O62" s="758"/>
      <c r="P62" s="758"/>
      <c r="Q62" s="758"/>
      <c r="R62" s="758"/>
      <c r="S62" s="758"/>
      <c r="T62" s="758"/>
      <c r="U62" s="758"/>
      <c r="V62" s="758"/>
      <c r="W62" s="2388"/>
      <c r="X62" s="758"/>
      <c r="Y62" s="2405" t="str">
        <f>A57</f>
        <v>Erhaltene Boni</v>
      </c>
      <c r="Z62" s="3412" t="str">
        <f>IF(Y63="","",IF(AA63=0,"",IF(Y63&gt;AA63,"Summe der Eingaben niedriger als Spalte Y",IF(Y63&lt;AA63,"Summe der Eingaben höher als Spalte Y","ok"))))</f>
        <v/>
      </c>
      <c r="AA62" s="2397"/>
      <c r="AB62" s="2396" t="s">
        <v>1175</v>
      </c>
      <c r="AC62" s="2392"/>
      <c r="AD62" s="2392"/>
      <c r="AE62" s="2392"/>
      <c r="AF62" s="2392"/>
      <c r="AG62" s="2392"/>
      <c r="AH62" s="2392"/>
      <c r="AI62" s="3414" t="s">
        <v>1185</v>
      </c>
      <c r="AJ62" s="3415"/>
      <c r="AK62" s="3415"/>
      <c r="AL62" s="3415"/>
    </row>
    <row r="63" spans="1:38" ht="19.05" customHeight="1" thickBot="1">
      <c r="A63" s="3449" t="s">
        <v>627</v>
      </c>
      <c r="B63" s="782" t="s">
        <v>810</v>
      </c>
      <c r="C63" s="836">
        <v>115963.71</v>
      </c>
      <c r="D63" s="2354">
        <f>C63+D66</f>
        <v>115963.71</v>
      </c>
      <c r="E63" s="252"/>
      <c r="F63" s="281"/>
      <c r="G63" s="252"/>
      <c r="H63" s="252"/>
      <c r="I63" s="401"/>
      <c r="J63" s="3428"/>
      <c r="K63" s="3429"/>
      <c r="L63" s="3430"/>
      <c r="M63" s="758"/>
      <c r="N63" s="758"/>
      <c r="O63" s="758"/>
      <c r="P63" s="758"/>
      <c r="Q63" s="758"/>
      <c r="R63" s="758"/>
      <c r="S63" s="758"/>
      <c r="T63" s="758"/>
      <c r="U63" s="758"/>
      <c r="V63" s="758"/>
      <c r="W63" s="2388"/>
      <c r="X63" s="758"/>
      <c r="Y63" s="2403">
        <f>IF(C57="","",C57)</f>
        <v>2064.62</v>
      </c>
      <c r="Z63" s="3413"/>
      <c r="AA63" s="2398">
        <f t="shared" ref="AA63" si="20">IF(Y63="","",SUM(AC63:AH63))</f>
        <v>0</v>
      </c>
      <c r="AB63" s="2402" t="str">
        <f t="shared" ref="AB63" si="21">IF(Y63="","",Y62)</f>
        <v>Erhaltene Boni</v>
      </c>
      <c r="AC63" s="2393"/>
      <c r="AD63" s="2393"/>
      <c r="AE63" s="2393"/>
      <c r="AF63" s="2393"/>
      <c r="AG63" s="2393"/>
      <c r="AH63" s="2393"/>
      <c r="AI63" s="3421" t="s">
        <v>1183</v>
      </c>
      <c r="AJ63" s="3422"/>
      <c r="AK63" s="3422"/>
      <c r="AL63" s="3422"/>
    </row>
    <row r="64" spans="1:38" ht="19.05" customHeight="1">
      <c r="A64" s="3450"/>
      <c r="B64" s="786" t="s">
        <v>1285</v>
      </c>
      <c r="C64" s="3408"/>
      <c r="D64" s="2354">
        <f>D80</f>
        <v>3419.89</v>
      </c>
      <c r="E64" s="3423" t="str">
        <f>IF(D80=0,"Personalkosten","Personalkosten mit Rückzahlung der Krankenk. in der Hochrechnung")</f>
        <v>Personalkosten mit Rückzahlung der Krankenk. in der Hochrechnung</v>
      </c>
      <c r="F64" s="3424"/>
      <c r="G64" s="3424"/>
      <c r="H64" s="805"/>
      <c r="I64" s="805"/>
      <c r="J64" s="3428"/>
      <c r="K64" s="3429"/>
      <c r="L64" s="3430"/>
      <c r="M64" s="758"/>
      <c r="N64" s="758"/>
      <c r="O64" s="758"/>
      <c r="P64" s="758"/>
      <c r="Q64" s="758"/>
      <c r="R64" s="758"/>
      <c r="S64" s="758"/>
      <c r="T64" s="758"/>
      <c r="U64" s="758"/>
      <c r="V64" s="758"/>
      <c r="W64" s="2388"/>
      <c r="X64" s="758"/>
      <c r="Y64" s="2405" t="str">
        <f>A58</f>
        <v>Erhaltene Rabatte</v>
      </c>
      <c r="Z64" s="3412" t="str">
        <f>IF(Y65="","",IF(AA65=0,"",IF(Y65&gt;AA65,"Summe der Eingaben niedriger als Spalte Y",IF(Y65&lt;AA65,"Summe der Eingaben höher als Spalte Y","ok"))))</f>
        <v/>
      </c>
      <c r="AA64" s="2397"/>
      <c r="AB64" s="2396" t="s">
        <v>1175</v>
      </c>
      <c r="AC64" s="2392"/>
      <c r="AD64" s="2392"/>
      <c r="AE64" s="2392"/>
      <c r="AF64" s="2392"/>
      <c r="AG64" s="2392"/>
      <c r="AH64" s="2392"/>
      <c r="AI64" s="3414" t="s">
        <v>1185</v>
      </c>
      <c r="AJ64" s="3415"/>
      <c r="AK64" s="3415"/>
      <c r="AL64" s="3415"/>
    </row>
    <row r="65" spans="1:39" ht="19.05" customHeight="1" thickBot="1">
      <c r="A65" s="3451"/>
      <c r="B65" s="1244" t="str">
        <f>IF(D80&gt;0,"Summe PK mit Erstatt. AAG","")</f>
        <v>Summe PK mit Erstatt. AAG</v>
      </c>
      <c r="C65" s="3409"/>
      <c r="D65" s="2364">
        <f>D63-D80</f>
        <v>112543.82</v>
      </c>
      <c r="E65" s="794">
        <f>IF(C16="","",D65/$C$16*12)</f>
        <v>135052.58400000003</v>
      </c>
      <c r="F65" s="754"/>
      <c r="G65" s="795">
        <f>IF(F65="",E65,F65)</f>
        <v>135052.58400000003</v>
      </c>
      <c r="H65" s="252"/>
      <c r="I65" s="401"/>
      <c r="J65" s="3428"/>
      <c r="K65" s="3429"/>
      <c r="L65" s="3430"/>
      <c r="M65" s="758"/>
      <c r="N65" s="758"/>
      <c r="O65" s="758"/>
      <c r="P65" s="758"/>
      <c r="Q65" s="758"/>
      <c r="R65" s="758"/>
      <c r="S65" s="758"/>
      <c r="T65" s="758"/>
      <c r="U65" s="758"/>
      <c r="V65" s="758"/>
      <c r="W65" s="2388"/>
      <c r="X65" s="758"/>
      <c r="Y65" s="2403" t="str">
        <f>IF(C58="","",C58)</f>
        <v/>
      </c>
      <c r="Z65" s="3413"/>
      <c r="AA65" s="2398" t="str">
        <f t="shared" ref="AA65" si="22">IF(Y65="","",SUM(AC65:AH65))</f>
        <v/>
      </c>
      <c r="AB65" s="2402" t="str">
        <f t="shared" ref="AB65" si="23">IF(Y65="","",Y64)</f>
        <v/>
      </c>
      <c r="AC65" s="2393"/>
      <c r="AD65" s="2393"/>
      <c r="AE65" s="2393"/>
      <c r="AF65" s="2393"/>
      <c r="AG65" s="2393"/>
      <c r="AH65" s="2393"/>
      <c r="AI65" s="3421" t="s">
        <v>1183</v>
      </c>
      <c r="AJ65" s="3422"/>
      <c r="AK65" s="3422"/>
      <c r="AL65" s="3422"/>
    </row>
    <row r="66" spans="1:39" ht="19.05" customHeight="1">
      <c r="A66" s="824" t="s">
        <v>838</v>
      </c>
      <c r="B66" s="863"/>
      <c r="C66" s="835"/>
      <c r="D66" s="3452">
        <f>SUM(C66:C79)</f>
        <v>0</v>
      </c>
      <c r="E66" s="3555" t="str">
        <f>IF(C63=0,"",IF(SUM(C63)&lt;SUM(C63,C66:C79),"Bitte Summe der PK oder einzeln eintragen !!!",""))</f>
        <v/>
      </c>
      <c r="F66" s="3555"/>
      <c r="G66" s="3555"/>
      <c r="H66" s="252"/>
      <c r="I66" s="401"/>
      <c r="J66" s="3428"/>
      <c r="K66" s="3429"/>
      <c r="L66" s="3430"/>
      <c r="M66" s="34"/>
      <c r="P66" s="34"/>
      <c r="Q66" s="34"/>
      <c r="U66" s="758"/>
      <c r="V66" s="758"/>
      <c r="W66" s="2388"/>
      <c r="X66" s="758"/>
      <c r="Y66" s="2405" t="str">
        <f>A59</f>
        <v>Bezugs-Nebenkosten</v>
      </c>
      <c r="Z66" s="3412" t="str">
        <f>IF(Y67="","",IF(AA67=0,"",IF(Y67&gt;AA67,"Summe der Eingaben niedriger als Spalte Y",IF(Y67&lt;AA67,"Summe der Eingaben höher als Spalte Y","ok"))))</f>
        <v/>
      </c>
      <c r="AA66" s="2397"/>
      <c r="AB66" s="2396" t="s">
        <v>1175</v>
      </c>
      <c r="AC66" s="2392"/>
      <c r="AD66" s="2392"/>
      <c r="AE66" s="2392"/>
      <c r="AF66" s="2392"/>
      <c r="AG66" s="2392"/>
      <c r="AH66" s="2392"/>
      <c r="AI66" s="3414" t="s">
        <v>1182</v>
      </c>
      <c r="AJ66" s="3415"/>
      <c r="AK66" s="3415"/>
      <c r="AL66" s="3415"/>
    </row>
    <row r="67" spans="1:39" ht="19.95" customHeight="1" thickBot="1">
      <c r="A67" s="825" t="s">
        <v>553</v>
      </c>
      <c r="B67" s="858"/>
      <c r="C67" s="836"/>
      <c r="D67" s="3452"/>
      <c r="E67" s="252"/>
      <c r="F67" s="281"/>
      <c r="G67" s="252"/>
      <c r="H67" s="252"/>
      <c r="I67" s="401"/>
      <c r="J67" s="3428"/>
      <c r="K67" s="3429"/>
      <c r="L67" s="3430"/>
      <c r="M67" s="34"/>
      <c r="P67" s="34"/>
      <c r="Q67" s="34"/>
      <c r="U67" s="758"/>
      <c r="V67" s="758"/>
      <c r="W67" s="2388"/>
      <c r="X67" s="758"/>
      <c r="Y67" s="2403" t="str">
        <f>IF(C59="","",C59)</f>
        <v/>
      </c>
      <c r="Z67" s="3413"/>
      <c r="AA67" s="2398" t="str">
        <f t="shared" ref="AA67" si="24">IF(Y67="","",SUM(AC67:AH67))</f>
        <v/>
      </c>
      <c r="AB67" s="2402" t="str">
        <f t="shared" ref="AB67" si="25">IF(Y67="","",Y66)</f>
        <v/>
      </c>
      <c r="AC67" s="2393"/>
      <c r="AD67" s="2393"/>
      <c r="AE67" s="2393"/>
      <c r="AF67" s="2393"/>
      <c r="AG67" s="2393"/>
      <c r="AH67" s="2393"/>
      <c r="AI67" s="3414" t="s">
        <v>1185</v>
      </c>
      <c r="AJ67" s="3415"/>
      <c r="AK67" s="3415"/>
      <c r="AL67" s="3415"/>
    </row>
    <row r="68" spans="1:39" ht="15.75" customHeight="1">
      <c r="A68" s="825" t="s">
        <v>994</v>
      </c>
      <c r="B68" s="858"/>
      <c r="C68" s="836"/>
      <c r="D68" s="3452"/>
      <c r="E68" s="252"/>
      <c r="F68" s="281"/>
      <c r="G68" s="252"/>
      <c r="H68" s="252"/>
      <c r="I68" s="401"/>
      <c r="J68" s="3431"/>
      <c r="K68" s="3432"/>
      <c r="L68" s="3433"/>
      <c r="T68" s="765"/>
      <c r="U68" s="758"/>
      <c r="V68" s="758"/>
      <c r="W68" s="2388"/>
      <c r="X68" s="758"/>
      <c r="Y68" s="758"/>
      <c r="Z68" s="758"/>
      <c r="AA68" s="758"/>
      <c r="AB68" s="758"/>
      <c r="AC68" s="758"/>
      <c r="AD68" s="758"/>
      <c r="AE68" s="758"/>
      <c r="AF68" s="758"/>
      <c r="AG68" s="758"/>
      <c r="AH68" s="758"/>
      <c r="AI68" s="758"/>
      <c r="AJ68" s="758"/>
      <c r="AK68" s="758"/>
      <c r="AL68" s="758"/>
      <c r="AM68" s="758"/>
    </row>
    <row r="69" spans="1:39" ht="15.75" customHeight="1">
      <c r="A69" s="825" t="s">
        <v>554</v>
      </c>
      <c r="B69" s="858"/>
      <c r="C69" s="836"/>
      <c r="D69" s="3452"/>
      <c r="E69" s="281"/>
      <c r="F69" s="281"/>
      <c r="G69" s="252"/>
      <c r="H69" s="757">
        <f>SUM(D69:F69)</f>
        <v>0</v>
      </c>
      <c r="I69" s="401"/>
      <c r="M69" s="758"/>
      <c r="N69" s="758"/>
      <c r="O69" s="758"/>
      <c r="P69" s="758"/>
      <c r="Q69" s="758"/>
      <c r="R69" s="758"/>
      <c r="S69" s="765"/>
      <c r="T69" s="765"/>
      <c r="U69" s="758"/>
      <c r="V69" s="758"/>
      <c r="W69" s="2388"/>
      <c r="X69" s="758"/>
      <c r="Y69" s="758"/>
      <c r="Z69" s="758"/>
      <c r="AA69" s="758"/>
      <c r="AB69" s="758"/>
      <c r="AC69" s="758"/>
      <c r="AD69" s="758"/>
      <c r="AE69" s="758"/>
      <c r="AF69" s="758"/>
      <c r="AG69" s="758"/>
      <c r="AH69" s="758"/>
      <c r="AI69" s="758"/>
      <c r="AJ69" s="758"/>
      <c r="AK69" s="758"/>
      <c r="AL69" s="758"/>
      <c r="AM69" s="758"/>
    </row>
    <row r="70" spans="1:39" ht="16.5" customHeight="1">
      <c r="A70" s="825" t="s">
        <v>555</v>
      </c>
      <c r="B70" s="858"/>
      <c r="C70" s="836"/>
      <c r="D70" s="3452"/>
      <c r="E70" s="801"/>
      <c r="F70" s="281"/>
      <c r="G70" s="252"/>
      <c r="H70" s="401"/>
      <c r="I70" s="401"/>
      <c r="M70" s="758"/>
      <c r="N70" s="758"/>
      <c r="O70" s="758"/>
      <c r="P70" s="758"/>
      <c r="Q70" s="758"/>
      <c r="R70" s="758"/>
      <c r="S70" s="758"/>
      <c r="T70" s="758"/>
      <c r="U70" s="758"/>
      <c r="V70" s="758"/>
      <c r="W70" s="2388"/>
      <c r="X70" s="758"/>
      <c r="Y70" s="758"/>
      <c r="Z70" s="758"/>
      <c r="AA70" s="758"/>
      <c r="AB70" s="758"/>
      <c r="AC70" s="758"/>
      <c r="AD70" s="758"/>
      <c r="AE70" s="758"/>
    </row>
    <row r="71" spans="1:39" ht="19.5" customHeight="1">
      <c r="A71" s="825" t="s">
        <v>556</v>
      </c>
      <c r="B71" s="858"/>
      <c r="C71" s="836"/>
      <c r="D71" s="3452"/>
      <c r="E71" s="252"/>
      <c r="F71" s="281"/>
      <c r="G71" s="252"/>
      <c r="H71" s="252"/>
      <c r="I71" s="401"/>
      <c r="M71" s="758"/>
      <c r="N71" s="758"/>
      <c r="O71" s="758"/>
      <c r="P71" s="758"/>
      <c r="Q71" s="758"/>
      <c r="R71" s="758"/>
      <c r="S71" s="758"/>
      <c r="T71" s="758"/>
      <c r="U71" s="758"/>
      <c r="V71" s="758"/>
      <c r="W71" s="2388"/>
      <c r="X71" s="758"/>
      <c r="Y71" s="758"/>
      <c r="Z71" s="758"/>
      <c r="AA71" s="758"/>
      <c r="AB71" s="758"/>
      <c r="AC71" s="758"/>
      <c r="AD71" s="758"/>
      <c r="AE71" s="758"/>
    </row>
    <row r="72" spans="1:39" ht="18.75" customHeight="1">
      <c r="A72" s="825" t="s">
        <v>819</v>
      </c>
      <c r="B72" s="858"/>
      <c r="C72" s="836"/>
      <c r="D72" s="3452"/>
      <c r="E72" s="252"/>
      <c r="F72" s="281"/>
      <c r="G72" s="252"/>
      <c r="H72" s="252"/>
      <c r="I72" s="401"/>
      <c r="S72" s="758"/>
      <c r="T72" s="758"/>
      <c r="U72" s="758"/>
      <c r="V72" s="758"/>
      <c r="W72" s="2388"/>
      <c r="X72" s="758"/>
      <c r="Y72" s="758"/>
      <c r="Z72" s="758"/>
      <c r="AA72" s="758"/>
      <c r="AB72" s="758"/>
      <c r="AC72" s="758"/>
      <c r="AD72" s="758"/>
      <c r="AE72" s="758"/>
    </row>
    <row r="73" spans="1:39" ht="17.55" customHeight="1">
      <c r="A73" s="825" t="s">
        <v>557</v>
      </c>
      <c r="B73" s="858"/>
      <c r="C73" s="836"/>
      <c r="D73" s="3452"/>
      <c r="E73" s="252"/>
      <c r="F73" s="281"/>
      <c r="G73" s="252"/>
      <c r="H73" s="252"/>
      <c r="I73" s="401"/>
      <c r="S73" s="758"/>
      <c r="T73" s="758"/>
      <c r="U73" s="758"/>
      <c r="V73" s="758"/>
      <c r="W73" s="2388"/>
      <c r="X73" s="758"/>
      <c r="Y73" s="758"/>
      <c r="Z73" s="758"/>
      <c r="AA73" s="758"/>
      <c r="AB73" s="758"/>
      <c r="AC73" s="758"/>
      <c r="AD73" s="758"/>
      <c r="AE73" s="758"/>
    </row>
    <row r="74" spans="1:39" ht="18" customHeight="1">
      <c r="A74" s="825" t="s">
        <v>558</v>
      </c>
      <c r="B74" s="858"/>
      <c r="C74" s="836"/>
      <c r="D74" s="3452"/>
      <c r="E74" s="252"/>
      <c r="F74" s="281"/>
      <c r="G74" s="252"/>
      <c r="H74" s="252"/>
      <c r="I74" s="401"/>
      <c r="U74" s="758"/>
      <c r="V74" s="758"/>
      <c r="W74" s="2388"/>
      <c r="X74" s="758"/>
      <c r="Y74" s="758"/>
      <c r="Z74" s="758"/>
      <c r="AA74" s="758"/>
      <c r="AB74" s="758"/>
      <c r="AC74" s="758"/>
      <c r="AD74" s="758"/>
      <c r="AE74" s="758"/>
    </row>
    <row r="75" spans="1:39" ht="18" customHeight="1">
      <c r="A75" s="825" t="s">
        <v>559</v>
      </c>
      <c r="B75" s="858"/>
      <c r="C75" s="836"/>
      <c r="D75" s="3452"/>
      <c r="E75" s="252"/>
      <c r="F75" s="281"/>
      <c r="G75" s="252"/>
      <c r="H75" s="252"/>
      <c r="I75" s="401"/>
      <c r="T75" s="758"/>
      <c r="U75" s="758"/>
      <c r="V75" s="758"/>
      <c r="W75" s="2388"/>
      <c r="X75" s="758"/>
      <c r="Y75" s="758"/>
      <c r="Z75" s="758"/>
      <c r="AA75" s="758"/>
      <c r="AB75" s="758"/>
      <c r="AC75" s="758"/>
      <c r="AD75" s="758"/>
      <c r="AE75" s="758"/>
    </row>
    <row r="76" spans="1:39" ht="18" customHeight="1">
      <c r="A76" s="825" t="s">
        <v>560</v>
      </c>
      <c r="B76" s="858"/>
      <c r="C76" s="836"/>
      <c r="D76" s="3452"/>
      <c r="E76" s="252"/>
      <c r="F76" s="281"/>
      <c r="G76" s="252"/>
      <c r="H76" s="252"/>
      <c r="I76" s="401"/>
      <c r="M76" s="758"/>
      <c r="N76" s="758"/>
      <c r="O76" s="758"/>
      <c r="P76" s="758"/>
      <c r="Q76" s="758"/>
      <c r="R76" s="758"/>
      <c r="S76" s="758"/>
      <c r="T76" s="758"/>
      <c r="U76" s="758"/>
      <c r="V76" s="758"/>
      <c r="W76" s="2388"/>
      <c r="X76" s="758"/>
      <c r="Y76" s="758"/>
      <c r="Z76" s="758"/>
      <c r="AA76" s="758"/>
      <c r="AB76" s="758"/>
      <c r="AC76" s="758"/>
      <c r="AD76" s="758"/>
      <c r="AE76" s="758"/>
    </row>
    <row r="77" spans="1:39" ht="19.5" customHeight="1">
      <c r="A77" s="825" t="s">
        <v>561</v>
      </c>
      <c r="B77" s="858"/>
      <c r="C77" s="836"/>
      <c r="D77" s="3452"/>
      <c r="E77" s="252"/>
      <c r="F77" s="281"/>
      <c r="G77" s="252"/>
      <c r="H77" s="252"/>
      <c r="I77" s="401"/>
      <c r="M77" s="758"/>
      <c r="N77" s="758"/>
      <c r="O77" s="758"/>
      <c r="P77" s="758"/>
      <c r="Q77" s="758"/>
      <c r="R77" s="758"/>
      <c r="S77" s="758"/>
      <c r="T77" s="758"/>
      <c r="U77" s="758"/>
      <c r="V77" s="758"/>
      <c r="W77" s="2388"/>
      <c r="X77" s="758"/>
      <c r="Y77" s="758"/>
      <c r="Z77" s="758"/>
      <c r="AA77" s="758"/>
      <c r="AB77" s="758"/>
      <c r="AC77" s="758"/>
      <c r="AD77" s="758"/>
      <c r="AE77" s="758"/>
    </row>
    <row r="78" spans="1:39" ht="18" customHeight="1" thickBot="1">
      <c r="A78" s="1870" t="s">
        <v>1070</v>
      </c>
      <c r="B78" s="858"/>
      <c r="C78" s="836"/>
      <c r="D78" s="3452"/>
      <c r="E78" s="3555" t="str">
        <f>IF(C78="","","wenn im Soll gebucht als - Wert eingeben")</f>
        <v/>
      </c>
      <c r="F78" s="3555"/>
      <c r="G78" s="3555"/>
      <c r="H78" s="252"/>
      <c r="I78" s="401"/>
      <c r="M78" s="758"/>
      <c r="N78" s="758"/>
      <c r="W78" s="2387"/>
      <c r="Y78" s="758"/>
      <c r="Z78" s="758"/>
      <c r="AA78" s="758"/>
      <c r="AB78" s="758"/>
      <c r="AC78" s="758"/>
      <c r="AD78" s="758"/>
      <c r="AE78" s="758"/>
    </row>
    <row r="79" spans="1:39" ht="18" customHeight="1" thickBot="1">
      <c r="A79" s="1870" t="s">
        <v>1069</v>
      </c>
      <c r="B79" s="859"/>
      <c r="C79" s="837"/>
      <c r="D79" s="3453"/>
      <c r="E79" s="3555" t="str">
        <f>IF(C79="","","wenn im Soll gebucht als - Wert eingeben")</f>
        <v/>
      </c>
      <c r="F79" s="3555"/>
      <c r="G79" s="3555"/>
      <c r="H79" s="252"/>
      <c r="I79" s="401"/>
      <c r="W79" s="2387"/>
      <c r="Y79" s="758"/>
      <c r="Z79" s="758"/>
      <c r="AA79" s="758"/>
      <c r="AB79" s="758"/>
      <c r="AC79" s="758"/>
      <c r="AD79" s="758"/>
      <c r="AE79" s="758"/>
    </row>
    <row r="80" spans="1:39" ht="18" customHeight="1" thickBot="1">
      <c r="A80" s="772" t="s">
        <v>625</v>
      </c>
      <c r="B80" s="774"/>
      <c r="C80" s="837"/>
      <c r="D80" s="2365">
        <f>C80+D217+D42</f>
        <v>3419.89</v>
      </c>
      <c r="E80" s="3469" t="str">
        <f>IF(C80&gt;0,"",IF(D80=0,"",IF(C217&gt;0,"Der Wert komt aus den neutralen Erträgen.","Der Wert kommt aus den sonstigen Erlösen.")))</f>
        <v>Der Wert komt aus den neutralen Erträgen.</v>
      </c>
      <c r="F80" s="3470"/>
      <c r="G80" s="3470"/>
      <c r="H80" s="252"/>
      <c r="I80" s="401"/>
      <c r="W80" s="2387"/>
      <c r="AE80" s="758"/>
    </row>
    <row r="81" spans="1:47" ht="41.25" customHeight="1">
      <c r="A81" s="783" t="s">
        <v>9</v>
      </c>
      <c r="B81" s="2338" t="s">
        <v>690</v>
      </c>
      <c r="C81" s="841"/>
      <c r="D81" s="2366"/>
      <c r="E81" s="3525" t="str">
        <f>IF(C81+C83+C84=0,"","in die weißen Felder bitte nichts eintragen")</f>
        <v/>
      </c>
      <c r="F81" s="3525"/>
      <c r="G81" s="3525"/>
      <c r="H81" s="252"/>
      <c r="I81" s="401"/>
      <c r="W81" s="2387"/>
      <c r="AR81" s="13"/>
      <c r="AS81" s="13"/>
      <c r="AT81" s="13"/>
      <c r="AU81" s="13"/>
    </row>
    <row r="82" spans="1:47" ht="18" customHeight="1">
      <c r="A82" s="3449" t="s">
        <v>634</v>
      </c>
      <c r="B82" s="768" t="s">
        <v>635</v>
      </c>
      <c r="C82" s="836"/>
      <c r="D82" s="2354">
        <f>IF(C82&gt;0,C82,D85)</f>
        <v>30171.620000000003</v>
      </c>
      <c r="E82" s="794">
        <f>IF(C16="","",D82/$C$16*12)</f>
        <v>36205.944000000003</v>
      </c>
      <c r="F82" s="754"/>
      <c r="G82" s="795">
        <f>IF(F82="",E82,F82)</f>
        <v>36205.944000000003</v>
      </c>
      <c r="H82" s="252"/>
      <c r="I82" s="401"/>
      <c r="W82" s="2387"/>
      <c r="AR82" s="13"/>
      <c r="AS82" s="13"/>
      <c r="AT82" s="13"/>
      <c r="AU82" s="13"/>
    </row>
    <row r="83" spans="1:47" ht="18" customHeight="1">
      <c r="A83" s="3450"/>
      <c r="B83" s="787"/>
      <c r="C83" s="840"/>
      <c r="D83" s="3468" t="str">
        <f>IF(C82=0,"",IF(SUM(C82)&lt;SUM(C82,C85:C92),"Bitte Summe der Raumkosten oder einzeln eintragen !!!",""))</f>
        <v/>
      </c>
      <c r="E83" s="3442"/>
      <c r="F83" s="3442"/>
      <c r="G83" s="3442"/>
      <c r="H83" s="252"/>
      <c r="I83" s="401"/>
      <c r="W83" s="2387"/>
      <c r="AR83" s="13"/>
      <c r="AS83" s="13"/>
      <c r="AT83" s="13"/>
      <c r="AU83" s="13"/>
    </row>
    <row r="84" spans="1:47" ht="18" customHeight="1" thickBot="1">
      <c r="A84" s="3451"/>
      <c r="B84" s="788"/>
      <c r="C84" s="2569"/>
      <c r="D84" s="802"/>
      <c r="E84" s="252"/>
      <c r="F84" s="252"/>
      <c r="G84" s="252"/>
      <c r="H84" s="795">
        <f>IF(F82="",E82,F82)</f>
        <v>36205.944000000003</v>
      </c>
      <c r="I84" s="401"/>
      <c r="J84" s="3425" t="s">
        <v>1002</v>
      </c>
      <c r="K84" s="3426"/>
      <c r="L84" s="3427"/>
      <c r="W84" s="2387"/>
      <c r="AR84" s="13"/>
      <c r="AS84" s="13"/>
      <c r="AT84" s="13"/>
      <c r="AU84" s="13"/>
    </row>
    <row r="85" spans="1:47" ht="18" customHeight="1">
      <c r="A85" s="1542" t="s">
        <v>820</v>
      </c>
      <c r="B85" s="863"/>
      <c r="C85" s="835">
        <v>18622.7</v>
      </c>
      <c r="D85" s="3452">
        <f>SUM(C85:C92)</f>
        <v>30171.620000000003</v>
      </c>
      <c r="E85" s="252"/>
      <c r="F85" s="281"/>
      <c r="G85" s="252"/>
      <c r="H85" s="252"/>
      <c r="I85" s="401"/>
      <c r="J85" s="3428"/>
      <c r="K85" s="3429"/>
      <c r="L85" s="3430"/>
      <c r="W85" s="2387"/>
      <c r="AR85" s="13"/>
      <c r="AS85" s="13"/>
      <c r="AT85" s="13"/>
      <c r="AU85" s="13"/>
    </row>
    <row r="86" spans="1:47" ht="18" customHeight="1">
      <c r="A86" s="1542" t="s">
        <v>562</v>
      </c>
      <c r="B86" s="858"/>
      <c r="C86" s="836">
        <v>4800</v>
      </c>
      <c r="D86" s="3452"/>
      <c r="E86" s="152"/>
      <c r="F86" s="152"/>
      <c r="G86" s="152"/>
      <c r="H86" s="152"/>
      <c r="I86" s="152"/>
      <c r="J86" s="3428"/>
      <c r="K86" s="3429"/>
      <c r="L86" s="3430"/>
      <c r="W86" s="2387"/>
      <c r="AR86" s="13"/>
      <c r="AS86" s="13"/>
      <c r="AT86" s="13"/>
      <c r="AU86" s="13"/>
    </row>
    <row r="87" spans="1:47" ht="18" customHeight="1">
      <c r="A87" s="1542" t="s">
        <v>563</v>
      </c>
      <c r="B87" s="858"/>
      <c r="C87" s="836">
        <v>4130.16</v>
      </c>
      <c r="D87" s="3452"/>
      <c r="E87" s="152"/>
      <c r="F87" s="152"/>
      <c r="G87" s="152"/>
      <c r="H87" s="152"/>
      <c r="I87" s="152"/>
      <c r="J87" s="3428"/>
      <c r="K87" s="3429"/>
      <c r="L87" s="3430"/>
      <c r="W87" s="2387"/>
      <c r="AM87" s="13"/>
      <c r="AN87" s="13"/>
      <c r="AO87" s="13"/>
      <c r="AP87" s="13"/>
      <c r="AQ87" s="13"/>
      <c r="AR87" s="13"/>
      <c r="AS87" s="13"/>
      <c r="AT87" s="13"/>
      <c r="AU87" s="13"/>
    </row>
    <row r="88" spans="1:47" ht="17.55" customHeight="1">
      <c r="A88" s="1542" t="s">
        <v>564</v>
      </c>
      <c r="B88" s="858"/>
      <c r="C88" s="836">
        <v>341.22</v>
      </c>
      <c r="D88" s="3452"/>
      <c r="E88" s="252"/>
      <c r="F88" s="803"/>
      <c r="G88" s="252"/>
      <c r="H88" s="803"/>
      <c r="I88" s="803"/>
      <c r="J88" s="3428"/>
      <c r="K88" s="3429"/>
      <c r="L88" s="3430"/>
      <c r="M88" s="34"/>
      <c r="P88" s="34"/>
      <c r="Q88" s="34"/>
      <c r="W88" s="2387"/>
      <c r="AM88" s="13"/>
      <c r="AN88" s="13"/>
      <c r="AO88" s="13"/>
      <c r="AP88" s="13"/>
      <c r="AQ88" s="13"/>
      <c r="AR88" s="13"/>
      <c r="AS88" s="13"/>
      <c r="AT88" s="13"/>
      <c r="AU88" s="13"/>
    </row>
    <row r="89" spans="1:47" ht="20.25" customHeight="1">
      <c r="A89" s="1542" t="s">
        <v>565</v>
      </c>
      <c r="B89" s="858"/>
      <c r="C89" s="836">
        <v>1959.3</v>
      </c>
      <c r="D89" s="3452"/>
      <c r="E89" s="252"/>
      <c r="F89" s="803"/>
      <c r="G89" s="252"/>
      <c r="H89" s="803"/>
      <c r="I89" s="803"/>
      <c r="J89" s="3428"/>
      <c r="K89" s="3429"/>
      <c r="L89" s="3430"/>
      <c r="P89" s="1564"/>
      <c r="Q89" s="1564"/>
      <c r="R89" s="1564"/>
      <c r="S89" s="1564"/>
      <c r="T89" s="1564"/>
      <c r="W89" s="2387"/>
      <c r="AG89" s="13"/>
      <c r="AH89" s="13"/>
      <c r="AI89" s="13"/>
      <c r="AJ89" s="13"/>
      <c r="AK89" s="13"/>
      <c r="AL89" s="13"/>
      <c r="AM89" s="13"/>
      <c r="AN89" s="13"/>
      <c r="AO89" s="13"/>
      <c r="AP89" s="13"/>
      <c r="AQ89" s="13"/>
      <c r="AR89" s="13"/>
      <c r="AS89" s="13"/>
      <c r="AT89" s="13"/>
      <c r="AU89" s="13"/>
    </row>
    <row r="90" spans="1:47" ht="20.25" customHeight="1">
      <c r="A90" s="825" t="s">
        <v>940</v>
      </c>
      <c r="B90" s="858"/>
      <c r="C90" s="836"/>
      <c r="D90" s="3452"/>
      <c r="E90" s="252"/>
      <c r="F90" s="803"/>
      <c r="G90" s="252"/>
      <c r="H90" s="803"/>
      <c r="I90" s="803"/>
      <c r="J90" s="3431"/>
      <c r="K90" s="3432"/>
      <c r="L90" s="3433"/>
      <c r="W90" s="2387"/>
      <c r="AG90" s="13"/>
      <c r="AH90" s="13"/>
      <c r="AI90" s="13"/>
      <c r="AJ90" s="13"/>
      <c r="AK90" s="13"/>
      <c r="AL90" s="13"/>
      <c r="AM90" s="13"/>
      <c r="AN90" s="13"/>
      <c r="AO90" s="13"/>
      <c r="AP90" s="13"/>
      <c r="AQ90" s="13"/>
      <c r="AR90" s="13"/>
      <c r="AS90" s="13"/>
      <c r="AT90" s="13"/>
      <c r="AU90" s="13"/>
    </row>
    <row r="91" spans="1:47" ht="16.05" customHeight="1">
      <c r="A91" s="825"/>
      <c r="B91" s="858"/>
      <c r="C91" s="836">
        <v>318.24</v>
      </c>
      <c r="D91" s="3452"/>
      <c r="E91" s="252"/>
      <c r="F91" s="803"/>
      <c r="G91" s="252"/>
      <c r="H91" s="803"/>
      <c r="I91" s="803"/>
      <c r="W91" s="2387"/>
      <c r="AG91" s="13"/>
      <c r="AH91" s="13"/>
      <c r="AI91" s="13"/>
      <c r="AJ91" s="13"/>
      <c r="AK91" s="13"/>
      <c r="AL91" s="13"/>
      <c r="AM91" s="13"/>
      <c r="AN91" s="13"/>
      <c r="AO91" s="13"/>
      <c r="AP91" s="13"/>
      <c r="AQ91" s="13"/>
      <c r="AR91" s="13"/>
      <c r="AS91" s="13"/>
      <c r="AT91" s="13"/>
      <c r="AU91" s="13"/>
    </row>
    <row r="92" spans="1:47" ht="16.05" customHeight="1" thickBot="1">
      <c r="A92" s="864"/>
      <c r="B92" s="864"/>
      <c r="C92" s="838"/>
      <c r="D92" s="3551"/>
      <c r="E92" s="799"/>
      <c r="F92" s="804"/>
      <c r="G92" s="799"/>
      <c r="H92" s="803"/>
      <c r="I92" s="803"/>
      <c r="W92" s="2387"/>
      <c r="AG92" s="13"/>
      <c r="AH92" s="13"/>
      <c r="AI92" s="13"/>
      <c r="AJ92" s="13"/>
      <c r="AK92" s="13"/>
      <c r="AL92" s="13"/>
      <c r="AM92" s="13"/>
      <c r="AN92" s="13"/>
      <c r="AO92" s="13"/>
      <c r="AP92" s="13"/>
      <c r="AQ92" s="13"/>
      <c r="AR92" s="13"/>
      <c r="AS92" s="13"/>
      <c r="AT92" s="13"/>
      <c r="AU92" s="13"/>
    </row>
    <row r="93" spans="1:47" ht="40.049999999999997" customHeight="1">
      <c r="A93" s="775" t="s">
        <v>52</v>
      </c>
      <c r="B93" s="2338" t="s">
        <v>691</v>
      </c>
      <c r="C93" s="2567"/>
      <c r="D93" s="2367"/>
      <c r="E93" s="3448" t="str">
        <f>IF(SUM(C94:D97)&gt;0,"in die weißen Zellen bitte nichts eintragen, nur in Graue","")</f>
        <v/>
      </c>
      <c r="F93" s="3448"/>
      <c r="G93" s="3448"/>
      <c r="H93" s="1129"/>
      <c r="I93" s="252"/>
      <c r="W93" s="2387"/>
      <c r="AG93" s="13"/>
      <c r="AH93" s="13"/>
      <c r="AI93" s="13"/>
      <c r="AJ93" s="13"/>
      <c r="AK93" s="13"/>
      <c r="AL93" s="13"/>
      <c r="AM93" s="13"/>
      <c r="AN93" s="13"/>
      <c r="AO93" s="13"/>
      <c r="AP93" s="13"/>
      <c r="AQ93" s="13"/>
      <c r="AR93" s="13"/>
      <c r="AS93" s="13"/>
      <c r="AT93" s="13"/>
      <c r="AU93" s="13"/>
    </row>
    <row r="94" spans="1:47" ht="16.05" customHeight="1">
      <c r="A94" s="3454" t="s">
        <v>951</v>
      </c>
      <c r="B94" s="1669"/>
      <c r="C94" s="2636"/>
      <c r="D94" s="2359"/>
      <c r="E94" s="3463" t="s">
        <v>950</v>
      </c>
      <c r="F94" s="3464"/>
      <c r="G94" s="3464"/>
      <c r="H94" s="252"/>
      <c r="I94" s="873">
        <f>IF(C94=0,2,1)</f>
        <v>2</v>
      </c>
      <c r="W94" s="2387"/>
      <c r="AG94" s="13"/>
      <c r="AH94" s="13"/>
      <c r="AI94" s="13"/>
      <c r="AJ94" s="13"/>
      <c r="AK94" s="13"/>
      <c r="AL94" s="13"/>
      <c r="AM94" s="13"/>
      <c r="AN94" s="13"/>
      <c r="AO94" s="13"/>
      <c r="AP94" s="13"/>
      <c r="AQ94" s="13"/>
      <c r="AR94" s="13"/>
      <c r="AS94" s="13"/>
      <c r="AT94" s="13"/>
      <c r="AU94" s="13"/>
    </row>
    <row r="95" spans="1:47" ht="16.05" customHeight="1">
      <c r="A95" s="3455"/>
      <c r="B95" s="1670"/>
      <c r="C95" s="2637"/>
      <c r="D95" s="2359"/>
      <c r="E95" s="3463"/>
      <c r="F95" s="3464"/>
      <c r="G95" s="3464"/>
      <c r="H95" s="252"/>
      <c r="I95" s="873">
        <f>IF(C95=0,0,1)</f>
        <v>0</v>
      </c>
      <c r="W95" s="2387"/>
      <c r="AG95" s="13"/>
      <c r="AH95" s="13"/>
      <c r="AI95" s="13"/>
      <c r="AJ95" s="13"/>
      <c r="AK95" s="13"/>
      <c r="AL95" s="13"/>
      <c r="AM95" s="13"/>
      <c r="AN95" s="13"/>
      <c r="AO95" s="13"/>
      <c r="AP95" s="13"/>
      <c r="AQ95" s="13"/>
      <c r="AR95" s="13"/>
      <c r="AS95" s="13"/>
      <c r="AT95" s="13"/>
      <c r="AU95" s="13"/>
    </row>
    <row r="96" spans="1:47" ht="16.05" customHeight="1">
      <c r="A96" s="3455"/>
      <c r="B96" s="1670"/>
      <c r="C96" s="2637"/>
      <c r="D96" s="2359"/>
      <c r="E96" s="3463"/>
      <c r="F96" s="3464"/>
      <c r="G96" s="3464"/>
      <c r="H96" s="252"/>
      <c r="I96" s="873"/>
      <c r="W96" s="2387"/>
      <c r="AG96" s="13"/>
      <c r="AH96" s="13"/>
      <c r="AI96" s="13"/>
      <c r="AJ96" s="13"/>
      <c r="AK96" s="13"/>
      <c r="AL96" s="13"/>
      <c r="AM96" s="13"/>
      <c r="AN96" s="13"/>
      <c r="AO96" s="13"/>
      <c r="AP96" s="13"/>
      <c r="AQ96" s="13"/>
      <c r="AR96" s="13"/>
      <c r="AS96" s="13"/>
      <c r="AT96" s="13"/>
      <c r="AU96" s="13"/>
    </row>
    <row r="97" spans="1:47" ht="16.05" customHeight="1" thickBot="1">
      <c r="A97" s="3456"/>
      <c r="B97" s="776"/>
      <c r="C97" s="2638"/>
      <c r="D97" s="2368"/>
      <c r="E97" s="1544"/>
      <c r="F97" s="776" t="s">
        <v>949</v>
      </c>
      <c r="G97" s="851">
        <f>IF(SUM(G98:G103)=0,0,SUM(G98:G103))</f>
        <v>10718.1</v>
      </c>
      <c r="H97" s="252"/>
      <c r="I97" s="873">
        <f>IF(C97=0,0,1)</f>
        <v>0</v>
      </c>
      <c r="W97" s="2387"/>
      <c r="AG97" s="13"/>
      <c r="AH97" s="13"/>
      <c r="AI97" s="13"/>
      <c r="AJ97" s="13"/>
      <c r="AK97" s="13"/>
      <c r="AL97" s="13"/>
      <c r="AM97" s="13"/>
      <c r="AN97" s="13"/>
      <c r="AO97" s="13"/>
      <c r="AP97" s="13"/>
      <c r="AQ97" s="13"/>
      <c r="AR97" s="13"/>
      <c r="AS97" s="13"/>
      <c r="AT97" s="13"/>
      <c r="AU97" s="13"/>
    </row>
    <row r="98" spans="1:47" ht="16.05" customHeight="1">
      <c r="A98" s="904" t="s">
        <v>534</v>
      </c>
      <c r="B98" s="858"/>
      <c r="C98" s="835">
        <v>5910</v>
      </c>
      <c r="D98" s="2355">
        <f>C98</f>
        <v>5910</v>
      </c>
      <c r="E98" s="796">
        <f>IF(C16="","",D98/$C$16*12)</f>
        <v>7092</v>
      </c>
      <c r="F98" s="754"/>
      <c r="G98" s="797">
        <f t="shared" ref="G98:G103" si="26">IF(F98="",E98,F98)</f>
        <v>7092</v>
      </c>
      <c r="H98" s="1129"/>
      <c r="I98" s="1147"/>
      <c r="W98" s="2387"/>
      <c r="AG98" s="13"/>
      <c r="AH98" s="13"/>
      <c r="AI98" s="13"/>
      <c r="AJ98" s="13"/>
      <c r="AK98" s="13"/>
      <c r="AL98" s="13"/>
      <c r="AM98" s="13"/>
      <c r="AN98" s="13"/>
      <c r="AO98" s="13"/>
      <c r="AP98" s="13"/>
      <c r="AQ98" s="13"/>
      <c r="AR98" s="13"/>
      <c r="AS98" s="13"/>
      <c r="AT98" s="13"/>
      <c r="AU98" s="13"/>
    </row>
    <row r="99" spans="1:47" ht="16.05" customHeight="1">
      <c r="A99" s="904" t="s">
        <v>621</v>
      </c>
      <c r="B99" s="858"/>
      <c r="C99" s="836"/>
      <c r="D99" s="2355">
        <f>C99</f>
        <v>0</v>
      </c>
      <c r="E99" s="794">
        <f>IF(C16="","",D99/$C$16*12)</f>
        <v>0</v>
      </c>
      <c r="F99" s="754"/>
      <c r="G99" s="795">
        <f t="shared" si="26"/>
        <v>0</v>
      </c>
      <c r="H99" s="1543"/>
      <c r="I99" s="1142"/>
      <c r="J99" s="3425" t="s">
        <v>1002</v>
      </c>
      <c r="K99" s="3426"/>
      <c r="L99" s="3427"/>
      <c r="W99" s="2387"/>
      <c r="AG99" s="13"/>
      <c r="AH99" s="13"/>
      <c r="AI99" s="13"/>
      <c r="AJ99" s="13"/>
      <c r="AK99" s="13"/>
      <c r="AL99" s="13"/>
      <c r="AM99" s="13"/>
      <c r="AN99" s="13"/>
      <c r="AO99" s="13"/>
      <c r="AP99" s="13"/>
      <c r="AQ99" s="13"/>
      <c r="AR99" s="13"/>
      <c r="AS99" s="13"/>
      <c r="AT99" s="13"/>
      <c r="AU99" s="13"/>
    </row>
    <row r="100" spans="1:47" ht="16.05" customHeight="1" thickBot="1">
      <c r="A100" s="1245" t="s">
        <v>626</v>
      </c>
      <c r="B100" s="864"/>
      <c r="C100" s="838"/>
      <c r="D100" s="2369">
        <f>C100</f>
        <v>0</v>
      </c>
      <c r="E100" s="814">
        <f>IF(C16="","",D100/$C$16*12)</f>
        <v>0</v>
      </c>
      <c r="F100" s="773"/>
      <c r="G100" s="815">
        <f t="shared" si="26"/>
        <v>0</v>
      </c>
      <c r="I100" s="1148">
        <f>IF(D98=0,"",1)</f>
        <v>1</v>
      </c>
      <c r="J100" s="3428"/>
      <c r="K100" s="3429"/>
      <c r="L100" s="3430"/>
      <c r="W100" s="2387"/>
      <c r="AG100" s="13"/>
      <c r="AH100" s="13"/>
      <c r="AI100" s="13"/>
      <c r="AJ100" s="13"/>
      <c r="AK100" s="13"/>
      <c r="AL100" s="13"/>
      <c r="AM100" s="13"/>
      <c r="AN100" s="13"/>
      <c r="AO100" s="13"/>
      <c r="AP100" s="13"/>
      <c r="AQ100" s="13"/>
      <c r="AR100" s="13"/>
      <c r="AS100" s="13"/>
      <c r="AT100" s="13"/>
      <c r="AU100" s="13"/>
    </row>
    <row r="101" spans="1:47" ht="19.5" customHeight="1">
      <c r="A101" s="903" t="s">
        <v>566</v>
      </c>
      <c r="B101" s="865"/>
      <c r="C101" s="835">
        <v>1428.92</v>
      </c>
      <c r="D101" s="2355">
        <f>C101</f>
        <v>1428.92</v>
      </c>
      <c r="E101" s="796">
        <f>IF(C16="","",D101/$C$16*12)</f>
        <v>1714.704</v>
      </c>
      <c r="F101" s="754">
        <v>1428.92</v>
      </c>
      <c r="G101" s="797">
        <f t="shared" si="26"/>
        <v>1428.92</v>
      </c>
      <c r="I101" s="1148"/>
      <c r="J101" s="3428"/>
      <c r="K101" s="3429"/>
      <c r="L101" s="3430"/>
      <c r="W101" s="2387"/>
      <c r="AG101" s="13"/>
      <c r="AH101" s="13"/>
      <c r="AI101" s="13"/>
      <c r="AJ101" s="13"/>
      <c r="AK101" s="13"/>
      <c r="AL101" s="13"/>
    </row>
    <row r="102" spans="1:47" ht="16.05" customHeight="1">
      <c r="A102" s="904" t="s">
        <v>531</v>
      </c>
      <c r="B102" s="858"/>
      <c r="C102" s="836">
        <v>2197.1799999999998</v>
      </c>
      <c r="D102" s="2355">
        <f>C102</f>
        <v>2197.1799999999998</v>
      </c>
      <c r="E102" s="794">
        <f>IF(C16="","",D102/$C$16*12)</f>
        <v>2636.616</v>
      </c>
      <c r="F102" s="754">
        <v>2197.1799999999998</v>
      </c>
      <c r="G102" s="795">
        <f t="shared" si="26"/>
        <v>2197.1799999999998</v>
      </c>
      <c r="I102" s="1148"/>
      <c r="J102" s="3428"/>
      <c r="K102" s="3429"/>
      <c r="L102" s="3430"/>
      <c r="W102" s="2387"/>
      <c r="AG102" s="13"/>
      <c r="AH102" s="13"/>
      <c r="AI102" s="13"/>
      <c r="AJ102" s="13"/>
      <c r="AK102" s="13"/>
      <c r="AL102" s="13"/>
    </row>
    <row r="103" spans="1:47" ht="16.05" customHeight="1">
      <c r="A103" s="904" t="s">
        <v>567</v>
      </c>
      <c r="B103" s="858"/>
      <c r="C103" s="836"/>
      <c r="D103" s="3534">
        <f>SUM(C103:C104)</f>
        <v>0</v>
      </c>
      <c r="E103" s="794">
        <f>IF(C16="","",IF(D103&gt;0,D103/$C$16*12,0))</f>
        <v>0</v>
      </c>
      <c r="F103" s="754"/>
      <c r="G103" s="795">
        <f t="shared" si="26"/>
        <v>0</v>
      </c>
      <c r="H103" s="252"/>
      <c r="I103" s="1148">
        <f>IF(D101=0,2,1)</f>
        <v>1</v>
      </c>
      <c r="J103" s="3428"/>
      <c r="K103" s="3429"/>
      <c r="L103" s="3430"/>
      <c r="W103" s="2387"/>
    </row>
    <row r="104" spans="1:47" ht="16.05" customHeight="1" thickBot="1">
      <c r="A104" s="827"/>
      <c r="B104" s="864"/>
      <c r="C104" s="838"/>
      <c r="D104" s="3535"/>
      <c r="E104" s="799"/>
      <c r="F104" s="799"/>
      <c r="G104" s="799"/>
      <c r="H104" s="252"/>
      <c r="I104" s="401"/>
      <c r="J104" s="3428"/>
      <c r="K104" s="3429"/>
      <c r="L104" s="3430"/>
      <c r="W104" s="2387"/>
    </row>
    <row r="105" spans="1:47" ht="42.75" customHeight="1">
      <c r="A105" s="955" t="s">
        <v>1154</v>
      </c>
      <c r="B105" s="2338" t="s">
        <v>703</v>
      </c>
      <c r="C105" s="2567"/>
      <c r="D105" s="3574" t="s">
        <v>781</v>
      </c>
      <c r="E105" s="3575"/>
      <c r="F105" s="3575"/>
      <c r="G105" s="3575"/>
      <c r="H105" s="252"/>
      <c r="I105" s="252"/>
      <c r="J105" s="3431"/>
      <c r="K105" s="3432"/>
      <c r="L105" s="3433"/>
      <c r="W105" s="2387"/>
    </row>
    <row r="106" spans="1:47" ht="20.25" customHeight="1">
      <c r="A106" s="3593" t="s">
        <v>1155</v>
      </c>
      <c r="B106" s="3597"/>
      <c r="C106" s="2570"/>
      <c r="D106" s="3576"/>
      <c r="E106" s="3464"/>
      <c r="F106" s="3464"/>
      <c r="G106" s="3464"/>
      <c r="H106" s="252"/>
      <c r="I106" s="401"/>
      <c r="W106" s="2387"/>
    </row>
    <row r="107" spans="1:47" ht="17.55" customHeight="1">
      <c r="A107" s="3355"/>
      <c r="B107" s="3269"/>
      <c r="C107" s="840"/>
      <c r="D107" s="1541"/>
      <c r="E107" s="3458" t="str">
        <f>IF(SUM(C105:C109)=0,"","in die weißen Felder bitte nichts eintragen, nur in Graue")</f>
        <v/>
      </c>
      <c r="F107" s="3458"/>
      <c r="G107" s="3458"/>
      <c r="H107" s="252"/>
      <c r="I107" s="401"/>
      <c r="W107" s="2387"/>
    </row>
    <row r="108" spans="1:47" ht="37.5" customHeight="1">
      <c r="A108" s="3357"/>
      <c r="B108" s="3270"/>
      <c r="C108" s="840"/>
      <c r="D108" s="3577" t="str">
        <f>IF(SUM(C110:C111)=0,"","In die grauen Felder C 106 + C 107 tragen Sie bitte nur dann etwas ein, wenn Sie in Reisekosten (ab C 135) und Fortbildung (C 172) nichts eintragen")</f>
        <v/>
      </c>
      <c r="E108" s="3458"/>
      <c r="F108" s="3458"/>
      <c r="G108" s="3458"/>
      <c r="H108" s="252"/>
      <c r="I108" s="401"/>
      <c r="W108" s="2387"/>
    </row>
    <row r="109" spans="1:47" ht="17.55" customHeight="1">
      <c r="A109" s="2463" t="s">
        <v>2</v>
      </c>
      <c r="B109" s="789"/>
      <c r="C109" s="2567"/>
      <c r="D109" s="2370">
        <f>SUM(D110:D111)</f>
        <v>6939.21</v>
      </c>
      <c r="E109" s="794"/>
      <c r="F109" s="1167"/>
      <c r="G109" s="795">
        <f>IF(C16="","",SUM(G110:G111))</f>
        <v>8327.0519999999997</v>
      </c>
      <c r="H109" s="252"/>
      <c r="I109" s="252"/>
      <c r="J109" s="3425" t="s">
        <v>1002</v>
      </c>
      <c r="K109" s="3426"/>
      <c r="L109" s="3427"/>
      <c r="W109" s="2387"/>
    </row>
    <row r="110" spans="1:47" ht="17.55" customHeight="1">
      <c r="A110" s="769" t="s">
        <v>919</v>
      </c>
      <c r="B110" s="789"/>
      <c r="C110" s="835"/>
      <c r="D110" s="2370">
        <f>IF(C110&gt;0,C110,D167)</f>
        <v>6939.21</v>
      </c>
      <c r="E110" s="794">
        <f>IF(C16="","",D110/$C$16*12)</f>
        <v>8327.0519999999997</v>
      </c>
      <c r="F110" s="754"/>
      <c r="G110" s="795">
        <f>IF(F110=0,G167,IF(F110="",E110,F110))</f>
        <v>8327.0519999999997</v>
      </c>
      <c r="H110" s="3579" t="str">
        <f>IF(F167="","","Hochrech. F167")</f>
        <v/>
      </c>
      <c r="I110" s="3580"/>
      <c r="J110" s="3428"/>
      <c r="K110" s="3429"/>
      <c r="L110" s="3430"/>
      <c r="W110" s="2387"/>
    </row>
    <row r="111" spans="1:47" ht="17.55" customHeight="1" thickBot="1">
      <c r="A111" s="777" t="s">
        <v>920</v>
      </c>
      <c r="B111" s="790"/>
      <c r="C111" s="838"/>
      <c r="D111" s="2371">
        <f>IF(C111&gt;0,C111,D139)</f>
        <v>0</v>
      </c>
      <c r="E111" s="794">
        <f>IF(C16="","",D111/$C$16*12)</f>
        <v>0</v>
      </c>
      <c r="F111" s="754"/>
      <c r="G111" s="795">
        <f>IF(F111=0,G139,IF(F111="",E111,F111))</f>
        <v>0</v>
      </c>
      <c r="H111" s="3579" t="str">
        <f>IF(F139="","","Hochrech. F139")</f>
        <v/>
      </c>
      <c r="I111" s="3580"/>
      <c r="J111" s="3428"/>
      <c r="K111" s="3429"/>
      <c r="L111" s="3430"/>
      <c r="M111" s="127"/>
      <c r="N111" s="3"/>
      <c r="P111" s="3"/>
      <c r="Q111" s="3"/>
      <c r="R111" s="3"/>
      <c r="S111" s="79"/>
      <c r="T111" s="79"/>
      <c r="U111" s="79"/>
      <c r="V111" s="79"/>
      <c r="W111" s="2389"/>
      <c r="X111" s="79"/>
    </row>
    <row r="112" spans="1:47" ht="38.549999999999997" customHeight="1">
      <c r="A112" s="766" t="s">
        <v>628</v>
      </c>
      <c r="B112" s="2338" t="s">
        <v>693</v>
      </c>
      <c r="C112" s="2567"/>
      <c r="D112" s="2372"/>
      <c r="E112" s="3448" t="str">
        <f>IF(SUM(C112,C114,C115)&gt;0,"in die weißen Zellen bitte nichts eintragen, nur in Graue","")</f>
        <v/>
      </c>
      <c r="F112" s="3448"/>
      <c r="G112" s="3448"/>
      <c r="H112" s="795">
        <f>IF(F113="",E113,F113)</f>
        <v>2944.8600000000006</v>
      </c>
      <c r="I112" s="401"/>
      <c r="J112" s="3428"/>
      <c r="K112" s="3429"/>
      <c r="L112" s="3430"/>
      <c r="M112" s="127"/>
      <c r="N112" s="3"/>
      <c r="P112" s="3"/>
      <c r="Q112" s="3"/>
      <c r="R112" s="3"/>
      <c r="S112" s="3"/>
      <c r="T112" s="3"/>
      <c r="U112" s="3"/>
      <c r="V112" s="3"/>
      <c r="W112" s="2382"/>
      <c r="X112" s="3"/>
    </row>
    <row r="113" spans="1:38" ht="17.55" customHeight="1">
      <c r="A113" s="3449" t="s">
        <v>629</v>
      </c>
      <c r="B113" s="782" t="s">
        <v>630</v>
      </c>
      <c r="C113" s="835">
        <v>2454.0500000000002</v>
      </c>
      <c r="D113" s="2354">
        <f>IF(C113&gt;0,C113,D116)</f>
        <v>2454.0500000000002</v>
      </c>
      <c r="E113" s="794">
        <f>IF(C16="","",D113/$C$16*12)</f>
        <v>2944.8600000000006</v>
      </c>
      <c r="F113" s="754"/>
      <c r="G113" s="795">
        <f>IF(F113="",E113,F113)</f>
        <v>2944.8600000000006</v>
      </c>
      <c r="H113" s="252"/>
      <c r="I113" s="401"/>
      <c r="J113" s="3428"/>
      <c r="K113" s="3429"/>
      <c r="L113" s="3430"/>
      <c r="M113" s="497"/>
      <c r="N113" s="497"/>
      <c r="O113" s="497"/>
      <c r="P113" s="497"/>
      <c r="Q113" s="497"/>
      <c r="R113" s="497"/>
      <c r="S113" s="497"/>
      <c r="T113" s="497"/>
      <c r="U113" s="497"/>
      <c r="V113" s="497"/>
      <c r="W113" s="2390"/>
      <c r="X113" s="497"/>
      <c r="Y113" s="79"/>
      <c r="Z113" s="497"/>
      <c r="AA113" s="497"/>
      <c r="AB113" s="497"/>
      <c r="AC113" s="497"/>
      <c r="AD113" s="497"/>
    </row>
    <row r="114" spans="1:38" ht="17.55" customHeight="1">
      <c r="A114" s="3450"/>
      <c r="B114" s="787"/>
      <c r="C114" s="2570"/>
      <c r="D114" s="3578" t="str">
        <f>IF(C113=0,"",IF(SUM(C113)&lt;SUM(C113,C116:C124),"Bitte Summe der Kfz Kosten oder einzeln eintragen !!!",""))</f>
        <v/>
      </c>
      <c r="E114" s="3536"/>
      <c r="F114" s="3536"/>
      <c r="G114" s="3536"/>
      <c r="H114" s="252"/>
      <c r="I114" s="401"/>
      <c r="J114" s="3428"/>
      <c r="K114" s="3429"/>
      <c r="L114" s="3430"/>
      <c r="M114" s="497"/>
      <c r="N114" s="497"/>
      <c r="O114" s="497"/>
      <c r="P114" s="497"/>
      <c r="Q114" s="497"/>
      <c r="R114" s="497"/>
      <c r="S114" s="497"/>
      <c r="T114" s="497"/>
      <c r="U114" s="497"/>
      <c r="V114" s="497"/>
      <c r="W114" s="2390"/>
      <c r="X114" s="497"/>
      <c r="Y114" s="3"/>
      <c r="Z114" s="13"/>
      <c r="AA114" s="13"/>
      <c r="AB114" s="13"/>
      <c r="AC114" s="13"/>
      <c r="AD114" s="13"/>
    </row>
    <row r="115" spans="1:38" ht="15" customHeight="1" thickBot="1">
      <c r="A115" s="3451"/>
      <c r="B115" s="788"/>
      <c r="C115" s="2569"/>
      <c r="D115" s="802"/>
      <c r="E115" s="252"/>
      <c r="F115" s="281"/>
      <c r="G115" s="252"/>
      <c r="H115" s="252"/>
      <c r="I115" s="401"/>
      <c r="J115" s="3431"/>
      <c r="K115" s="3432"/>
      <c r="L115" s="3433"/>
      <c r="M115" s="497"/>
      <c r="N115" s="497"/>
      <c r="O115" s="497"/>
      <c r="P115" s="497"/>
      <c r="Q115" s="497"/>
      <c r="R115" s="497"/>
      <c r="S115" s="497"/>
      <c r="T115" s="497"/>
      <c r="U115" s="497"/>
      <c r="V115" s="497"/>
      <c r="W115" s="2390"/>
      <c r="X115" s="497"/>
      <c r="Y115" s="497"/>
      <c r="Z115" s="497"/>
      <c r="AA115" s="497"/>
      <c r="AB115" s="497"/>
      <c r="AC115" s="497"/>
      <c r="AD115" s="497"/>
      <c r="AE115" s="497"/>
      <c r="AF115" s="497"/>
      <c r="AG115" s="497"/>
      <c r="AH115" s="497"/>
      <c r="AI115" s="497"/>
      <c r="AJ115" s="497"/>
      <c r="AK115" s="497"/>
      <c r="AL115" s="497"/>
    </row>
    <row r="116" spans="1:38" ht="19.5" customHeight="1">
      <c r="A116" s="824" t="s">
        <v>622</v>
      </c>
      <c r="B116" s="865"/>
      <c r="C116" s="835"/>
      <c r="D116" s="3452">
        <f>SUM(C116:C124)</f>
        <v>0</v>
      </c>
      <c r="E116" s="252"/>
      <c r="F116" s="281"/>
      <c r="G116" s="252"/>
      <c r="H116" s="252"/>
      <c r="I116" s="401"/>
      <c r="J116" s="2565">
        <f>IF(E113=0,"",E113)</f>
        <v>2944.8600000000006</v>
      </c>
      <c r="K116" s="871" t="str">
        <f>IF(J116="","","KFZ Kosten")</f>
        <v>KFZ Kosten</v>
      </c>
      <c r="M116" s="34"/>
      <c r="P116" s="34"/>
      <c r="Q116" s="34"/>
      <c r="S116" s="497"/>
      <c r="T116" s="497"/>
      <c r="U116" s="497"/>
      <c r="V116" s="497"/>
      <c r="W116" s="2390"/>
      <c r="X116" s="497"/>
      <c r="Y116" s="497"/>
      <c r="Z116" s="497"/>
      <c r="AA116" s="497"/>
      <c r="AB116" s="497"/>
      <c r="AC116" s="497"/>
      <c r="AD116" s="497"/>
      <c r="AE116" s="497"/>
      <c r="AF116" s="497"/>
      <c r="AG116" s="497"/>
      <c r="AH116" s="497"/>
      <c r="AI116" s="497"/>
      <c r="AJ116" s="497"/>
      <c r="AK116" s="497"/>
      <c r="AL116" s="497"/>
    </row>
    <row r="117" spans="1:38" ht="18" customHeight="1">
      <c r="A117" s="825" t="s">
        <v>145</v>
      </c>
      <c r="B117" s="858"/>
      <c r="C117" s="836"/>
      <c r="D117" s="3452"/>
      <c r="E117" s="252"/>
      <c r="F117" s="281"/>
      <c r="G117" s="252"/>
      <c r="H117" s="252"/>
      <c r="I117" s="401"/>
      <c r="J117" s="2566" t="str">
        <f>IF(C99="","",IF(A99="Kfz-Steuern (oder bei KFZ)",C99,""))</f>
        <v/>
      </c>
      <c r="K117" s="871" t="str">
        <f>IF(J117="","","KFZ Steuer aus St. Vers. Beitr.")</f>
        <v/>
      </c>
      <c r="M117" s="34"/>
      <c r="P117" s="34"/>
      <c r="Q117" s="34"/>
      <c r="S117" s="497"/>
      <c r="T117" s="497"/>
      <c r="U117" s="497"/>
      <c r="V117" s="497"/>
      <c r="W117" s="2390"/>
      <c r="X117" s="497"/>
      <c r="Y117" s="497"/>
      <c r="Z117" s="497"/>
      <c r="AA117" s="497"/>
      <c r="AB117" s="497"/>
      <c r="AC117" s="497"/>
      <c r="AD117" s="497"/>
      <c r="AE117" s="497"/>
      <c r="AF117" s="497"/>
      <c r="AG117" s="497"/>
      <c r="AH117" s="497"/>
      <c r="AI117" s="497"/>
      <c r="AJ117" s="497"/>
      <c r="AK117" s="497"/>
      <c r="AL117" s="497"/>
    </row>
    <row r="118" spans="1:38" ht="18" customHeight="1">
      <c r="A118" s="825" t="s">
        <v>568</v>
      </c>
      <c r="B118" s="858"/>
      <c r="C118" s="836"/>
      <c r="D118" s="3452"/>
      <c r="E118" s="252"/>
      <c r="F118" s="281"/>
      <c r="G118" s="252"/>
      <c r="H118" s="252"/>
      <c r="I118" s="401"/>
      <c r="J118" s="2566" t="str">
        <f>IF(C163="","",C163)</f>
        <v/>
      </c>
      <c r="K118" s="871" t="str">
        <f>IF(J118="","","KFZ Abschreib.")</f>
        <v/>
      </c>
      <c r="M118" s="34"/>
      <c r="P118" s="34"/>
      <c r="Q118" s="34"/>
      <c r="S118" s="497"/>
      <c r="T118" s="497"/>
      <c r="U118" s="497"/>
      <c r="V118" s="497"/>
      <c r="W118" s="2390"/>
      <c r="X118" s="497"/>
      <c r="Y118" s="497"/>
      <c r="Z118" s="497"/>
      <c r="AA118" s="497"/>
      <c r="AB118" s="497"/>
      <c r="AC118" s="497"/>
      <c r="AD118" s="497"/>
      <c r="AE118" s="497"/>
      <c r="AF118" s="497"/>
      <c r="AG118" s="497"/>
      <c r="AH118" s="497"/>
      <c r="AI118" s="497"/>
      <c r="AJ118" s="497"/>
      <c r="AK118" s="497"/>
      <c r="AL118" s="497"/>
    </row>
    <row r="119" spans="1:38" ht="18" customHeight="1">
      <c r="A119" s="825" t="s">
        <v>569</v>
      </c>
      <c r="B119" s="858"/>
      <c r="C119" s="836"/>
      <c r="D119" s="3452"/>
      <c r="E119" s="252"/>
      <c r="F119" s="281"/>
      <c r="G119" s="252"/>
      <c r="H119" s="252"/>
      <c r="I119" s="401"/>
      <c r="J119" s="2566">
        <f>IF(SUM(J116:J118)&gt;0,SUM(J116:J118),"")</f>
        <v>2944.8600000000006</v>
      </c>
      <c r="K119" s="871" t="str">
        <f>IF(J119="","","Gesamt")</f>
        <v>Gesamt</v>
      </c>
      <c r="M119" s="34"/>
      <c r="P119" s="34"/>
      <c r="Q119" s="34"/>
      <c r="T119" s="57"/>
      <c r="U119" s="76"/>
      <c r="W119" s="2387"/>
      <c r="Y119" s="497"/>
      <c r="Z119" s="497"/>
      <c r="AA119" s="497"/>
      <c r="AB119" s="497"/>
      <c r="AC119" s="497"/>
      <c r="AD119" s="497"/>
      <c r="AE119" s="497"/>
      <c r="AF119" s="497"/>
      <c r="AG119" s="497"/>
      <c r="AH119" s="497"/>
      <c r="AI119" s="497"/>
      <c r="AJ119" s="497"/>
      <c r="AK119" s="497"/>
      <c r="AL119" s="497"/>
    </row>
    <row r="120" spans="1:38" ht="18" customHeight="1">
      <c r="A120" s="825" t="s">
        <v>623</v>
      </c>
      <c r="B120" s="858"/>
      <c r="C120" s="836"/>
      <c r="D120" s="3452"/>
      <c r="E120" s="252"/>
      <c r="F120" s="281"/>
      <c r="G120" s="252"/>
      <c r="H120" s="252"/>
      <c r="I120" s="401"/>
      <c r="J120" s="2566">
        <f>IF(SUM(C33:C35)&gt;0,SUM(C33:C35),"")</f>
        <v>6167</v>
      </c>
      <c r="K120" s="871" t="str">
        <f>IF(J120="","","sonst. Betr. Erlöse KFZ")</f>
        <v>sonst. Betr. Erlöse KFZ</v>
      </c>
      <c r="W120" s="2387"/>
      <c r="Y120" s="497"/>
      <c r="Z120" s="497"/>
      <c r="AA120" s="497"/>
      <c r="AB120" s="497"/>
      <c r="AC120" s="497"/>
      <c r="AD120" s="497"/>
      <c r="AE120" s="497"/>
      <c r="AF120" s="497"/>
      <c r="AG120" s="497"/>
      <c r="AH120" s="497"/>
      <c r="AI120" s="497"/>
      <c r="AJ120" s="497"/>
      <c r="AK120" s="497"/>
      <c r="AL120" s="497"/>
    </row>
    <row r="121" spans="1:38" ht="21.75" customHeight="1">
      <c r="A121" s="825" t="s">
        <v>571</v>
      </c>
      <c r="B121" s="858"/>
      <c r="C121" s="836"/>
      <c r="D121" s="3452"/>
      <c r="E121" s="252"/>
      <c r="F121" s="281"/>
      <c r="G121" s="252"/>
      <c r="H121" s="252"/>
      <c r="I121" s="401"/>
      <c r="J121" s="2566">
        <f>IF(J119="","",J119-J120)</f>
        <v>-3222.1399999999994</v>
      </c>
      <c r="K121" s="871" t="str">
        <f>IF(J121="","","Differenz")</f>
        <v>Differenz</v>
      </c>
      <c r="M121" s="764"/>
      <c r="N121" s="764"/>
      <c r="W121" s="2387"/>
      <c r="Y121" s="13"/>
      <c r="Z121" s="13"/>
    </row>
    <row r="122" spans="1:38" ht="18" customHeight="1">
      <c r="A122" s="825" t="s">
        <v>572</v>
      </c>
      <c r="B122" s="858"/>
      <c r="C122" s="836"/>
      <c r="D122" s="3452"/>
      <c r="E122" s="252"/>
      <c r="F122" s="281"/>
      <c r="G122" s="252"/>
      <c r="H122" s="252"/>
      <c r="I122" s="401"/>
      <c r="W122" s="2387"/>
      <c r="AC122" s="13"/>
      <c r="AD122" s="13"/>
    </row>
    <row r="123" spans="1:38" ht="18" customHeight="1">
      <c r="A123" s="825" t="s">
        <v>570</v>
      </c>
      <c r="B123" s="858"/>
      <c r="C123" s="836"/>
      <c r="D123" s="3452"/>
      <c r="E123" s="252"/>
      <c r="F123" s="281"/>
      <c r="G123" s="252"/>
      <c r="H123" s="252"/>
      <c r="I123" s="401"/>
      <c r="W123" s="2387"/>
    </row>
    <row r="124" spans="1:38" ht="18" customHeight="1" thickBot="1">
      <c r="A124" s="827"/>
      <c r="B124" s="864"/>
      <c r="C124" s="838"/>
      <c r="D124" s="3551"/>
      <c r="E124" s="799"/>
      <c r="F124" s="800"/>
      <c r="G124" s="252"/>
      <c r="H124" s="252"/>
      <c r="I124" s="401"/>
      <c r="W124" s="2387"/>
      <c r="AE124" s="497"/>
      <c r="AF124" s="13"/>
    </row>
    <row r="125" spans="1:38" ht="43.5" customHeight="1">
      <c r="A125" s="778" t="s">
        <v>142</v>
      </c>
      <c r="B125" s="2338" t="s">
        <v>694</v>
      </c>
      <c r="C125" s="841"/>
      <c r="D125" s="1129"/>
      <c r="E125" s="3448" t="str">
        <f>IF(SUM(C125,C127,C128)&gt;0,"in die weißen Zellen bitte nichts eintragen, nur in Graue","")</f>
        <v/>
      </c>
      <c r="F125" s="3448"/>
      <c r="G125" s="3448"/>
      <c r="H125" s="252"/>
      <c r="I125" s="252"/>
      <c r="J125" s="3425" t="s">
        <v>1002</v>
      </c>
      <c r="K125" s="3426"/>
      <c r="L125" s="3427"/>
      <c r="W125" s="2387"/>
      <c r="AE125" s="13"/>
      <c r="AF125" s="13"/>
    </row>
    <row r="126" spans="1:38" ht="21.75" customHeight="1">
      <c r="A126" s="3449" t="s">
        <v>632</v>
      </c>
      <c r="B126" s="784" t="s">
        <v>631</v>
      </c>
      <c r="C126" s="835"/>
      <c r="D126" s="2354">
        <f>IF(C126&gt;0,C126,D129)</f>
        <v>7428.6399999999994</v>
      </c>
      <c r="E126" s="794">
        <f>IF(C16="","",D126/$C$16*12)</f>
        <v>8914.3679999999986</v>
      </c>
      <c r="F126" s="754">
        <v>7429</v>
      </c>
      <c r="G126" s="795">
        <f>IF(F126="",E126,F126)</f>
        <v>7429</v>
      </c>
      <c r="H126" s="252"/>
      <c r="I126" s="873">
        <f>IF(C126=0,1,2)</f>
        <v>1</v>
      </c>
      <c r="J126" s="3428"/>
      <c r="K126" s="3429"/>
      <c r="L126" s="3430"/>
      <c r="W126" s="2387"/>
      <c r="AE126" s="13"/>
      <c r="AF126" s="13"/>
    </row>
    <row r="127" spans="1:38" ht="21.75" customHeight="1">
      <c r="A127" s="3450"/>
      <c r="B127" s="428"/>
      <c r="C127" s="840"/>
      <c r="D127" s="3527" t="str">
        <f>IF(I126=I129,"Bitte Summe der Werbekosten gesamt oder einzeln eintragen !!!","")</f>
        <v/>
      </c>
      <c r="E127" s="3528"/>
      <c r="F127" s="3528"/>
      <c r="G127" s="3528"/>
      <c r="H127" s="252"/>
      <c r="I127" s="873"/>
      <c r="J127" s="3428"/>
      <c r="K127" s="3429"/>
      <c r="L127" s="3430"/>
      <c r="W127" s="2387"/>
      <c r="AE127" s="13"/>
      <c r="AF127" s="13"/>
    </row>
    <row r="128" spans="1:38" ht="21.75" customHeight="1" thickBot="1">
      <c r="A128" s="3451"/>
      <c r="B128" s="848"/>
      <c r="C128" s="2569"/>
      <c r="D128" s="3527"/>
      <c r="E128" s="3528"/>
      <c r="F128" s="3528"/>
      <c r="G128" s="3528"/>
      <c r="H128" s="252"/>
      <c r="I128" s="873"/>
      <c r="J128" s="3428"/>
      <c r="K128" s="3429"/>
      <c r="L128" s="3430"/>
      <c r="W128" s="2387"/>
      <c r="AE128" s="13"/>
      <c r="AF128" s="13"/>
    </row>
    <row r="129" spans="1:32" ht="21.75" customHeight="1">
      <c r="A129" s="904" t="s">
        <v>142</v>
      </c>
      <c r="B129" s="863"/>
      <c r="C129" s="835">
        <v>6082.15</v>
      </c>
      <c r="D129" s="3436">
        <f>SUM(C129:C137)</f>
        <v>7428.6399999999994</v>
      </c>
      <c r="E129" s="3538" t="str">
        <f>IF(D139=0,"", "Werbekosten sind ohne Reisekosten in der Hochrechnung")</f>
        <v/>
      </c>
      <c r="F129" s="3539"/>
      <c r="G129" s="252"/>
      <c r="H129" s="252"/>
      <c r="I129" s="873">
        <f>IF(D129=0,0,2)</f>
        <v>2</v>
      </c>
      <c r="J129" s="3428"/>
      <c r="K129" s="3429"/>
      <c r="L129" s="3430"/>
      <c r="T129" s="1564"/>
      <c r="W129" s="2387"/>
      <c r="AE129" s="13"/>
      <c r="AF129" s="13"/>
    </row>
    <row r="130" spans="1:32" ht="21.75" customHeight="1">
      <c r="A130" s="904" t="s">
        <v>573</v>
      </c>
      <c r="B130" s="853"/>
      <c r="C130" s="836"/>
      <c r="D130" s="3437"/>
      <c r="E130" s="3538"/>
      <c r="F130" s="3539"/>
      <c r="G130" s="252"/>
      <c r="H130" s="252"/>
      <c r="I130" s="252"/>
      <c r="J130" s="3428"/>
      <c r="K130" s="3429"/>
      <c r="L130" s="3430"/>
      <c r="W130" s="2387"/>
      <c r="AE130" s="13"/>
      <c r="AF130" s="13"/>
    </row>
    <row r="131" spans="1:32" ht="21.75" customHeight="1">
      <c r="A131" s="904" t="s">
        <v>574</v>
      </c>
      <c r="B131" s="853"/>
      <c r="C131" s="836"/>
      <c r="D131" s="3437"/>
      <c r="E131" s="3563" t="s">
        <v>840</v>
      </c>
      <c r="F131" s="3564"/>
      <c r="G131" s="3564"/>
      <c r="H131" s="252"/>
      <c r="I131" s="252"/>
      <c r="J131" s="3431"/>
      <c r="K131" s="3432"/>
      <c r="L131" s="3433"/>
      <c r="W131" s="2387"/>
      <c r="AE131" s="13"/>
      <c r="AF131" s="13"/>
    </row>
    <row r="132" spans="1:32" ht="21.75" customHeight="1">
      <c r="A132" s="904" t="s">
        <v>575</v>
      </c>
      <c r="B132" s="853"/>
      <c r="C132" s="836"/>
      <c r="D132" s="3437"/>
      <c r="E132" s="3563"/>
      <c r="F132" s="3564"/>
      <c r="G132" s="3564"/>
      <c r="H132" s="252"/>
      <c r="I132" s="252"/>
      <c r="M132" s="34"/>
      <c r="P132" s="34"/>
      <c r="Q132" s="34"/>
      <c r="W132" s="2387"/>
      <c r="AE132" s="13"/>
      <c r="AF132" s="13"/>
    </row>
    <row r="133" spans="1:32" ht="21.75" customHeight="1">
      <c r="A133" s="904" t="s">
        <v>101</v>
      </c>
      <c r="B133" s="858"/>
      <c r="C133" s="836">
        <v>1346.49</v>
      </c>
      <c r="D133" s="3437"/>
      <c r="E133" s="252"/>
      <c r="F133" s="281"/>
      <c r="G133" s="252"/>
      <c r="H133" s="252"/>
      <c r="I133" s="401"/>
      <c r="W133" s="2387"/>
      <c r="AE133" s="13"/>
      <c r="AF133" s="13"/>
    </row>
    <row r="134" spans="1:32" ht="22.5" customHeight="1">
      <c r="A134" s="904" t="s">
        <v>576</v>
      </c>
      <c r="B134" s="858"/>
      <c r="C134" s="836"/>
      <c r="D134" s="3437"/>
      <c r="E134" s="252"/>
      <c r="F134" s="252"/>
      <c r="G134" s="252"/>
      <c r="H134" s="252"/>
      <c r="I134" s="252"/>
      <c r="W134" s="2387"/>
      <c r="AE134" s="13"/>
      <c r="AF134" s="13"/>
    </row>
    <row r="135" spans="1:32" ht="19.05" customHeight="1">
      <c r="A135" s="904" t="s">
        <v>100</v>
      </c>
      <c r="B135" s="858"/>
      <c r="C135" s="836"/>
      <c r="D135" s="3437"/>
      <c r="E135" s="252"/>
      <c r="F135" s="252"/>
      <c r="G135" s="252"/>
      <c r="H135" s="252"/>
      <c r="I135" s="252"/>
      <c r="W135" s="2387"/>
      <c r="AE135" s="13"/>
      <c r="AF135" s="13"/>
    </row>
    <row r="136" spans="1:32" ht="19.05" customHeight="1">
      <c r="A136" s="825"/>
      <c r="B136" s="858"/>
      <c r="C136" s="836"/>
      <c r="D136" s="3437"/>
      <c r="E136" s="252"/>
      <c r="F136" s="252"/>
      <c r="G136" s="252"/>
      <c r="H136" s="252"/>
      <c r="I136" s="252"/>
      <c r="W136" s="2387"/>
      <c r="AE136" s="13"/>
      <c r="AF136" s="13"/>
    </row>
    <row r="137" spans="1:32" ht="19.05" customHeight="1" thickBot="1">
      <c r="A137" s="826"/>
      <c r="B137" s="859"/>
      <c r="C137" s="837"/>
      <c r="D137" s="3438"/>
      <c r="E137" s="252"/>
      <c r="F137" s="252"/>
      <c r="G137" s="252"/>
      <c r="H137" s="252"/>
      <c r="I137" s="252"/>
      <c r="W137" s="2387"/>
      <c r="AE137" s="13"/>
      <c r="AF137" s="13"/>
    </row>
    <row r="138" spans="1:32" ht="41.25" customHeight="1" thickBot="1">
      <c r="A138" s="953" t="s">
        <v>695</v>
      </c>
      <c r="B138" s="2339" t="s">
        <v>694</v>
      </c>
      <c r="C138" s="2571"/>
      <c r="D138" s="952"/>
      <c r="E138" s="3448" t="str">
        <f>IF(C138="","","in die weißen Zellen bitte nichts eintragen, nur in Graue")</f>
        <v/>
      </c>
      <c r="F138" s="3448"/>
      <c r="G138" s="3448"/>
      <c r="H138" s="252"/>
      <c r="I138" s="252"/>
      <c r="J138" s="3425" t="s">
        <v>1002</v>
      </c>
      <c r="K138" s="3426"/>
      <c r="L138" s="3427"/>
      <c r="W138" s="2387"/>
      <c r="AE138" s="13"/>
      <c r="AF138" s="13"/>
    </row>
    <row r="139" spans="1:32" ht="19.05" customHeight="1">
      <c r="A139" s="903" t="s">
        <v>577</v>
      </c>
      <c r="B139" s="865"/>
      <c r="C139" s="835"/>
      <c r="D139" s="3436">
        <f>SUM(C139:C146)</f>
        <v>0</v>
      </c>
      <c r="E139" s="794">
        <f>IF(C16="","",D139/$C$16*12)</f>
        <v>0</v>
      </c>
      <c r="F139" s="754"/>
      <c r="G139" s="795">
        <f>IF(F139="",E139,F139)</f>
        <v>0</v>
      </c>
      <c r="H139" s="252"/>
      <c r="I139" s="252"/>
      <c r="J139" s="3428"/>
      <c r="K139" s="3429"/>
      <c r="L139" s="3430"/>
      <c r="W139" s="2387"/>
      <c r="AE139" s="13"/>
      <c r="AF139" s="13"/>
    </row>
    <row r="140" spans="1:32" ht="19.05" customHeight="1">
      <c r="A140" s="904" t="s">
        <v>578</v>
      </c>
      <c r="B140" s="858"/>
      <c r="C140" s="836"/>
      <c r="D140" s="3437"/>
      <c r="E140" s="1144" t="str">
        <f>IF(C111&gt;0,"Sie haben in C 107 schon Reisekosten eingetragen","")</f>
        <v/>
      </c>
      <c r="H140" s="252"/>
      <c r="I140" s="252"/>
      <c r="J140" s="3428"/>
      <c r="K140" s="3429"/>
      <c r="L140" s="3430"/>
      <c r="W140" s="2387"/>
      <c r="AE140" s="13"/>
      <c r="AF140" s="13"/>
    </row>
    <row r="141" spans="1:32" ht="19.05" customHeight="1">
      <c r="A141" s="904" t="s">
        <v>579</v>
      </c>
      <c r="B141" s="858"/>
      <c r="C141" s="836"/>
      <c r="D141" s="3437"/>
      <c r="H141" s="252"/>
      <c r="I141" s="252"/>
      <c r="J141" s="3428"/>
      <c r="K141" s="3429"/>
      <c r="L141" s="3430"/>
      <c r="W141" s="2387"/>
      <c r="AE141" s="13"/>
      <c r="AF141" s="13"/>
    </row>
    <row r="142" spans="1:32" ht="19.05" customHeight="1">
      <c r="A142" s="904" t="s">
        <v>580</v>
      </c>
      <c r="B142" s="858"/>
      <c r="C142" s="836"/>
      <c r="D142" s="3437"/>
      <c r="E142" s="3572" t="str">
        <f>IF(D139=0,"","Die Reisekosten werden in den Bereich Weiterbildung überführt, damit gemeinsam mit den Fortbildungskosten aus den sonstigen oder verschiedenen Kosten das Budget für die Weiterbildung deutlich wird.")</f>
        <v/>
      </c>
      <c r="F142" s="3573"/>
      <c r="G142" s="3573"/>
      <c r="H142" s="252"/>
      <c r="I142" s="252"/>
      <c r="J142" s="3428"/>
      <c r="K142" s="3429"/>
      <c r="L142" s="3430"/>
      <c r="W142" s="2387"/>
      <c r="AE142" s="13"/>
      <c r="AF142" s="13"/>
    </row>
    <row r="143" spans="1:32" ht="19.5" customHeight="1">
      <c r="A143" s="904" t="s">
        <v>581</v>
      </c>
      <c r="B143" s="858"/>
      <c r="C143" s="836"/>
      <c r="D143" s="3437"/>
      <c r="E143" s="3572"/>
      <c r="F143" s="3573"/>
      <c r="G143" s="3573"/>
      <c r="H143" s="252"/>
      <c r="I143" s="252"/>
      <c r="J143" s="3428"/>
      <c r="K143" s="3429"/>
      <c r="L143" s="3430"/>
      <c r="W143" s="2387"/>
      <c r="AE143" s="13"/>
      <c r="AF143" s="13"/>
    </row>
    <row r="144" spans="1:32" ht="18.75" customHeight="1">
      <c r="A144" s="904" t="s">
        <v>582</v>
      </c>
      <c r="B144" s="858"/>
      <c r="C144" s="836"/>
      <c r="D144" s="3437"/>
      <c r="E144" s="3572"/>
      <c r="F144" s="3573"/>
      <c r="G144" s="3573"/>
      <c r="H144" s="252"/>
      <c r="I144" s="252"/>
      <c r="J144" s="3431"/>
      <c r="K144" s="3432"/>
      <c r="L144" s="3433"/>
      <c r="W144" s="2387"/>
      <c r="AE144" s="13"/>
      <c r="AF144" s="13"/>
    </row>
    <row r="145" spans="1:23" ht="18.75" customHeight="1">
      <c r="A145" s="904" t="s">
        <v>583</v>
      </c>
      <c r="B145" s="858"/>
      <c r="C145" s="836"/>
      <c r="D145" s="3437"/>
      <c r="H145" s="252"/>
      <c r="I145" s="252"/>
      <c r="W145" s="2387"/>
    </row>
    <row r="146" spans="1:23" ht="18.75" customHeight="1" thickBot="1">
      <c r="A146" s="827"/>
      <c r="B146" s="864"/>
      <c r="C146" s="838"/>
      <c r="D146" s="3600"/>
      <c r="E146" s="799"/>
      <c r="F146" s="799"/>
      <c r="G146" s="804"/>
      <c r="H146" s="803"/>
      <c r="I146" s="803"/>
      <c r="W146" s="2387"/>
    </row>
    <row r="147" spans="1:23" ht="35.549999999999997" customHeight="1">
      <c r="A147" s="779" t="s">
        <v>584</v>
      </c>
      <c r="B147" s="2338" t="s">
        <v>696</v>
      </c>
      <c r="C147" s="2568"/>
      <c r="D147" s="807"/>
      <c r="E147" s="3448" t="str">
        <f>IF(C147="","","in die weißen Zellen bitte nichts eintragen, nur in Graue")</f>
        <v/>
      </c>
      <c r="F147" s="3448"/>
      <c r="G147" s="3448"/>
      <c r="H147" s="803"/>
      <c r="I147" s="803"/>
      <c r="W147" s="2387"/>
    </row>
    <row r="148" spans="1:23" ht="19.05" customHeight="1">
      <c r="A148" s="825" t="s">
        <v>995</v>
      </c>
      <c r="B148" s="853"/>
      <c r="C148" s="836"/>
      <c r="D148" s="3540">
        <f>SUM(C148:C150)</f>
        <v>3564.0699999999997</v>
      </c>
      <c r="E148" s="1574">
        <f>IF(C16="","",D148/$C$16*12)</f>
        <v>4276.884</v>
      </c>
      <c r="F148" s="1575">
        <v>3564</v>
      </c>
      <c r="G148" s="795">
        <f>IF(F148="",E148,F148)</f>
        <v>3564</v>
      </c>
      <c r="H148" s="252"/>
      <c r="I148" s="252"/>
      <c r="J148" s="3425" t="s">
        <v>1002</v>
      </c>
      <c r="K148" s="3426"/>
      <c r="L148" s="3427"/>
      <c r="M148" s="34"/>
      <c r="P148" s="34"/>
      <c r="Q148" s="34"/>
      <c r="W148" s="2387"/>
    </row>
    <row r="149" spans="1:23" ht="18" customHeight="1">
      <c r="A149" s="825" t="s">
        <v>1232</v>
      </c>
      <c r="B149" s="961"/>
      <c r="C149" s="962">
        <v>2919.95</v>
      </c>
      <c r="D149" s="3541"/>
      <c r="E149" s="3538" t="str">
        <f>IF(D148=0,"","Die Kosten der Warenabgabe spielen im Friseurbereich eine sehr untergeordnete Rolle, daher wird der meist sehr geringe Betrag hier den sonstige Kosten zugeschlagen.")</f>
        <v>Die Kosten der Warenabgabe spielen im Friseurbereich eine sehr untergeordnete Rolle, daher wird der meist sehr geringe Betrag hier den sonstige Kosten zugeschlagen.</v>
      </c>
      <c r="F149" s="3539"/>
      <c r="G149" s="3539"/>
      <c r="H149" s="252"/>
      <c r="I149" s="252"/>
      <c r="J149" s="3428"/>
      <c r="K149" s="3429"/>
      <c r="L149" s="3430"/>
      <c r="M149" s="34"/>
      <c r="P149" s="34"/>
      <c r="Q149" s="34"/>
      <c r="W149" s="2387"/>
    </row>
    <row r="150" spans="1:23" ht="18" customHeight="1" thickBot="1">
      <c r="A150" s="827" t="s">
        <v>1231</v>
      </c>
      <c r="B150" s="864"/>
      <c r="C150" s="838">
        <v>644.12</v>
      </c>
      <c r="D150" s="3542"/>
      <c r="E150" s="3570"/>
      <c r="F150" s="3571"/>
      <c r="G150" s="3571"/>
      <c r="H150" s="252"/>
      <c r="I150" s="252"/>
      <c r="J150" s="3428"/>
      <c r="K150" s="3429"/>
      <c r="L150" s="3430"/>
      <c r="M150" s="34"/>
      <c r="P150" s="34"/>
      <c r="Q150" s="34"/>
      <c r="W150" s="2387"/>
    </row>
    <row r="151" spans="1:23" ht="37.5" customHeight="1">
      <c r="A151" s="956" t="s">
        <v>705</v>
      </c>
      <c r="B151" s="2340" t="s">
        <v>692</v>
      </c>
      <c r="C151" s="2567"/>
      <c r="D151" s="847"/>
      <c r="E151" s="3448" t="str">
        <f>IF(SUM(C152:C154)&gt;0,"in die weißen Zellen bitte nichts eintragen, nur in Graue","")</f>
        <v/>
      </c>
      <c r="F151" s="3448"/>
      <c r="G151" s="3448"/>
      <c r="H151" s="252"/>
      <c r="I151" s="252"/>
      <c r="J151" s="3428"/>
      <c r="K151" s="3429"/>
      <c r="L151" s="3430"/>
      <c r="M151" s="34"/>
      <c r="P151" s="34"/>
      <c r="Q151" s="34"/>
      <c r="W151" s="2387"/>
    </row>
    <row r="152" spans="1:23" ht="18" customHeight="1">
      <c r="A152" s="3454" t="s">
        <v>1289</v>
      </c>
      <c r="B152" s="3598" t="s">
        <v>619</v>
      </c>
      <c r="C152" s="2570"/>
      <c r="D152" s="847"/>
      <c r="E152" s="808"/>
      <c r="F152" s="808"/>
      <c r="G152" s="808"/>
      <c r="H152" s="252"/>
      <c r="I152" s="252"/>
      <c r="J152" s="3428"/>
      <c r="K152" s="3429"/>
      <c r="L152" s="3430"/>
      <c r="M152" s="34"/>
      <c r="P152" s="34"/>
      <c r="Q152" s="34"/>
      <c r="W152" s="2387"/>
    </row>
    <row r="153" spans="1:23" ht="18" customHeight="1">
      <c r="A153" s="3455"/>
      <c r="B153" s="3599"/>
      <c r="C153" s="2637"/>
      <c r="D153" s="2354">
        <f>D155</f>
        <v>972.31</v>
      </c>
      <c r="E153" s="794">
        <f>IF(C16="","",D153/$C$16*12)</f>
        <v>1166.7719999999999</v>
      </c>
      <c r="F153" s="754"/>
      <c r="G153" s="795">
        <f>IF(F153="",E153,F153)</f>
        <v>1166.7719999999999</v>
      </c>
      <c r="H153" s="252"/>
      <c r="I153" s="873">
        <f>IF(C153=0,2,1)</f>
        <v>2</v>
      </c>
      <c r="J153" s="3428"/>
      <c r="K153" s="3429"/>
      <c r="L153" s="3430"/>
      <c r="M153" s="34"/>
      <c r="P153" s="34"/>
      <c r="Q153" s="34"/>
      <c r="W153" s="2387"/>
    </row>
    <row r="154" spans="1:23" ht="18" customHeight="1" thickBot="1">
      <c r="A154" s="3456"/>
      <c r="B154" s="776" t="s">
        <v>636</v>
      </c>
      <c r="C154" s="2638"/>
      <c r="D154" s="2356">
        <f>D160</f>
        <v>9393.9699999999993</v>
      </c>
      <c r="E154" s="794">
        <f>IF(C16="","",D154/$C$16*12)</f>
        <v>11272.763999999999</v>
      </c>
      <c r="F154" s="754"/>
      <c r="G154" s="795">
        <f>IF(F154="",E154,F154)</f>
        <v>11272.763999999999</v>
      </c>
      <c r="H154" s="252"/>
      <c r="I154" s="873">
        <f>IF(C154=0,2,1)</f>
        <v>2</v>
      </c>
      <c r="J154" s="3431"/>
      <c r="K154" s="3432"/>
      <c r="L154" s="3433"/>
      <c r="M154" s="34"/>
      <c r="P154" s="34"/>
      <c r="Q154" s="34"/>
      <c r="W154" s="2387"/>
    </row>
    <row r="155" spans="1:23" ht="18" customHeight="1">
      <c r="A155" s="824" t="s">
        <v>585</v>
      </c>
      <c r="B155" s="863"/>
      <c r="C155" s="835">
        <v>543.30999999999995</v>
      </c>
      <c r="D155" s="3529">
        <f>SUM(C155:C159)</f>
        <v>972.31</v>
      </c>
      <c r="E155" s="3531" t="s">
        <v>796</v>
      </c>
      <c r="F155" s="3532"/>
      <c r="G155" s="3532"/>
      <c r="H155" s="877"/>
      <c r="I155" s="873">
        <f>IF(D155=0,0,1)</f>
        <v>1</v>
      </c>
      <c r="M155" s="34"/>
      <c r="P155" s="34"/>
      <c r="Q155" s="34"/>
      <c r="W155" s="2387"/>
    </row>
    <row r="156" spans="1:23" ht="18" customHeight="1">
      <c r="A156" s="825" t="s">
        <v>586</v>
      </c>
      <c r="B156" s="858"/>
      <c r="C156" s="836">
        <v>429</v>
      </c>
      <c r="D156" s="3529"/>
      <c r="E156" s="3531"/>
      <c r="F156" s="3532"/>
      <c r="G156" s="3532"/>
      <c r="H156" s="877"/>
      <c r="I156" s="1142"/>
      <c r="W156" s="2387"/>
    </row>
    <row r="157" spans="1:23" ht="18" customHeight="1">
      <c r="A157" s="825" t="s">
        <v>587</v>
      </c>
      <c r="B157" s="858"/>
      <c r="C157" s="836"/>
      <c r="D157" s="3529"/>
      <c r="E157" s="252"/>
      <c r="F157" s="281"/>
      <c r="G157" s="252"/>
      <c r="H157" s="252"/>
      <c r="I157" s="1143"/>
      <c r="W157" s="2387"/>
    </row>
    <row r="158" spans="1:23" ht="18" customHeight="1">
      <c r="A158" s="904" t="s">
        <v>590</v>
      </c>
      <c r="B158" s="858"/>
      <c r="C158" s="836"/>
      <c r="D158" s="3529"/>
      <c r="E158" s="3545" t="s">
        <v>797</v>
      </c>
      <c r="F158" s="3546"/>
      <c r="G158" s="3546"/>
      <c r="H158" s="252"/>
      <c r="I158" s="1143"/>
      <c r="J158" s="3425" t="s">
        <v>1002</v>
      </c>
      <c r="K158" s="3426"/>
      <c r="L158" s="3427"/>
      <c r="W158" s="2387"/>
    </row>
    <row r="159" spans="1:23" ht="18" customHeight="1" thickBot="1">
      <c r="A159" s="827" t="s">
        <v>599</v>
      </c>
      <c r="B159" s="867"/>
      <c r="C159" s="843"/>
      <c r="D159" s="3530"/>
      <c r="H159" s="252"/>
      <c r="I159" s="873"/>
      <c r="J159" s="3428"/>
      <c r="K159" s="3429"/>
      <c r="L159" s="3430"/>
      <c r="M159" s="34"/>
      <c r="P159" s="34"/>
      <c r="Q159" s="34"/>
      <c r="W159" s="2387"/>
    </row>
    <row r="160" spans="1:23" ht="18" customHeight="1">
      <c r="A160" s="824" t="s">
        <v>588</v>
      </c>
      <c r="B160" s="865"/>
      <c r="C160" s="2572">
        <v>9393.9699999999993</v>
      </c>
      <c r="D160" s="3537">
        <f>SUM(C160:C164)</f>
        <v>9393.9699999999993</v>
      </c>
      <c r="E160" s="3531" t="s">
        <v>541</v>
      </c>
      <c r="F160" s="3532"/>
      <c r="G160" s="3532"/>
      <c r="H160" s="252"/>
      <c r="I160" s="873">
        <f>IF(D160=0,0,1)</f>
        <v>1</v>
      </c>
      <c r="J160" s="3428"/>
      <c r="K160" s="3429"/>
      <c r="L160" s="3430"/>
      <c r="M160" s="34"/>
      <c r="P160" s="34"/>
      <c r="Q160" s="34"/>
      <c r="W160" s="2387"/>
    </row>
    <row r="161" spans="1:36" ht="18.600000000000001" customHeight="1">
      <c r="A161" s="824" t="s">
        <v>809</v>
      </c>
      <c r="B161" s="858"/>
      <c r="C161" s="836"/>
      <c r="D161" s="3529"/>
      <c r="E161" s="3531"/>
      <c r="F161" s="3532"/>
      <c r="G161" s="3532"/>
      <c r="H161" s="252"/>
      <c r="I161" s="401"/>
      <c r="J161" s="3428"/>
      <c r="K161" s="3429"/>
      <c r="L161" s="3430"/>
      <c r="M161" s="34"/>
      <c r="P161" s="34"/>
      <c r="Q161" s="34"/>
      <c r="W161" s="2387"/>
    </row>
    <row r="162" spans="1:36" ht="20.55" customHeight="1">
      <c r="A162" s="824" t="s">
        <v>589</v>
      </c>
      <c r="B162" s="858"/>
      <c r="C162" s="836"/>
      <c r="D162" s="3529"/>
      <c r="E162" s="1567"/>
      <c r="F162" s="1567"/>
      <c r="G162" s="1567"/>
      <c r="H162" s="252"/>
      <c r="I162" s="401"/>
      <c r="J162" s="3428"/>
      <c r="K162" s="3429"/>
      <c r="L162" s="3430"/>
      <c r="M162" s="34"/>
      <c r="P162" s="34"/>
      <c r="Q162" s="34"/>
      <c r="T162" s="3"/>
      <c r="U162" s="3"/>
      <c r="V162" s="3"/>
      <c r="W162" s="2382"/>
      <c r="X162" s="3"/>
    </row>
    <row r="163" spans="1:36" ht="18" customHeight="1">
      <c r="A163" s="825" t="s">
        <v>651</v>
      </c>
      <c r="B163" s="858"/>
      <c r="C163" s="836"/>
      <c r="D163" s="3529"/>
      <c r="E163" s="1218"/>
      <c r="F163" s="252"/>
      <c r="G163" s="252"/>
      <c r="H163" s="252"/>
      <c r="I163" s="401"/>
      <c r="J163" s="3428"/>
      <c r="K163" s="3429"/>
      <c r="L163" s="3430"/>
      <c r="M163" s="34"/>
      <c r="P163" s="34"/>
      <c r="Q163" s="34"/>
      <c r="T163" s="57"/>
      <c r="U163" s="76"/>
      <c r="W163" s="2387"/>
    </row>
    <row r="164" spans="1:36" ht="18" customHeight="1" thickBot="1">
      <c r="A164" s="827"/>
      <c r="B164" s="867"/>
      <c r="C164" s="843"/>
      <c r="D164" s="3530"/>
      <c r="E164" s="799"/>
      <c r="F164" s="799"/>
      <c r="G164" s="799"/>
      <c r="H164" s="252"/>
      <c r="I164" s="252"/>
      <c r="J164" s="3431"/>
      <c r="K164" s="3432"/>
      <c r="L164" s="3433"/>
      <c r="M164" s="34"/>
      <c r="P164" s="34"/>
      <c r="Q164" s="34"/>
      <c r="W164" s="2387"/>
      <c r="Y164" s="3"/>
    </row>
    <row r="165" spans="1:36" ht="36" customHeight="1">
      <c r="A165" s="956" t="s">
        <v>706</v>
      </c>
      <c r="B165" s="2338" t="s">
        <v>698</v>
      </c>
      <c r="C165" s="2567"/>
      <c r="D165" s="2362"/>
      <c r="E165" s="3448" t="str">
        <f>IF(SUM(C166:C168)&gt;0,"in die weißen Zellen bitte nichts eintragen, nur in Graue","")</f>
        <v/>
      </c>
      <c r="F165" s="3448"/>
      <c r="G165" s="3448"/>
      <c r="H165" s="252"/>
      <c r="I165" s="252"/>
      <c r="M165" s="34"/>
      <c r="P165" s="34"/>
      <c r="Q165" s="34"/>
      <c r="W165" s="2387"/>
      <c r="Y165" s="13"/>
      <c r="Z165" s="13"/>
    </row>
    <row r="166" spans="1:36" ht="18" customHeight="1">
      <c r="A166" s="3454" t="s">
        <v>637</v>
      </c>
      <c r="B166" s="791" t="s">
        <v>584</v>
      </c>
      <c r="C166" s="2570"/>
      <c r="D166" s="2354">
        <f>D148</f>
        <v>3564.0699999999997</v>
      </c>
      <c r="E166" s="3543" t="str">
        <f>IF(D166=0,"","Die Kosten der Warenabgabe werden den sonstigen oder verschied. Kosten zugeschlagen")</f>
        <v>Die Kosten der Warenabgabe werden den sonstigen oder verschied. Kosten zugeschlagen</v>
      </c>
      <c r="F166" s="3544"/>
      <c r="G166" s="3544"/>
      <c r="H166" s="3544"/>
      <c r="I166" s="252"/>
      <c r="M166" s="34"/>
      <c r="P166" s="34"/>
      <c r="Q166" s="34"/>
      <c r="W166" s="2387"/>
    </row>
    <row r="167" spans="1:36" ht="18" customHeight="1">
      <c r="A167" s="3455"/>
      <c r="B167" s="792" t="s">
        <v>593</v>
      </c>
      <c r="C167" s="840"/>
      <c r="D167" s="2354">
        <f>SUMIF(A169:A186,"Fortbildungskosten",C169:C186)</f>
        <v>6939.21</v>
      </c>
      <c r="E167" s="794">
        <f>IF(C16="","",D167/$C$16*12)</f>
        <v>8327.0519999999997</v>
      </c>
      <c r="F167" s="754"/>
      <c r="G167" s="795">
        <f>IF(F167="",E167,F167)</f>
        <v>8327.0519999999997</v>
      </c>
      <c r="H167" s="1127"/>
      <c r="I167" s="252"/>
      <c r="M167" s="34"/>
      <c r="P167" s="34"/>
      <c r="Q167" s="34"/>
      <c r="W167" s="2387"/>
    </row>
    <row r="168" spans="1:36" ht="18" customHeight="1" thickBot="1">
      <c r="A168" s="3456"/>
      <c r="B168" s="793" t="s">
        <v>94</v>
      </c>
      <c r="C168" s="2569"/>
      <c r="D168" s="2363">
        <f>IF(D169&gt;0,D169-D167,D170-D167)</f>
        <v>49390.87</v>
      </c>
      <c r="E168" s="794">
        <f>IF(C16="","",D168/$C$16*12)</f>
        <v>59269.044000000009</v>
      </c>
      <c r="F168" s="756"/>
      <c r="G168" s="795">
        <f>IF(F168="",E168,F168)</f>
        <v>59269.044000000009</v>
      </c>
      <c r="H168" s="252"/>
      <c r="I168" s="252"/>
      <c r="J168" s="3425" t="s">
        <v>1002</v>
      </c>
      <c r="K168" s="3426"/>
      <c r="L168" s="3427"/>
      <c r="M168" s="34"/>
      <c r="P168" s="34"/>
      <c r="Q168" s="34"/>
      <c r="W168" s="2387"/>
    </row>
    <row r="169" spans="1:36" ht="18" customHeight="1" thickBot="1">
      <c r="A169" s="951" t="s">
        <v>685</v>
      </c>
      <c r="B169" s="949"/>
      <c r="C169" s="950">
        <v>56330.080000000002</v>
      </c>
      <c r="D169" s="2363">
        <f>C169</f>
        <v>56330.080000000002</v>
      </c>
      <c r="E169" s="3536" t="str">
        <f>IF(I169=I170,"Bitte die Kosten gesamt oder einzeln eintragen !!! Fortbildungskosten auf jeden Fall eintragen","")</f>
        <v>Bitte die Kosten gesamt oder einzeln eintragen !!! Fortbildungskosten auf jeden Fall eintragen</v>
      </c>
      <c r="F169" s="3536"/>
      <c r="G169" s="3536"/>
      <c r="H169" s="877"/>
      <c r="I169" s="1142">
        <f>IF(C169=0,0,2)</f>
        <v>2</v>
      </c>
      <c r="J169" s="3428"/>
      <c r="K169" s="3429"/>
      <c r="L169" s="3430"/>
      <c r="M169" s="34"/>
      <c r="P169" s="34"/>
      <c r="Q169" s="34"/>
      <c r="W169" s="2387"/>
    </row>
    <row r="170" spans="1:36" ht="18" customHeight="1">
      <c r="A170" s="903" t="s">
        <v>591</v>
      </c>
      <c r="B170" s="865"/>
      <c r="C170" s="835"/>
      <c r="D170" s="3533">
        <f>SUM(C169:C188)</f>
        <v>63269.29</v>
      </c>
      <c r="E170" s="3536"/>
      <c r="F170" s="3536"/>
      <c r="G170" s="3536"/>
      <c r="H170" s="877"/>
      <c r="I170" s="1142">
        <f>IF(D170&gt;C176,2,1)</f>
        <v>2</v>
      </c>
      <c r="J170" s="3428"/>
      <c r="K170" s="3429"/>
      <c r="L170" s="3430"/>
      <c r="M170" s="34"/>
      <c r="P170" s="34"/>
      <c r="Q170" s="34"/>
      <c r="T170" s="79"/>
      <c r="U170" s="79"/>
      <c r="V170" s="79"/>
      <c r="W170" s="2389"/>
      <c r="X170" s="79"/>
    </row>
    <row r="171" spans="1:36" ht="18" customHeight="1">
      <c r="A171" s="904" t="s">
        <v>146</v>
      </c>
      <c r="B171" s="858"/>
      <c r="C171" s="835"/>
      <c r="D171" s="3534"/>
      <c r="E171" s="3424" t="s">
        <v>839</v>
      </c>
      <c r="F171" s="3424"/>
      <c r="G171" s="3424"/>
      <c r="H171" s="809"/>
      <c r="I171" s="809"/>
      <c r="J171" s="3428"/>
      <c r="K171" s="3429"/>
      <c r="L171" s="3430"/>
      <c r="M171" s="497"/>
      <c r="N171" s="497"/>
      <c r="O171" s="497"/>
      <c r="P171" s="497"/>
      <c r="Q171" s="497"/>
      <c r="R171" s="497"/>
      <c r="S171" s="497"/>
      <c r="T171" s="497"/>
      <c r="U171" s="497"/>
      <c r="V171" s="497"/>
      <c r="W171" s="2390"/>
      <c r="X171" s="497"/>
    </row>
    <row r="172" spans="1:36" ht="17.55" customHeight="1">
      <c r="A172" s="904" t="s">
        <v>147</v>
      </c>
      <c r="B172" s="858"/>
      <c r="C172" s="836"/>
      <c r="D172" s="3534"/>
      <c r="E172" s="3424"/>
      <c r="F172" s="3424"/>
      <c r="G172" s="3424"/>
      <c r="H172" s="252"/>
      <c r="I172" s="401"/>
      <c r="J172" s="3428"/>
      <c r="K172" s="3429"/>
      <c r="L172" s="3430"/>
      <c r="M172" s="497"/>
      <c r="N172" s="497"/>
      <c r="O172" s="497"/>
      <c r="P172" s="497"/>
      <c r="Q172" s="497"/>
      <c r="R172" s="497"/>
      <c r="S172" s="497"/>
      <c r="T172" s="497"/>
      <c r="U172" s="497"/>
      <c r="V172" s="497"/>
      <c r="W172" s="2390"/>
      <c r="X172" s="497"/>
      <c r="Y172" s="79"/>
      <c r="Z172" s="79"/>
      <c r="AA172" s="79"/>
      <c r="AB172" s="79"/>
      <c r="AC172" s="79"/>
      <c r="AD172" s="79"/>
    </row>
    <row r="173" spans="1:36" ht="16.05" customHeight="1">
      <c r="A173" s="904" t="s">
        <v>811</v>
      </c>
      <c r="B173" s="858"/>
      <c r="C173" s="836"/>
      <c r="D173" s="3534"/>
      <c r="E173" s="3424"/>
      <c r="F173" s="3424"/>
      <c r="G173" s="3424"/>
      <c r="H173" s="252"/>
      <c r="I173" s="401"/>
      <c r="J173" s="3428"/>
      <c r="K173" s="3429"/>
      <c r="L173" s="3430"/>
      <c r="M173" s="497"/>
      <c r="N173" s="497"/>
      <c r="O173" s="497"/>
      <c r="P173" s="497"/>
      <c r="Q173" s="497"/>
      <c r="R173" s="497"/>
      <c r="S173" s="497"/>
      <c r="T173" s="497"/>
      <c r="U173" s="497"/>
      <c r="V173" s="497"/>
      <c r="W173" s="2390"/>
      <c r="X173" s="497"/>
      <c r="Y173" s="497"/>
      <c r="Z173" s="497"/>
      <c r="AA173" s="497"/>
      <c r="AB173" s="497"/>
      <c r="AC173" s="497"/>
      <c r="AD173" s="497"/>
      <c r="AE173" s="497"/>
      <c r="AF173" s="497"/>
      <c r="AG173" s="497"/>
      <c r="AH173" s="497"/>
      <c r="AI173" s="497"/>
      <c r="AJ173" s="497"/>
    </row>
    <row r="174" spans="1:36" ht="16.05" customHeight="1">
      <c r="A174" s="904" t="s">
        <v>148</v>
      </c>
      <c r="B174" s="954"/>
      <c r="C174" s="836"/>
      <c r="D174" s="3534"/>
      <c r="E174" s="3424"/>
      <c r="F174" s="3424"/>
      <c r="G174" s="3424"/>
      <c r="H174" s="252"/>
      <c r="I174" s="401"/>
      <c r="J174" s="3431"/>
      <c r="K174" s="3432"/>
      <c r="L174" s="3433"/>
      <c r="M174" s="497"/>
      <c r="N174" s="497"/>
      <c r="O174" s="497"/>
      <c r="P174" s="497"/>
      <c r="Q174" s="497"/>
      <c r="R174" s="497"/>
      <c r="S174" s="497"/>
      <c r="T174" s="497"/>
      <c r="U174" s="497"/>
      <c r="V174" s="497"/>
      <c r="W174" s="2390"/>
      <c r="X174" s="497"/>
      <c r="Y174" s="497"/>
      <c r="Z174" s="497"/>
      <c r="AA174" s="497"/>
      <c r="AB174" s="497"/>
      <c r="AC174" s="497"/>
      <c r="AD174" s="497"/>
      <c r="AE174" s="497"/>
      <c r="AF174" s="497"/>
      <c r="AG174" s="497"/>
      <c r="AH174" s="497"/>
      <c r="AI174" s="497"/>
      <c r="AJ174" s="497"/>
    </row>
    <row r="175" spans="1:36" ht="16.05" customHeight="1">
      <c r="A175" s="904" t="s">
        <v>592</v>
      </c>
      <c r="B175" s="858"/>
      <c r="C175" s="836"/>
      <c r="D175" s="3534"/>
      <c r="F175" s="877"/>
      <c r="G175" s="877"/>
      <c r="H175" s="877"/>
      <c r="I175" s="877"/>
      <c r="M175" s="497"/>
      <c r="N175" s="497"/>
      <c r="O175" s="497"/>
      <c r="P175" s="497"/>
      <c r="Q175" s="497"/>
      <c r="R175" s="497"/>
      <c r="S175" s="497"/>
      <c r="T175" s="497"/>
      <c r="U175" s="497"/>
      <c r="V175" s="497"/>
      <c r="W175" s="2390"/>
      <c r="X175" s="497"/>
      <c r="Y175" s="497"/>
      <c r="Z175" s="497"/>
      <c r="AA175" s="497"/>
      <c r="AB175" s="497"/>
      <c r="AC175" s="497"/>
      <c r="AD175" s="497"/>
      <c r="AE175" s="497"/>
      <c r="AF175" s="497"/>
      <c r="AG175" s="497"/>
      <c r="AH175" s="497"/>
      <c r="AI175" s="497"/>
      <c r="AJ175" s="497"/>
    </row>
    <row r="176" spans="1:36" ht="19.05" customHeight="1">
      <c r="A176" s="1166" t="s">
        <v>593</v>
      </c>
      <c r="B176" s="957" t="s">
        <v>697</v>
      </c>
      <c r="C176" s="836">
        <v>6939.21</v>
      </c>
      <c r="D176" s="3534"/>
      <c r="E176" s="1144" t="str">
        <f>IF(C110&gt;0,"Sie haben in C 106 schon Fortbildungskosten eingetragen",IF(C175=0,"&lt;== Tragen Sie links bitte die Fortbildungskosten ein","Die Fortbildungskosten wandern zu Weiterbildung"))</f>
        <v>&lt;== Tragen Sie links bitte die Fortbildungskosten ein</v>
      </c>
      <c r="F176" s="281"/>
      <c r="G176" s="252"/>
      <c r="H176" s="252"/>
      <c r="I176" s="401"/>
      <c r="M176" s="34"/>
      <c r="P176" s="34"/>
      <c r="Q176" s="34"/>
      <c r="U176" s="79"/>
      <c r="V176" s="79"/>
      <c r="W176" s="2389"/>
      <c r="X176" s="79"/>
      <c r="Y176" s="497"/>
      <c r="Z176" s="497"/>
      <c r="AA176" s="497"/>
      <c r="AB176" s="497"/>
      <c r="AC176" s="497"/>
      <c r="AD176" s="497"/>
      <c r="AE176" s="497"/>
      <c r="AF176" s="497"/>
      <c r="AG176" s="497"/>
      <c r="AH176" s="497"/>
      <c r="AI176" s="497"/>
      <c r="AJ176" s="497"/>
    </row>
    <row r="177" spans="1:36" ht="18" customHeight="1">
      <c r="A177" s="904" t="s">
        <v>149</v>
      </c>
      <c r="B177" s="858"/>
      <c r="C177" s="836"/>
      <c r="D177" s="3534"/>
      <c r="E177" s="252"/>
      <c r="F177" s="281"/>
      <c r="G177" s="252"/>
      <c r="H177" s="252"/>
      <c r="I177" s="401"/>
      <c r="M177" s="34"/>
      <c r="P177" s="34"/>
      <c r="Q177" s="34"/>
      <c r="U177" s="79"/>
      <c r="V177" s="79"/>
      <c r="W177" s="2389"/>
      <c r="X177" s="79"/>
      <c r="Y177" s="497"/>
      <c r="Z177" s="497"/>
      <c r="AA177" s="497"/>
      <c r="AB177" s="497"/>
      <c r="AC177" s="497"/>
      <c r="AD177" s="497"/>
      <c r="AE177" s="497"/>
      <c r="AF177" s="497"/>
      <c r="AG177" s="497"/>
      <c r="AH177" s="497"/>
      <c r="AI177" s="497"/>
      <c r="AJ177" s="497"/>
    </row>
    <row r="178" spans="1:36" ht="18" customHeight="1">
      <c r="A178" s="904" t="s">
        <v>178</v>
      </c>
      <c r="B178" s="858"/>
      <c r="C178" s="836"/>
      <c r="D178" s="3534"/>
      <c r="E178" s="252"/>
      <c r="F178" s="281"/>
      <c r="G178" s="252"/>
      <c r="H178" s="252"/>
      <c r="I178" s="401"/>
      <c r="M178" s="34"/>
      <c r="P178" s="34"/>
      <c r="Q178" s="34"/>
      <c r="U178" s="79"/>
      <c r="V178" s="79"/>
      <c r="W178" s="2389"/>
      <c r="X178" s="79"/>
      <c r="Y178" s="79"/>
      <c r="Z178" s="79"/>
      <c r="AA178" s="79"/>
      <c r="AB178" s="79"/>
      <c r="AC178" s="79"/>
      <c r="AD178" s="79"/>
    </row>
    <row r="179" spans="1:36" ht="18" customHeight="1">
      <c r="A179" s="904" t="s">
        <v>594</v>
      </c>
      <c r="B179" s="858"/>
      <c r="C179" s="836"/>
      <c r="D179" s="3534"/>
      <c r="E179" s="252"/>
      <c r="F179" s="281"/>
      <c r="G179" s="252"/>
      <c r="H179" s="252"/>
      <c r="I179" s="401"/>
      <c r="M179" s="34"/>
      <c r="P179" s="34"/>
      <c r="Q179" s="34"/>
      <c r="U179" s="79"/>
      <c r="V179" s="79"/>
      <c r="W179" s="2389"/>
      <c r="X179" s="79"/>
      <c r="Y179" s="79"/>
      <c r="Z179" s="79"/>
      <c r="AA179" s="79"/>
      <c r="AB179" s="79"/>
      <c r="AC179" s="79"/>
      <c r="AD179" s="79"/>
    </row>
    <row r="180" spans="1:36" ht="18" customHeight="1">
      <c r="A180" s="904" t="s">
        <v>595</v>
      </c>
      <c r="B180" s="858"/>
      <c r="C180" s="836"/>
      <c r="D180" s="3534"/>
      <c r="E180" s="252"/>
      <c r="F180" s="281"/>
      <c r="G180" s="252"/>
      <c r="H180" s="252"/>
      <c r="I180" s="401"/>
      <c r="M180" s="34"/>
      <c r="P180" s="34"/>
      <c r="Q180" s="34"/>
      <c r="W180" s="2387"/>
      <c r="Y180" s="79"/>
      <c r="Z180" s="79"/>
      <c r="AA180" s="79"/>
      <c r="AB180" s="79"/>
      <c r="AC180" s="79"/>
      <c r="AD180" s="79"/>
    </row>
    <row r="181" spans="1:36" ht="18" customHeight="1">
      <c r="A181" s="904" t="s">
        <v>596</v>
      </c>
      <c r="B181" s="858"/>
      <c r="C181" s="836"/>
      <c r="D181" s="3534"/>
      <c r="E181" s="252"/>
      <c r="F181" s="281"/>
      <c r="G181" s="252"/>
      <c r="H181" s="252"/>
      <c r="I181" s="401"/>
      <c r="M181" s="34"/>
      <c r="P181" s="34"/>
      <c r="Q181" s="34"/>
      <c r="W181" s="2387"/>
      <c r="Y181" s="79"/>
      <c r="Z181" s="79"/>
      <c r="AA181" s="79"/>
      <c r="AB181" s="79"/>
      <c r="AC181" s="79"/>
      <c r="AD181" s="79"/>
    </row>
    <row r="182" spans="1:36" ht="18" customHeight="1">
      <c r="A182" s="904" t="s">
        <v>597</v>
      </c>
      <c r="B182" s="858"/>
      <c r="C182" s="836"/>
      <c r="D182" s="3534"/>
      <c r="E182" s="252"/>
      <c r="F182" s="281"/>
      <c r="G182" s="252"/>
      <c r="H182" s="252"/>
      <c r="I182" s="401"/>
      <c r="M182" s="34"/>
      <c r="P182" s="34"/>
      <c r="Q182" s="34"/>
      <c r="W182" s="2387"/>
    </row>
    <row r="183" spans="1:36" ht="18" customHeight="1">
      <c r="A183" s="904" t="s">
        <v>598</v>
      </c>
      <c r="B183" s="858"/>
      <c r="C183" s="836"/>
      <c r="D183" s="3534"/>
      <c r="E183" s="252"/>
      <c r="F183" s="281"/>
      <c r="G183" s="252"/>
      <c r="H183" s="252"/>
      <c r="I183" s="401"/>
      <c r="M183" s="34"/>
      <c r="P183" s="34"/>
      <c r="Q183" s="34"/>
      <c r="W183" s="2387"/>
    </row>
    <row r="184" spans="1:36" ht="18" customHeight="1">
      <c r="A184" s="904" t="s">
        <v>599</v>
      </c>
      <c r="B184" s="858"/>
      <c r="C184" s="836"/>
      <c r="D184" s="3534"/>
      <c r="E184" s="252"/>
      <c r="F184" s="281"/>
      <c r="G184" s="252"/>
      <c r="H184" s="252"/>
      <c r="I184" s="401"/>
      <c r="M184" s="34"/>
      <c r="P184" s="34"/>
      <c r="Q184" s="34"/>
      <c r="W184" s="2387"/>
    </row>
    <row r="185" spans="1:36" ht="18" customHeight="1">
      <c r="A185" s="825"/>
      <c r="B185" s="866"/>
      <c r="C185" s="836"/>
      <c r="D185" s="3534"/>
      <c r="E185" s="252"/>
      <c r="F185" s="281"/>
      <c r="G185" s="252"/>
      <c r="H185" s="252"/>
      <c r="I185" s="401"/>
      <c r="W185" s="2387"/>
    </row>
    <row r="186" spans="1:36" ht="18" customHeight="1">
      <c r="A186" s="825"/>
      <c r="B186" s="858"/>
      <c r="C186" s="836"/>
      <c r="D186" s="3534"/>
      <c r="E186" s="252"/>
      <c r="F186" s="281"/>
      <c r="G186" s="252"/>
      <c r="H186" s="252"/>
      <c r="I186" s="401"/>
      <c r="W186" s="2387"/>
    </row>
    <row r="187" spans="1:36" ht="18" customHeight="1">
      <c r="A187" s="825"/>
      <c r="B187" s="866"/>
      <c r="C187" s="836"/>
      <c r="D187" s="3534"/>
      <c r="E187" s="252"/>
      <c r="F187" s="281"/>
      <c r="G187" s="252"/>
      <c r="H187" s="252"/>
      <c r="I187" s="401"/>
      <c r="M187" s="34"/>
      <c r="P187" s="34"/>
      <c r="Q187" s="34"/>
      <c r="W187" s="2387"/>
    </row>
    <row r="188" spans="1:36" ht="18" customHeight="1" thickBot="1">
      <c r="A188" s="827"/>
      <c r="B188" s="864"/>
      <c r="C188" s="838"/>
      <c r="D188" s="3535"/>
      <c r="E188" s="799"/>
      <c r="F188" s="800"/>
      <c r="G188" s="799"/>
      <c r="H188" s="252"/>
      <c r="I188" s="401"/>
      <c r="M188" s="34"/>
      <c r="P188" s="34"/>
      <c r="Q188" s="34"/>
      <c r="W188" s="2387"/>
    </row>
    <row r="189" spans="1:36" ht="41.25" customHeight="1">
      <c r="A189" s="766" t="s">
        <v>600</v>
      </c>
      <c r="B189" s="2338" t="s">
        <v>700</v>
      </c>
      <c r="C189" s="2567"/>
      <c r="D189" s="2362"/>
      <c r="E189" s="3448" t="str">
        <f>IF(SUM(C190:C192)&gt;0,"in die weißen Zellen bitte nichts eintragen, nur in Graue","")</f>
        <v/>
      </c>
      <c r="F189" s="3448"/>
      <c r="G189" s="3448"/>
      <c r="H189" s="252"/>
      <c r="I189" s="401"/>
      <c r="J189" s="3425" t="s">
        <v>1002</v>
      </c>
      <c r="K189" s="3426"/>
      <c r="L189" s="3427"/>
      <c r="M189" s="34"/>
      <c r="P189" s="34"/>
      <c r="Q189" s="34"/>
      <c r="W189" s="2387"/>
    </row>
    <row r="190" spans="1:36" ht="20.25" customHeight="1">
      <c r="A190" s="3454" t="s">
        <v>1288</v>
      </c>
      <c r="B190" s="791" t="s">
        <v>12</v>
      </c>
      <c r="C190" s="2639"/>
      <c r="D190" s="2354">
        <f>D193</f>
        <v>761.69</v>
      </c>
      <c r="E190" s="794">
        <f>IF(C16="","",D190/$C$16*12)</f>
        <v>914.02800000000013</v>
      </c>
      <c r="F190" s="754"/>
      <c r="G190" s="795">
        <f>IF(F190="",E190,F190)</f>
        <v>914.02800000000013</v>
      </c>
      <c r="H190" s="252"/>
      <c r="I190" s="401"/>
      <c r="J190" s="3428"/>
      <c r="K190" s="3429"/>
      <c r="L190" s="3430"/>
      <c r="M190" s="34"/>
      <c r="P190" s="34"/>
      <c r="Q190" s="34"/>
      <c r="W190" s="2387"/>
    </row>
    <row r="191" spans="1:36" ht="16.05" customHeight="1">
      <c r="A191" s="3455"/>
      <c r="B191" s="792" t="s">
        <v>638</v>
      </c>
      <c r="C191" s="2640"/>
      <c r="D191" s="2354"/>
      <c r="E191" s="794"/>
      <c r="F191" s="794"/>
      <c r="G191" s="795">
        <f>SUM(G198:G201)</f>
        <v>0</v>
      </c>
      <c r="H191" s="252"/>
      <c r="I191" s="401"/>
      <c r="J191" s="3428"/>
      <c r="K191" s="3429"/>
      <c r="L191" s="3430"/>
      <c r="M191" s="34"/>
      <c r="P191" s="34"/>
      <c r="Q191" s="34"/>
      <c r="W191" s="2387"/>
    </row>
    <row r="192" spans="1:36" ht="15.75" customHeight="1" thickBot="1">
      <c r="A192" s="3456"/>
      <c r="B192" s="793" t="s">
        <v>639</v>
      </c>
      <c r="C192" s="2641"/>
      <c r="D192" s="2363"/>
      <c r="E192" s="3563" t="str">
        <f>IF(D202=0,"","Der Neutraler Aufwand ist ohne Umsatzsteuer-Zahlung und der Zahlung an das Finanzamt in der Hochrechnung")</f>
        <v/>
      </c>
      <c r="F192" s="3564"/>
      <c r="G192" s="3564"/>
      <c r="H192" s="810"/>
      <c r="I192" s="810"/>
      <c r="J192" s="3428"/>
      <c r="K192" s="3429"/>
      <c r="L192" s="3430"/>
      <c r="N192" s="878"/>
      <c r="W192" s="2387"/>
    </row>
    <row r="193" spans="1:23" ht="15.75" customHeight="1">
      <c r="A193" s="824" t="s">
        <v>601</v>
      </c>
      <c r="B193" s="863"/>
      <c r="C193" s="854">
        <v>761.69</v>
      </c>
      <c r="D193" s="3529">
        <f>SUM(C193:C197)</f>
        <v>761.69</v>
      </c>
      <c r="E193" s="3563"/>
      <c r="F193" s="3564"/>
      <c r="G193" s="3564"/>
      <c r="H193" s="795"/>
      <c r="I193" s="401"/>
      <c r="J193" s="3428"/>
      <c r="K193" s="3429"/>
      <c r="L193" s="3430"/>
      <c r="W193" s="2387"/>
    </row>
    <row r="194" spans="1:23" ht="15.75" customHeight="1">
      <c r="A194" s="825" t="s">
        <v>602</v>
      </c>
      <c r="B194" s="858"/>
      <c r="C194" s="836"/>
      <c r="D194" s="3529"/>
      <c r="E194" s="3563"/>
      <c r="F194" s="3564"/>
      <c r="G194" s="3564"/>
      <c r="H194" s="795">
        <f>IF(F191="",E191,F191)</f>
        <v>0</v>
      </c>
      <c r="I194" s="401"/>
      <c r="J194" s="3428"/>
      <c r="K194" s="3429"/>
      <c r="L194" s="3430"/>
      <c r="W194" s="2387"/>
    </row>
    <row r="195" spans="1:23" ht="15.75" customHeight="1">
      <c r="A195" s="825" t="s">
        <v>12</v>
      </c>
      <c r="B195" s="858"/>
      <c r="C195" s="855"/>
      <c r="D195" s="3529"/>
      <c r="E195" s="811"/>
      <c r="F195" s="810"/>
      <c r="G195" s="810"/>
      <c r="H195" s="252"/>
      <c r="I195" s="252"/>
      <c r="J195" s="3431"/>
      <c r="K195" s="3432"/>
      <c r="L195" s="3433"/>
      <c r="W195" s="2387"/>
    </row>
    <row r="196" spans="1:23" ht="15.75" customHeight="1">
      <c r="A196" s="825" t="s">
        <v>791</v>
      </c>
      <c r="B196" s="858"/>
      <c r="C196" s="855"/>
      <c r="D196" s="3529"/>
      <c r="E196" s="252"/>
      <c r="F196" s="252"/>
      <c r="G196" s="252"/>
      <c r="H196" s="252"/>
      <c r="I196" s="252"/>
      <c r="W196" s="2387"/>
    </row>
    <row r="197" spans="1:23" ht="15.75" customHeight="1" thickBot="1">
      <c r="A197" s="827"/>
      <c r="B197" s="864"/>
      <c r="C197" s="856"/>
      <c r="D197" s="3530"/>
      <c r="E197" s="2679"/>
      <c r="F197" s="800"/>
      <c r="G197" s="799"/>
      <c r="H197" s="252"/>
      <c r="I197" s="401"/>
      <c r="W197" s="2387"/>
    </row>
    <row r="198" spans="1:23" ht="21" customHeight="1">
      <c r="A198" s="824" t="s">
        <v>640</v>
      </c>
      <c r="B198" s="865"/>
      <c r="C198" s="854"/>
      <c r="D198" s="2680"/>
      <c r="E198" s="796">
        <f>IF(C$16="","",(C198)/$C$16*12)</f>
        <v>0</v>
      </c>
      <c r="F198" s="754"/>
      <c r="G198" s="797">
        <f t="shared" ref="G198:G201" si="27">IF(F198="",E198,F198)</f>
        <v>0</v>
      </c>
      <c r="H198" s="281"/>
      <c r="I198" s="401"/>
      <c r="W198" s="2387"/>
    </row>
    <row r="199" spans="1:23" ht="21" customHeight="1">
      <c r="A199" s="825" t="s">
        <v>603</v>
      </c>
      <c r="B199" s="858"/>
      <c r="C199" s="855"/>
      <c r="D199" s="2681"/>
      <c r="E199" s="796">
        <f>IF(C$16="","",(C199)/$C$16*12)</f>
        <v>0</v>
      </c>
      <c r="F199" s="754"/>
      <c r="G199" s="795">
        <f t="shared" si="27"/>
        <v>0</v>
      </c>
      <c r="H199" s="281"/>
      <c r="I199" s="401"/>
      <c r="W199" s="2387"/>
    </row>
    <row r="200" spans="1:23" ht="19.05" customHeight="1">
      <c r="A200" s="828" t="s">
        <v>712</v>
      </c>
      <c r="B200" s="866"/>
      <c r="C200" s="857"/>
      <c r="D200" s="2681"/>
      <c r="E200" s="796">
        <f>IF(C$16="","",(C200)/$C$16*12)</f>
        <v>0</v>
      </c>
      <c r="F200" s="754"/>
      <c r="G200" s="795">
        <f t="shared" si="27"/>
        <v>0</v>
      </c>
      <c r="H200" s="281"/>
      <c r="I200" s="401"/>
      <c r="W200" s="2387"/>
    </row>
    <row r="201" spans="1:23" ht="17.55" customHeight="1" thickBot="1">
      <c r="A201" s="827" t="s">
        <v>1056</v>
      </c>
      <c r="B201" s="864"/>
      <c r="C201" s="856"/>
      <c r="D201" s="2682"/>
      <c r="E201" s="814">
        <f>IF(C$16="","",(C201)/$C$16*12)</f>
        <v>0</v>
      </c>
      <c r="F201" s="773"/>
      <c r="G201" s="815">
        <f t="shared" si="27"/>
        <v>0</v>
      </c>
      <c r="H201" s="281"/>
      <c r="I201" s="401"/>
      <c r="W201" s="2387"/>
    </row>
    <row r="202" spans="1:23" ht="15.75" customHeight="1">
      <c r="A202" s="824" t="s">
        <v>648</v>
      </c>
      <c r="B202" s="865"/>
      <c r="C202" s="833"/>
      <c r="D202" s="3581">
        <f>SUM(C202:C203)</f>
        <v>0</v>
      </c>
      <c r="E202" s="3585" t="str">
        <f>IF(D202=0,"","Der Betrag läuft ohne Hochrechnung in der neutralen Aufwand")</f>
        <v/>
      </c>
      <c r="F202" s="3586"/>
      <c r="G202" s="3586"/>
      <c r="H202" s="812" t="e">
        <f>IF(#REF!="",F201,#REF!)</f>
        <v>#REF!</v>
      </c>
      <c r="I202" s="401"/>
      <c r="W202" s="2387"/>
    </row>
    <row r="203" spans="1:23" ht="15.75" customHeight="1" thickBot="1">
      <c r="A203" s="827" t="s">
        <v>789</v>
      </c>
      <c r="B203" s="864"/>
      <c r="C203" s="839"/>
      <c r="D203" s="3582"/>
      <c r="E203" s="3558"/>
      <c r="F203" s="3559"/>
      <c r="G203" s="3559"/>
      <c r="H203" s="252"/>
      <c r="I203" s="401"/>
      <c r="W203" s="2387"/>
    </row>
    <row r="204" spans="1:23" ht="15.75" customHeight="1">
      <c r="B204" s="3589" t="s">
        <v>699</v>
      </c>
      <c r="C204" s="510"/>
      <c r="D204" s="1539"/>
      <c r="E204" s="3562" t="str">
        <f>IF(SUM(C205:C208)&gt;0,"in die weißen Zellen bitte nichts eintragen, nur in Graue","")</f>
        <v/>
      </c>
      <c r="F204" s="3562"/>
      <c r="G204" s="3562"/>
      <c r="I204" s="401"/>
      <c r="W204" s="2387"/>
    </row>
    <row r="205" spans="1:23" ht="15.75" customHeight="1">
      <c r="A205" s="778" t="s">
        <v>245</v>
      </c>
      <c r="B205" s="3590"/>
      <c r="C205" s="2573"/>
      <c r="D205" s="1572"/>
      <c r="E205" s="3587" t="str">
        <f>IF(D207=0,"","Der Neutraler Ertrag ist mit Umsatzsteuer Einnahme in der Hochrechnung")</f>
        <v/>
      </c>
      <c r="F205" s="3587"/>
      <c r="G205" s="3587"/>
      <c r="H205" s="252"/>
      <c r="I205" s="252"/>
      <c r="J205" s="3425" t="s">
        <v>1002</v>
      </c>
      <c r="K205" s="3426"/>
      <c r="L205" s="3427"/>
      <c r="W205" s="2387"/>
    </row>
    <row r="206" spans="1:23" ht="15.75" customHeight="1">
      <c r="A206" s="3454" t="s">
        <v>1287</v>
      </c>
      <c r="B206" s="792"/>
      <c r="C206" s="2570"/>
      <c r="D206" s="2354"/>
      <c r="E206" s="3587"/>
      <c r="F206" s="3587"/>
      <c r="G206" s="3587"/>
      <c r="H206" s="798"/>
      <c r="I206" s="1565"/>
      <c r="J206" s="3428"/>
      <c r="K206" s="3429"/>
      <c r="L206" s="3430"/>
      <c r="W206" s="2387"/>
    </row>
    <row r="207" spans="1:23" ht="15.75" customHeight="1">
      <c r="A207" s="3455"/>
      <c r="B207" s="791"/>
      <c r="C207" s="840"/>
      <c r="D207" s="2683"/>
      <c r="E207" s="3569" t="s">
        <v>642</v>
      </c>
      <c r="F207" s="3569"/>
      <c r="G207" s="3569"/>
      <c r="H207" s="798"/>
      <c r="I207" s="252"/>
      <c r="J207" s="3428"/>
      <c r="K207" s="3429"/>
      <c r="L207" s="3430"/>
      <c r="W207" s="2387"/>
    </row>
    <row r="208" spans="1:23" ht="15.75" customHeight="1" thickBot="1">
      <c r="A208" s="3456"/>
      <c r="B208" s="792" t="s">
        <v>641</v>
      </c>
      <c r="C208" s="2569"/>
      <c r="D208" s="2684">
        <f>SUM(C209:C216)</f>
        <v>1500</v>
      </c>
      <c r="E208" s="3569"/>
      <c r="F208" s="3569"/>
      <c r="G208" s="3569"/>
      <c r="H208" s="1565"/>
      <c r="I208" s="1565"/>
      <c r="J208" s="3428"/>
      <c r="K208" s="3429"/>
      <c r="L208" s="3430"/>
      <c r="W208" s="2387"/>
    </row>
    <row r="209" spans="1:23" ht="15.75" customHeight="1">
      <c r="A209" s="824" t="s">
        <v>604</v>
      </c>
      <c r="B209" s="860"/>
      <c r="C209" s="833"/>
      <c r="D209" s="2685"/>
      <c r="E209" s="794">
        <f>IF(C$16="","",C209/$C$16*12)</f>
        <v>0</v>
      </c>
      <c r="F209" s="754"/>
      <c r="G209" s="795">
        <f t="shared" ref="G209:G216" si="28">IF(F209="",E209,F209)</f>
        <v>0</v>
      </c>
      <c r="H209" s="252"/>
      <c r="I209" s="252"/>
      <c r="J209" s="3428"/>
      <c r="K209" s="3429"/>
      <c r="L209" s="3430"/>
      <c r="W209" s="2387"/>
    </row>
    <row r="210" spans="1:23" ht="15.75" customHeight="1">
      <c r="A210" s="825" t="s">
        <v>1225</v>
      </c>
      <c r="B210" s="861"/>
      <c r="C210" s="844"/>
      <c r="D210" s="2685"/>
      <c r="E210" s="794">
        <f t="shared" ref="E210:E216" si="29">IF(C$16="","",C210/$C$16*12)</f>
        <v>0</v>
      </c>
      <c r="F210" s="754"/>
      <c r="G210" s="795">
        <f t="shared" si="28"/>
        <v>0</v>
      </c>
      <c r="H210" s="252"/>
      <c r="I210" s="252"/>
      <c r="J210" s="3428"/>
      <c r="K210" s="3429"/>
      <c r="L210" s="3430"/>
      <c r="W210" s="2387"/>
    </row>
    <row r="211" spans="1:23" ht="15.75" customHeight="1">
      <c r="A211" s="825" t="s">
        <v>605</v>
      </c>
      <c r="B211" s="861"/>
      <c r="C211" s="844"/>
      <c r="D211" s="2685"/>
      <c r="E211" s="794">
        <f t="shared" si="29"/>
        <v>0</v>
      </c>
      <c r="F211" s="754"/>
      <c r="G211" s="795">
        <f t="shared" si="28"/>
        <v>0</v>
      </c>
      <c r="H211" s="252"/>
      <c r="I211" s="252"/>
      <c r="J211" s="3431"/>
      <c r="K211" s="3432"/>
      <c r="L211" s="3433"/>
      <c r="W211" s="2387"/>
    </row>
    <row r="212" spans="1:23" ht="19.5" customHeight="1">
      <c r="A212" s="825" t="s">
        <v>606</v>
      </c>
      <c r="B212" s="861"/>
      <c r="C212" s="844"/>
      <c r="D212" s="2685"/>
      <c r="E212" s="794">
        <f t="shared" si="29"/>
        <v>0</v>
      </c>
      <c r="F212" s="754"/>
      <c r="G212" s="795">
        <f t="shared" si="28"/>
        <v>0</v>
      </c>
      <c r="H212" s="252"/>
      <c r="I212" s="252"/>
      <c r="W212" s="2387"/>
    </row>
    <row r="213" spans="1:23" ht="19.5" customHeight="1">
      <c r="A213" s="825" t="s">
        <v>1226</v>
      </c>
      <c r="B213" s="861"/>
      <c r="C213" s="844"/>
      <c r="D213" s="2685"/>
      <c r="E213" s="794">
        <f t="shared" si="29"/>
        <v>0</v>
      </c>
      <c r="F213" s="754"/>
      <c r="G213" s="795">
        <f t="shared" si="28"/>
        <v>0</v>
      </c>
      <c r="H213" s="252"/>
      <c r="I213" s="252"/>
      <c r="W213" s="2387"/>
    </row>
    <row r="214" spans="1:23" ht="19.5" customHeight="1">
      <c r="A214" s="825" t="s">
        <v>808</v>
      </c>
      <c r="B214" s="861"/>
      <c r="C214" s="844"/>
      <c r="D214" s="2685"/>
      <c r="E214" s="794">
        <f t="shared" si="29"/>
        <v>0</v>
      </c>
      <c r="F214" s="754"/>
      <c r="G214" s="795">
        <f t="shared" si="28"/>
        <v>0</v>
      </c>
      <c r="H214" s="252"/>
      <c r="I214" s="252"/>
      <c r="W214" s="2387"/>
    </row>
    <row r="215" spans="1:23" ht="17.55" customHeight="1">
      <c r="A215" s="825" t="s">
        <v>959</v>
      </c>
      <c r="B215" s="861"/>
      <c r="C215" s="844">
        <v>1500</v>
      </c>
      <c r="D215" s="2685"/>
      <c r="E215" s="794">
        <f t="shared" si="29"/>
        <v>1800</v>
      </c>
      <c r="F215" s="754">
        <v>1500</v>
      </c>
      <c r="G215" s="795">
        <f t="shared" si="28"/>
        <v>1500</v>
      </c>
      <c r="H215" s="252"/>
      <c r="I215" s="252"/>
      <c r="W215" s="2387"/>
    </row>
    <row r="216" spans="1:23" ht="17.55" customHeight="1" thickBot="1">
      <c r="A216" s="826"/>
      <c r="B216" s="862"/>
      <c r="C216" s="834"/>
      <c r="D216" s="2686"/>
      <c r="E216" s="849">
        <f t="shared" si="29"/>
        <v>0</v>
      </c>
      <c r="F216" s="850"/>
      <c r="G216" s="851">
        <f t="shared" si="28"/>
        <v>0</v>
      </c>
      <c r="H216" s="252"/>
      <c r="I216" s="813"/>
      <c r="W216" s="2387"/>
    </row>
    <row r="217" spans="1:23" ht="18" customHeight="1" thickBot="1">
      <c r="A217" s="772" t="s">
        <v>552</v>
      </c>
      <c r="B217" s="774"/>
      <c r="C217" s="845">
        <v>3419.89</v>
      </c>
      <c r="D217" s="2363">
        <f>C217</f>
        <v>3419.89</v>
      </c>
      <c r="E217" s="3583" t="str">
        <f>IF(D217=0,"","Der Betrag wird in die Personalkosten übernommen")</f>
        <v>Der Betrag wird in die Personalkosten übernommen</v>
      </c>
      <c r="F217" s="3584"/>
      <c r="G217" s="3584"/>
      <c r="H217" s="252"/>
      <c r="I217" s="401"/>
      <c r="W217" s="2387"/>
    </row>
    <row r="218" spans="1:23" ht="32.25" customHeight="1">
      <c r="A218" s="142" t="s">
        <v>644</v>
      </c>
      <c r="B218" s="2338" t="s">
        <v>701</v>
      </c>
      <c r="C218" s="2567"/>
      <c r="D218" s="2373" t="str">
        <f>IF('2a Chefeingaben'!AC27="ja","bei GmbH fallen die Privatentnahmen weg","")</f>
        <v/>
      </c>
      <c r="E218" s="252" t="str">
        <f>IF('2a Chefeingaben'!C72="ja","Bei GmbH fallen die Privatentnahmen weg","")</f>
        <v/>
      </c>
      <c r="F218" s="252"/>
      <c r="G218" s="806"/>
      <c r="H218" s="806"/>
      <c r="I218" s="252"/>
      <c r="W218" s="2387"/>
    </row>
    <row r="219" spans="1:23" ht="16.5" customHeight="1">
      <c r="A219" s="3454" t="s">
        <v>1286</v>
      </c>
      <c r="B219" s="1672"/>
      <c r="C219" s="2642"/>
      <c r="D219" s="2374"/>
      <c r="E219" s="3588" t="str">
        <f>IF(SUM(C218,C219:C221)&gt;0,"in die weißen Zellen bitte nichts eintragen, nur in Graue","")</f>
        <v/>
      </c>
      <c r="F219" s="3588"/>
      <c r="G219" s="3588"/>
      <c r="H219" s="805"/>
      <c r="I219" s="805"/>
      <c r="T219" s="79"/>
      <c r="W219" s="2387"/>
    </row>
    <row r="220" spans="1:23" ht="16.5" customHeight="1">
      <c r="A220" s="3455"/>
      <c r="B220" s="1673"/>
      <c r="C220" s="2643"/>
      <c r="D220" s="2354">
        <f>D222</f>
        <v>86551.010000000009</v>
      </c>
      <c r="E220" s="1197">
        <f>IF(C16="","",D220/$C$16*12)</f>
        <v>103861.212</v>
      </c>
      <c r="F220" s="754"/>
      <c r="G220" s="1198">
        <f>IF(F220="",E220,F220)</f>
        <v>103861.212</v>
      </c>
      <c r="H220" s="252"/>
      <c r="I220" s="873">
        <f>IF(C220="",0,1)</f>
        <v>0</v>
      </c>
      <c r="T220" s="79"/>
      <c r="W220" s="2387"/>
    </row>
    <row r="221" spans="1:23" ht="16.5" customHeight="1" thickBot="1">
      <c r="A221" s="3456"/>
      <c r="B221" s="1674"/>
      <c r="C221" s="2644"/>
      <c r="D221" s="2363"/>
      <c r="E221" s="252"/>
      <c r="F221" s="252"/>
      <c r="G221" s="252"/>
      <c r="H221" s="252"/>
      <c r="I221" s="873"/>
      <c r="J221" s="3425" t="s">
        <v>1002</v>
      </c>
      <c r="K221" s="3426"/>
      <c r="L221" s="3427"/>
      <c r="M221" s="34"/>
      <c r="P221" s="34"/>
      <c r="Q221" s="34"/>
      <c r="T221" s="79"/>
      <c r="W221" s="2387"/>
    </row>
    <row r="222" spans="1:23" ht="16.5" customHeight="1">
      <c r="A222" s="829" t="s">
        <v>607</v>
      </c>
      <c r="B222" s="860"/>
      <c r="C222" s="832">
        <v>63698.8</v>
      </c>
      <c r="D222" s="3565">
        <f>SUM(C222:C232)</f>
        <v>86551.010000000009</v>
      </c>
      <c r="E222" s="3567" t="str">
        <f>IF(I220=I222,"Bitte Summe der Privatentnahmen oder einzeln eintragen !!!","")</f>
        <v/>
      </c>
      <c r="F222" s="3568"/>
      <c r="G222" s="3568"/>
      <c r="H222" s="1129"/>
      <c r="I222" s="873">
        <f>IF(D222=0,2,1)</f>
        <v>1</v>
      </c>
      <c r="J222" s="3428"/>
      <c r="K222" s="3429"/>
      <c r="L222" s="3430"/>
      <c r="M222" s="34"/>
      <c r="P222" s="34"/>
      <c r="Q222" s="34"/>
      <c r="W222" s="2387"/>
    </row>
    <row r="223" spans="1:23" ht="16.5" customHeight="1">
      <c r="A223" s="825" t="s">
        <v>608</v>
      </c>
      <c r="B223" s="861"/>
      <c r="C223" s="833">
        <v>5451</v>
      </c>
      <c r="D223" s="3529"/>
      <c r="E223" s="252"/>
      <c r="F223" s="252"/>
      <c r="G223" s="252"/>
      <c r="H223" s="252"/>
      <c r="I223" s="816"/>
      <c r="J223" s="3428"/>
      <c r="K223" s="3429"/>
      <c r="L223" s="3430"/>
      <c r="W223" s="2387"/>
    </row>
    <row r="224" spans="1:23" ht="16.5" customHeight="1">
      <c r="A224" s="825" t="s">
        <v>609</v>
      </c>
      <c r="B224" s="861"/>
      <c r="C224" s="833"/>
      <c r="D224" s="3529"/>
      <c r="E224" s="252"/>
      <c r="F224" s="252"/>
      <c r="G224" s="252"/>
      <c r="H224" s="252"/>
      <c r="I224" s="252"/>
      <c r="J224" s="3428"/>
      <c r="K224" s="3429"/>
      <c r="L224" s="3430"/>
      <c r="W224" s="2387"/>
    </row>
    <row r="225" spans="1:23" ht="16.5" customHeight="1">
      <c r="A225" s="825" t="s">
        <v>610</v>
      </c>
      <c r="B225" s="861"/>
      <c r="C225" s="833"/>
      <c r="D225" s="3529"/>
      <c r="E225" s="252"/>
      <c r="F225" s="252"/>
      <c r="G225" s="252"/>
      <c r="H225" s="252"/>
      <c r="I225" s="252"/>
      <c r="J225" s="3428"/>
      <c r="K225" s="3429"/>
      <c r="L225" s="3430"/>
      <c r="W225" s="2387"/>
    </row>
    <row r="226" spans="1:23" ht="16.5" customHeight="1">
      <c r="A226" s="825" t="s">
        <v>611</v>
      </c>
      <c r="B226" s="861"/>
      <c r="C226" s="833"/>
      <c r="D226" s="3529"/>
      <c r="E226" s="252"/>
      <c r="F226" s="252"/>
      <c r="G226" s="252"/>
      <c r="H226" s="252"/>
      <c r="I226" s="252"/>
      <c r="J226" s="3428"/>
      <c r="K226" s="3429"/>
      <c r="L226" s="3430"/>
      <c r="W226" s="2387"/>
    </row>
    <row r="227" spans="1:23" ht="16.5" customHeight="1">
      <c r="A227" s="825" t="s">
        <v>792</v>
      </c>
      <c r="B227" s="861"/>
      <c r="C227" s="833">
        <v>8209.27</v>
      </c>
      <c r="D227" s="3529"/>
      <c r="E227" s="252"/>
      <c r="F227" s="252"/>
      <c r="G227" s="252"/>
      <c r="H227" s="252"/>
      <c r="I227" s="252"/>
      <c r="J227" s="3431"/>
      <c r="K227" s="3432"/>
      <c r="L227" s="3433"/>
      <c r="W227" s="2387"/>
    </row>
    <row r="228" spans="1:23" ht="16.5" customHeight="1">
      <c r="A228" s="825" t="s">
        <v>793</v>
      </c>
      <c r="B228" s="861"/>
      <c r="C228" s="833">
        <v>2086.34</v>
      </c>
      <c r="D228" s="3529"/>
      <c r="E228" s="252"/>
      <c r="F228" s="252"/>
      <c r="G228" s="252"/>
      <c r="H228" s="252"/>
      <c r="I228" s="252"/>
      <c r="W228" s="2387"/>
    </row>
    <row r="229" spans="1:23" ht="17.55" customHeight="1">
      <c r="A229" s="825" t="s">
        <v>794</v>
      </c>
      <c r="B229" s="861"/>
      <c r="C229" s="833"/>
      <c r="D229" s="3529"/>
      <c r="E229" s="252"/>
      <c r="F229" s="252"/>
      <c r="G229" s="252"/>
      <c r="H229" s="252"/>
      <c r="I229" s="252"/>
      <c r="W229" s="2387"/>
    </row>
    <row r="230" spans="1:23" ht="19.05" customHeight="1">
      <c r="A230" s="825" t="s">
        <v>612</v>
      </c>
      <c r="B230" s="861"/>
      <c r="C230" s="833">
        <v>7105.6</v>
      </c>
      <c r="D230" s="3529"/>
      <c r="E230" s="252"/>
      <c r="F230" s="281"/>
      <c r="G230" s="252"/>
      <c r="H230" s="252"/>
      <c r="I230" s="401"/>
      <c r="M230" s="34"/>
      <c r="P230" s="34"/>
      <c r="Q230" s="34"/>
      <c r="W230" s="2387"/>
    </row>
    <row r="231" spans="1:23" ht="17.25" customHeight="1">
      <c r="A231" s="825"/>
      <c r="B231" s="861"/>
      <c r="C231" s="833"/>
      <c r="D231" s="3529"/>
      <c r="E231" s="252"/>
      <c r="F231" s="281"/>
      <c r="G231" s="252"/>
      <c r="H231" s="252"/>
      <c r="I231" s="401"/>
      <c r="P231" s="1564"/>
      <c r="Q231" s="1564"/>
      <c r="R231" s="1564"/>
      <c r="S231" s="1564"/>
      <c r="W231" s="2387"/>
    </row>
    <row r="232" spans="1:23" ht="16.5" customHeight="1" thickBot="1">
      <c r="A232" s="826"/>
      <c r="B232" s="862"/>
      <c r="C232" s="834"/>
      <c r="D232" s="3566"/>
      <c r="E232" s="252"/>
      <c r="F232" s="252"/>
      <c r="G232" s="252"/>
      <c r="H232" s="252"/>
      <c r="I232" s="252"/>
      <c r="P232" s="34"/>
      <c r="Q232" s="34"/>
      <c r="S232" s="1564"/>
      <c r="W232" s="2387"/>
    </row>
    <row r="233" spans="1:23" ht="17.55" customHeight="1" thickBot="1">
      <c r="A233" s="1246" t="s">
        <v>613</v>
      </c>
      <c r="B233" s="1247"/>
      <c r="C233" s="846">
        <v>7250</v>
      </c>
      <c r="D233" s="2365">
        <f>C233</f>
        <v>7250</v>
      </c>
      <c r="E233" s="814">
        <f>IF(C16="","",D233/$C$16*12)</f>
        <v>8700</v>
      </c>
      <c r="F233" s="773">
        <v>7250</v>
      </c>
      <c r="G233" s="815">
        <f>IF(F233="",E233,F233)</f>
        <v>7250</v>
      </c>
      <c r="H233" s="252"/>
      <c r="I233" s="252"/>
      <c r="P233" s="1564"/>
      <c r="Q233" s="1564"/>
      <c r="R233" s="1564"/>
      <c r="S233" s="1564"/>
      <c r="W233" s="2387"/>
    </row>
    <row r="234" spans="1:23" ht="34.5" customHeight="1">
      <c r="A234" s="766" t="s">
        <v>614</v>
      </c>
      <c r="B234" s="2338" t="s">
        <v>702</v>
      </c>
      <c r="C234" s="2567"/>
      <c r="D234" s="2375"/>
      <c r="E234" s="3562" t="str">
        <f>IF(SUM(C235:C237)&gt;0,"in die weißen Zellen bitte nichts eintragen, nur in Graue","")</f>
        <v/>
      </c>
      <c r="F234" s="3562"/>
      <c r="G234" s="3562"/>
      <c r="H234" s="252"/>
      <c r="I234" s="252"/>
      <c r="M234" s="1564"/>
      <c r="N234" s="1564"/>
      <c r="O234" s="1564"/>
      <c r="P234" s="1564"/>
      <c r="Q234" s="1564"/>
      <c r="W234" s="2387"/>
    </row>
    <row r="235" spans="1:23" ht="17.55" customHeight="1">
      <c r="A235" s="3454" t="s">
        <v>1156</v>
      </c>
      <c r="B235" s="791"/>
      <c r="C235" s="2570"/>
      <c r="D235" s="2362"/>
      <c r="E235" s="252"/>
      <c r="F235" s="252"/>
      <c r="G235" s="252"/>
      <c r="H235" s="252"/>
      <c r="I235" s="252"/>
      <c r="W235" s="2387"/>
    </row>
    <row r="236" spans="1:23" ht="17.55" customHeight="1" thickBot="1">
      <c r="A236" s="3455"/>
      <c r="B236" s="792" t="s">
        <v>647</v>
      </c>
      <c r="C236" s="840"/>
      <c r="D236" s="2354">
        <f>D238</f>
        <v>11068.5</v>
      </c>
      <c r="E236" s="814"/>
      <c r="F236" s="814"/>
      <c r="G236" s="815">
        <f>IF(C16="","",SUM(G238:G245))</f>
        <v>13282.2</v>
      </c>
      <c r="H236" s="252"/>
      <c r="I236" s="252"/>
      <c r="W236" s="2387"/>
    </row>
    <row r="237" spans="1:23" ht="17.55" customHeight="1" thickBot="1">
      <c r="A237" s="3456"/>
      <c r="B237" s="793"/>
      <c r="C237" s="2569"/>
      <c r="D237" s="2362"/>
      <c r="E237" s="3560"/>
      <c r="F237" s="3561"/>
      <c r="G237" s="3561"/>
      <c r="H237" s="798"/>
      <c r="I237" s="1566"/>
      <c r="J237" s="3425" t="s">
        <v>1002</v>
      </c>
      <c r="K237" s="3426"/>
      <c r="L237" s="3427"/>
      <c r="W237" s="2387"/>
    </row>
    <row r="238" spans="1:23" ht="17.55" customHeight="1">
      <c r="A238" s="825" t="s">
        <v>1227</v>
      </c>
      <c r="B238" s="860"/>
      <c r="C238" s="832">
        <v>3750</v>
      </c>
      <c r="D238" s="3533">
        <f>SUM(C238:C245)</f>
        <v>11068.5</v>
      </c>
      <c r="E238" s="2341">
        <f>IF(C16="","",C238/$C$16*12)</f>
        <v>4500</v>
      </c>
      <c r="F238" s="2676"/>
      <c r="G238" s="797">
        <f t="shared" ref="G238:G243" si="30">IF(F238="",E238,F238)</f>
        <v>4500</v>
      </c>
      <c r="H238" s="252"/>
      <c r="I238" s="401"/>
      <c r="J238" s="3428"/>
      <c r="K238" s="3429"/>
      <c r="L238" s="3430"/>
      <c r="W238" s="2387"/>
    </row>
    <row r="239" spans="1:23" ht="17.55" customHeight="1">
      <c r="A239" s="825" t="s">
        <v>1228</v>
      </c>
      <c r="B239" s="861"/>
      <c r="C239" s="833">
        <v>7318.5</v>
      </c>
      <c r="D239" s="3534"/>
      <c r="E239" s="1235">
        <f>IF(C16="","",C239/$C$16*12)</f>
        <v>8782.2000000000007</v>
      </c>
      <c r="F239" s="2677"/>
      <c r="G239" s="795">
        <f t="shared" si="30"/>
        <v>8782.2000000000007</v>
      </c>
      <c r="H239" s="1128"/>
      <c r="I239" s="401"/>
      <c r="J239" s="3428"/>
      <c r="K239" s="3429"/>
      <c r="L239" s="3430"/>
      <c r="W239" s="2387"/>
    </row>
    <row r="240" spans="1:23" ht="17.55" customHeight="1">
      <c r="A240" s="825" t="s">
        <v>615</v>
      </c>
      <c r="B240" s="861"/>
      <c r="C240" s="833"/>
      <c r="D240" s="3534"/>
      <c r="E240" s="1235">
        <f>IF(C16="","",C240/$C$16*12)</f>
        <v>0</v>
      </c>
      <c r="F240" s="754"/>
      <c r="G240" s="795">
        <f t="shared" si="30"/>
        <v>0</v>
      </c>
      <c r="H240" s="252"/>
      <c r="I240" s="401"/>
      <c r="J240" s="3428"/>
      <c r="K240" s="3429"/>
      <c r="L240" s="3430"/>
      <c r="W240" s="2387"/>
    </row>
    <row r="241" spans="1:23" ht="21" customHeight="1">
      <c r="A241" s="825" t="s">
        <v>616</v>
      </c>
      <c r="B241" s="861"/>
      <c r="C241" s="833"/>
      <c r="D241" s="3534"/>
      <c r="E241" s="1235">
        <f>IF(C16="","",C241/$C$16*12)</f>
        <v>0</v>
      </c>
      <c r="F241" s="754"/>
      <c r="G241" s="795">
        <f t="shared" si="30"/>
        <v>0</v>
      </c>
      <c r="H241" s="252"/>
      <c r="I241" s="401"/>
      <c r="J241" s="3428"/>
      <c r="K241" s="3429"/>
      <c r="L241" s="3430"/>
      <c r="M241" s="34"/>
      <c r="P241" s="34"/>
      <c r="Q241" s="34"/>
      <c r="W241" s="2387"/>
    </row>
    <row r="242" spans="1:23" ht="16.5" customHeight="1">
      <c r="A242" s="825" t="s">
        <v>617</v>
      </c>
      <c r="B242" s="861"/>
      <c r="C242" s="833"/>
      <c r="D242" s="3534"/>
      <c r="E242" s="1235">
        <f>IF(C16="","",C242/$C$16*12)</f>
        <v>0</v>
      </c>
      <c r="F242" s="754"/>
      <c r="G242" s="795">
        <f t="shared" si="30"/>
        <v>0</v>
      </c>
      <c r="H242" s="252"/>
      <c r="I242" s="401"/>
      <c r="J242" s="3428"/>
      <c r="K242" s="3429"/>
      <c r="L242" s="3430"/>
      <c r="M242" s="34"/>
      <c r="P242" s="34"/>
      <c r="Q242" s="34"/>
      <c r="W242" s="2387"/>
    </row>
    <row r="243" spans="1:23" ht="19.05" customHeight="1">
      <c r="A243" s="825" t="s">
        <v>618</v>
      </c>
      <c r="B243" s="861"/>
      <c r="C243" s="833"/>
      <c r="D243" s="3534"/>
      <c r="E243" s="1235">
        <f>IF(C16="","",C243/$C$16*12)</f>
        <v>0</v>
      </c>
      <c r="F243" s="754"/>
      <c r="G243" s="795">
        <f t="shared" si="30"/>
        <v>0</v>
      </c>
      <c r="H243" s="252"/>
      <c r="I243" s="401"/>
      <c r="J243" s="3431"/>
      <c r="K243" s="3432"/>
      <c r="L243" s="3433"/>
      <c r="W243" s="2387"/>
    </row>
    <row r="244" spans="1:23" ht="19.05" customHeight="1">
      <c r="A244" s="904"/>
      <c r="B244" s="2673"/>
      <c r="C244" s="904"/>
      <c r="D244" s="3534"/>
      <c r="E244" s="1235"/>
      <c r="F244" s="904"/>
      <c r="G244" s="795"/>
      <c r="H244" s="252"/>
      <c r="I244" s="401"/>
      <c r="J244" s="252"/>
      <c r="K244" s="252"/>
      <c r="L244" s="34"/>
      <c r="M244" s="34"/>
      <c r="P244" s="34"/>
      <c r="Q244" s="34"/>
      <c r="W244" s="2387"/>
    </row>
    <row r="245" spans="1:23" ht="19.05" customHeight="1" thickBot="1">
      <c r="A245" s="1245"/>
      <c r="B245" s="2674"/>
      <c r="C245" s="2675"/>
      <c r="D245" s="3535"/>
      <c r="E245" s="1236"/>
      <c r="F245" s="1245"/>
      <c r="G245" s="815"/>
      <c r="H245" s="252"/>
      <c r="I245" s="401"/>
      <c r="J245" s="1129"/>
      <c r="K245" s="252"/>
      <c r="L245" s="34"/>
      <c r="M245" s="34"/>
      <c r="P245" s="34"/>
      <c r="Q245" s="34"/>
      <c r="W245" s="2387"/>
    </row>
    <row r="246" spans="1:23" ht="19.05" customHeight="1">
      <c r="C246" s="510"/>
      <c r="D246" s="2376"/>
      <c r="J246" s="816"/>
      <c r="K246" s="816"/>
      <c r="L246" s="79"/>
      <c r="M246" s="79"/>
      <c r="N246" s="79"/>
      <c r="O246" s="79"/>
      <c r="P246" s="79"/>
      <c r="Q246" s="79"/>
      <c r="R246" s="79"/>
      <c r="S246" s="79"/>
      <c r="T246" s="79"/>
      <c r="W246" s="2387"/>
    </row>
    <row r="247" spans="1:23" ht="19.05" customHeight="1">
      <c r="C247" s="510"/>
      <c r="D247" s="2376"/>
      <c r="I247" s="401"/>
      <c r="J247" s="252"/>
      <c r="K247" s="252"/>
      <c r="L247" s="34"/>
      <c r="M247" s="34"/>
      <c r="P247" s="34"/>
      <c r="Q247" s="34"/>
      <c r="W247" s="2387"/>
    </row>
    <row r="248" spans="1:23" ht="19.05" customHeight="1">
      <c r="A248" s="825" t="s">
        <v>786</v>
      </c>
      <c r="B248" s="861"/>
      <c r="C248" s="844"/>
      <c r="D248" s="2377">
        <f>C248</f>
        <v>0</v>
      </c>
      <c r="E248" s="3523" t="str">
        <f>IF(D248=0,"","Der Betrag läuft ohne Hochrechnung in der neutralen Aufwand")</f>
        <v/>
      </c>
      <c r="F248" s="3524"/>
      <c r="G248" s="3524"/>
      <c r="H248" s="252"/>
      <c r="J248" s="252"/>
      <c r="K248" s="252"/>
      <c r="L248" s="34"/>
      <c r="M248" s="34"/>
      <c r="P248" s="34"/>
      <c r="Q248" s="34"/>
      <c r="W248" s="2387"/>
    </row>
    <row r="249" spans="1:23" ht="16.5" customHeight="1">
      <c r="A249" s="825" t="s">
        <v>787</v>
      </c>
      <c r="B249" s="861"/>
      <c r="C249" s="833"/>
      <c r="D249" s="2377">
        <f>C249</f>
        <v>0</v>
      </c>
      <c r="E249" s="3523" t="str">
        <f>IF(D249=0,"","Der Betrag läuft ohne Hochrechnung in der neutralen Ertrag")</f>
        <v/>
      </c>
      <c r="F249" s="3524"/>
      <c r="G249" s="3524"/>
      <c r="H249" s="252"/>
      <c r="J249" s="252"/>
      <c r="K249" s="252"/>
      <c r="L249" s="34"/>
      <c r="M249" s="34"/>
      <c r="P249" s="34"/>
      <c r="Q249" s="34"/>
      <c r="W249" s="2387"/>
    </row>
    <row r="250" spans="1:23" ht="16.5" customHeight="1">
      <c r="A250" s="825" t="s">
        <v>804</v>
      </c>
      <c r="B250" s="861"/>
      <c r="C250" s="833"/>
      <c r="D250" s="2377">
        <f>C250</f>
        <v>0</v>
      </c>
      <c r="E250" s="3523" t="str">
        <f>IF(D250=0,"","Der Betrag läuft ohne Hochrechnung in der neutralen Ertrag")</f>
        <v/>
      </c>
      <c r="F250" s="3524"/>
      <c r="G250" s="3524"/>
      <c r="J250" s="252"/>
      <c r="K250" s="252"/>
      <c r="L250" s="34"/>
      <c r="M250" s="34"/>
      <c r="P250" s="34"/>
      <c r="Q250" s="34"/>
      <c r="W250" s="2387"/>
    </row>
    <row r="251" spans="1:23" ht="16.5" customHeight="1">
      <c r="A251" s="825" t="s">
        <v>798</v>
      </c>
      <c r="B251" s="861"/>
      <c r="C251" s="833"/>
      <c r="D251" s="2377">
        <f>C251</f>
        <v>0</v>
      </c>
      <c r="E251" s="3523" t="str">
        <f>IF(D251=0,"","Der Betrag läuft ohne Hochrechnung in der neutralen Aufwand")</f>
        <v/>
      </c>
      <c r="F251" s="3524"/>
      <c r="G251" s="3524"/>
      <c r="J251" s="252"/>
      <c r="K251" s="252"/>
      <c r="L251" s="34"/>
      <c r="M251" s="34"/>
      <c r="P251" s="34"/>
      <c r="Q251" s="34"/>
      <c r="W251" s="2387"/>
    </row>
    <row r="252" spans="1:23" ht="16.5" customHeight="1" thickBot="1">
      <c r="A252" s="827" t="s">
        <v>803</v>
      </c>
      <c r="B252" s="864"/>
      <c r="C252" s="1219"/>
      <c r="D252" s="2378">
        <f>C252</f>
        <v>0</v>
      </c>
      <c r="E252" s="3523" t="str">
        <f>IF(D252=0,"","Der Betrag läuft ohne Hochrechnung in der neutralen Aufwand")</f>
        <v/>
      </c>
      <c r="F252" s="3524"/>
      <c r="G252" s="3524"/>
      <c r="J252" s="252"/>
      <c r="K252" s="252"/>
      <c r="L252" s="34"/>
      <c r="M252" s="34"/>
      <c r="P252" s="34"/>
      <c r="Q252" s="34"/>
      <c r="W252" s="2387"/>
    </row>
    <row r="253" spans="1:23" ht="16.5" customHeight="1">
      <c r="C253" s="510"/>
      <c r="J253" s="252"/>
      <c r="K253" s="252"/>
      <c r="W253" s="2387"/>
    </row>
    <row r="254" spans="1:23" ht="16.5" customHeight="1">
      <c r="C254" s="510"/>
      <c r="J254" s="252"/>
      <c r="K254" s="252"/>
      <c r="W254" s="2387"/>
    </row>
    <row r="255" spans="1:23" ht="16.5" customHeight="1">
      <c r="C255" s="510"/>
      <c r="J255" s="252"/>
      <c r="K255" s="252"/>
      <c r="L255" s="34"/>
      <c r="M255" s="34"/>
      <c r="P255" s="34"/>
      <c r="Q255" s="34"/>
      <c r="W255" s="2387"/>
    </row>
    <row r="256" spans="1:23" ht="16.5" customHeight="1">
      <c r="C256" s="510"/>
      <c r="J256" s="252"/>
      <c r="K256" s="252"/>
      <c r="L256" s="34"/>
      <c r="M256" s="34"/>
      <c r="P256" s="34"/>
      <c r="Q256" s="34"/>
      <c r="W256" s="2387"/>
    </row>
    <row r="257" spans="3:23" ht="30" customHeight="1">
      <c r="C257" s="510"/>
      <c r="J257" s="252"/>
      <c r="K257" s="252"/>
      <c r="L257" s="34"/>
      <c r="M257" s="34"/>
      <c r="P257" s="34"/>
      <c r="Q257" s="34"/>
      <c r="W257" s="2387"/>
    </row>
    <row r="258" spans="3:23" ht="15" customHeight="1">
      <c r="C258" s="510"/>
      <c r="J258" s="252"/>
      <c r="K258" s="252"/>
      <c r="L258" s="34"/>
      <c r="M258" s="34"/>
      <c r="P258" s="34"/>
      <c r="Q258" s="34"/>
      <c r="T258" s="1563"/>
      <c r="W258" s="2387"/>
    </row>
    <row r="259" spans="3:23" ht="15" customHeight="1">
      <c r="C259" s="510"/>
      <c r="J259" s="252"/>
      <c r="K259" s="252"/>
      <c r="L259" s="34"/>
      <c r="M259" s="34"/>
      <c r="P259" s="34"/>
      <c r="Q259" s="34"/>
      <c r="W259" s="2387"/>
    </row>
    <row r="260" spans="3:23" ht="15" customHeight="1">
      <c r="C260" s="510"/>
      <c r="J260" s="1566"/>
      <c r="K260" s="1566"/>
      <c r="L260" s="1563"/>
      <c r="M260" s="1563"/>
      <c r="N260" s="1563"/>
      <c r="O260" s="1563"/>
      <c r="P260" s="1563"/>
      <c r="Q260" s="1563"/>
      <c r="R260" s="1563"/>
      <c r="S260" s="1563"/>
      <c r="T260" s="1563"/>
    </row>
    <row r="261" spans="3:23" ht="18" customHeight="1">
      <c r="C261" s="510"/>
      <c r="J261" s="252"/>
      <c r="K261" s="252"/>
      <c r="L261" s="34"/>
      <c r="M261" s="34"/>
      <c r="P261" s="34"/>
      <c r="Q261" s="34"/>
    </row>
    <row r="262" spans="3:23" ht="18" customHeight="1">
      <c r="C262" s="510"/>
      <c r="J262" s="252"/>
      <c r="K262" s="252"/>
      <c r="L262" s="34"/>
      <c r="M262" s="34"/>
      <c r="P262" s="34"/>
      <c r="Q262" s="34"/>
    </row>
    <row r="263" spans="3:23" ht="18" customHeight="1">
      <c r="C263" s="510"/>
      <c r="J263" s="252"/>
      <c r="K263" s="252"/>
    </row>
    <row r="264" spans="3:23" ht="18" customHeight="1">
      <c r="C264" s="510"/>
      <c r="J264" s="252"/>
      <c r="K264" s="252"/>
    </row>
    <row r="265" spans="3:23" ht="18" customHeight="1">
      <c r="C265" s="510"/>
      <c r="J265" s="252"/>
      <c r="K265" s="252"/>
    </row>
    <row r="266" spans="3:23" ht="18" customHeight="1">
      <c r="C266" s="510"/>
      <c r="J266" s="252"/>
      <c r="K266" s="252"/>
    </row>
    <row r="267" spans="3:23" ht="18" customHeight="1">
      <c r="J267" s="252"/>
      <c r="K267" s="252"/>
    </row>
    <row r="268" spans="3:23" ht="18" customHeight="1">
      <c r="J268" s="252"/>
      <c r="K268" s="252"/>
    </row>
    <row r="274" spans="3:3">
      <c r="C274" s="510"/>
    </row>
    <row r="275" spans="3:3">
      <c r="C275" s="510"/>
    </row>
    <row r="276" spans="3:3">
      <c r="C276" s="510"/>
    </row>
    <row r="277" spans="3:3">
      <c r="C277" s="510"/>
    </row>
    <row r="278" spans="3:3">
      <c r="C278" s="510"/>
    </row>
    <row r="279" spans="3:3">
      <c r="C279" s="510"/>
    </row>
    <row r="280" spans="3:3">
      <c r="C280" s="510"/>
    </row>
    <row r="281" spans="3:3">
      <c r="C281" s="510"/>
    </row>
    <row r="292" spans="4:4">
      <c r="D292" s="39"/>
    </row>
    <row r="522" spans="3:3">
      <c r="C522" s="510"/>
    </row>
  </sheetData>
  <sheetProtection algorithmName="SHA-512" hashValue="kcRgcTnPVeoSiPCPPjd3JzmHWxtaFswaI5Q0gmV7L4PFgpao4XoucYdwJCZO/lCQdkSelbDGCb5d2H5V2nHs8Q==" saltValue="gDMIP1iZCYfTfeJyivgQrw==" spinCount="100000" sheet="1" objects="1" scenarios="1"/>
  <customSheetViews>
    <customSheetView guid="{91EE9386-9500-473B-B86C-27DB8DF0BA46}" showPageBreaks="1" showGridLines="0" printArea="1" topLeftCell="A16">
      <selection activeCell="G7" sqref="G7"/>
      <pageMargins left="0.7" right="0.7" top="0.78740157499999996" bottom="0.78740157499999996" header="0.3" footer="0.3"/>
      <pageSetup paperSize="9" scale="60" orientation="landscape" horizontalDpi="4294967293" r:id="rId1"/>
    </customSheetView>
    <customSheetView guid="{B8019777-F14C-4393-8CE3-CE0081D0CD28}" showGridLines="0" topLeftCell="A16">
      <selection activeCell="G7" sqref="G7"/>
      <pageMargins left="0.7" right="0.7" top="0.78740157499999996" bottom="0.78740157499999996" header="0.3" footer="0.3"/>
      <pageSetup paperSize="9" scale="60" orientation="landscape" horizontalDpi="4294967293" r:id="rId2"/>
    </customSheetView>
  </customSheetViews>
  <mergeCells count="230">
    <mergeCell ref="A50:B50"/>
    <mergeCell ref="E252:G252"/>
    <mergeCell ref="E250:G250"/>
    <mergeCell ref="A18:A20"/>
    <mergeCell ref="D30:D31"/>
    <mergeCell ref="A152:A154"/>
    <mergeCell ref="A106:B108"/>
    <mergeCell ref="B152:B153"/>
    <mergeCell ref="A47:A49"/>
    <mergeCell ref="D139:D146"/>
    <mergeCell ref="D116:D124"/>
    <mergeCell ref="A126:A128"/>
    <mergeCell ref="A113:A115"/>
    <mergeCell ref="E42:G42"/>
    <mergeCell ref="E43:G43"/>
    <mergeCell ref="E46:G46"/>
    <mergeCell ref="E81:G81"/>
    <mergeCell ref="E107:G107"/>
    <mergeCell ref="E112:G112"/>
    <mergeCell ref="E125:G125"/>
    <mergeCell ref="A166:A168"/>
    <mergeCell ref="A235:A237"/>
    <mergeCell ref="D238:D245"/>
    <mergeCell ref="A190:A192"/>
    <mergeCell ref="A219:A221"/>
    <mergeCell ref="A206:A208"/>
    <mergeCell ref="D202:D203"/>
    <mergeCell ref="E217:G217"/>
    <mergeCell ref="E202:G203"/>
    <mergeCell ref="D193:D197"/>
    <mergeCell ref="E205:G206"/>
    <mergeCell ref="E219:G219"/>
    <mergeCell ref="B204:B205"/>
    <mergeCell ref="J62:L62"/>
    <mergeCell ref="J63:L68"/>
    <mergeCell ref="J84:L84"/>
    <mergeCell ref="J85:L90"/>
    <mergeCell ref="J99:L99"/>
    <mergeCell ref="J100:L105"/>
    <mergeCell ref="E189:G189"/>
    <mergeCell ref="E94:G96"/>
    <mergeCell ref="E165:G165"/>
    <mergeCell ref="E151:G151"/>
    <mergeCell ref="E131:G132"/>
    <mergeCell ref="E138:G138"/>
    <mergeCell ref="E147:G147"/>
    <mergeCell ref="E149:G150"/>
    <mergeCell ref="E142:G144"/>
    <mergeCell ref="D105:G106"/>
    <mergeCell ref="D108:G108"/>
    <mergeCell ref="D114:G114"/>
    <mergeCell ref="H110:I110"/>
    <mergeCell ref="H111:I111"/>
    <mergeCell ref="D17:G17"/>
    <mergeCell ref="E79:G79"/>
    <mergeCell ref="E78:G78"/>
    <mergeCell ref="E29:G29"/>
    <mergeCell ref="E24:G26"/>
    <mergeCell ref="E66:G66"/>
    <mergeCell ref="E45:G45"/>
    <mergeCell ref="E248:G248"/>
    <mergeCell ref="E237:G237"/>
    <mergeCell ref="E204:G204"/>
    <mergeCell ref="E234:G234"/>
    <mergeCell ref="D103:D104"/>
    <mergeCell ref="E192:G194"/>
    <mergeCell ref="D222:D232"/>
    <mergeCell ref="E222:G222"/>
    <mergeCell ref="D129:D137"/>
    <mergeCell ref="E207:G208"/>
    <mergeCell ref="E251:G251"/>
    <mergeCell ref="E32:G32"/>
    <mergeCell ref="U1:V1"/>
    <mergeCell ref="D127:G128"/>
    <mergeCell ref="D155:D159"/>
    <mergeCell ref="E171:G174"/>
    <mergeCell ref="E155:G156"/>
    <mergeCell ref="D170:D188"/>
    <mergeCell ref="E169:G170"/>
    <mergeCell ref="D160:D164"/>
    <mergeCell ref="E129:F130"/>
    <mergeCell ref="D148:D150"/>
    <mergeCell ref="E166:H166"/>
    <mergeCell ref="E160:G161"/>
    <mergeCell ref="E158:G158"/>
    <mergeCell ref="E249:G249"/>
    <mergeCell ref="D33:D37"/>
    <mergeCell ref="D24:D26"/>
    <mergeCell ref="D27:D29"/>
    <mergeCell ref="J109:L109"/>
    <mergeCell ref="J110:L115"/>
    <mergeCell ref="J125:L125"/>
    <mergeCell ref="D85:D92"/>
    <mergeCell ref="A2:E2"/>
    <mergeCell ref="A11:B12"/>
    <mergeCell ref="N10:P12"/>
    <mergeCell ref="E14:E16"/>
    <mergeCell ref="F2:I2"/>
    <mergeCell ref="A14:B16"/>
    <mergeCell ref="A9:B10"/>
    <mergeCell ref="A8:C8"/>
    <mergeCell ref="F4:G4"/>
    <mergeCell ref="C6:C7"/>
    <mergeCell ref="E9:G10"/>
    <mergeCell ref="E8:G8"/>
    <mergeCell ref="N13:O13"/>
    <mergeCell ref="G11:G16"/>
    <mergeCell ref="A4:B4"/>
    <mergeCell ref="C4:D5"/>
    <mergeCell ref="D6:D7"/>
    <mergeCell ref="C10:C12"/>
    <mergeCell ref="C13:C15"/>
    <mergeCell ref="F12:F16"/>
    <mergeCell ref="J1:K1"/>
    <mergeCell ref="J2:M2"/>
    <mergeCell ref="U34:W34"/>
    <mergeCell ref="U24:W24"/>
    <mergeCell ref="U26:W26"/>
    <mergeCell ref="U27:W27"/>
    <mergeCell ref="U30:W30"/>
    <mergeCell ref="U15:W15"/>
    <mergeCell ref="U16:W16"/>
    <mergeCell ref="U17:W17"/>
    <mergeCell ref="U19:W19"/>
    <mergeCell ref="U20:W20"/>
    <mergeCell ref="U21:W21"/>
    <mergeCell ref="U22:W22"/>
    <mergeCell ref="U23:W23"/>
    <mergeCell ref="J3:L3"/>
    <mergeCell ref="J5:J8"/>
    <mergeCell ref="L5:M8"/>
    <mergeCell ref="U14:W14"/>
    <mergeCell ref="P25:P26"/>
    <mergeCell ref="J222:L227"/>
    <mergeCell ref="J237:L237"/>
    <mergeCell ref="J238:L243"/>
    <mergeCell ref="J149:L154"/>
    <mergeCell ref="J158:L158"/>
    <mergeCell ref="J159:L164"/>
    <mergeCell ref="J168:L168"/>
    <mergeCell ref="J169:L174"/>
    <mergeCell ref="J189:L189"/>
    <mergeCell ref="J190:L195"/>
    <mergeCell ref="J205:L205"/>
    <mergeCell ref="J206:L211"/>
    <mergeCell ref="B24:B25"/>
    <mergeCell ref="AF20:AI20"/>
    <mergeCell ref="AF21:AI21"/>
    <mergeCell ref="J126:L131"/>
    <mergeCell ref="J138:L138"/>
    <mergeCell ref="J139:L144"/>
    <mergeCell ref="J148:L148"/>
    <mergeCell ref="J221:L221"/>
    <mergeCell ref="A43:B43"/>
    <mergeCell ref="E93:G93"/>
    <mergeCell ref="A63:A65"/>
    <mergeCell ref="D66:D79"/>
    <mergeCell ref="A94:A97"/>
    <mergeCell ref="A82:A84"/>
    <mergeCell ref="E30:G31"/>
    <mergeCell ref="E64:G64"/>
    <mergeCell ref="D38:D41"/>
    <mergeCell ref="E33:H36"/>
    <mergeCell ref="E38:G40"/>
    <mergeCell ref="E62:G62"/>
    <mergeCell ref="D83:G83"/>
    <mergeCell ref="E80:G80"/>
    <mergeCell ref="AI23:AL23"/>
    <mergeCell ref="E44:G44"/>
    <mergeCell ref="AI55:AL55"/>
    <mergeCell ref="AI56:AL56"/>
    <mergeCell ref="AF49:AI49"/>
    <mergeCell ref="AF50:AI50"/>
    <mergeCell ref="AI24:AL24"/>
    <mergeCell ref="AI25:AL25"/>
    <mergeCell ref="AI26:AL26"/>
    <mergeCell ref="AI27:AL27"/>
    <mergeCell ref="AI28:AL28"/>
    <mergeCell ref="AI29:AL29"/>
    <mergeCell ref="AI30:AL30"/>
    <mergeCell ref="AI31:AL31"/>
    <mergeCell ref="AI32:AL32"/>
    <mergeCell ref="AI66:AL66"/>
    <mergeCell ref="AI67:AL67"/>
    <mergeCell ref="Z54:Z55"/>
    <mergeCell ref="D53:D61"/>
    <mergeCell ref="D50:D52"/>
    <mergeCell ref="E53:F56"/>
    <mergeCell ref="E50:G52"/>
    <mergeCell ref="Y50:Y51"/>
    <mergeCell ref="Z56:Z57"/>
    <mergeCell ref="Z58:Z59"/>
    <mergeCell ref="Z60:Z61"/>
    <mergeCell ref="Z62:Z63"/>
    <mergeCell ref="Z64:Z65"/>
    <mergeCell ref="Z66:Z67"/>
    <mergeCell ref="AI57:AL57"/>
    <mergeCell ref="AI58:AL58"/>
    <mergeCell ref="AI59:AL59"/>
    <mergeCell ref="AI60:AL60"/>
    <mergeCell ref="AI61:AL61"/>
    <mergeCell ref="AI62:AL62"/>
    <mergeCell ref="AI63:AL63"/>
    <mergeCell ref="AI64:AL64"/>
    <mergeCell ref="AI65:AL65"/>
    <mergeCell ref="AI54:AL54"/>
    <mergeCell ref="C64:C65"/>
    <mergeCell ref="C47:C48"/>
    <mergeCell ref="Z52:Z53"/>
    <mergeCell ref="AI52:AL52"/>
    <mergeCell ref="AI53:AL53"/>
    <mergeCell ref="AA18:AK19"/>
    <mergeCell ref="Z37:Z38"/>
    <mergeCell ref="Y21:Y22"/>
    <mergeCell ref="Z23:Z24"/>
    <mergeCell ref="Z25:Z26"/>
    <mergeCell ref="Z27:Z28"/>
    <mergeCell ref="Z29:Z30"/>
    <mergeCell ref="Z31:Z32"/>
    <mergeCell ref="Z33:Z34"/>
    <mergeCell ref="Z35:Z36"/>
    <mergeCell ref="AI33:AL33"/>
    <mergeCell ref="AI34:AL34"/>
    <mergeCell ref="AI35:AL35"/>
    <mergeCell ref="AI36:AL36"/>
    <mergeCell ref="AI37:AL37"/>
    <mergeCell ref="AI38:AL38"/>
    <mergeCell ref="E27:G28"/>
    <mergeCell ref="J43:L43"/>
    <mergeCell ref="J44:L49"/>
  </mergeCells>
  <hyperlinks>
    <hyperlink ref="J3" r:id="rId3" xr:uid="{00000000-0004-0000-0300-000000000000}"/>
  </hyperlinks>
  <pageMargins left="0.25" right="0.25" top="0.75" bottom="0.75" header="0.3" footer="0.3"/>
  <pageSetup paperSize="9" scale="60" orientation="portrait" horizontalDpi="4294967293" r:id="rId4"/>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R85"/>
  <sheetViews>
    <sheetView showGridLines="0" zoomScale="90" zoomScaleNormal="90" workbookViewId="0">
      <selection activeCell="E11" sqref="E11"/>
    </sheetView>
  </sheetViews>
  <sheetFormatPr baseColWidth="10" defaultColWidth="11" defaultRowHeight="15"/>
  <cols>
    <col min="1" max="1" width="21" style="3" customWidth="1"/>
    <col min="2" max="3" width="11" style="3"/>
    <col min="4" max="4" width="12.77734375" style="3" customWidth="1"/>
    <col min="5" max="9" width="9.44140625" style="3" customWidth="1"/>
    <col min="10" max="10" width="10.77734375" style="3" customWidth="1"/>
    <col min="11" max="11" width="2.21875" style="34" customWidth="1"/>
    <col min="12" max="12" width="11" style="34" customWidth="1"/>
    <col min="13" max="13" width="2.44140625" style="34" customWidth="1"/>
    <col min="14" max="18" width="7.44140625" style="190" customWidth="1"/>
    <col min="19" max="25" width="7.44140625" style="3" customWidth="1"/>
    <col min="26" max="26" width="6" style="3" customWidth="1"/>
    <col min="27" max="27" width="11.88671875" style="3" customWidth="1"/>
    <col min="28" max="51" width="6" style="3" customWidth="1"/>
    <col min="52" max="52" width="4.77734375" style="3" customWidth="1"/>
    <col min="53" max="53" width="6.33203125" style="3" customWidth="1"/>
    <col min="54" max="55" width="7.21875" style="3" customWidth="1"/>
    <col min="56" max="56" width="9.77734375" style="3" customWidth="1"/>
    <col min="57" max="57" width="8.44140625" style="3" customWidth="1"/>
    <col min="58" max="58" width="9.77734375" style="3" customWidth="1"/>
    <col min="59" max="59" width="8.88671875" style="3" customWidth="1"/>
    <col min="60" max="60" width="7.6640625" style="3" customWidth="1"/>
    <col min="61" max="61" width="6.44140625" style="3" customWidth="1"/>
    <col min="62" max="64" width="11" style="3"/>
    <col min="65" max="80" width="6" style="3" customWidth="1"/>
    <col min="81" max="81" width="11.109375" style="3" customWidth="1"/>
    <col min="82" max="82" width="4.33203125" style="3" bestFit="1" customWidth="1"/>
    <col min="83" max="94" width="1.77734375" style="3" bestFit="1" customWidth="1"/>
    <col min="95" max="95" width="11" style="3"/>
    <col min="96" max="96" width="5.109375" style="3" customWidth="1"/>
    <col min="97" max="108" width="11" style="3"/>
    <col min="109" max="109" width="11" style="267"/>
    <col min="110" max="16384" width="11" style="3"/>
  </cols>
  <sheetData>
    <row r="1" spans="1:122" s="1280" customFormat="1" ht="35.25" customHeight="1">
      <c r="A1" s="3607" t="s">
        <v>1299</v>
      </c>
      <c r="B1" s="3607"/>
      <c r="C1" s="2667"/>
      <c r="E1" s="1280" t="s">
        <v>829</v>
      </c>
      <c r="H1" s="1281"/>
      <c r="J1" s="764"/>
      <c r="K1" s="764"/>
      <c r="L1" s="764"/>
      <c r="M1" s="764"/>
      <c r="N1" s="764"/>
      <c r="O1" s="2495"/>
      <c r="P1" s="3344" t="s">
        <v>943</v>
      </c>
      <c r="Q1" s="3344"/>
      <c r="R1" s="3344"/>
      <c r="S1" s="3344"/>
      <c r="T1" s="3344"/>
      <c r="U1" s="3344"/>
      <c r="V1" s="3344"/>
      <c r="W1" s="3344"/>
      <c r="X1" s="3344"/>
      <c r="Y1" s="3344"/>
      <c r="AA1" s="2662"/>
      <c r="AE1" s="1871"/>
      <c r="AF1" s="1871"/>
      <c r="AG1" s="1871"/>
      <c r="AH1" s="1871"/>
      <c r="AS1" s="1871"/>
      <c r="AT1" s="1871"/>
      <c r="AU1" s="1871"/>
      <c r="AV1" s="1871"/>
      <c r="AW1" s="1871"/>
      <c r="AX1" s="1871"/>
      <c r="AY1" s="1871"/>
      <c r="BC1" s="1876">
        <v>45279</v>
      </c>
      <c r="BD1" s="1876">
        <v>45231</v>
      </c>
      <c r="BE1" s="1876">
        <v>46327</v>
      </c>
      <c r="BF1" s="1876">
        <v>45962</v>
      </c>
      <c r="BG1" s="1876">
        <v>45597</v>
      </c>
      <c r="BH1" s="1876">
        <v>45231</v>
      </c>
      <c r="BI1" s="1876">
        <v>44866</v>
      </c>
      <c r="BJ1" s="2541"/>
      <c r="BM1" s="1871"/>
      <c r="BN1" s="1871"/>
      <c r="BO1" s="1871"/>
      <c r="BP1" s="1871"/>
      <c r="BQ1" s="1871"/>
      <c r="BR1" s="1871"/>
      <c r="BS1" s="1871"/>
      <c r="BT1" s="1871"/>
      <c r="BU1" s="1871"/>
      <c r="BV1" s="1871"/>
      <c r="BW1" s="1871"/>
      <c r="BX1" s="1871"/>
      <c r="BY1" s="1871"/>
      <c r="BZ1" s="1871"/>
      <c r="CA1" s="1871"/>
      <c r="CB1" s="1871"/>
      <c r="CD1" s="1881"/>
      <c r="CE1" s="1881"/>
      <c r="CF1" s="1881"/>
      <c r="CG1" s="1881"/>
      <c r="CH1" s="1881"/>
      <c r="CI1" s="1881"/>
      <c r="CJ1" s="1881"/>
      <c r="CK1" s="1881"/>
      <c r="CL1" s="1881"/>
      <c r="CM1" s="1881"/>
      <c r="CN1" s="1881"/>
      <c r="CO1" s="1881"/>
      <c r="CP1" s="1881"/>
      <c r="CQ1" s="1881"/>
      <c r="CR1" s="1881"/>
      <c r="CS1" s="1881"/>
      <c r="DE1" s="1881"/>
    </row>
    <row r="2" spans="1:122" ht="129.6" customHeight="1">
      <c r="A2" s="3607"/>
      <c r="B2" s="3607"/>
      <c r="C2" s="3610" t="s">
        <v>1302</v>
      </c>
      <c r="D2" s="3611"/>
      <c r="E2" s="3611"/>
      <c r="F2" s="3611"/>
      <c r="G2" s="3611"/>
      <c r="H2" s="3611"/>
      <c r="I2" s="3611"/>
      <c r="J2" s="3611"/>
      <c r="K2" s="3611"/>
      <c r="L2" s="3612"/>
      <c r="M2" s="627"/>
      <c r="P2" s="3344"/>
      <c r="Q2" s="3344"/>
      <c r="R2" s="3344"/>
      <c r="S2" s="3344"/>
      <c r="T2" s="3344"/>
      <c r="U2" s="3344"/>
      <c r="V2" s="3344"/>
      <c r="W2" s="3344"/>
      <c r="X2" s="3344"/>
      <c r="Y2" s="3344"/>
      <c r="Z2" s="1280"/>
      <c r="AA2" s="3640" t="s">
        <v>1294</v>
      </c>
      <c r="AB2" s="3641"/>
      <c r="AC2" s="2506"/>
      <c r="AD2" s="2506"/>
      <c r="AE2" s="2506"/>
      <c r="AF2" s="2506"/>
      <c r="AG2" s="2506"/>
      <c r="AH2" s="2506"/>
      <c r="AI2" s="3632" t="s">
        <v>1315</v>
      </c>
      <c r="AJ2" s="3632"/>
      <c r="AK2" s="3632"/>
      <c r="AL2" s="3632"/>
      <c r="AM2" s="3632"/>
      <c r="AN2" s="3632"/>
      <c r="AO2" s="3632"/>
      <c r="AP2" s="3632"/>
      <c r="AQ2" s="3632"/>
      <c r="AR2" s="3632"/>
      <c r="AS2" s="2506"/>
      <c r="AT2" s="2506"/>
      <c r="AU2" s="2506"/>
      <c r="AV2" s="2506"/>
      <c r="AW2" s="2506"/>
      <c r="AX2" s="2506"/>
      <c r="AY2" s="1871"/>
      <c r="BC2" s="1876">
        <v>45279</v>
      </c>
      <c r="BD2" s="1876">
        <v>45078</v>
      </c>
      <c r="BE2" s="1876">
        <v>46174</v>
      </c>
      <c r="BF2" s="1876">
        <v>45809</v>
      </c>
      <c r="BG2" s="1876">
        <v>45444</v>
      </c>
      <c r="BH2" s="1876">
        <v>45078</v>
      </c>
      <c r="BI2" s="1876">
        <v>44713</v>
      </c>
      <c r="BJ2" s="927"/>
      <c r="BM2" s="1871"/>
      <c r="BN2" s="1871"/>
      <c r="BO2" s="1871"/>
      <c r="BP2" s="1871"/>
      <c r="BQ2" s="1871"/>
      <c r="BR2" s="1871"/>
      <c r="BS2" s="1871"/>
      <c r="BT2" s="1871"/>
      <c r="BU2" s="1871"/>
      <c r="BV2" s="1871"/>
      <c r="BW2" s="1871"/>
      <c r="BX2" s="1871"/>
      <c r="BY2" s="1871"/>
      <c r="BZ2" s="1871"/>
      <c r="CA2" s="1871"/>
      <c r="CB2" s="1871"/>
      <c r="CD2" s="267"/>
      <c r="CE2" s="267"/>
      <c r="CF2" s="267"/>
      <c r="CG2" s="267"/>
      <c r="CH2" s="267"/>
      <c r="CI2" s="267"/>
      <c r="CJ2" s="267"/>
      <c r="CK2" s="267"/>
      <c r="CL2" s="267"/>
      <c r="CM2" s="267"/>
      <c r="CN2" s="267"/>
      <c r="CO2" s="267"/>
      <c r="CP2" s="267"/>
      <c r="CQ2" s="267"/>
      <c r="CR2" s="267"/>
      <c r="CS2" s="267"/>
    </row>
    <row r="3" spans="1:122" s="78" customFormat="1" ht="75" customHeight="1" thickBot="1">
      <c r="A3" s="3626" t="s">
        <v>1300</v>
      </c>
      <c r="B3" s="3605" t="s">
        <v>1314</v>
      </c>
      <c r="C3" s="3605"/>
      <c r="D3" s="3605"/>
      <c r="E3" s="2672"/>
      <c r="F3" s="3613" t="s">
        <v>525</v>
      </c>
      <c r="G3" s="3613"/>
      <c r="H3" s="3613"/>
      <c r="I3" s="3617" t="s">
        <v>1292</v>
      </c>
      <c r="J3" s="3618"/>
      <c r="K3" s="2664"/>
      <c r="L3" s="3652" t="s">
        <v>1295</v>
      </c>
      <c r="M3" s="3653"/>
      <c r="N3" s="3653"/>
      <c r="O3" s="3650"/>
      <c r="P3" s="3650"/>
      <c r="Q3" s="3650"/>
      <c r="R3" s="3650"/>
      <c r="S3" s="3650"/>
      <c r="T3" s="3650"/>
      <c r="U3" s="3650"/>
      <c r="V3" s="3650"/>
      <c r="W3" s="3650"/>
      <c r="X3" s="3650"/>
      <c r="Y3" s="3651"/>
      <c r="AA3" s="2777" t="s">
        <v>1166</v>
      </c>
      <c r="AB3" s="3633" t="s">
        <v>1242</v>
      </c>
      <c r="AC3" s="3633"/>
      <c r="AD3" s="3633"/>
      <c r="AE3" s="3633"/>
      <c r="AF3" s="3633"/>
      <c r="AG3" s="3633"/>
      <c r="AH3" s="3633"/>
      <c r="AI3" s="3633"/>
      <c r="AJ3" s="3633"/>
      <c r="AK3" s="3633"/>
      <c r="AL3" s="3633"/>
      <c r="AM3" s="3633"/>
      <c r="AN3" s="3633" t="s">
        <v>1243</v>
      </c>
      <c r="AO3" s="3633"/>
      <c r="AP3" s="3633"/>
      <c r="AQ3" s="3633"/>
      <c r="AR3" s="3633"/>
      <c r="AS3" s="3633"/>
      <c r="AT3" s="3633"/>
      <c r="AU3" s="3633"/>
      <c r="AV3" s="3633"/>
      <c r="AW3" s="3633"/>
      <c r="AX3" s="3633"/>
      <c r="AY3" s="3634"/>
      <c r="AZ3" s="2505"/>
      <c r="BA3" s="191"/>
      <c r="BC3" s="1876">
        <v>45279</v>
      </c>
      <c r="BD3" s="1876">
        <v>45047</v>
      </c>
      <c r="BE3" s="1876">
        <v>46143</v>
      </c>
      <c r="BF3" s="1876">
        <v>45778</v>
      </c>
      <c r="BG3" s="1876">
        <v>45413</v>
      </c>
      <c r="BH3" s="1876">
        <v>45047</v>
      </c>
      <c r="BI3" s="1876">
        <v>44682</v>
      </c>
      <c r="BJ3" s="927"/>
      <c r="BM3" s="1871"/>
      <c r="CD3" s="933"/>
      <c r="CE3" s="933"/>
      <c r="CF3" s="933"/>
      <c r="CG3" s="933"/>
      <c r="CH3" s="933"/>
      <c r="CI3" s="933"/>
      <c r="CJ3" s="933"/>
      <c r="CK3" s="933"/>
      <c r="CL3" s="933"/>
      <c r="CM3" s="933"/>
      <c r="CN3" s="933"/>
      <c r="CO3" s="933"/>
      <c r="CP3" s="933"/>
      <c r="CQ3" s="933"/>
      <c r="CR3" s="1447" t="s">
        <v>1454</v>
      </c>
      <c r="CS3" s="1163">
        <v>7916.666666666667</v>
      </c>
      <c r="CT3" s="267">
        <v>7916.666666666667</v>
      </c>
      <c r="CU3" s="267">
        <v>7916.666666666667</v>
      </c>
      <c r="CV3" s="267">
        <v>7916.666666666667</v>
      </c>
      <c r="CW3" s="267">
        <v>7916.666666666667</v>
      </c>
      <c r="CX3" s="267">
        <v>7916.666666666667</v>
      </c>
      <c r="CY3" s="267">
        <v>7916.666666666667</v>
      </c>
      <c r="CZ3" s="267">
        <v>7916.666666666667</v>
      </c>
      <c r="DA3" s="267">
        <v>7916.666666666667</v>
      </c>
      <c r="DB3" s="267">
        <v>7916.666666666667</v>
      </c>
      <c r="DC3" s="267">
        <v>7916.666666666667</v>
      </c>
      <c r="DD3" s="267">
        <v>7916.666666666667</v>
      </c>
      <c r="DE3" s="267">
        <v>7916.666666666667</v>
      </c>
      <c r="DF3" s="933"/>
      <c r="DG3" s="933"/>
      <c r="DH3" s="933"/>
    </row>
    <row r="4" spans="1:122" ht="31.5" customHeight="1" thickBot="1">
      <c r="A4" s="3627"/>
      <c r="B4" s="3606"/>
      <c r="C4" s="3606"/>
      <c r="D4" s="3606"/>
      <c r="E4" s="3622" t="s">
        <v>301</v>
      </c>
      <c r="F4" s="3623"/>
      <c r="G4" s="2671">
        <v>6</v>
      </c>
      <c r="H4" s="3608" t="s">
        <v>1233</v>
      </c>
      <c r="I4" s="3609"/>
      <c r="J4" s="2670">
        <v>40</v>
      </c>
      <c r="K4" s="3614"/>
      <c r="L4" s="3648" t="s">
        <v>1293</v>
      </c>
      <c r="M4" s="3649"/>
      <c r="N4" s="3649"/>
      <c r="O4" s="3649"/>
      <c r="P4" s="3649"/>
      <c r="Q4" s="3649"/>
      <c r="R4" s="3649"/>
      <c r="S4" s="3649"/>
      <c r="T4" s="3649"/>
      <c r="U4" s="3649"/>
      <c r="V4" s="3649"/>
      <c r="W4" s="3649"/>
      <c r="X4" s="3646" t="s">
        <v>177</v>
      </c>
      <c r="Y4" s="3647"/>
      <c r="Z4" s="2658"/>
      <c r="AA4" s="2778"/>
      <c r="AB4" s="2774"/>
      <c r="AC4" s="2774">
        <v>7</v>
      </c>
      <c r="AD4" s="2774">
        <v>7.5</v>
      </c>
      <c r="AE4" s="2774">
        <v>7</v>
      </c>
      <c r="AF4" s="2774">
        <v>7</v>
      </c>
      <c r="AG4" s="2775">
        <v>4</v>
      </c>
      <c r="AH4" s="2774"/>
      <c r="AI4" s="2774">
        <v>8</v>
      </c>
      <c r="AJ4" s="2774">
        <v>8</v>
      </c>
      <c r="AK4" s="2774">
        <v>7</v>
      </c>
      <c r="AL4" s="2774">
        <v>7</v>
      </c>
      <c r="AM4" s="2775"/>
      <c r="AN4" s="2774"/>
      <c r="AO4" s="2774"/>
      <c r="AP4" s="2774"/>
      <c r="AQ4" s="2774"/>
      <c r="AR4" s="2774"/>
      <c r="AS4" s="2775"/>
      <c r="AT4" s="2774"/>
      <c r="AU4" s="2774"/>
      <c r="AV4" s="2774"/>
      <c r="AW4" s="2774"/>
      <c r="AX4" s="2774"/>
      <c r="AY4" s="2776"/>
      <c r="AZ4" s="2505"/>
      <c r="BA4" s="1877">
        <v>6</v>
      </c>
      <c r="BB4" s="534">
        <v>173.2</v>
      </c>
      <c r="BC4" s="534" t="s">
        <v>141</v>
      </c>
      <c r="BD4" s="535"/>
      <c r="BE4" s="3255">
        <v>16.230903713664844</v>
      </c>
      <c r="BF4" s="1828" t="s">
        <v>972</v>
      </c>
      <c r="BG4" s="1829">
        <v>12</v>
      </c>
      <c r="BH4" s="1831" t="s">
        <v>54</v>
      </c>
      <c r="BI4" s="1830">
        <v>5.4708333333333341</v>
      </c>
      <c r="BJ4" s="78"/>
      <c r="BK4" s="78"/>
      <c r="BM4" s="1871"/>
      <c r="BN4" s="2520"/>
      <c r="BO4" s="2520"/>
      <c r="BP4" s="2520"/>
      <c r="BQ4" s="2520"/>
      <c r="BR4" s="2520"/>
      <c r="BS4" s="2520"/>
      <c r="BT4" s="2520"/>
      <c r="BU4" s="2520"/>
      <c r="BV4" s="2520"/>
      <c r="BW4" s="2520"/>
      <c r="BX4" s="2520"/>
      <c r="BY4" s="2520"/>
      <c r="BZ4" s="2520"/>
      <c r="CA4" s="2520"/>
      <c r="CB4" s="2520"/>
      <c r="CC4" s="267"/>
      <c r="CD4" s="267"/>
      <c r="CE4" s="267"/>
      <c r="CF4" s="267"/>
      <c r="CG4" s="267"/>
      <c r="CH4" s="267"/>
      <c r="CI4" s="267"/>
      <c r="CJ4" s="267"/>
      <c r="CK4" s="267"/>
      <c r="CL4" s="267"/>
      <c r="CM4" s="267"/>
      <c r="CN4" s="267"/>
      <c r="CO4" s="267"/>
      <c r="CP4" s="267"/>
      <c r="CQ4" s="267"/>
      <c r="CR4" s="1447" t="s">
        <v>525</v>
      </c>
      <c r="CS4" s="1163">
        <v>0</v>
      </c>
      <c r="CT4" s="267">
        <v>0</v>
      </c>
      <c r="CU4" s="267">
        <v>0</v>
      </c>
      <c r="CV4" s="267">
        <v>0</v>
      </c>
      <c r="CW4" s="267">
        <v>0</v>
      </c>
      <c r="CX4" s="267">
        <v>0</v>
      </c>
      <c r="CY4" s="267">
        <v>0</v>
      </c>
      <c r="CZ4" s="267">
        <v>0</v>
      </c>
      <c r="DA4" s="267">
        <v>0</v>
      </c>
      <c r="DB4" s="267">
        <v>0</v>
      </c>
      <c r="DC4" s="267">
        <v>0</v>
      </c>
      <c r="DD4" s="267">
        <v>0</v>
      </c>
      <c r="DE4" s="267">
        <v>0</v>
      </c>
      <c r="DF4" s="267"/>
      <c r="DG4" s="267"/>
      <c r="DH4" s="267"/>
      <c r="DI4" s="267"/>
      <c r="DJ4" s="267"/>
      <c r="DK4" s="267"/>
      <c r="DL4" s="267"/>
      <c r="DM4" s="267"/>
      <c r="DN4" s="267"/>
      <c r="DO4" s="267"/>
      <c r="DP4" s="267"/>
      <c r="DQ4" s="267"/>
      <c r="DR4" s="267"/>
    </row>
    <row r="5" spans="1:122" s="79" customFormat="1" ht="53.4" customHeight="1">
      <c r="A5" s="507" t="s">
        <v>1312</v>
      </c>
      <c r="B5" s="2906" t="s">
        <v>1297</v>
      </c>
      <c r="C5" s="2906" t="s">
        <v>1296</v>
      </c>
      <c r="D5" s="2906" t="s">
        <v>1298</v>
      </c>
      <c r="E5" s="2668" t="s">
        <v>1303</v>
      </c>
      <c r="F5" s="2504" t="s">
        <v>662</v>
      </c>
      <c r="G5" s="667" t="s">
        <v>670</v>
      </c>
      <c r="H5" s="3624" t="s">
        <v>491</v>
      </c>
      <c r="I5" s="3619" t="s">
        <v>663</v>
      </c>
      <c r="J5" s="3621" t="s">
        <v>490</v>
      </c>
      <c r="K5" s="3615"/>
      <c r="L5" s="3644" t="s">
        <v>1455</v>
      </c>
      <c r="M5" s="3656" t="s">
        <v>1456</v>
      </c>
      <c r="O5" s="1205" t="s">
        <v>175</v>
      </c>
      <c r="P5" s="191"/>
      <c r="Q5" s="3444" t="s">
        <v>652</v>
      </c>
      <c r="R5" s="3444"/>
      <c r="S5" s="3444"/>
      <c r="T5" s="3444"/>
      <c r="U5" s="3444"/>
      <c r="V5" s="3444"/>
      <c r="W5" s="3444"/>
      <c r="X5" s="213"/>
      <c r="Y5" s="1201">
        <v>0.5</v>
      </c>
      <c r="Z5" s="2658"/>
      <c r="AA5" s="2659"/>
      <c r="AB5" s="3637" t="s">
        <v>1398</v>
      </c>
      <c r="AC5" s="3637"/>
      <c r="AD5" s="3637"/>
      <c r="AE5" s="3637"/>
      <c r="AF5" s="3637"/>
      <c r="AG5" s="3638"/>
      <c r="AH5" s="3637" t="s">
        <v>1072</v>
      </c>
      <c r="AI5" s="3637"/>
      <c r="AJ5" s="3637"/>
      <c r="AK5" s="3637"/>
      <c r="AL5" s="3637"/>
      <c r="AM5" s="3638"/>
      <c r="AN5" s="3637" t="s">
        <v>1073</v>
      </c>
      <c r="AO5" s="3637"/>
      <c r="AP5" s="3637"/>
      <c r="AQ5" s="3637"/>
      <c r="AR5" s="3637"/>
      <c r="AS5" s="3638"/>
      <c r="AT5" s="3639" t="s">
        <v>1074</v>
      </c>
      <c r="AU5" s="3637"/>
      <c r="AV5" s="3637"/>
      <c r="AW5" s="3637"/>
      <c r="AX5" s="3637"/>
      <c r="AY5" s="3638"/>
      <c r="AZ5" s="3661" t="s">
        <v>1457</v>
      </c>
      <c r="BA5" s="3662"/>
      <c r="BB5" s="3659" t="s">
        <v>139</v>
      </c>
      <c r="BC5" s="239" t="s">
        <v>138</v>
      </c>
      <c r="BD5" s="3663" t="s">
        <v>1346</v>
      </c>
      <c r="BE5" s="3657" t="s">
        <v>201</v>
      </c>
      <c r="BF5" s="3654" t="s">
        <v>653</v>
      </c>
      <c r="BG5" s="3642" t="s">
        <v>489</v>
      </c>
      <c r="BH5" s="3628" t="s">
        <v>978</v>
      </c>
      <c r="BI5" s="3635" t="s">
        <v>300</v>
      </c>
      <c r="BJ5" s="3630" t="s">
        <v>493</v>
      </c>
      <c r="BK5" s="3630" t="s">
        <v>664</v>
      </c>
      <c r="BM5" s="1871"/>
      <c r="BN5" s="2558"/>
      <c r="BO5" s="2558" t="s">
        <v>1238</v>
      </c>
      <c r="BP5" s="2558"/>
      <c r="BQ5" s="2558"/>
      <c r="BR5" s="2558"/>
      <c r="BS5" s="2558" t="s">
        <v>1239</v>
      </c>
      <c r="BT5" s="2558"/>
      <c r="BU5" s="2558"/>
      <c r="BV5" s="2558"/>
      <c r="BW5" s="2558"/>
      <c r="BX5" s="2558"/>
      <c r="BY5" s="2558"/>
      <c r="BZ5" s="2558"/>
      <c r="CA5" s="2558"/>
      <c r="CB5" s="2558"/>
      <c r="CC5" s="2523"/>
      <c r="CD5" s="2523"/>
      <c r="CE5" s="2523"/>
      <c r="CF5" s="2523"/>
      <c r="CG5" s="2523"/>
      <c r="CH5" s="2523"/>
      <c r="CI5" s="2523"/>
      <c r="CJ5" s="2523"/>
      <c r="CK5" s="2523"/>
      <c r="CL5" s="2523"/>
      <c r="CM5" s="2523"/>
      <c r="CN5" s="2523"/>
      <c r="CO5" s="2523"/>
      <c r="CP5" s="2523"/>
      <c r="CQ5" s="2523"/>
      <c r="CR5" s="2523"/>
      <c r="CS5" s="2528" t="s">
        <v>1097</v>
      </c>
      <c r="CT5" s="267">
        <v>11065.610350000001</v>
      </c>
      <c r="CU5" s="267">
        <v>11065.610350000001</v>
      </c>
      <c r="CV5" s="267">
        <v>11065.610350000001</v>
      </c>
      <c r="CW5" s="267">
        <v>11065.610350000001</v>
      </c>
      <c r="CX5" s="267">
        <v>11065.610350000001</v>
      </c>
      <c r="CY5" s="267">
        <v>11065.610350000001</v>
      </c>
      <c r="CZ5" s="267">
        <v>11065.610350000001</v>
      </c>
      <c r="DA5" s="267">
        <v>11338.72515</v>
      </c>
      <c r="DB5" s="267">
        <v>11338.72515</v>
      </c>
      <c r="DC5" s="267">
        <v>11338.72515</v>
      </c>
      <c r="DD5" s="267">
        <v>11338.72515</v>
      </c>
      <c r="DE5" s="267">
        <v>11338.72515</v>
      </c>
      <c r="DF5" s="2523"/>
      <c r="DG5" s="2523"/>
      <c r="DH5" s="2523"/>
      <c r="DI5" s="2523"/>
      <c r="DJ5" s="2523"/>
      <c r="DK5" s="2523"/>
      <c r="DL5" s="2523"/>
      <c r="DM5" s="2523"/>
      <c r="DN5" s="2523"/>
      <c r="DO5" s="2523"/>
      <c r="DP5" s="2523"/>
      <c r="DQ5" s="2523"/>
      <c r="DR5" s="2523"/>
    </row>
    <row r="6" spans="1:122" ht="13.5" customHeight="1">
      <c r="A6" s="2733"/>
      <c r="B6" s="2907">
        <v>1</v>
      </c>
      <c r="C6" s="2907">
        <v>2</v>
      </c>
      <c r="D6" s="2907">
        <v>3</v>
      </c>
      <c r="E6" s="668" t="s">
        <v>242</v>
      </c>
      <c r="F6" s="666" t="s">
        <v>525</v>
      </c>
      <c r="G6" s="644" t="s">
        <v>525</v>
      </c>
      <c r="H6" s="3625"/>
      <c r="I6" s="3620"/>
      <c r="J6" s="3620"/>
      <c r="K6" s="3616"/>
      <c r="L6" s="3645"/>
      <c r="M6" s="3656"/>
      <c r="N6" s="198">
        <v>44927</v>
      </c>
      <c r="O6" s="198">
        <v>44959</v>
      </c>
      <c r="P6" s="198">
        <v>44991</v>
      </c>
      <c r="Q6" s="198">
        <v>45023</v>
      </c>
      <c r="R6" s="198">
        <v>45055</v>
      </c>
      <c r="S6" s="198">
        <v>45087</v>
      </c>
      <c r="T6" s="198">
        <v>45119</v>
      </c>
      <c r="U6" s="198">
        <v>45151</v>
      </c>
      <c r="V6" s="198">
        <v>45183</v>
      </c>
      <c r="W6" s="198">
        <v>45215</v>
      </c>
      <c r="X6" s="198">
        <v>45247</v>
      </c>
      <c r="Y6" s="1202">
        <v>45279</v>
      </c>
      <c r="Z6" s="1873">
        <v>0</v>
      </c>
      <c r="AA6" s="416"/>
      <c r="AB6" s="36" t="s">
        <v>168</v>
      </c>
      <c r="AC6" s="36" t="s">
        <v>169</v>
      </c>
      <c r="AD6" s="36" t="s">
        <v>170</v>
      </c>
      <c r="AE6" s="36" t="s">
        <v>171</v>
      </c>
      <c r="AF6" s="36" t="s">
        <v>172</v>
      </c>
      <c r="AG6" s="1872" t="s">
        <v>173</v>
      </c>
      <c r="AH6" s="36" t="s">
        <v>168</v>
      </c>
      <c r="AI6" s="36" t="s">
        <v>169</v>
      </c>
      <c r="AJ6" s="36" t="s">
        <v>170</v>
      </c>
      <c r="AK6" s="36" t="s">
        <v>171</v>
      </c>
      <c r="AL6" s="36" t="s">
        <v>172</v>
      </c>
      <c r="AM6" s="1872" t="s">
        <v>173</v>
      </c>
      <c r="AN6" s="36" t="s">
        <v>168</v>
      </c>
      <c r="AO6" s="36" t="s">
        <v>169</v>
      </c>
      <c r="AP6" s="36" t="s">
        <v>170</v>
      </c>
      <c r="AQ6" s="36" t="s">
        <v>171</v>
      </c>
      <c r="AR6" s="36" t="s">
        <v>172</v>
      </c>
      <c r="AS6" s="1872" t="s">
        <v>173</v>
      </c>
      <c r="AT6" s="36" t="s">
        <v>168</v>
      </c>
      <c r="AU6" s="36" t="s">
        <v>169</v>
      </c>
      <c r="AV6" s="36" t="s">
        <v>170</v>
      </c>
      <c r="AW6" s="36" t="s">
        <v>171</v>
      </c>
      <c r="AX6" s="36" t="s">
        <v>172</v>
      </c>
      <c r="AY6" s="1872" t="s">
        <v>173</v>
      </c>
      <c r="AZ6" s="1873"/>
      <c r="BA6" s="1874">
        <v>6</v>
      </c>
      <c r="BB6" s="3660"/>
      <c r="BC6" s="242"/>
      <c r="BD6" s="3664"/>
      <c r="BE6" s="3658"/>
      <c r="BF6" s="3655"/>
      <c r="BG6" s="3643"/>
      <c r="BH6" s="3629"/>
      <c r="BI6" s="3636"/>
      <c r="BJ6" s="3631"/>
      <c r="BK6" s="3631"/>
      <c r="BL6" s="267"/>
      <c r="BM6" s="1871"/>
      <c r="BN6" s="1439" t="s">
        <v>1234</v>
      </c>
      <c r="BO6" s="1439" t="s">
        <v>1235</v>
      </c>
      <c r="BP6" s="1439" t="s">
        <v>1236</v>
      </c>
      <c r="BQ6" s="1439" t="s">
        <v>1237</v>
      </c>
      <c r="BR6" s="1439" t="s">
        <v>94</v>
      </c>
      <c r="BS6" s="1439" t="s">
        <v>966</v>
      </c>
      <c r="BT6" s="1439"/>
      <c r="BU6" s="267"/>
      <c r="BV6" s="1439" t="s">
        <v>1234</v>
      </c>
      <c r="BW6" s="1439" t="s">
        <v>1235</v>
      </c>
      <c r="BX6" s="1439" t="s">
        <v>1236</v>
      </c>
      <c r="BY6" s="1439" t="s">
        <v>1237</v>
      </c>
      <c r="BZ6" s="1439" t="s">
        <v>94</v>
      </c>
      <c r="CA6" s="2559" t="s">
        <v>1240</v>
      </c>
      <c r="CB6" s="2559" t="s">
        <v>1241</v>
      </c>
      <c r="CC6" s="2523"/>
      <c r="CD6" s="267"/>
      <c r="CE6" s="267"/>
      <c r="CF6" s="267"/>
      <c r="CG6" s="267"/>
      <c r="CH6" s="267"/>
      <c r="CI6" s="267"/>
      <c r="CJ6" s="267"/>
      <c r="CK6" s="267"/>
      <c r="CL6" s="267"/>
      <c r="CM6" s="267"/>
      <c r="CN6" s="267"/>
      <c r="CO6" s="267"/>
      <c r="CP6" s="267"/>
      <c r="CQ6" s="267"/>
      <c r="CR6" s="267"/>
      <c r="CS6" s="267"/>
      <c r="CT6" s="2529">
        <v>44927</v>
      </c>
      <c r="CU6" s="2529">
        <v>44959</v>
      </c>
      <c r="CV6" s="2529">
        <v>44991</v>
      </c>
      <c r="CW6" s="2529">
        <v>45023</v>
      </c>
      <c r="CX6" s="2529">
        <v>45055</v>
      </c>
      <c r="CY6" s="2529">
        <v>45087</v>
      </c>
      <c r="CZ6" s="2529">
        <v>45119</v>
      </c>
      <c r="DA6" s="2529">
        <v>45151</v>
      </c>
      <c r="DB6" s="2529">
        <v>45183</v>
      </c>
      <c r="DC6" s="2529">
        <v>45215</v>
      </c>
      <c r="DD6" s="2529">
        <v>45247</v>
      </c>
      <c r="DE6" s="2530">
        <v>45279</v>
      </c>
      <c r="DF6" s="267"/>
      <c r="DG6" s="267"/>
      <c r="DH6" s="267"/>
      <c r="DI6" s="267"/>
      <c r="DJ6" s="267"/>
      <c r="DK6" s="267"/>
      <c r="DL6" s="267"/>
      <c r="DM6" s="267"/>
      <c r="DN6" s="267"/>
      <c r="DO6" s="267"/>
      <c r="DP6" s="267"/>
      <c r="DQ6" s="267"/>
      <c r="DR6" s="267"/>
    </row>
    <row r="7" spans="1:122" ht="18.600000000000001" customHeight="1">
      <c r="A7" s="396" t="s">
        <v>1454</v>
      </c>
      <c r="B7" s="2669" t="s">
        <v>1301</v>
      </c>
      <c r="C7" s="1823"/>
      <c r="D7" s="1823"/>
      <c r="E7" s="1823"/>
      <c r="F7" s="1824"/>
      <c r="G7" s="1824"/>
      <c r="H7" s="1825"/>
      <c r="I7" s="1825"/>
      <c r="J7" s="1824"/>
      <c r="K7" s="2496"/>
      <c r="L7" s="368"/>
      <c r="M7" s="1383"/>
      <c r="N7" s="368">
        <v>1</v>
      </c>
      <c r="O7" s="368">
        <v>1</v>
      </c>
      <c r="P7" s="368">
        <v>1</v>
      </c>
      <c r="Q7" s="368">
        <v>1</v>
      </c>
      <c r="R7" s="368">
        <v>1</v>
      </c>
      <c r="S7" s="368">
        <v>1</v>
      </c>
      <c r="T7" s="368">
        <v>1</v>
      </c>
      <c r="U7" s="368">
        <v>1</v>
      </c>
      <c r="V7" s="368">
        <v>1</v>
      </c>
      <c r="W7" s="368">
        <v>1</v>
      </c>
      <c r="X7" s="368">
        <v>1</v>
      </c>
      <c r="Y7" s="368">
        <v>1</v>
      </c>
      <c r="Z7" s="2656"/>
      <c r="AA7" s="537" t="s">
        <v>1454</v>
      </c>
      <c r="AB7" s="2665">
        <v>8</v>
      </c>
      <c r="AC7" s="2665" t="s">
        <v>525</v>
      </c>
      <c r="AD7" s="2665">
        <v>8</v>
      </c>
      <c r="AE7" s="2665">
        <v>9</v>
      </c>
      <c r="AF7" s="2665">
        <v>9</v>
      </c>
      <c r="AG7" s="2666">
        <v>6</v>
      </c>
      <c r="AH7" s="2665" t="s">
        <v>525</v>
      </c>
      <c r="AI7" s="2665" t="s">
        <v>525</v>
      </c>
      <c r="AJ7" s="2665" t="s">
        <v>525</v>
      </c>
      <c r="AK7" s="2665" t="s">
        <v>525</v>
      </c>
      <c r="AL7" s="2665" t="s">
        <v>525</v>
      </c>
      <c r="AM7" s="2666" t="s">
        <v>525</v>
      </c>
      <c r="AN7" s="2665" t="s">
        <v>525</v>
      </c>
      <c r="AO7" s="2665" t="s">
        <v>525</v>
      </c>
      <c r="AP7" s="2665" t="s">
        <v>525</v>
      </c>
      <c r="AQ7" s="2665" t="s">
        <v>525</v>
      </c>
      <c r="AR7" s="2665" t="s">
        <v>525</v>
      </c>
      <c r="AS7" s="2666" t="s">
        <v>525</v>
      </c>
      <c r="AT7" s="2665" t="s">
        <v>525</v>
      </c>
      <c r="AU7" s="2665" t="s">
        <v>525</v>
      </c>
      <c r="AV7" s="2665" t="s">
        <v>525</v>
      </c>
      <c r="AW7" s="2665" t="s">
        <v>525</v>
      </c>
      <c r="AX7" s="2665" t="s">
        <v>525</v>
      </c>
      <c r="AY7" s="2666" t="s">
        <v>525</v>
      </c>
      <c r="AZ7" s="2656"/>
      <c r="BA7" s="2507" t="s">
        <v>525</v>
      </c>
      <c r="BB7" s="1875">
        <v>40</v>
      </c>
      <c r="BC7" s="1875">
        <v>5</v>
      </c>
      <c r="BD7" s="537" t="s">
        <v>525</v>
      </c>
      <c r="BE7" s="537">
        <v>173.2</v>
      </c>
      <c r="BF7" s="537" t="s">
        <v>525</v>
      </c>
      <c r="BG7" s="538">
        <v>12</v>
      </c>
      <c r="BH7" s="538">
        <v>216.49133999999995</v>
      </c>
      <c r="BI7" s="539">
        <v>1</v>
      </c>
      <c r="BJ7" s="78"/>
      <c r="BK7" s="78"/>
      <c r="BL7" s="2663"/>
      <c r="BM7" s="1871"/>
      <c r="BN7" s="2560">
        <v>40</v>
      </c>
      <c r="BO7" s="2560">
        <v>0</v>
      </c>
      <c r="BP7" s="2560">
        <v>0</v>
      </c>
      <c r="BQ7" s="2560">
        <v>0</v>
      </c>
      <c r="BR7" s="2560">
        <v>40</v>
      </c>
      <c r="BS7" s="2561">
        <v>1</v>
      </c>
      <c r="BT7" s="2560">
        <v>173.2</v>
      </c>
      <c r="BU7" s="2560">
        <v>40</v>
      </c>
      <c r="BV7" s="2561">
        <v>5</v>
      </c>
      <c r="BW7" s="2561">
        <v>0</v>
      </c>
      <c r="BX7" s="2561">
        <v>0</v>
      </c>
      <c r="BY7" s="2561">
        <v>0</v>
      </c>
      <c r="BZ7" s="2560">
        <v>5</v>
      </c>
      <c r="CA7" s="2560">
        <v>21.65</v>
      </c>
      <c r="CB7" s="2560">
        <v>5</v>
      </c>
      <c r="CC7" s="2562" t="s">
        <v>525</v>
      </c>
      <c r="CD7" s="2526"/>
      <c r="CE7" s="2525">
        <v>1</v>
      </c>
      <c r="CF7" s="2525">
        <v>1</v>
      </c>
      <c r="CG7" s="2525">
        <v>1</v>
      </c>
      <c r="CH7" s="2525">
        <v>1</v>
      </c>
      <c r="CI7" s="2525">
        <v>1</v>
      </c>
      <c r="CJ7" s="2525">
        <v>1</v>
      </c>
      <c r="CK7" s="2525">
        <v>1</v>
      </c>
      <c r="CL7" s="2525">
        <v>1</v>
      </c>
      <c r="CM7" s="2525">
        <v>1</v>
      </c>
      <c r="CN7" s="2525">
        <v>1</v>
      </c>
      <c r="CO7" s="2525">
        <v>1</v>
      </c>
      <c r="CP7" s="2525">
        <v>1</v>
      </c>
      <c r="CQ7" s="267"/>
      <c r="CR7" s="2531"/>
      <c r="CS7" s="267"/>
      <c r="CT7" s="267">
        <v>0</v>
      </c>
      <c r="CU7" s="267">
        <v>0</v>
      </c>
      <c r="CV7" s="267">
        <v>0</v>
      </c>
      <c r="CW7" s="267">
        <v>0</v>
      </c>
      <c r="CX7" s="267">
        <v>0</v>
      </c>
      <c r="CY7" s="267">
        <v>0</v>
      </c>
      <c r="CZ7" s="267">
        <v>0</v>
      </c>
      <c r="DA7" s="267">
        <v>0</v>
      </c>
      <c r="DB7" s="267">
        <v>0</v>
      </c>
      <c r="DC7" s="267">
        <v>0</v>
      </c>
      <c r="DD7" s="267">
        <v>0</v>
      </c>
      <c r="DE7" s="267">
        <v>0</v>
      </c>
      <c r="DF7" s="267"/>
      <c r="DG7" s="267"/>
      <c r="DH7" s="267"/>
      <c r="DI7" s="267"/>
      <c r="DJ7" s="267"/>
      <c r="DK7" s="267"/>
      <c r="DL7" s="267"/>
      <c r="DM7" s="267"/>
      <c r="DN7" s="267"/>
      <c r="DO7" s="267"/>
      <c r="DP7" s="267"/>
      <c r="DQ7" s="267"/>
      <c r="DR7" s="267"/>
    </row>
    <row r="8" spans="1:122" ht="18.600000000000001" customHeight="1">
      <c r="A8" s="396" t="s">
        <v>525</v>
      </c>
      <c r="B8" s="1823"/>
      <c r="C8" s="1823"/>
      <c r="D8" s="1823"/>
      <c r="E8" s="1823"/>
      <c r="F8" s="1824"/>
      <c r="G8" s="1824"/>
      <c r="H8" s="1825"/>
      <c r="I8" s="1825"/>
      <c r="J8" s="1824"/>
      <c r="K8" s="2496"/>
      <c r="L8" s="368"/>
      <c r="M8" s="1383"/>
      <c r="N8" s="368" t="s">
        <v>525</v>
      </c>
      <c r="O8" s="368" t="s">
        <v>525</v>
      </c>
      <c r="P8" s="368" t="s">
        <v>525</v>
      </c>
      <c r="Q8" s="368" t="s">
        <v>525</v>
      </c>
      <c r="R8" s="368" t="s">
        <v>525</v>
      </c>
      <c r="S8" s="368" t="s">
        <v>525</v>
      </c>
      <c r="T8" s="368" t="s">
        <v>525</v>
      </c>
      <c r="U8" s="368" t="s">
        <v>525</v>
      </c>
      <c r="V8" s="368" t="s">
        <v>525</v>
      </c>
      <c r="W8" s="368" t="s">
        <v>525</v>
      </c>
      <c r="X8" s="368" t="s">
        <v>525</v>
      </c>
      <c r="Y8" s="368" t="s">
        <v>525</v>
      </c>
      <c r="Z8" s="2656"/>
      <c r="AA8" s="537" t="s">
        <v>525</v>
      </c>
      <c r="AB8" s="2665" t="s">
        <v>525</v>
      </c>
      <c r="AC8" s="2665" t="s">
        <v>525</v>
      </c>
      <c r="AD8" s="2665" t="s">
        <v>525</v>
      </c>
      <c r="AE8" s="2665" t="s">
        <v>525</v>
      </c>
      <c r="AF8" s="2665" t="s">
        <v>525</v>
      </c>
      <c r="AG8" s="2666" t="s">
        <v>525</v>
      </c>
      <c r="AH8" s="2665" t="s">
        <v>525</v>
      </c>
      <c r="AI8" s="2665" t="s">
        <v>525</v>
      </c>
      <c r="AJ8" s="2665" t="s">
        <v>525</v>
      </c>
      <c r="AK8" s="2665" t="s">
        <v>525</v>
      </c>
      <c r="AL8" s="2665" t="s">
        <v>525</v>
      </c>
      <c r="AM8" s="2666" t="s">
        <v>525</v>
      </c>
      <c r="AN8" s="2665" t="s">
        <v>525</v>
      </c>
      <c r="AO8" s="2665" t="s">
        <v>525</v>
      </c>
      <c r="AP8" s="2665" t="s">
        <v>525</v>
      </c>
      <c r="AQ8" s="2665" t="s">
        <v>525</v>
      </c>
      <c r="AR8" s="2665" t="s">
        <v>525</v>
      </c>
      <c r="AS8" s="2666" t="s">
        <v>525</v>
      </c>
      <c r="AT8" s="2665" t="s">
        <v>525</v>
      </c>
      <c r="AU8" s="2665" t="s">
        <v>525</v>
      </c>
      <c r="AV8" s="2665" t="s">
        <v>525</v>
      </c>
      <c r="AW8" s="2665" t="s">
        <v>525</v>
      </c>
      <c r="AX8" s="2665" t="s">
        <v>525</v>
      </c>
      <c r="AY8" s="2666" t="s">
        <v>525</v>
      </c>
      <c r="AZ8" s="2656"/>
      <c r="BA8" s="2507" t="s">
        <v>525</v>
      </c>
      <c r="BB8" s="1875" t="s">
        <v>525</v>
      </c>
      <c r="BC8" s="1875" t="s">
        <v>525</v>
      </c>
      <c r="BD8" s="537" t="s">
        <v>525</v>
      </c>
      <c r="BE8" s="537" t="s">
        <v>525</v>
      </c>
      <c r="BF8" s="537" t="s">
        <v>525</v>
      </c>
      <c r="BG8" s="538" t="s">
        <v>525</v>
      </c>
      <c r="BH8" s="538" t="s">
        <v>525</v>
      </c>
      <c r="BI8" s="539" t="s">
        <v>525</v>
      </c>
      <c r="BJ8" s="78"/>
      <c r="BK8" s="78"/>
      <c r="BL8" s="2663"/>
      <c r="BM8" s="1871"/>
      <c r="BN8" s="2560">
        <v>0</v>
      </c>
      <c r="BO8" s="2560">
        <v>0</v>
      </c>
      <c r="BP8" s="2560">
        <v>0</v>
      </c>
      <c r="BQ8" s="2560">
        <v>0</v>
      </c>
      <c r="BR8" s="2560">
        <v>0</v>
      </c>
      <c r="BS8" s="2561">
        <v>0</v>
      </c>
      <c r="BT8" s="2560" t="s">
        <v>525</v>
      </c>
      <c r="BU8" s="2560" t="s">
        <v>525</v>
      </c>
      <c r="BV8" s="2561">
        <v>0</v>
      </c>
      <c r="BW8" s="2561">
        <v>0</v>
      </c>
      <c r="BX8" s="2561">
        <v>0</v>
      </c>
      <c r="BY8" s="2561">
        <v>0</v>
      </c>
      <c r="BZ8" s="2560">
        <v>0</v>
      </c>
      <c r="CA8" s="2560" t="s">
        <v>525</v>
      </c>
      <c r="CB8" s="2560" t="s">
        <v>525</v>
      </c>
      <c r="CC8" s="2562" t="s">
        <v>525</v>
      </c>
      <c r="CD8" s="2526"/>
      <c r="CE8" s="2525" t="s">
        <v>525</v>
      </c>
      <c r="CF8" s="2525" t="s">
        <v>525</v>
      </c>
      <c r="CG8" s="2525" t="s">
        <v>525</v>
      </c>
      <c r="CH8" s="2525" t="s">
        <v>525</v>
      </c>
      <c r="CI8" s="2525" t="s">
        <v>525</v>
      </c>
      <c r="CJ8" s="2525" t="s">
        <v>525</v>
      </c>
      <c r="CK8" s="2525" t="s">
        <v>525</v>
      </c>
      <c r="CL8" s="2525" t="s">
        <v>525</v>
      </c>
      <c r="CM8" s="2525" t="s">
        <v>525</v>
      </c>
      <c r="CN8" s="2525" t="s">
        <v>525</v>
      </c>
      <c r="CO8" s="2525" t="s">
        <v>525</v>
      </c>
      <c r="CP8" s="2525" t="s">
        <v>525</v>
      </c>
      <c r="CQ8" s="267"/>
      <c r="CR8" s="2531"/>
      <c r="CS8" s="267"/>
      <c r="CT8" s="267">
        <v>0</v>
      </c>
      <c r="CU8" s="267">
        <v>0</v>
      </c>
      <c r="CV8" s="267">
        <v>0</v>
      </c>
      <c r="CW8" s="267">
        <v>0</v>
      </c>
      <c r="CX8" s="267">
        <v>0</v>
      </c>
      <c r="CY8" s="267">
        <v>0</v>
      </c>
      <c r="CZ8" s="267">
        <v>0</v>
      </c>
      <c r="DA8" s="267">
        <v>0</v>
      </c>
      <c r="DB8" s="267">
        <v>0</v>
      </c>
      <c r="DC8" s="267">
        <v>0</v>
      </c>
      <c r="DD8" s="267">
        <v>0</v>
      </c>
      <c r="DE8" s="267">
        <v>0</v>
      </c>
      <c r="DF8" s="267"/>
      <c r="DG8" s="267"/>
      <c r="DH8" s="267"/>
      <c r="DI8" s="267"/>
      <c r="DJ8" s="267"/>
      <c r="DK8" s="267"/>
      <c r="DL8" s="267"/>
      <c r="DM8" s="267"/>
      <c r="DN8" s="267"/>
      <c r="DO8" s="267"/>
      <c r="DP8" s="267"/>
      <c r="DQ8" s="267"/>
      <c r="DR8" s="267"/>
    </row>
    <row r="9" spans="1:122" ht="18.600000000000001" customHeight="1" thickBot="1">
      <c r="A9" s="2794" t="s">
        <v>525</v>
      </c>
      <c r="B9" s="2795"/>
      <c r="C9" s="2795"/>
      <c r="D9" s="2795"/>
      <c r="E9" s="2795"/>
      <c r="F9" s="2796"/>
      <c r="G9" s="2796"/>
      <c r="H9" s="2797"/>
      <c r="I9" s="2797"/>
      <c r="J9" s="2796"/>
      <c r="K9" s="2496"/>
      <c r="L9" s="2798"/>
      <c r="M9" s="1383"/>
      <c r="N9" s="2798" t="s">
        <v>525</v>
      </c>
      <c r="O9" s="2798" t="s">
        <v>525</v>
      </c>
      <c r="P9" s="2798" t="s">
        <v>525</v>
      </c>
      <c r="Q9" s="2798" t="s">
        <v>525</v>
      </c>
      <c r="R9" s="2798" t="s">
        <v>525</v>
      </c>
      <c r="S9" s="2798" t="s">
        <v>525</v>
      </c>
      <c r="T9" s="2798" t="s">
        <v>525</v>
      </c>
      <c r="U9" s="2798" t="s">
        <v>525</v>
      </c>
      <c r="V9" s="2798" t="s">
        <v>525</v>
      </c>
      <c r="W9" s="2798" t="s">
        <v>525</v>
      </c>
      <c r="X9" s="2798" t="s">
        <v>525</v>
      </c>
      <c r="Y9" s="2798" t="s">
        <v>525</v>
      </c>
      <c r="Z9" s="2656"/>
      <c r="AA9" s="2782" t="s">
        <v>525</v>
      </c>
      <c r="AB9" s="2788" t="s">
        <v>525</v>
      </c>
      <c r="AC9" s="2788" t="s">
        <v>525</v>
      </c>
      <c r="AD9" s="2788" t="s">
        <v>525</v>
      </c>
      <c r="AE9" s="2788" t="s">
        <v>525</v>
      </c>
      <c r="AF9" s="2788" t="s">
        <v>525</v>
      </c>
      <c r="AG9" s="2789" t="s">
        <v>525</v>
      </c>
      <c r="AH9" s="2788" t="s">
        <v>525</v>
      </c>
      <c r="AI9" s="2788" t="s">
        <v>525</v>
      </c>
      <c r="AJ9" s="2788" t="s">
        <v>525</v>
      </c>
      <c r="AK9" s="2788" t="s">
        <v>525</v>
      </c>
      <c r="AL9" s="2788" t="s">
        <v>525</v>
      </c>
      <c r="AM9" s="2789" t="s">
        <v>525</v>
      </c>
      <c r="AN9" s="2788" t="s">
        <v>525</v>
      </c>
      <c r="AO9" s="2788" t="s">
        <v>525</v>
      </c>
      <c r="AP9" s="2788" t="s">
        <v>525</v>
      </c>
      <c r="AQ9" s="2788" t="s">
        <v>525</v>
      </c>
      <c r="AR9" s="2788" t="s">
        <v>525</v>
      </c>
      <c r="AS9" s="2789" t="s">
        <v>525</v>
      </c>
      <c r="AT9" s="2788" t="s">
        <v>525</v>
      </c>
      <c r="AU9" s="2788" t="s">
        <v>525</v>
      </c>
      <c r="AV9" s="2788" t="s">
        <v>525</v>
      </c>
      <c r="AW9" s="2788" t="s">
        <v>525</v>
      </c>
      <c r="AX9" s="2788" t="s">
        <v>525</v>
      </c>
      <c r="AY9" s="2789" t="s">
        <v>525</v>
      </c>
      <c r="AZ9" s="2656"/>
      <c r="BA9" s="2507" t="s">
        <v>525</v>
      </c>
      <c r="BB9" s="2781" t="s">
        <v>525</v>
      </c>
      <c r="BC9" s="2781" t="s">
        <v>525</v>
      </c>
      <c r="BD9" s="2782" t="s">
        <v>525</v>
      </c>
      <c r="BE9" s="2782" t="s">
        <v>525</v>
      </c>
      <c r="BF9" s="2782" t="s">
        <v>525</v>
      </c>
      <c r="BG9" s="2783" t="s">
        <v>525</v>
      </c>
      <c r="BH9" s="2783" t="s">
        <v>525</v>
      </c>
      <c r="BI9" s="2784" t="s">
        <v>525</v>
      </c>
      <c r="BJ9" s="2785"/>
      <c r="BK9" s="2785"/>
      <c r="BL9" s="2663"/>
      <c r="BM9" s="1871"/>
      <c r="BN9" s="2560">
        <v>0</v>
      </c>
      <c r="BO9" s="2560">
        <v>0</v>
      </c>
      <c r="BP9" s="2560">
        <v>0</v>
      </c>
      <c r="BQ9" s="2560">
        <v>0</v>
      </c>
      <c r="BR9" s="2560">
        <v>0</v>
      </c>
      <c r="BS9" s="2561">
        <v>0</v>
      </c>
      <c r="BT9" s="2560" t="s">
        <v>525</v>
      </c>
      <c r="BU9" s="2560" t="s">
        <v>525</v>
      </c>
      <c r="BV9" s="2561">
        <v>0</v>
      </c>
      <c r="BW9" s="2561">
        <v>0</v>
      </c>
      <c r="BX9" s="2561">
        <v>0</v>
      </c>
      <c r="BY9" s="2561">
        <v>0</v>
      </c>
      <c r="BZ9" s="2560">
        <v>0</v>
      </c>
      <c r="CA9" s="2560" t="s">
        <v>525</v>
      </c>
      <c r="CB9" s="2560" t="s">
        <v>525</v>
      </c>
      <c r="CC9" s="2562" t="s">
        <v>525</v>
      </c>
      <c r="CD9" s="2526"/>
      <c r="CE9" s="2525" t="s">
        <v>525</v>
      </c>
      <c r="CF9" s="2525" t="s">
        <v>525</v>
      </c>
      <c r="CG9" s="2525" t="s">
        <v>525</v>
      </c>
      <c r="CH9" s="2525" t="s">
        <v>525</v>
      </c>
      <c r="CI9" s="2525" t="s">
        <v>525</v>
      </c>
      <c r="CJ9" s="2525" t="s">
        <v>525</v>
      </c>
      <c r="CK9" s="2525" t="s">
        <v>525</v>
      </c>
      <c r="CL9" s="2525" t="s">
        <v>525</v>
      </c>
      <c r="CM9" s="2525" t="s">
        <v>525</v>
      </c>
      <c r="CN9" s="2525" t="s">
        <v>525</v>
      </c>
      <c r="CO9" s="2525" t="s">
        <v>525</v>
      </c>
      <c r="CP9" s="2525" t="s">
        <v>525</v>
      </c>
      <c r="CQ9" s="267"/>
      <c r="CR9" s="2531"/>
      <c r="CS9" s="267"/>
      <c r="CT9" s="267">
        <v>0</v>
      </c>
      <c r="CU9" s="267">
        <v>0</v>
      </c>
      <c r="CV9" s="267">
        <v>0</v>
      </c>
      <c r="CW9" s="267">
        <v>0</v>
      </c>
      <c r="CX9" s="267">
        <v>0</v>
      </c>
      <c r="CY9" s="267">
        <v>0</v>
      </c>
      <c r="CZ9" s="267">
        <v>0</v>
      </c>
      <c r="DA9" s="267">
        <v>0</v>
      </c>
      <c r="DB9" s="267">
        <v>0</v>
      </c>
      <c r="DC9" s="267">
        <v>0</v>
      </c>
      <c r="DD9" s="267">
        <v>0</v>
      </c>
      <c r="DE9" s="267">
        <v>0</v>
      </c>
      <c r="DF9" s="267"/>
      <c r="DG9" s="267"/>
      <c r="DH9" s="267"/>
      <c r="DI9" s="267"/>
      <c r="DJ9" s="267"/>
      <c r="DK9" s="267"/>
      <c r="DL9" s="267"/>
      <c r="DM9" s="267"/>
      <c r="DN9" s="267"/>
      <c r="DO9" s="267"/>
      <c r="DP9" s="267"/>
      <c r="DQ9" s="267"/>
      <c r="DR9" s="267"/>
    </row>
    <row r="10" spans="1:122" ht="18" customHeight="1">
      <c r="A10" s="2790" t="s">
        <v>1419</v>
      </c>
      <c r="B10" s="1493">
        <v>39.5</v>
      </c>
      <c r="C10" s="592">
        <v>16.170000000000002</v>
      </c>
      <c r="D10" s="592"/>
      <c r="E10" s="2791">
        <v>2765.6359500000003</v>
      </c>
      <c r="F10" s="592"/>
      <c r="G10" s="592"/>
      <c r="H10" s="592"/>
      <c r="I10" s="592">
        <v>125</v>
      </c>
      <c r="J10" s="592"/>
      <c r="K10" s="2799"/>
      <c r="L10" s="2792">
        <v>12</v>
      </c>
      <c r="M10" s="2800">
        <v>0</v>
      </c>
      <c r="N10" s="2786"/>
      <c r="O10" s="2786"/>
      <c r="P10" s="2786"/>
      <c r="Q10" s="2786"/>
      <c r="R10" s="2786"/>
      <c r="S10" s="2786"/>
      <c r="T10" s="2793"/>
      <c r="U10" s="2793"/>
      <c r="V10" s="2793"/>
      <c r="W10" s="2793"/>
      <c r="X10" s="2793"/>
      <c r="Y10" s="2793"/>
      <c r="Z10" s="2656"/>
      <c r="AA10" s="2779" t="s">
        <v>1419</v>
      </c>
      <c r="AB10" s="2786">
        <v>8</v>
      </c>
      <c r="AC10" s="2786">
        <v>8</v>
      </c>
      <c r="AD10" s="2786"/>
      <c r="AE10" s="2786">
        <v>8</v>
      </c>
      <c r="AF10" s="2786">
        <v>8</v>
      </c>
      <c r="AG10" s="2787">
        <v>7.5</v>
      </c>
      <c r="AH10" s="2786"/>
      <c r="AI10" s="2786"/>
      <c r="AJ10" s="2786"/>
      <c r="AK10" s="2786"/>
      <c r="AL10" s="2786"/>
      <c r="AM10" s="2787"/>
      <c r="AN10" s="2786"/>
      <c r="AO10" s="2786"/>
      <c r="AP10" s="2786"/>
      <c r="AQ10" s="2786"/>
      <c r="AR10" s="2786"/>
      <c r="AS10" s="2787"/>
      <c r="AT10" s="2786"/>
      <c r="AU10" s="2786"/>
      <c r="AV10" s="2786"/>
      <c r="AW10" s="2786"/>
      <c r="AX10" s="2786"/>
      <c r="AY10" s="2787"/>
      <c r="AZ10" s="2656"/>
      <c r="BA10" s="2507" t="s">
        <v>525</v>
      </c>
      <c r="BB10" s="1875">
        <v>39.5</v>
      </c>
      <c r="BC10" s="1875">
        <v>5</v>
      </c>
      <c r="BD10" s="2779">
        <v>2776.0526166666668</v>
      </c>
      <c r="BE10" s="2779">
        <v>171.035</v>
      </c>
      <c r="BF10" s="2779">
        <v>16.230903713664844</v>
      </c>
      <c r="BG10" s="536">
        <v>12</v>
      </c>
      <c r="BH10" s="536">
        <v>216.49133999999995</v>
      </c>
      <c r="BI10" s="2780">
        <v>0.98750000000000004</v>
      </c>
      <c r="BJ10" s="2779">
        <v>33312.631399999998</v>
      </c>
      <c r="BK10" s="2779">
        <v>10.416666666666666</v>
      </c>
      <c r="BL10" s="2663" t="s">
        <v>525</v>
      </c>
      <c r="BM10" s="1871"/>
      <c r="BN10" s="2560">
        <v>39.5</v>
      </c>
      <c r="BO10" s="2560">
        <v>0</v>
      </c>
      <c r="BP10" s="2560">
        <v>0</v>
      </c>
      <c r="BQ10" s="2560">
        <v>0</v>
      </c>
      <c r="BR10" s="2560">
        <v>39.5</v>
      </c>
      <c r="BS10" s="2561">
        <v>1</v>
      </c>
      <c r="BT10" s="2560">
        <v>171.035</v>
      </c>
      <c r="BU10" s="2560">
        <v>39.5</v>
      </c>
      <c r="BV10" s="2561">
        <v>5</v>
      </c>
      <c r="BW10" s="2561">
        <v>0</v>
      </c>
      <c r="BX10" s="2561">
        <v>0</v>
      </c>
      <c r="BY10" s="2561">
        <v>0</v>
      </c>
      <c r="BZ10" s="2560">
        <v>5</v>
      </c>
      <c r="CA10" s="2560">
        <v>21.65</v>
      </c>
      <c r="CB10" s="2560">
        <v>5</v>
      </c>
      <c r="CC10" s="2562" t="s">
        <v>525</v>
      </c>
      <c r="CD10" s="2524">
        <v>2765.6359500000003</v>
      </c>
      <c r="CE10" s="2525">
        <v>1</v>
      </c>
      <c r="CF10" s="2525">
        <v>1</v>
      </c>
      <c r="CG10" s="2525">
        <v>1</v>
      </c>
      <c r="CH10" s="2525">
        <v>1</v>
      </c>
      <c r="CI10" s="2525">
        <v>1</v>
      </c>
      <c r="CJ10" s="2525">
        <v>1</v>
      </c>
      <c r="CK10" s="2525">
        <v>1</v>
      </c>
      <c r="CL10" s="2525">
        <v>1</v>
      </c>
      <c r="CM10" s="2525">
        <v>1</v>
      </c>
      <c r="CN10" s="2525">
        <v>1</v>
      </c>
      <c r="CO10" s="2525">
        <v>1</v>
      </c>
      <c r="CP10" s="2525">
        <v>1</v>
      </c>
      <c r="CQ10" s="267"/>
      <c r="CR10" s="2531"/>
      <c r="CS10" s="267"/>
      <c r="CT10" s="267">
        <v>2765.6359500000003</v>
      </c>
      <c r="CU10" s="267">
        <v>2765.6359500000003</v>
      </c>
      <c r="CV10" s="267">
        <v>2765.6359500000003</v>
      </c>
      <c r="CW10" s="267">
        <v>2765.6359500000003</v>
      </c>
      <c r="CX10" s="267">
        <v>2765.6359500000003</v>
      </c>
      <c r="CY10" s="267">
        <v>2765.6359500000003</v>
      </c>
      <c r="CZ10" s="267">
        <v>2765.6359500000003</v>
      </c>
      <c r="DA10" s="267">
        <v>2765.6359500000003</v>
      </c>
      <c r="DB10" s="267">
        <v>2765.6359500000003</v>
      </c>
      <c r="DC10" s="267">
        <v>2765.6359500000003</v>
      </c>
      <c r="DD10" s="267">
        <v>2765.6359500000003</v>
      </c>
      <c r="DE10" s="267">
        <v>2765.6359500000003</v>
      </c>
      <c r="DF10" s="267"/>
      <c r="DG10" s="267"/>
      <c r="DH10" s="267"/>
      <c r="DI10" s="267"/>
      <c r="DJ10" s="267"/>
      <c r="DK10" s="267"/>
      <c r="DL10" s="267"/>
      <c r="DM10" s="267"/>
      <c r="DN10" s="267"/>
      <c r="DO10" s="267"/>
      <c r="DP10" s="267"/>
      <c r="DQ10" s="267"/>
      <c r="DR10" s="267"/>
    </row>
    <row r="11" spans="1:122" ht="18" customHeight="1">
      <c r="A11" s="729" t="s">
        <v>1420</v>
      </c>
      <c r="B11" s="1493"/>
      <c r="C11" s="592"/>
      <c r="D11" s="592">
        <v>1782.53</v>
      </c>
      <c r="E11" s="2791">
        <v>1782.53</v>
      </c>
      <c r="F11" s="592"/>
      <c r="G11" s="592"/>
      <c r="H11" s="592"/>
      <c r="I11" s="592"/>
      <c r="J11" s="592"/>
      <c r="K11" s="2799"/>
      <c r="L11" s="732">
        <v>12</v>
      </c>
      <c r="M11" s="2800">
        <v>1</v>
      </c>
      <c r="N11" s="733"/>
      <c r="O11" s="733"/>
      <c r="P11" s="733"/>
      <c r="Q11" s="733"/>
      <c r="R11" s="733"/>
      <c r="S11" s="733"/>
      <c r="T11" s="734"/>
      <c r="U11" s="734"/>
      <c r="V11" s="734"/>
      <c r="W11" s="734"/>
      <c r="X11" s="734"/>
      <c r="Y11" s="734"/>
      <c r="Z11" s="2656"/>
      <c r="AA11" s="537" t="s">
        <v>1420</v>
      </c>
      <c r="AB11" s="733"/>
      <c r="AC11" s="733">
        <v>8</v>
      </c>
      <c r="AD11" s="733">
        <v>8</v>
      </c>
      <c r="AE11" s="733">
        <v>8</v>
      </c>
      <c r="AF11" s="733"/>
      <c r="AG11" s="2503">
        <v>6</v>
      </c>
      <c r="AH11" s="733">
        <v>8</v>
      </c>
      <c r="AI11" s="733"/>
      <c r="AJ11" s="733">
        <v>8</v>
      </c>
      <c r="AK11" s="733">
        <v>8</v>
      </c>
      <c r="AL11" s="733"/>
      <c r="AM11" s="2503">
        <v>6</v>
      </c>
      <c r="AN11" s="733"/>
      <c r="AO11" s="733"/>
      <c r="AP11" s="733"/>
      <c r="AQ11" s="733"/>
      <c r="AR11" s="733"/>
      <c r="AS11" s="2503"/>
      <c r="AT11" s="733"/>
      <c r="AU11" s="733"/>
      <c r="AV11" s="733"/>
      <c r="AW11" s="733"/>
      <c r="AX11" s="733"/>
      <c r="AY11" s="2503"/>
      <c r="AZ11" s="2656"/>
      <c r="BA11" s="2507" t="s">
        <v>66</v>
      </c>
      <c r="BB11" s="1875">
        <v>30</v>
      </c>
      <c r="BC11" s="1875">
        <v>4</v>
      </c>
      <c r="BD11" s="537">
        <v>1782.53</v>
      </c>
      <c r="BE11" s="537">
        <v>129.9</v>
      </c>
      <c r="BF11" s="537">
        <v>13.722324865280985</v>
      </c>
      <c r="BG11" s="538">
        <v>12</v>
      </c>
      <c r="BH11" s="538">
        <v>173.193072</v>
      </c>
      <c r="BI11" s="539">
        <v>0.75</v>
      </c>
      <c r="BJ11" s="537">
        <v>21390.36</v>
      </c>
      <c r="BK11" s="537">
        <v>0</v>
      </c>
      <c r="BL11" s="2663" t="s">
        <v>525</v>
      </c>
      <c r="BM11" s="1871"/>
      <c r="BN11" s="2560">
        <v>30</v>
      </c>
      <c r="BO11" s="2560">
        <v>30</v>
      </c>
      <c r="BP11" s="2560">
        <v>0</v>
      </c>
      <c r="BQ11" s="2560">
        <v>0</v>
      </c>
      <c r="BR11" s="2560">
        <v>60</v>
      </c>
      <c r="BS11" s="2561">
        <v>2</v>
      </c>
      <c r="BT11" s="2560">
        <v>129.9</v>
      </c>
      <c r="BU11" s="2560">
        <v>30</v>
      </c>
      <c r="BV11" s="2561">
        <v>4</v>
      </c>
      <c r="BW11" s="2561">
        <v>4</v>
      </c>
      <c r="BX11" s="2561">
        <v>0</v>
      </c>
      <c r="BY11" s="2561">
        <v>0</v>
      </c>
      <c r="BZ11" s="2560">
        <v>8</v>
      </c>
      <c r="CA11" s="2560">
        <v>17.32</v>
      </c>
      <c r="CB11" s="2560">
        <v>4</v>
      </c>
      <c r="CC11" s="2562" t="s">
        <v>66</v>
      </c>
      <c r="CD11" s="2524">
        <v>1782.53</v>
      </c>
      <c r="CE11" s="2525">
        <v>1</v>
      </c>
      <c r="CF11" s="2525">
        <v>1</v>
      </c>
      <c r="CG11" s="2525">
        <v>1</v>
      </c>
      <c r="CH11" s="2525">
        <v>1</v>
      </c>
      <c r="CI11" s="2525">
        <v>1</v>
      </c>
      <c r="CJ11" s="2525">
        <v>1</v>
      </c>
      <c r="CK11" s="2525">
        <v>1</v>
      </c>
      <c r="CL11" s="2525">
        <v>1</v>
      </c>
      <c r="CM11" s="2525">
        <v>1</v>
      </c>
      <c r="CN11" s="2525">
        <v>1</v>
      </c>
      <c r="CO11" s="2525">
        <v>1</v>
      </c>
      <c r="CP11" s="2525">
        <v>1</v>
      </c>
      <c r="CQ11" s="267"/>
      <c r="CR11" s="2531"/>
      <c r="CS11" s="267"/>
      <c r="CT11" s="267">
        <v>1782.53</v>
      </c>
      <c r="CU11" s="267">
        <v>1782.53</v>
      </c>
      <c r="CV11" s="267">
        <v>1782.53</v>
      </c>
      <c r="CW11" s="267">
        <v>1782.53</v>
      </c>
      <c r="CX11" s="267">
        <v>1782.53</v>
      </c>
      <c r="CY11" s="267">
        <v>1782.53</v>
      </c>
      <c r="CZ11" s="267">
        <v>1782.53</v>
      </c>
      <c r="DA11" s="267">
        <v>1782.53</v>
      </c>
      <c r="DB11" s="267">
        <v>1782.53</v>
      </c>
      <c r="DC11" s="267">
        <v>1782.53</v>
      </c>
      <c r="DD11" s="267">
        <v>1782.53</v>
      </c>
      <c r="DE11" s="267">
        <v>1782.53</v>
      </c>
      <c r="DF11" s="267"/>
      <c r="DG11" s="267"/>
      <c r="DH11" s="267"/>
      <c r="DI11" s="267"/>
      <c r="DJ11" s="267"/>
      <c r="DK11" s="267"/>
      <c r="DL11" s="267"/>
      <c r="DM11" s="267"/>
      <c r="DN11" s="267"/>
      <c r="DO11" s="267"/>
      <c r="DP11" s="267"/>
      <c r="DQ11" s="267"/>
      <c r="DR11" s="267"/>
    </row>
    <row r="12" spans="1:122" ht="18" customHeight="1">
      <c r="A12" s="730" t="s">
        <v>1421</v>
      </c>
      <c r="B12" s="1493">
        <v>26</v>
      </c>
      <c r="C12" s="592">
        <v>13.24</v>
      </c>
      <c r="D12" s="592"/>
      <c r="E12" s="2791">
        <v>1490.5592000000001</v>
      </c>
      <c r="F12" s="592"/>
      <c r="G12" s="592"/>
      <c r="H12" s="592"/>
      <c r="I12" s="409"/>
      <c r="J12" s="409"/>
      <c r="K12" s="2799"/>
      <c r="L12" s="732">
        <v>12</v>
      </c>
      <c r="M12" s="2800">
        <v>0</v>
      </c>
      <c r="N12" s="733"/>
      <c r="O12" s="733"/>
      <c r="P12" s="733"/>
      <c r="Q12" s="733"/>
      <c r="R12" s="733"/>
      <c r="S12" s="733"/>
      <c r="T12" s="734"/>
      <c r="U12" s="734"/>
      <c r="V12" s="734"/>
      <c r="W12" s="734"/>
      <c r="X12" s="734"/>
      <c r="Y12" s="734"/>
      <c r="Z12" s="2656"/>
      <c r="AA12" s="537" t="s">
        <v>1421</v>
      </c>
      <c r="AB12" s="733"/>
      <c r="AC12" s="733"/>
      <c r="AD12" s="733">
        <v>8</v>
      </c>
      <c r="AE12" s="733"/>
      <c r="AF12" s="733">
        <v>8</v>
      </c>
      <c r="AG12" s="2503">
        <v>8</v>
      </c>
      <c r="AH12" s="733">
        <v>4</v>
      </c>
      <c r="AI12" s="733"/>
      <c r="AJ12" s="733">
        <v>8</v>
      </c>
      <c r="AK12" s="733"/>
      <c r="AL12" s="733">
        <v>8</v>
      </c>
      <c r="AM12" s="2503">
        <v>8</v>
      </c>
      <c r="AN12" s="733"/>
      <c r="AO12" s="733"/>
      <c r="AP12" s="733"/>
      <c r="AQ12" s="733"/>
      <c r="AR12" s="733"/>
      <c r="AS12" s="2503"/>
      <c r="AT12" s="733"/>
      <c r="AU12" s="733"/>
      <c r="AV12" s="733"/>
      <c r="AW12" s="733"/>
      <c r="AX12" s="733"/>
      <c r="AY12" s="2503"/>
      <c r="AZ12" s="2656"/>
      <c r="BA12" s="2507" t="s">
        <v>66</v>
      </c>
      <c r="BB12" s="1875">
        <v>26</v>
      </c>
      <c r="BC12" s="1875">
        <v>3.5</v>
      </c>
      <c r="BD12" s="537">
        <v>1490.5592000000001</v>
      </c>
      <c r="BE12" s="537">
        <v>112.58</v>
      </c>
      <c r="BF12" s="537">
        <v>13.240000000000002</v>
      </c>
      <c r="BG12" s="538">
        <v>12</v>
      </c>
      <c r="BH12" s="538">
        <v>151.543938</v>
      </c>
      <c r="BI12" s="539">
        <v>0.65</v>
      </c>
      <c r="BJ12" s="537">
        <v>17886.710400000004</v>
      </c>
      <c r="BK12" s="537">
        <v>0</v>
      </c>
      <c r="BL12" s="2663" t="s">
        <v>525</v>
      </c>
      <c r="BM12" s="1871"/>
      <c r="BN12" s="2560">
        <v>24</v>
      </c>
      <c r="BO12" s="2560">
        <v>28</v>
      </c>
      <c r="BP12" s="2560">
        <v>0</v>
      </c>
      <c r="BQ12" s="2560">
        <v>0</v>
      </c>
      <c r="BR12" s="2560">
        <v>52</v>
      </c>
      <c r="BS12" s="2561">
        <v>2</v>
      </c>
      <c r="BT12" s="2560">
        <v>112.58</v>
      </c>
      <c r="BU12" s="2560">
        <v>26</v>
      </c>
      <c r="BV12" s="2561">
        <v>3</v>
      </c>
      <c r="BW12" s="2561">
        <v>4</v>
      </c>
      <c r="BX12" s="2561">
        <v>0</v>
      </c>
      <c r="BY12" s="2561">
        <v>0</v>
      </c>
      <c r="BZ12" s="2560">
        <v>7</v>
      </c>
      <c r="CA12" s="2560">
        <v>15.155000000000001</v>
      </c>
      <c r="CB12" s="2560">
        <v>3.5</v>
      </c>
      <c r="CC12" s="2562" t="s">
        <v>66</v>
      </c>
      <c r="CD12" s="2524">
        <v>1490.5592000000001</v>
      </c>
      <c r="CE12" s="2525">
        <v>1</v>
      </c>
      <c r="CF12" s="2525">
        <v>1</v>
      </c>
      <c r="CG12" s="2525">
        <v>1</v>
      </c>
      <c r="CH12" s="2525">
        <v>1</v>
      </c>
      <c r="CI12" s="2525">
        <v>1</v>
      </c>
      <c r="CJ12" s="2525">
        <v>1</v>
      </c>
      <c r="CK12" s="2525">
        <v>1</v>
      </c>
      <c r="CL12" s="2525">
        <v>1</v>
      </c>
      <c r="CM12" s="2525">
        <v>1</v>
      </c>
      <c r="CN12" s="2525">
        <v>1</v>
      </c>
      <c r="CO12" s="2525">
        <v>1</v>
      </c>
      <c r="CP12" s="2525">
        <v>1</v>
      </c>
      <c r="CQ12" s="267"/>
      <c r="CR12" s="2531"/>
      <c r="CS12" s="267"/>
      <c r="CT12" s="267">
        <v>1490.5592000000001</v>
      </c>
      <c r="CU12" s="267">
        <v>1490.5592000000001</v>
      </c>
      <c r="CV12" s="267">
        <v>1490.5592000000001</v>
      </c>
      <c r="CW12" s="267">
        <v>1490.5592000000001</v>
      </c>
      <c r="CX12" s="267">
        <v>1490.5592000000001</v>
      </c>
      <c r="CY12" s="267">
        <v>1490.5592000000001</v>
      </c>
      <c r="CZ12" s="267">
        <v>1490.5592000000001</v>
      </c>
      <c r="DA12" s="267">
        <v>1490.5592000000001</v>
      </c>
      <c r="DB12" s="267">
        <v>1490.5592000000001</v>
      </c>
      <c r="DC12" s="267">
        <v>1490.5592000000001</v>
      </c>
      <c r="DD12" s="267">
        <v>1490.5592000000001</v>
      </c>
      <c r="DE12" s="267">
        <v>1490.5592000000001</v>
      </c>
      <c r="DF12" s="267"/>
      <c r="DG12" s="267"/>
      <c r="DH12" s="267"/>
      <c r="DI12" s="267"/>
      <c r="DJ12" s="267"/>
      <c r="DK12" s="267"/>
      <c r="DL12" s="267"/>
      <c r="DM12" s="267"/>
      <c r="DN12" s="267"/>
      <c r="DO12" s="267"/>
      <c r="DP12" s="267"/>
      <c r="DQ12" s="267"/>
      <c r="DR12" s="267"/>
    </row>
    <row r="13" spans="1:122" ht="18" customHeight="1">
      <c r="A13" s="729" t="s">
        <v>1422</v>
      </c>
      <c r="B13" s="1493"/>
      <c r="C13" s="592"/>
      <c r="D13" s="592">
        <v>1310</v>
      </c>
      <c r="E13" s="2791">
        <v>1310</v>
      </c>
      <c r="F13" s="592"/>
      <c r="G13" s="592"/>
      <c r="H13" s="592"/>
      <c r="I13" s="409">
        <v>125</v>
      </c>
      <c r="J13" s="409"/>
      <c r="K13" s="2799"/>
      <c r="L13" s="732">
        <v>12</v>
      </c>
      <c r="M13" s="2800">
        <v>1</v>
      </c>
      <c r="N13" s="733"/>
      <c r="O13" s="733"/>
      <c r="P13" s="733"/>
      <c r="Q13" s="733"/>
      <c r="R13" s="733"/>
      <c r="S13" s="733"/>
      <c r="T13" s="734"/>
      <c r="U13" s="734"/>
      <c r="V13" s="734"/>
      <c r="W13" s="734"/>
      <c r="X13" s="734"/>
      <c r="Y13" s="734"/>
      <c r="Z13" s="2656"/>
      <c r="AA13" s="537" t="s">
        <v>1422</v>
      </c>
      <c r="AB13" s="733"/>
      <c r="AC13" s="733"/>
      <c r="AD13" s="733"/>
      <c r="AE13" s="733">
        <v>8</v>
      </c>
      <c r="AF13" s="733">
        <v>8</v>
      </c>
      <c r="AG13" s="2503"/>
      <c r="AH13" s="733">
        <v>8</v>
      </c>
      <c r="AI13" s="733">
        <v>8</v>
      </c>
      <c r="AJ13" s="733"/>
      <c r="AK13" s="733">
        <v>4</v>
      </c>
      <c r="AL13" s="733">
        <v>8</v>
      </c>
      <c r="AM13" s="2503"/>
      <c r="AN13" s="733"/>
      <c r="AO13" s="733"/>
      <c r="AP13" s="733"/>
      <c r="AQ13" s="733"/>
      <c r="AR13" s="733"/>
      <c r="AS13" s="2503"/>
      <c r="AT13" s="733"/>
      <c r="AU13" s="733"/>
      <c r="AV13" s="733"/>
      <c r="AW13" s="733"/>
      <c r="AX13" s="733"/>
      <c r="AY13" s="2503"/>
      <c r="AZ13" s="2656"/>
      <c r="BA13" s="2507" t="s">
        <v>66</v>
      </c>
      <c r="BB13" s="1875">
        <v>22</v>
      </c>
      <c r="BC13" s="1875">
        <v>3</v>
      </c>
      <c r="BD13" s="537">
        <v>1320.4166666666667</v>
      </c>
      <c r="BE13" s="537">
        <v>95.26</v>
      </c>
      <c r="BF13" s="537">
        <v>13.861186927006788</v>
      </c>
      <c r="BG13" s="538">
        <v>12</v>
      </c>
      <c r="BH13" s="538">
        <v>129.89480399999999</v>
      </c>
      <c r="BI13" s="539">
        <v>0.55000000000000004</v>
      </c>
      <c r="BJ13" s="537">
        <v>15845</v>
      </c>
      <c r="BK13" s="537">
        <v>10.416666666666666</v>
      </c>
      <c r="BL13" s="2663" t="s">
        <v>525</v>
      </c>
      <c r="BM13" s="1871"/>
      <c r="BN13" s="2560">
        <v>16</v>
      </c>
      <c r="BO13" s="2560">
        <v>28</v>
      </c>
      <c r="BP13" s="2560">
        <v>0</v>
      </c>
      <c r="BQ13" s="2560">
        <v>0</v>
      </c>
      <c r="BR13" s="2560">
        <v>44</v>
      </c>
      <c r="BS13" s="2561">
        <v>2</v>
      </c>
      <c r="BT13" s="2560">
        <v>95.26</v>
      </c>
      <c r="BU13" s="2560">
        <v>22</v>
      </c>
      <c r="BV13" s="2561">
        <v>2</v>
      </c>
      <c r="BW13" s="2561">
        <v>4</v>
      </c>
      <c r="BX13" s="2561">
        <v>0</v>
      </c>
      <c r="BY13" s="2561">
        <v>0</v>
      </c>
      <c r="BZ13" s="2560">
        <v>6</v>
      </c>
      <c r="CA13" s="2560">
        <v>12.99</v>
      </c>
      <c r="CB13" s="2560">
        <v>3</v>
      </c>
      <c r="CC13" s="2562" t="s">
        <v>66</v>
      </c>
      <c r="CD13" s="2524">
        <v>1310</v>
      </c>
      <c r="CE13" s="2525">
        <v>1</v>
      </c>
      <c r="CF13" s="2525">
        <v>1</v>
      </c>
      <c r="CG13" s="2525">
        <v>1</v>
      </c>
      <c r="CH13" s="2525">
        <v>1</v>
      </c>
      <c r="CI13" s="2525">
        <v>1</v>
      </c>
      <c r="CJ13" s="2525">
        <v>1</v>
      </c>
      <c r="CK13" s="2525">
        <v>1</v>
      </c>
      <c r="CL13" s="2525">
        <v>1</v>
      </c>
      <c r="CM13" s="2525">
        <v>1</v>
      </c>
      <c r="CN13" s="2525">
        <v>1</v>
      </c>
      <c r="CO13" s="2525">
        <v>1</v>
      </c>
      <c r="CP13" s="2525">
        <v>1</v>
      </c>
      <c r="CQ13" s="267"/>
      <c r="CR13" s="2531"/>
      <c r="CS13" s="267"/>
      <c r="CT13" s="267">
        <v>1310</v>
      </c>
      <c r="CU13" s="267">
        <v>1310</v>
      </c>
      <c r="CV13" s="267">
        <v>1310</v>
      </c>
      <c r="CW13" s="267">
        <v>1310</v>
      </c>
      <c r="CX13" s="267">
        <v>1310</v>
      </c>
      <c r="CY13" s="267">
        <v>1310</v>
      </c>
      <c r="CZ13" s="267">
        <v>1310</v>
      </c>
      <c r="DA13" s="267">
        <v>1310</v>
      </c>
      <c r="DB13" s="267">
        <v>1310</v>
      </c>
      <c r="DC13" s="267">
        <v>1310</v>
      </c>
      <c r="DD13" s="267">
        <v>1310</v>
      </c>
      <c r="DE13" s="267">
        <v>1310</v>
      </c>
      <c r="DF13" s="267"/>
      <c r="DG13" s="267"/>
      <c r="DH13" s="267"/>
      <c r="DI13" s="267"/>
      <c r="DJ13" s="267"/>
      <c r="DK13" s="267"/>
      <c r="DL13" s="267"/>
      <c r="DM13" s="267"/>
      <c r="DN13" s="267"/>
      <c r="DO13" s="267"/>
      <c r="DP13" s="267"/>
      <c r="DQ13" s="267"/>
      <c r="DR13" s="267"/>
    </row>
    <row r="14" spans="1:122" ht="18" customHeight="1">
      <c r="A14" s="729" t="s">
        <v>1424</v>
      </c>
      <c r="B14" s="1493"/>
      <c r="C14" s="592"/>
      <c r="D14" s="592">
        <v>1040</v>
      </c>
      <c r="E14" s="2791">
        <v>1040</v>
      </c>
      <c r="F14" s="592"/>
      <c r="G14" s="592"/>
      <c r="H14" s="409"/>
      <c r="I14" s="409"/>
      <c r="J14" s="409"/>
      <c r="K14" s="2799"/>
      <c r="L14" s="732">
        <v>12</v>
      </c>
      <c r="M14" s="2800">
        <v>1</v>
      </c>
      <c r="N14" s="733"/>
      <c r="O14" s="733"/>
      <c r="P14" s="733"/>
      <c r="Q14" s="733"/>
      <c r="R14" s="733"/>
      <c r="S14" s="733"/>
      <c r="T14" s="734"/>
      <c r="U14" s="734"/>
      <c r="V14" s="734"/>
      <c r="W14" s="734"/>
      <c r="X14" s="734"/>
      <c r="Y14" s="734"/>
      <c r="Z14" s="2656"/>
      <c r="AA14" s="537" t="s">
        <v>1424</v>
      </c>
      <c r="AB14" s="733"/>
      <c r="AC14" s="733"/>
      <c r="AD14" s="733"/>
      <c r="AE14" s="733"/>
      <c r="AF14" s="733">
        <v>8</v>
      </c>
      <c r="AG14" s="2503">
        <v>8</v>
      </c>
      <c r="AH14" s="733"/>
      <c r="AI14" s="733"/>
      <c r="AJ14" s="733"/>
      <c r="AK14" s="733"/>
      <c r="AL14" s="733">
        <v>8</v>
      </c>
      <c r="AM14" s="2503">
        <v>8</v>
      </c>
      <c r="AN14" s="733"/>
      <c r="AO14" s="733"/>
      <c r="AP14" s="733"/>
      <c r="AQ14" s="733"/>
      <c r="AR14" s="733"/>
      <c r="AS14" s="2503"/>
      <c r="AT14" s="733"/>
      <c r="AU14" s="733"/>
      <c r="AV14" s="733"/>
      <c r="AW14" s="733"/>
      <c r="AX14" s="733"/>
      <c r="AY14" s="2503"/>
      <c r="AZ14" s="2656"/>
      <c r="BA14" s="2507" t="s">
        <v>66</v>
      </c>
      <c r="BB14" s="1875">
        <v>16</v>
      </c>
      <c r="BC14" s="1875">
        <v>2</v>
      </c>
      <c r="BD14" s="537">
        <v>1040</v>
      </c>
      <c r="BE14" s="537">
        <v>69.28</v>
      </c>
      <c r="BF14" s="537">
        <v>15.011547344110854</v>
      </c>
      <c r="BG14" s="538">
        <v>12</v>
      </c>
      <c r="BH14" s="538">
        <v>86.596536</v>
      </c>
      <c r="BI14" s="539">
        <v>0.4</v>
      </c>
      <c r="BJ14" s="537">
        <v>12480</v>
      </c>
      <c r="BK14" s="537">
        <v>0</v>
      </c>
      <c r="BL14" s="2663" t="s">
        <v>525</v>
      </c>
      <c r="BM14" s="1871"/>
      <c r="BN14" s="2560">
        <v>16</v>
      </c>
      <c r="BO14" s="2560">
        <v>16</v>
      </c>
      <c r="BP14" s="2560">
        <v>0</v>
      </c>
      <c r="BQ14" s="2560">
        <v>0</v>
      </c>
      <c r="BR14" s="2560">
        <v>32</v>
      </c>
      <c r="BS14" s="2561">
        <v>2</v>
      </c>
      <c r="BT14" s="2560">
        <v>69.28</v>
      </c>
      <c r="BU14" s="2560">
        <v>16</v>
      </c>
      <c r="BV14" s="2561">
        <v>2</v>
      </c>
      <c r="BW14" s="2561">
        <v>2</v>
      </c>
      <c r="BX14" s="2561">
        <v>0</v>
      </c>
      <c r="BY14" s="2561">
        <v>0</v>
      </c>
      <c r="BZ14" s="2560">
        <v>4</v>
      </c>
      <c r="CA14" s="2560">
        <v>8.66</v>
      </c>
      <c r="CB14" s="2560">
        <v>2</v>
      </c>
      <c r="CC14" s="2562" t="s">
        <v>66</v>
      </c>
      <c r="CD14" s="2524">
        <v>1040</v>
      </c>
      <c r="CE14" s="2525">
        <v>1</v>
      </c>
      <c r="CF14" s="2525">
        <v>1</v>
      </c>
      <c r="CG14" s="2525">
        <v>1</v>
      </c>
      <c r="CH14" s="2525">
        <v>1</v>
      </c>
      <c r="CI14" s="2525">
        <v>1</v>
      </c>
      <c r="CJ14" s="2525">
        <v>1</v>
      </c>
      <c r="CK14" s="2525">
        <v>1</v>
      </c>
      <c r="CL14" s="2525">
        <v>1</v>
      </c>
      <c r="CM14" s="2525">
        <v>1</v>
      </c>
      <c r="CN14" s="2525">
        <v>1</v>
      </c>
      <c r="CO14" s="2525">
        <v>1</v>
      </c>
      <c r="CP14" s="2525">
        <v>1</v>
      </c>
      <c r="CQ14" s="267"/>
      <c r="CR14" s="2531"/>
      <c r="CS14" s="267"/>
      <c r="CT14" s="267">
        <v>1040</v>
      </c>
      <c r="CU14" s="267">
        <v>1040</v>
      </c>
      <c r="CV14" s="267">
        <v>1040</v>
      </c>
      <c r="CW14" s="267">
        <v>1040</v>
      </c>
      <c r="CX14" s="267">
        <v>1040</v>
      </c>
      <c r="CY14" s="267">
        <v>1040</v>
      </c>
      <c r="CZ14" s="267">
        <v>1040</v>
      </c>
      <c r="DA14" s="267">
        <v>1040</v>
      </c>
      <c r="DB14" s="267">
        <v>1040</v>
      </c>
      <c r="DC14" s="267">
        <v>1040</v>
      </c>
      <c r="DD14" s="267">
        <v>1040</v>
      </c>
      <c r="DE14" s="267">
        <v>1040</v>
      </c>
      <c r="DF14" s="267"/>
      <c r="DG14" s="267"/>
      <c r="DH14" s="267"/>
      <c r="DI14" s="267"/>
      <c r="DJ14" s="267"/>
      <c r="DK14" s="267"/>
      <c r="DL14" s="267"/>
      <c r="DM14" s="267"/>
      <c r="DN14" s="267"/>
      <c r="DO14" s="267"/>
      <c r="DP14" s="267"/>
      <c r="DQ14" s="267"/>
      <c r="DR14" s="267"/>
    </row>
    <row r="15" spans="1:122" ht="18" customHeight="1">
      <c r="A15" s="729" t="s">
        <v>1418</v>
      </c>
      <c r="B15" s="1493"/>
      <c r="C15" s="592"/>
      <c r="D15" s="592">
        <v>1350</v>
      </c>
      <c r="E15" s="2791">
        <v>1350</v>
      </c>
      <c r="F15" s="592"/>
      <c r="G15" s="592"/>
      <c r="H15" s="592"/>
      <c r="I15" s="409"/>
      <c r="J15" s="409"/>
      <c r="K15" s="2799"/>
      <c r="L15" s="732">
        <v>12</v>
      </c>
      <c r="M15" s="2800">
        <v>1</v>
      </c>
      <c r="N15" s="733"/>
      <c r="O15" s="733"/>
      <c r="P15" s="733"/>
      <c r="Q15" s="733"/>
      <c r="R15" s="733"/>
      <c r="S15" s="733"/>
      <c r="T15" s="734"/>
      <c r="U15" s="734"/>
      <c r="V15" s="734"/>
      <c r="W15" s="734"/>
      <c r="X15" s="734"/>
      <c r="Y15" s="734"/>
      <c r="Z15" s="2656"/>
      <c r="AA15" s="537" t="s">
        <v>1418</v>
      </c>
      <c r="AB15" s="733"/>
      <c r="AC15" s="733">
        <v>7</v>
      </c>
      <c r="AD15" s="733">
        <v>7</v>
      </c>
      <c r="AE15" s="733">
        <v>7</v>
      </c>
      <c r="AF15" s="733"/>
      <c r="AG15" s="2503">
        <v>7</v>
      </c>
      <c r="AH15" s="733"/>
      <c r="AI15" s="733"/>
      <c r="AJ15" s="733">
        <v>7</v>
      </c>
      <c r="AK15" s="733">
        <v>7</v>
      </c>
      <c r="AL15" s="733"/>
      <c r="AM15" s="2503"/>
      <c r="AN15" s="733"/>
      <c r="AO15" s="733"/>
      <c r="AP15" s="733"/>
      <c r="AQ15" s="733"/>
      <c r="AR15" s="733"/>
      <c r="AS15" s="2503"/>
      <c r="AT15" s="733"/>
      <c r="AU15" s="733"/>
      <c r="AV15" s="733"/>
      <c r="AW15" s="733"/>
      <c r="AX15" s="733"/>
      <c r="AY15" s="2503"/>
      <c r="AZ15" s="2656"/>
      <c r="BA15" s="2507" t="s">
        <v>66</v>
      </c>
      <c r="BB15" s="1875">
        <v>21</v>
      </c>
      <c r="BC15" s="1875">
        <v>3</v>
      </c>
      <c r="BD15" s="537">
        <v>1350</v>
      </c>
      <c r="BE15" s="537">
        <v>90.93</v>
      </c>
      <c r="BF15" s="537">
        <v>14.846585285384361</v>
      </c>
      <c r="BG15" s="538">
        <v>12</v>
      </c>
      <c r="BH15" s="538">
        <v>129.89480399999999</v>
      </c>
      <c r="BI15" s="539">
        <v>0.52500000000000002</v>
      </c>
      <c r="BJ15" s="537">
        <v>16200</v>
      </c>
      <c r="BK15" s="537">
        <v>0</v>
      </c>
      <c r="BL15" s="2663" t="s">
        <v>525</v>
      </c>
      <c r="BM15" s="1871"/>
      <c r="BN15" s="2560">
        <v>28</v>
      </c>
      <c r="BO15" s="2560">
        <v>14</v>
      </c>
      <c r="BP15" s="2560">
        <v>0</v>
      </c>
      <c r="BQ15" s="2560">
        <v>0</v>
      </c>
      <c r="BR15" s="2560">
        <v>42</v>
      </c>
      <c r="BS15" s="2561">
        <v>2</v>
      </c>
      <c r="BT15" s="2560">
        <v>90.93</v>
      </c>
      <c r="BU15" s="2560">
        <v>21</v>
      </c>
      <c r="BV15" s="2561">
        <v>4</v>
      </c>
      <c r="BW15" s="2561">
        <v>2</v>
      </c>
      <c r="BX15" s="2561">
        <v>0</v>
      </c>
      <c r="BY15" s="2561">
        <v>0</v>
      </c>
      <c r="BZ15" s="2560">
        <v>6</v>
      </c>
      <c r="CA15" s="2560">
        <v>12.99</v>
      </c>
      <c r="CB15" s="2560">
        <v>3</v>
      </c>
      <c r="CC15" s="2562" t="s">
        <v>66</v>
      </c>
      <c r="CD15" s="2524">
        <v>1350</v>
      </c>
      <c r="CE15" s="2525">
        <v>1</v>
      </c>
      <c r="CF15" s="2525">
        <v>1</v>
      </c>
      <c r="CG15" s="2525">
        <v>1</v>
      </c>
      <c r="CH15" s="2525">
        <v>1</v>
      </c>
      <c r="CI15" s="2525">
        <v>1</v>
      </c>
      <c r="CJ15" s="2525">
        <v>1</v>
      </c>
      <c r="CK15" s="2525">
        <v>1</v>
      </c>
      <c r="CL15" s="2525">
        <v>1</v>
      </c>
      <c r="CM15" s="2525">
        <v>1</v>
      </c>
      <c r="CN15" s="2525">
        <v>1</v>
      </c>
      <c r="CO15" s="2525">
        <v>1</v>
      </c>
      <c r="CP15" s="2525">
        <v>1</v>
      </c>
      <c r="CQ15" s="267"/>
      <c r="CR15" s="2531"/>
      <c r="CS15" s="267"/>
      <c r="CT15" s="267">
        <v>1350</v>
      </c>
      <c r="CU15" s="267">
        <v>1350</v>
      </c>
      <c r="CV15" s="267">
        <v>1350</v>
      </c>
      <c r="CW15" s="267">
        <v>1350</v>
      </c>
      <c r="CX15" s="267">
        <v>1350</v>
      </c>
      <c r="CY15" s="267">
        <v>1350</v>
      </c>
      <c r="CZ15" s="267">
        <v>1350</v>
      </c>
      <c r="DA15" s="267">
        <v>1350</v>
      </c>
      <c r="DB15" s="267">
        <v>1350</v>
      </c>
      <c r="DC15" s="267">
        <v>1350</v>
      </c>
      <c r="DD15" s="267">
        <v>1350</v>
      </c>
      <c r="DE15" s="267">
        <v>1350</v>
      </c>
      <c r="DF15" s="267"/>
      <c r="DG15" s="267"/>
      <c r="DH15" s="267"/>
      <c r="DI15" s="267"/>
      <c r="DJ15" s="267"/>
      <c r="DK15" s="267"/>
      <c r="DL15" s="267"/>
      <c r="DM15" s="267"/>
      <c r="DN15" s="267"/>
      <c r="DO15" s="267"/>
      <c r="DP15" s="267"/>
      <c r="DQ15" s="267"/>
      <c r="DR15" s="267"/>
    </row>
    <row r="16" spans="1:122" ht="18" customHeight="1">
      <c r="A16" s="731"/>
      <c r="B16" s="1493"/>
      <c r="C16" s="592"/>
      <c r="D16" s="592"/>
      <c r="E16" s="2791" t="s">
        <v>525</v>
      </c>
      <c r="F16" s="592"/>
      <c r="G16" s="592"/>
      <c r="H16" s="409"/>
      <c r="I16" s="409"/>
      <c r="J16" s="409"/>
      <c r="K16" s="2799"/>
      <c r="L16" s="732"/>
      <c r="M16" s="2800">
        <v>0</v>
      </c>
      <c r="N16" s="733"/>
      <c r="O16" s="733"/>
      <c r="P16" s="733"/>
      <c r="Q16" s="733"/>
      <c r="R16" s="733"/>
      <c r="S16" s="733"/>
      <c r="T16" s="734"/>
      <c r="U16" s="734"/>
      <c r="V16" s="734"/>
      <c r="W16" s="734"/>
      <c r="X16" s="734"/>
      <c r="Y16" s="734"/>
      <c r="Z16" s="2656"/>
      <c r="AA16" s="537" t="s">
        <v>525</v>
      </c>
      <c r="AB16" s="733"/>
      <c r="AC16" s="733"/>
      <c r="AD16" s="733"/>
      <c r="AE16" s="733"/>
      <c r="AF16" s="733"/>
      <c r="AG16" s="2503"/>
      <c r="AH16" s="733"/>
      <c r="AI16" s="733"/>
      <c r="AJ16" s="733"/>
      <c r="AK16" s="733"/>
      <c r="AL16" s="733"/>
      <c r="AM16" s="2503"/>
      <c r="AN16" s="733"/>
      <c r="AO16" s="733"/>
      <c r="AP16" s="733"/>
      <c r="AQ16" s="733"/>
      <c r="AR16" s="733"/>
      <c r="AS16" s="2503"/>
      <c r="AT16" s="733"/>
      <c r="AU16" s="733"/>
      <c r="AV16" s="733"/>
      <c r="AW16" s="733"/>
      <c r="AX16" s="733"/>
      <c r="AY16" s="2503"/>
      <c r="AZ16" s="2656"/>
      <c r="BA16" s="2507" t="s">
        <v>525</v>
      </c>
      <c r="BB16" s="1875" t="s">
        <v>525</v>
      </c>
      <c r="BC16" s="1875" t="s">
        <v>525</v>
      </c>
      <c r="BD16" s="537" t="s">
        <v>525</v>
      </c>
      <c r="BE16" s="537" t="s">
        <v>525</v>
      </c>
      <c r="BF16" s="537" t="s">
        <v>525</v>
      </c>
      <c r="BG16" s="538" t="s">
        <v>525</v>
      </c>
      <c r="BH16" s="538" t="s">
        <v>525</v>
      </c>
      <c r="BI16" s="539" t="s">
        <v>525</v>
      </c>
      <c r="BJ16" s="537" t="s">
        <v>525</v>
      </c>
      <c r="BK16" s="537">
        <v>0</v>
      </c>
      <c r="BL16" s="2663" t="s">
        <v>525</v>
      </c>
      <c r="BM16" s="1871"/>
      <c r="BN16" s="2560">
        <v>0</v>
      </c>
      <c r="BO16" s="2560">
        <v>0</v>
      </c>
      <c r="BP16" s="2560">
        <v>0</v>
      </c>
      <c r="BQ16" s="2560">
        <v>0</v>
      </c>
      <c r="BR16" s="2560">
        <v>0</v>
      </c>
      <c r="BS16" s="2561">
        <v>0</v>
      </c>
      <c r="BT16" s="2560" t="s">
        <v>525</v>
      </c>
      <c r="BU16" s="2560" t="s">
        <v>525</v>
      </c>
      <c r="BV16" s="2561">
        <v>0</v>
      </c>
      <c r="BW16" s="2561">
        <v>0</v>
      </c>
      <c r="BX16" s="2561">
        <v>0</v>
      </c>
      <c r="BY16" s="2561">
        <v>0</v>
      </c>
      <c r="BZ16" s="2560">
        <v>0</v>
      </c>
      <c r="CA16" s="2560" t="s">
        <v>525</v>
      </c>
      <c r="CB16" s="2560" t="s">
        <v>525</v>
      </c>
      <c r="CC16" s="2562" t="s">
        <v>525</v>
      </c>
      <c r="CD16" s="2524" t="s">
        <v>525</v>
      </c>
      <c r="CE16" s="2525">
        <v>0</v>
      </c>
      <c r="CF16" s="2525">
        <v>0</v>
      </c>
      <c r="CG16" s="2525">
        <v>0</v>
      </c>
      <c r="CH16" s="2525">
        <v>0</v>
      </c>
      <c r="CI16" s="2525">
        <v>0</v>
      </c>
      <c r="CJ16" s="2525">
        <v>0</v>
      </c>
      <c r="CK16" s="2525">
        <v>0</v>
      </c>
      <c r="CL16" s="2525">
        <v>0</v>
      </c>
      <c r="CM16" s="2525">
        <v>0</v>
      </c>
      <c r="CN16" s="2525">
        <v>0</v>
      </c>
      <c r="CO16" s="2525">
        <v>0</v>
      </c>
      <c r="CP16" s="2525">
        <v>0</v>
      </c>
      <c r="CQ16" s="267"/>
      <c r="CR16" s="2531"/>
      <c r="CS16" s="267"/>
      <c r="CT16" s="267">
        <v>0</v>
      </c>
      <c r="CU16" s="267">
        <v>0</v>
      </c>
      <c r="CV16" s="267">
        <v>0</v>
      </c>
      <c r="CW16" s="267">
        <v>0</v>
      </c>
      <c r="CX16" s="267">
        <v>0</v>
      </c>
      <c r="CY16" s="267">
        <v>0</v>
      </c>
      <c r="CZ16" s="267">
        <v>0</v>
      </c>
      <c r="DA16" s="267">
        <v>0</v>
      </c>
      <c r="DB16" s="267">
        <v>0</v>
      </c>
      <c r="DC16" s="267">
        <v>0</v>
      </c>
      <c r="DD16" s="267">
        <v>0</v>
      </c>
      <c r="DE16" s="267">
        <v>0</v>
      </c>
      <c r="DF16" s="267"/>
      <c r="DG16" s="267"/>
      <c r="DH16" s="267"/>
      <c r="DI16" s="267"/>
      <c r="DJ16" s="267"/>
      <c r="DK16" s="267"/>
      <c r="DL16" s="267"/>
      <c r="DM16" s="267"/>
      <c r="DN16" s="267"/>
      <c r="DO16" s="267"/>
      <c r="DP16" s="267"/>
      <c r="DQ16" s="267"/>
      <c r="DR16" s="267"/>
    </row>
    <row r="17" spans="1:122" ht="18" customHeight="1">
      <c r="A17" s="729" t="s">
        <v>1423</v>
      </c>
      <c r="B17" s="1493">
        <v>23.5</v>
      </c>
      <c r="C17" s="592">
        <v>13.04</v>
      </c>
      <c r="D17" s="592"/>
      <c r="E17" s="2791">
        <v>1326.8851999999999</v>
      </c>
      <c r="F17" s="592"/>
      <c r="G17" s="592"/>
      <c r="H17" s="409"/>
      <c r="I17" s="409"/>
      <c r="J17" s="409"/>
      <c r="K17" s="2799"/>
      <c r="L17" s="732"/>
      <c r="M17" s="2800">
        <v>0</v>
      </c>
      <c r="N17" s="733">
        <v>1</v>
      </c>
      <c r="O17" s="733">
        <v>1</v>
      </c>
      <c r="P17" s="733">
        <v>1</v>
      </c>
      <c r="Q17" s="733">
        <v>1</v>
      </c>
      <c r="R17" s="733">
        <v>1</v>
      </c>
      <c r="S17" s="733">
        <v>1</v>
      </c>
      <c r="T17" s="734">
        <v>1</v>
      </c>
      <c r="U17" s="734"/>
      <c r="V17" s="734"/>
      <c r="W17" s="734"/>
      <c r="X17" s="734"/>
      <c r="Y17" s="734"/>
      <c r="Z17" s="2656"/>
      <c r="AA17" s="537" t="s">
        <v>1423</v>
      </c>
      <c r="AB17" s="733"/>
      <c r="AC17" s="733"/>
      <c r="AD17" s="733"/>
      <c r="AE17" s="733">
        <v>8</v>
      </c>
      <c r="AF17" s="733">
        <v>8</v>
      </c>
      <c r="AG17" s="2503">
        <v>7.5</v>
      </c>
      <c r="AH17" s="733"/>
      <c r="AI17" s="733"/>
      <c r="AJ17" s="733"/>
      <c r="AK17" s="733"/>
      <c r="AL17" s="733"/>
      <c r="AM17" s="2503"/>
      <c r="AN17" s="733"/>
      <c r="AO17" s="733"/>
      <c r="AP17" s="733"/>
      <c r="AQ17" s="733"/>
      <c r="AR17" s="733"/>
      <c r="AS17" s="2503"/>
      <c r="AT17" s="733"/>
      <c r="AU17" s="733"/>
      <c r="AV17" s="733"/>
      <c r="AW17" s="733"/>
      <c r="AX17" s="733"/>
      <c r="AY17" s="2503"/>
      <c r="AZ17" s="2656"/>
      <c r="BA17" s="2507" t="s">
        <v>525</v>
      </c>
      <c r="BB17" s="1875">
        <v>23.5</v>
      </c>
      <c r="BC17" s="1875">
        <v>3</v>
      </c>
      <c r="BD17" s="537">
        <v>1326.8851999999999</v>
      </c>
      <c r="BE17" s="537">
        <v>101.755</v>
      </c>
      <c r="BF17" s="537">
        <v>13.04</v>
      </c>
      <c r="BG17" s="538">
        <v>7</v>
      </c>
      <c r="BH17" s="538">
        <v>75.771968999999999</v>
      </c>
      <c r="BI17" s="539">
        <v>0.34270833333333334</v>
      </c>
      <c r="BJ17" s="537">
        <v>9288.1963999999989</v>
      </c>
      <c r="BK17" s="537">
        <v>0</v>
      </c>
      <c r="BL17" s="2663" t="s">
        <v>525</v>
      </c>
      <c r="BM17" s="1871"/>
      <c r="BN17" s="2560">
        <v>23.5</v>
      </c>
      <c r="BO17" s="2560">
        <v>0</v>
      </c>
      <c r="BP17" s="2560">
        <v>0</v>
      </c>
      <c r="BQ17" s="2560">
        <v>0</v>
      </c>
      <c r="BR17" s="2560">
        <v>23.5</v>
      </c>
      <c r="BS17" s="2561">
        <v>1</v>
      </c>
      <c r="BT17" s="2560">
        <v>101.755</v>
      </c>
      <c r="BU17" s="2560">
        <v>23.5</v>
      </c>
      <c r="BV17" s="2561">
        <v>3</v>
      </c>
      <c r="BW17" s="2561">
        <v>0</v>
      </c>
      <c r="BX17" s="2561">
        <v>0</v>
      </c>
      <c r="BY17" s="2561">
        <v>0</v>
      </c>
      <c r="BZ17" s="2560">
        <v>3</v>
      </c>
      <c r="CA17" s="2560">
        <v>12.99</v>
      </c>
      <c r="CB17" s="2560">
        <v>3</v>
      </c>
      <c r="CC17" s="2562" t="s">
        <v>525</v>
      </c>
      <c r="CD17" s="2524">
        <v>1326.8851999999999</v>
      </c>
      <c r="CE17" s="2525">
        <v>1</v>
      </c>
      <c r="CF17" s="2525">
        <v>1</v>
      </c>
      <c r="CG17" s="2525">
        <v>1</v>
      </c>
      <c r="CH17" s="2525">
        <v>1</v>
      </c>
      <c r="CI17" s="2525">
        <v>1</v>
      </c>
      <c r="CJ17" s="2525">
        <v>1</v>
      </c>
      <c r="CK17" s="2525">
        <v>1</v>
      </c>
      <c r="CL17" s="2525">
        <v>0</v>
      </c>
      <c r="CM17" s="2525">
        <v>0</v>
      </c>
      <c r="CN17" s="2525">
        <v>0</v>
      </c>
      <c r="CO17" s="2525">
        <v>0</v>
      </c>
      <c r="CP17" s="2525">
        <v>0</v>
      </c>
      <c r="CQ17" s="267"/>
      <c r="CR17" s="2531"/>
      <c r="CS17" s="267"/>
      <c r="CT17" s="267">
        <v>1326.8851999999999</v>
      </c>
      <c r="CU17" s="267">
        <v>1326.8851999999999</v>
      </c>
      <c r="CV17" s="267">
        <v>1326.8851999999999</v>
      </c>
      <c r="CW17" s="267">
        <v>1326.8851999999999</v>
      </c>
      <c r="CX17" s="267">
        <v>1326.8851999999999</v>
      </c>
      <c r="CY17" s="267">
        <v>1326.8851999999999</v>
      </c>
      <c r="CZ17" s="267">
        <v>1326.8851999999999</v>
      </c>
      <c r="DA17" s="267">
        <v>0</v>
      </c>
      <c r="DB17" s="267">
        <v>0</v>
      </c>
      <c r="DC17" s="267">
        <v>0</v>
      </c>
      <c r="DD17" s="267">
        <v>0</v>
      </c>
      <c r="DE17" s="267">
        <v>0</v>
      </c>
      <c r="DF17" s="267"/>
      <c r="DG17" s="267"/>
      <c r="DH17" s="267"/>
      <c r="DI17" s="267"/>
      <c r="DJ17" s="267"/>
      <c r="DK17" s="267"/>
      <c r="DL17" s="267"/>
      <c r="DM17" s="267"/>
      <c r="DN17" s="267"/>
      <c r="DO17" s="267"/>
      <c r="DP17" s="267"/>
      <c r="DQ17" s="267"/>
      <c r="DR17" s="267"/>
    </row>
    <row r="18" spans="1:122" ht="18" customHeight="1">
      <c r="A18" s="729" t="s">
        <v>1423</v>
      </c>
      <c r="B18" s="1493"/>
      <c r="C18" s="592"/>
      <c r="D18" s="592">
        <v>1600</v>
      </c>
      <c r="E18" s="2791">
        <v>1600</v>
      </c>
      <c r="F18" s="592"/>
      <c r="G18" s="592"/>
      <c r="H18" s="409"/>
      <c r="I18" s="409"/>
      <c r="J18" s="409"/>
      <c r="K18" s="2799"/>
      <c r="L18" s="732"/>
      <c r="M18" s="2800">
        <v>1</v>
      </c>
      <c r="N18" s="733"/>
      <c r="O18" s="733"/>
      <c r="P18" s="734"/>
      <c r="Q18" s="734"/>
      <c r="R18" s="733"/>
      <c r="S18" s="733"/>
      <c r="T18" s="733"/>
      <c r="U18" s="733">
        <v>1</v>
      </c>
      <c r="V18" s="734">
        <v>1</v>
      </c>
      <c r="W18" s="734">
        <v>1</v>
      </c>
      <c r="X18" s="734">
        <v>1</v>
      </c>
      <c r="Y18" s="734">
        <v>1</v>
      </c>
      <c r="Z18" s="2656"/>
      <c r="AA18" s="537" t="s">
        <v>1423</v>
      </c>
      <c r="AB18" s="733"/>
      <c r="AC18" s="733"/>
      <c r="AD18" s="733"/>
      <c r="AE18" s="733">
        <v>8</v>
      </c>
      <c r="AF18" s="733">
        <v>8</v>
      </c>
      <c r="AG18" s="2503">
        <v>7.5</v>
      </c>
      <c r="AH18" s="733"/>
      <c r="AI18" s="733"/>
      <c r="AJ18" s="733">
        <v>4</v>
      </c>
      <c r="AK18" s="733">
        <v>8</v>
      </c>
      <c r="AL18" s="733">
        <v>8</v>
      </c>
      <c r="AM18" s="2503">
        <v>7.5</v>
      </c>
      <c r="AN18" s="733"/>
      <c r="AO18" s="733"/>
      <c r="AP18" s="733"/>
      <c r="AQ18" s="733"/>
      <c r="AR18" s="733"/>
      <c r="AS18" s="2503"/>
      <c r="AT18" s="733"/>
      <c r="AU18" s="733"/>
      <c r="AV18" s="733"/>
      <c r="AW18" s="733"/>
      <c r="AX18" s="733"/>
      <c r="AY18" s="2503"/>
      <c r="AZ18" s="2656"/>
      <c r="BA18" s="2507" t="s">
        <v>66</v>
      </c>
      <c r="BB18" s="1875">
        <v>25.5</v>
      </c>
      <c r="BC18" s="1875">
        <v>3.5</v>
      </c>
      <c r="BD18" s="537">
        <v>1600</v>
      </c>
      <c r="BE18" s="537">
        <v>110.41500000000001</v>
      </c>
      <c r="BF18" s="537">
        <v>14.490784766562513</v>
      </c>
      <c r="BG18" s="538">
        <v>5</v>
      </c>
      <c r="BH18" s="538">
        <v>63.143307499999999</v>
      </c>
      <c r="BI18" s="539">
        <v>0.265625</v>
      </c>
      <c r="BJ18" s="537">
        <v>8000</v>
      </c>
      <c r="BK18" s="537">
        <v>0</v>
      </c>
      <c r="BL18" s="2663" t="s">
        <v>525</v>
      </c>
      <c r="BM18" s="1871"/>
      <c r="BN18" s="2560">
        <v>23.5</v>
      </c>
      <c r="BO18" s="2560">
        <v>27.5</v>
      </c>
      <c r="BP18" s="2560">
        <v>0</v>
      </c>
      <c r="BQ18" s="2560">
        <v>0</v>
      </c>
      <c r="BR18" s="2560">
        <v>51</v>
      </c>
      <c r="BS18" s="2561">
        <v>2</v>
      </c>
      <c r="BT18" s="2560">
        <v>110.41500000000001</v>
      </c>
      <c r="BU18" s="2560">
        <v>25.5</v>
      </c>
      <c r="BV18" s="2561">
        <v>3</v>
      </c>
      <c r="BW18" s="2561">
        <v>4</v>
      </c>
      <c r="BX18" s="2561">
        <v>0</v>
      </c>
      <c r="BY18" s="2561">
        <v>0</v>
      </c>
      <c r="BZ18" s="2560">
        <v>7</v>
      </c>
      <c r="CA18" s="2560">
        <v>15.155000000000001</v>
      </c>
      <c r="CB18" s="2560">
        <v>3.5</v>
      </c>
      <c r="CC18" s="2562" t="s">
        <v>66</v>
      </c>
      <c r="CD18" s="2524">
        <v>1600</v>
      </c>
      <c r="CE18" s="2525">
        <v>0</v>
      </c>
      <c r="CF18" s="2525">
        <v>0</v>
      </c>
      <c r="CG18" s="2525">
        <v>0</v>
      </c>
      <c r="CH18" s="2525">
        <v>0</v>
      </c>
      <c r="CI18" s="2525">
        <v>0</v>
      </c>
      <c r="CJ18" s="2525">
        <v>0</v>
      </c>
      <c r="CK18" s="2525">
        <v>0</v>
      </c>
      <c r="CL18" s="2525">
        <v>1</v>
      </c>
      <c r="CM18" s="2525">
        <v>1</v>
      </c>
      <c r="CN18" s="2525">
        <v>1</v>
      </c>
      <c r="CO18" s="2525">
        <v>1</v>
      </c>
      <c r="CP18" s="2525">
        <v>1</v>
      </c>
      <c r="CQ18" s="267"/>
      <c r="CR18" s="2531"/>
      <c r="CS18" s="267"/>
      <c r="CT18" s="267">
        <v>0</v>
      </c>
      <c r="CU18" s="267">
        <v>0</v>
      </c>
      <c r="CV18" s="267">
        <v>0</v>
      </c>
      <c r="CW18" s="267">
        <v>0</v>
      </c>
      <c r="CX18" s="267">
        <v>0</v>
      </c>
      <c r="CY18" s="267">
        <v>0</v>
      </c>
      <c r="CZ18" s="267">
        <v>0</v>
      </c>
      <c r="DA18" s="267">
        <v>1600</v>
      </c>
      <c r="DB18" s="267">
        <v>1600</v>
      </c>
      <c r="DC18" s="267">
        <v>1600</v>
      </c>
      <c r="DD18" s="267">
        <v>1600</v>
      </c>
      <c r="DE18" s="267">
        <v>1600</v>
      </c>
      <c r="DF18" s="267"/>
      <c r="DG18" s="267"/>
      <c r="DH18" s="267"/>
      <c r="DI18" s="267"/>
      <c r="DJ18" s="267"/>
      <c r="DK18" s="267"/>
      <c r="DL18" s="267"/>
      <c r="DM18" s="267"/>
      <c r="DN18" s="267"/>
      <c r="DO18" s="267"/>
      <c r="DP18" s="267"/>
      <c r="DQ18" s="267"/>
      <c r="DR18" s="267"/>
    </row>
    <row r="19" spans="1:122" ht="18" customHeight="1">
      <c r="A19" s="729"/>
      <c r="B19" s="1493"/>
      <c r="C19" s="592"/>
      <c r="D19" s="592"/>
      <c r="E19" s="2791" t="s">
        <v>525</v>
      </c>
      <c r="F19" s="592"/>
      <c r="G19" s="592"/>
      <c r="H19" s="409"/>
      <c r="I19" s="409"/>
      <c r="J19" s="409"/>
      <c r="K19" s="2799"/>
      <c r="L19" s="732"/>
      <c r="M19" s="2800">
        <v>0</v>
      </c>
      <c r="N19" s="733"/>
      <c r="O19" s="733"/>
      <c r="P19" s="733"/>
      <c r="Q19" s="733"/>
      <c r="R19" s="733"/>
      <c r="S19" s="733"/>
      <c r="T19" s="733"/>
      <c r="U19" s="733"/>
      <c r="V19" s="733"/>
      <c r="W19" s="733"/>
      <c r="X19" s="733"/>
      <c r="Y19" s="734"/>
      <c r="Z19" s="2656"/>
      <c r="AA19" s="537" t="s">
        <v>525</v>
      </c>
      <c r="AB19" s="733"/>
      <c r="AC19" s="733"/>
      <c r="AD19" s="733"/>
      <c r="AE19" s="733"/>
      <c r="AF19" s="733"/>
      <c r="AG19" s="2503"/>
      <c r="AH19" s="733"/>
      <c r="AI19" s="733"/>
      <c r="AJ19" s="733"/>
      <c r="AK19" s="733"/>
      <c r="AL19" s="733"/>
      <c r="AM19" s="2503"/>
      <c r="AN19" s="733"/>
      <c r="AO19" s="733"/>
      <c r="AP19" s="733"/>
      <c r="AQ19" s="733"/>
      <c r="AR19" s="733"/>
      <c r="AS19" s="2503"/>
      <c r="AT19" s="733"/>
      <c r="AU19" s="733"/>
      <c r="AV19" s="733"/>
      <c r="AW19" s="733"/>
      <c r="AX19" s="733"/>
      <c r="AY19" s="2503"/>
      <c r="AZ19" s="2656"/>
      <c r="BA19" s="2507" t="s">
        <v>525</v>
      </c>
      <c r="BB19" s="1875" t="s">
        <v>525</v>
      </c>
      <c r="BC19" s="1875" t="s">
        <v>525</v>
      </c>
      <c r="BD19" s="537" t="s">
        <v>525</v>
      </c>
      <c r="BE19" s="537" t="s">
        <v>525</v>
      </c>
      <c r="BF19" s="537" t="s">
        <v>525</v>
      </c>
      <c r="BG19" s="538" t="s">
        <v>525</v>
      </c>
      <c r="BH19" s="538" t="s">
        <v>525</v>
      </c>
      <c r="BI19" s="539" t="s">
        <v>525</v>
      </c>
      <c r="BJ19" s="537" t="s">
        <v>525</v>
      </c>
      <c r="BK19" s="537">
        <v>0</v>
      </c>
      <c r="BL19" s="2663" t="s">
        <v>525</v>
      </c>
      <c r="BM19" s="1871"/>
      <c r="BN19" s="2560">
        <v>0</v>
      </c>
      <c r="BO19" s="2560">
        <v>0</v>
      </c>
      <c r="BP19" s="2560">
        <v>0</v>
      </c>
      <c r="BQ19" s="2560">
        <v>0</v>
      </c>
      <c r="BR19" s="2560">
        <v>0</v>
      </c>
      <c r="BS19" s="2561">
        <v>0</v>
      </c>
      <c r="BT19" s="2560" t="s">
        <v>525</v>
      </c>
      <c r="BU19" s="2560" t="s">
        <v>525</v>
      </c>
      <c r="BV19" s="2561">
        <v>0</v>
      </c>
      <c r="BW19" s="2561">
        <v>0</v>
      </c>
      <c r="BX19" s="2561">
        <v>0</v>
      </c>
      <c r="BY19" s="2561">
        <v>0</v>
      </c>
      <c r="BZ19" s="2560">
        <v>0</v>
      </c>
      <c r="CA19" s="2560" t="s">
        <v>525</v>
      </c>
      <c r="CB19" s="2560" t="s">
        <v>525</v>
      </c>
      <c r="CC19" s="2562" t="s">
        <v>525</v>
      </c>
      <c r="CD19" s="2524" t="s">
        <v>525</v>
      </c>
      <c r="CE19" s="2525">
        <v>0</v>
      </c>
      <c r="CF19" s="2525">
        <v>0</v>
      </c>
      <c r="CG19" s="2525">
        <v>0</v>
      </c>
      <c r="CH19" s="2525">
        <v>0</v>
      </c>
      <c r="CI19" s="2525">
        <v>0</v>
      </c>
      <c r="CJ19" s="2525">
        <v>0</v>
      </c>
      <c r="CK19" s="2525">
        <v>0</v>
      </c>
      <c r="CL19" s="2525">
        <v>0</v>
      </c>
      <c r="CM19" s="2525">
        <v>0</v>
      </c>
      <c r="CN19" s="2525">
        <v>0</v>
      </c>
      <c r="CO19" s="2525">
        <v>0</v>
      </c>
      <c r="CP19" s="2525">
        <v>0</v>
      </c>
      <c r="CQ19" s="267"/>
      <c r="CR19" s="2531"/>
      <c r="CS19" s="267"/>
      <c r="CT19" s="267">
        <v>0</v>
      </c>
      <c r="CU19" s="267">
        <v>0</v>
      </c>
      <c r="CV19" s="267">
        <v>0</v>
      </c>
      <c r="CW19" s="267">
        <v>0</v>
      </c>
      <c r="CX19" s="267">
        <v>0</v>
      </c>
      <c r="CY19" s="267">
        <v>0</v>
      </c>
      <c r="CZ19" s="267">
        <v>0</v>
      </c>
      <c r="DA19" s="267">
        <v>0</v>
      </c>
      <c r="DB19" s="267">
        <v>0</v>
      </c>
      <c r="DC19" s="267">
        <v>0</v>
      </c>
      <c r="DD19" s="267">
        <v>0</v>
      </c>
      <c r="DE19" s="267">
        <v>0</v>
      </c>
      <c r="DF19" s="267"/>
      <c r="DG19" s="267"/>
      <c r="DH19" s="267"/>
      <c r="DI19" s="267"/>
      <c r="DJ19" s="267"/>
      <c r="DK19" s="267"/>
      <c r="DL19" s="267"/>
      <c r="DM19" s="267"/>
      <c r="DN19" s="267"/>
      <c r="DO19" s="267"/>
      <c r="DP19" s="267"/>
      <c r="DQ19" s="267"/>
      <c r="DR19" s="267"/>
    </row>
    <row r="20" spans="1:122" ht="18" customHeight="1">
      <c r="A20" s="730"/>
      <c r="B20" s="1493"/>
      <c r="C20" s="592"/>
      <c r="D20" s="592"/>
      <c r="E20" s="2791" t="s">
        <v>525</v>
      </c>
      <c r="F20" s="592"/>
      <c r="G20" s="592"/>
      <c r="H20" s="409"/>
      <c r="I20" s="409"/>
      <c r="J20" s="409"/>
      <c r="K20" s="2799"/>
      <c r="L20" s="732"/>
      <c r="M20" s="2800">
        <v>0</v>
      </c>
      <c r="N20" s="733"/>
      <c r="O20" s="733"/>
      <c r="P20" s="733"/>
      <c r="Q20" s="733"/>
      <c r="R20" s="733"/>
      <c r="S20" s="733"/>
      <c r="T20" s="733"/>
      <c r="U20" s="733"/>
      <c r="V20" s="733"/>
      <c r="W20" s="733"/>
      <c r="X20" s="733"/>
      <c r="Y20" s="734"/>
      <c r="Z20" s="2656"/>
      <c r="AA20" s="537" t="s">
        <v>525</v>
      </c>
      <c r="AB20" s="733"/>
      <c r="AC20" s="733"/>
      <c r="AD20" s="733"/>
      <c r="AE20" s="733"/>
      <c r="AF20" s="733"/>
      <c r="AG20" s="2503"/>
      <c r="AH20" s="733"/>
      <c r="AI20" s="733"/>
      <c r="AJ20" s="733"/>
      <c r="AK20" s="733"/>
      <c r="AL20" s="733"/>
      <c r="AM20" s="2503"/>
      <c r="AN20" s="733"/>
      <c r="AO20" s="733"/>
      <c r="AP20" s="733"/>
      <c r="AQ20" s="733"/>
      <c r="AR20" s="733"/>
      <c r="AS20" s="2503"/>
      <c r="AT20" s="733"/>
      <c r="AU20" s="733"/>
      <c r="AV20" s="733"/>
      <c r="AW20" s="733"/>
      <c r="AX20" s="733"/>
      <c r="AY20" s="2503"/>
      <c r="AZ20" s="2656"/>
      <c r="BA20" s="2507" t="s">
        <v>525</v>
      </c>
      <c r="BB20" s="1875" t="s">
        <v>525</v>
      </c>
      <c r="BC20" s="1875" t="s">
        <v>525</v>
      </c>
      <c r="BD20" s="537" t="s">
        <v>525</v>
      </c>
      <c r="BE20" s="537" t="s">
        <v>525</v>
      </c>
      <c r="BF20" s="537" t="s">
        <v>525</v>
      </c>
      <c r="BG20" s="538" t="s">
        <v>525</v>
      </c>
      <c r="BH20" s="538" t="s">
        <v>525</v>
      </c>
      <c r="BI20" s="539" t="s">
        <v>525</v>
      </c>
      <c r="BJ20" s="537" t="s">
        <v>525</v>
      </c>
      <c r="BK20" s="537">
        <v>0</v>
      </c>
      <c r="BL20" s="2663" t="s">
        <v>525</v>
      </c>
      <c r="BM20" s="1871"/>
      <c r="BN20" s="2560">
        <v>0</v>
      </c>
      <c r="BO20" s="2560">
        <v>0</v>
      </c>
      <c r="BP20" s="2560">
        <v>0</v>
      </c>
      <c r="BQ20" s="2560">
        <v>0</v>
      </c>
      <c r="BR20" s="2560">
        <v>0</v>
      </c>
      <c r="BS20" s="2561">
        <v>0</v>
      </c>
      <c r="BT20" s="2560" t="s">
        <v>525</v>
      </c>
      <c r="BU20" s="2560" t="s">
        <v>525</v>
      </c>
      <c r="BV20" s="2561">
        <v>0</v>
      </c>
      <c r="BW20" s="2561">
        <v>0</v>
      </c>
      <c r="BX20" s="2561">
        <v>0</v>
      </c>
      <c r="BY20" s="2561">
        <v>0</v>
      </c>
      <c r="BZ20" s="2560">
        <v>0</v>
      </c>
      <c r="CA20" s="2560" t="s">
        <v>525</v>
      </c>
      <c r="CB20" s="2560" t="s">
        <v>525</v>
      </c>
      <c r="CC20" s="2562" t="s">
        <v>525</v>
      </c>
      <c r="CD20" s="2524" t="s">
        <v>525</v>
      </c>
      <c r="CE20" s="2525">
        <v>0</v>
      </c>
      <c r="CF20" s="2525">
        <v>0</v>
      </c>
      <c r="CG20" s="2525">
        <v>0</v>
      </c>
      <c r="CH20" s="2525">
        <v>0</v>
      </c>
      <c r="CI20" s="2525">
        <v>0</v>
      </c>
      <c r="CJ20" s="2525">
        <v>0</v>
      </c>
      <c r="CK20" s="2525">
        <v>0</v>
      </c>
      <c r="CL20" s="2525">
        <v>0</v>
      </c>
      <c r="CM20" s="2525">
        <v>0</v>
      </c>
      <c r="CN20" s="2525">
        <v>0</v>
      </c>
      <c r="CO20" s="2525">
        <v>0</v>
      </c>
      <c r="CP20" s="2525">
        <v>0</v>
      </c>
      <c r="CQ20" s="267"/>
      <c r="CR20" s="2531"/>
      <c r="CS20" s="267"/>
      <c r="CT20" s="267">
        <v>0</v>
      </c>
      <c r="CU20" s="267">
        <v>0</v>
      </c>
      <c r="CV20" s="267">
        <v>0</v>
      </c>
      <c r="CW20" s="267">
        <v>0</v>
      </c>
      <c r="CX20" s="267">
        <v>0</v>
      </c>
      <c r="CY20" s="267">
        <v>0</v>
      </c>
      <c r="CZ20" s="267">
        <v>0</v>
      </c>
      <c r="DA20" s="267">
        <v>0</v>
      </c>
      <c r="DB20" s="267">
        <v>0</v>
      </c>
      <c r="DC20" s="267">
        <v>0</v>
      </c>
      <c r="DD20" s="267">
        <v>0</v>
      </c>
      <c r="DE20" s="267">
        <v>0</v>
      </c>
      <c r="DF20" s="267"/>
      <c r="DG20" s="267"/>
      <c r="DH20" s="267"/>
      <c r="DI20" s="267"/>
      <c r="DJ20" s="267"/>
      <c r="DK20" s="267"/>
      <c r="DL20" s="267"/>
      <c r="DM20" s="267"/>
      <c r="DN20" s="267"/>
      <c r="DO20" s="267"/>
      <c r="DP20" s="267"/>
      <c r="DQ20" s="267"/>
      <c r="DR20" s="267"/>
    </row>
    <row r="21" spans="1:122" ht="18" customHeight="1">
      <c r="A21" s="731"/>
      <c r="B21" s="1493"/>
      <c r="C21" s="592"/>
      <c r="D21" s="592"/>
      <c r="E21" s="2791" t="s">
        <v>525</v>
      </c>
      <c r="F21" s="592"/>
      <c r="G21" s="592"/>
      <c r="H21" s="409"/>
      <c r="I21" s="409"/>
      <c r="J21" s="409"/>
      <c r="K21" s="2799"/>
      <c r="L21" s="732"/>
      <c r="M21" s="2800">
        <v>0</v>
      </c>
      <c r="N21" s="733"/>
      <c r="O21" s="733"/>
      <c r="P21" s="733"/>
      <c r="Q21" s="733"/>
      <c r="R21" s="733"/>
      <c r="S21" s="733"/>
      <c r="T21" s="733"/>
      <c r="U21" s="733"/>
      <c r="V21" s="733"/>
      <c r="W21" s="733"/>
      <c r="X21" s="733"/>
      <c r="Y21" s="734"/>
      <c r="Z21" s="2656"/>
      <c r="AA21" s="537" t="s">
        <v>525</v>
      </c>
      <c r="AB21" s="733"/>
      <c r="AC21" s="733"/>
      <c r="AD21" s="733"/>
      <c r="AE21" s="733"/>
      <c r="AF21" s="733"/>
      <c r="AG21" s="2503"/>
      <c r="AH21" s="733"/>
      <c r="AI21" s="733"/>
      <c r="AJ21" s="733"/>
      <c r="AK21" s="733"/>
      <c r="AL21" s="733"/>
      <c r="AM21" s="2503"/>
      <c r="AN21" s="733"/>
      <c r="AO21" s="733"/>
      <c r="AP21" s="733"/>
      <c r="AQ21" s="733"/>
      <c r="AR21" s="733"/>
      <c r="AS21" s="2503"/>
      <c r="AT21" s="733"/>
      <c r="AU21" s="733"/>
      <c r="AV21" s="733"/>
      <c r="AW21" s="733"/>
      <c r="AX21" s="733"/>
      <c r="AY21" s="2503"/>
      <c r="AZ21" s="2656"/>
      <c r="BA21" s="2507" t="s">
        <v>525</v>
      </c>
      <c r="BB21" s="1875" t="s">
        <v>525</v>
      </c>
      <c r="BC21" s="1875" t="s">
        <v>525</v>
      </c>
      <c r="BD21" s="537" t="s">
        <v>525</v>
      </c>
      <c r="BE21" s="537" t="s">
        <v>525</v>
      </c>
      <c r="BF21" s="537" t="s">
        <v>525</v>
      </c>
      <c r="BG21" s="538" t="s">
        <v>525</v>
      </c>
      <c r="BH21" s="538" t="s">
        <v>525</v>
      </c>
      <c r="BI21" s="539" t="s">
        <v>525</v>
      </c>
      <c r="BJ21" s="537" t="s">
        <v>525</v>
      </c>
      <c r="BK21" s="537">
        <v>0</v>
      </c>
      <c r="BL21" s="2663" t="s">
        <v>525</v>
      </c>
      <c r="BM21" s="1871"/>
      <c r="BN21" s="2560">
        <v>0</v>
      </c>
      <c r="BO21" s="2560">
        <v>0</v>
      </c>
      <c r="BP21" s="2560">
        <v>0</v>
      </c>
      <c r="BQ21" s="2560">
        <v>0</v>
      </c>
      <c r="BR21" s="2560">
        <v>0</v>
      </c>
      <c r="BS21" s="2561">
        <v>0</v>
      </c>
      <c r="BT21" s="2560" t="s">
        <v>525</v>
      </c>
      <c r="BU21" s="2560" t="s">
        <v>525</v>
      </c>
      <c r="BV21" s="2561">
        <v>0</v>
      </c>
      <c r="BW21" s="2561">
        <v>0</v>
      </c>
      <c r="BX21" s="2561">
        <v>0</v>
      </c>
      <c r="BY21" s="2561">
        <v>0</v>
      </c>
      <c r="BZ21" s="2560">
        <v>0</v>
      </c>
      <c r="CA21" s="2560" t="s">
        <v>525</v>
      </c>
      <c r="CB21" s="2560" t="s">
        <v>525</v>
      </c>
      <c r="CC21" s="2562" t="s">
        <v>525</v>
      </c>
      <c r="CD21" s="2524" t="s">
        <v>525</v>
      </c>
      <c r="CE21" s="2525">
        <v>0</v>
      </c>
      <c r="CF21" s="2525">
        <v>0</v>
      </c>
      <c r="CG21" s="2525">
        <v>0</v>
      </c>
      <c r="CH21" s="2525">
        <v>0</v>
      </c>
      <c r="CI21" s="2525">
        <v>0</v>
      </c>
      <c r="CJ21" s="2525">
        <v>0</v>
      </c>
      <c r="CK21" s="2525">
        <v>0</v>
      </c>
      <c r="CL21" s="2525">
        <v>0</v>
      </c>
      <c r="CM21" s="2525">
        <v>0</v>
      </c>
      <c r="CN21" s="2525">
        <v>0</v>
      </c>
      <c r="CO21" s="2525">
        <v>0</v>
      </c>
      <c r="CP21" s="2525">
        <v>0</v>
      </c>
      <c r="CQ21" s="267"/>
      <c r="CR21" s="2531"/>
      <c r="CS21" s="267"/>
      <c r="CT21" s="267">
        <v>0</v>
      </c>
      <c r="CU21" s="267">
        <v>0</v>
      </c>
      <c r="CV21" s="267">
        <v>0</v>
      </c>
      <c r="CW21" s="267">
        <v>0</v>
      </c>
      <c r="CX21" s="267">
        <v>0</v>
      </c>
      <c r="CY21" s="267">
        <v>0</v>
      </c>
      <c r="CZ21" s="267">
        <v>0</v>
      </c>
      <c r="DA21" s="267">
        <v>0</v>
      </c>
      <c r="DB21" s="267">
        <v>0</v>
      </c>
      <c r="DC21" s="267">
        <v>0</v>
      </c>
      <c r="DD21" s="267">
        <v>0</v>
      </c>
      <c r="DE21" s="267">
        <v>0</v>
      </c>
      <c r="DF21" s="267"/>
      <c r="DG21" s="267"/>
      <c r="DH21" s="267"/>
      <c r="DI21" s="267"/>
      <c r="DJ21" s="267"/>
      <c r="DK21" s="267"/>
      <c r="DL21" s="267"/>
      <c r="DM21" s="267"/>
      <c r="DN21" s="267"/>
      <c r="DO21" s="267"/>
      <c r="DP21" s="267"/>
      <c r="DQ21" s="267"/>
      <c r="DR21" s="267"/>
    </row>
    <row r="22" spans="1:122" ht="18" customHeight="1">
      <c r="A22" s="409"/>
      <c r="B22" s="1493"/>
      <c r="C22" s="592"/>
      <c r="D22" s="592"/>
      <c r="E22" s="2791" t="s">
        <v>525</v>
      </c>
      <c r="F22" s="409"/>
      <c r="G22" s="409"/>
      <c r="H22" s="409"/>
      <c r="I22" s="409"/>
      <c r="J22" s="409"/>
      <c r="K22" s="2799"/>
      <c r="L22" s="732"/>
      <c r="M22" s="2800">
        <v>0</v>
      </c>
      <c r="N22" s="733"/>
      <c r="O22" s="733"/>
      <c r="P22" s="733"/>
      <c r="Q22" s="733"/>
      <c r="R22" s="733"/>
      <c r="S22" s="733"/>
      <c r="T22" s="733"/>
      <c r="U22" s="733"/>
      <c r="V22" s="733"/>
      <c r="W22" s="733"/>
      <c r="X22" s="733"/>
      <c r="Y22" s="734"/>
      <c r="Z22" s="2656"/>
      <c r="AA22" s="537" t="s">
        <v>525</v>
      </c>
      <c r="AB22" s="733"/>
      <c r="AC22" s="733"/>
      <c r="AD22" s="733"/>
      <c r="AE22" s="733"/>
      <c r="AF22" s="733"/>
      <c r="AG22" s="2503"/>
      <c r="AH22" s="733"/>
      <c r="AI22" s="733"/>
      <c r="AJ22" s="733"/>
      <c r="AK22" s="733"/>
      <c r="AL22" s="733"/>
      <c r="AM22" s="2503"/>
      <c r="AN22" s="733"/>
      <c r="AO22" s="733"/>
      <c r="AP22" s="733"/>
      <c r="AQ22" s="733"/>
      <c r="AR22" s="733"/>
      <c r="AS22" s="2503"/>
      <c r="AT22" s="733"/>
      <c r="AU22" s="733"/>
      <c r="AV22" s="733"/>
      <c r="AW22" s="733"/>
      <c r="AX22" s="733"/>
      <c r="AY22" s="2503"/>
      <c r="AZ22" s="2656"/>
      <c r="BA22" s="2507" t="s">
        <v>525</v>
      </c>
      <c r="BB22" s="1875" t="s">
        <v>525</v>
      </c>
      <c r="BC22" s="1875" t="s">
        <v>525</v>
      </c>
      <c r="BD22" s="537" t="s">
        <v>525</v>
      </c>
      <c r="BE22" s="537" t="s">
        <v>525</v>
      </c>
      <c r="BF22" s="537" t="s">
        <v>525</v>
      </c>
      <c r="BG22" s="538" t="s">
        <v>525</v>
      </c>
      <c r="BH22" s="538" t="s">
        <v>525</v>
      </c>
      <c r="BI22" s="539" t="s">
        <v>525</v>
      </c>
      <c r="BJ22" s="537" t="s">
        <v>525</v>
      </c>
      <c r="BK22" s="537">
        <v>0</v>
      </c>
      <c r="BL22" s="2663" t="s">
        <v>525</v>
      </c>
      <c r="BM22" s="1871"/>
      <c r="BN22" s="2560">
        <v>0</v>
      </c>
      <c r="BO22" s="2560">
        <v>0</v>
      </c>
      <c r="BP22" s="2560">
        <v>0</v>
      </c>
      <c r="BQ22" s="2560">
        <v>0</v>
      </c>
      <c r="BR22" s="2560">
        <v>0</v>
      </c>
      <c r="BS22" s="2561">
        <v>0</v>
      </c>
      <c r="BT22" s="2560" t="s">
        <v>525</v>
      </c>
      <c r="BU22" s="2560" t="s">
        <v>525</v>
      </c>
      <c r="BV22" s="2561">
        <v>0</v>
      </c>
      <c r="BW22" s="2561">
        <v>0</v>
      </c>
      <c r="BX22" s="2561">
        <v>0</v>
      </c>
      <c r="BY22" s="2561">
        <v>0</v>
      </c>
      <c r="BZ22" s="2560">
        <v>0</v>
      </c>
      <c r="CA22" s="2560" t="s">
        <v>525</v>
      </c>
      <c r="CB22" s="2560" t="s">
        <v>525</v>
      </c>
      <c r="CC22" s="2562" t="s">
        <v>525</v>
      </c>
      <c r="CD22" s="2524" t="s">
        <v>525</v>
      </c>
      <c r="CE22" s="2525">
        <v>0</v>
      </c>
      <c r="CF22" s="2525">
        <v>0</v>
      </c>
      <c r="CG22" s="2525">
        <v>0</v>
      </c>
      <c r="CH22" s="2525">
        <v>0</v>
      </c>
      <c r="CI22" s="2525">
        <v>0</v>
      </c>
      <c r="CJ22" s="2525">
        <v>0</v>
      </c>
      <c r="CK22" s="2525">
        <v>0</v>
      </c>
      <c r="CL22" s="2525">
        <v>0</v>
      </c>
      <c r="CM22" s="2525">
        <v>0</v>
      </c>
      <c r="CN22" s="2525">
        <v>0</v>
      </c>
      <c r="CO22" s="2525">
        <v>0</v>
      </c>
      <c r="CP22" s="2525">
        <v>0</v>
      </c>
      <c r="CQ22" s="267"/>
      <c r="CR22" s="2531"/>
      <c r="CS22" s="267"/>
      <c r="CT22" s="267">
        <v>0</v>
      </c>
      <c r="CU22" s="267">
        <v>0</v>
      </c>
      <c r="CV22" s="267">
        <v>0</v>
      </c>
      <c r="CW22" s="267">
        <v>0</v>
      </c>
      <c r="CX22" s="267">
        <v>0</v>
      </c>
      <c r="CY22" s="267">
        <v>0</v>
      </c>
      <c r="CZ22" s="267">
        <v>0</v>
      </c>
      <c r="DA22" s="267">
        <v>0</v>
      </c>
      <c r="DB22" s="267">
        <v>0</v>
      </c>
      <c r="DC22" s="267">
        <v>0</v>
      </c>
      <c r="DD22" s="267">
        <v>0</v>
      </c>
      <c r="DE22" s="267">
        <v>0</v>
      </c>
      <c r="DF22" s="267"/>
      <c r="DG22" s="267"/>
      <c r="DH22" s="267"/>
      <c r="DI22" s="267"/>
      <c r="DJ22" s="267"/>
      <c r="DK22" s="267"/>
      <c r="DL22" s="267"/>
      <c r="DM22" s="267"/>
      <c r="DN22" s="267"/>
      <c r="DO22" s="267"/>
      <c r="DP22" s="267"/>
      <c r="DQ22" s="267"/>
      <c r="DR22" s="267"/>
    </row>
    <row r="23" spans="1:122" ht="18" customHeight="1">
      <c r="A23" s="729"/>
      <c r="B23" s="1493"/>
      <c r="C23" s="592"/>
      <c r="D23" s="592"/>
      <c r="E23" s="2791" t="s">
        <v>525</v>
      </c>
      <c r="F23" s="592"/>
      <c r="G23" s="592"/>
      <c r="H23" s="409"/>
      <c r="I23" s="409"/>
      <c r="J23" s="409"/>
      <c r="K23" s="2799"/>
      <c r="L23" s="732"/>
      <c r="M23" s="2800">
        <v>0</v>
      </c>
      <c r="N23" s="733"/>
      <c r="O23" s="733"/>
      <c r="P23" s="733"/>
      <c r="Q23" s="733"/>
      <c r="R23" s="733"/>
      <c r="S23" s="733"/>
      <c r="T23" s="733"/>
      <c r="U23" s="733"/>
      <c r="V23" s="733"/>
      <c r="W23" s="733"/>
      <c r="X23" s="733"/>
      <c r="Y23" s="734"/>
      <c r="Z23" s="2656"/>
      <c r="AA23" s="537" t="s">
        <v>525</v>
      </c>
      <c r="AB23" s="733"/>
      <c r="AC23" s="733"/>
      <c r="AD23" s="733"/>
      <c r="AE23" s="733"/>
      <c r="AF23" s="733"/>
      <c r="AG23" s="2503"/>
      <c r="AH23" s="733"/>
      <c r="AI23" s="733"/>
      <c r="AJ23" s="733"/>
      <c r="AK23" s="733"/>
      <c r="AL23" s="733"/>
      <c r="AM23" s="2503"/>
      <c r="AN23" s="733"/>
      <c r="AO23" s="733"/>
      <c r="AP23" s="733"/>
      <c r="AQ23" s="733"/>
      <c r="AR23" s="733"/>
      <c r="AS23" s="2503"/>
      <c r="AT23" s="733"/>
      <c r="AU23" s="733"/>
      <c r="AV23" s="733"/>
      <c r="AW23" s="733"/>
      <c r="AX23" s="733"/>
      <c r="AY23" s="2503"/>
      <c r="AZ23" s="2656"/>
      <c r="BA23" s="2507" t="s">
        <v>525</v>
      </c>
      <c r="BB23" s="1875" t="s">
        <v>525</v>
      </c>
      <c r="BC23" s="1875" t="s">
        <v>525</v>
      </c>
      <c r="BD23" s="537" t="s">
        <v>525</v>
      </c>
      <c r="BE23" s="537" t="s">
        <v>525</v>
      </c>
      <c r="BF23" s="537" t="s">
        <v>525</v>
      </c>
      <c r="BG23" s="538" t="s">
        <v>525</v>
      </c>
      <c r="BH23" s="538" t="s">
        <v>525</v>
      </c>
      <c r="BI23" s="539" t="s">
        <v>525</v>
      </c>
      <c r="BJ23" s="537" t="s">
        <v>525</v>
      </c>
      <c r="BK23" s="537">
        <v>0</v>
      </c>
      <c r="BL23" s="2663" t="s">
        <v>525</v>
      </c>
      <c r="BM23" s="1871"/>
      <c r="BN23" s="2560">
        <v>0</v>
      </c>
      <c r="BO23" s="2560">
        <v>0</v>
      </c>
      <c r="BP23" s="2560">
        <v>0</v>
      </c>
      <c r="BQ23" s="2560">
        <v>0</v>
      </c>
      <c r="BR23" s="2560">
        <v>0</v>
      </c>
      <c r="BS23" s="2561">
        <v>0</v>
      </c>
      <c r="BT23" s="2560" t="s">
        <v>525</v>
      </c>
      <c r="BU23" s="2560" t="s">
        <v>525</v>
      </c>
      <c r="BV23" s="2561">
        <v>0</v>
      </c>
      <c r="BW23" s="2561">
        <v>0</v>
      </c>
      <c r="BX23" s="2561">
        <v>0</v>
      </c>
      <c r="BY23" s="2561">
        <v>0</v>
      </c>
      <c r="BZ23" s="2560">
        <v>0</v>
      </c>
      <c r="CA23" s="2560" t="s">
        <v>525</v>
      </c>
      <c r="CB23" s="2560" t="s">
        <v>525</v>
      </c>
      <c r="CC23" s="2562" t="s">
        <v>525</v>
      </c>
      <c r="CD23" s="2524" t="s">
        <v>525</v>
      </c>
      <c r="CE23" s="2525">
        <v>0</v>
      </c>
      <c r="CF23" s="2525">
        <v>0</v>
      </c>
      <c r="CG23" s="2525">
        <v>0</v>
      </c>
      <c r="CH23" s="2525">
        <v>0</v>
      </c>
      <c r="CI23" s="2525">
        <v>0</v>
      </c>
      <c r="CJ23" s="2525">
        <v>0</v>
      </c>
      <c r="CK23" s="2525">
        <v>0</v>
      </c>
      <c r="CL23" s="2525">
        <v>0</v>
      </c>
      <c r="CM23" s="2525">
        <v>0</v>
      </c>
      <c r="CN23" s="2525">
        <v>0</v>
      </c>
      <c r="CO23" s="2525">
        <v>0</v>
      </c>
      <c r="CP23" s="2525">
        <v>0</v>
      </c>
      <c r="CQ23" s="267"/>
      <c r="CR23" s="2531"/>
      <c r="CS23" s="267"/>
      <c r="CT23" s="267">
        <v>0</v>
      </c>
      <c r="CU23" s="267">
        <v>0</v>
      </c>
      <c r="CV23" s="267">
        <v>0</v>
      </c>
      <c r="CW23" s="267">
        <v>0</v>
      </c>
      <c r="CX23" s="267">
        <v>0</v>
      </c>
      <c r="CY23" s="267">
        <v>0</v>
      </c>
      <c r="CZ23" s="267">
        <v>0</v>
      </c>
      <c r="DA23" s="267">
        <v>0</v>
      </c>
      <c r="DB23" s="267">
        <v>0</v>
      </c>
      <c r="DC23" s="267">
        <v>0</v>
      </c>
      <c r="DD23" s="267">
        <v>0</v>
      </c>
      <c r="DE23" s="267">
        <v>0</v>
      </c>
      <c r="DF23" s="267"/>
      <c r="DG23" s="267"/>
      <c r="DH23" s="267"/>
      <c r="DI23" s="267"/>
      <c r="DJ23" s="267"/>
      <c r="DK23" s="267"/>
      <c r="DL23" s="267"/>
      <c r="DM23" s="267"/>
      <c r="DN23" s="267"/>
      <c r="DO23" s="267"/>
      <c r="DP23" s="267"/>
      <c r="DQ23" s="267"/>
      <c r="DR23" s="267"/>
    </row>
    <row r="24" spans="1:122" ht="18" customHeight="1">
      <c r="A24" s="731"/>
      <c r="B24" s="1493"/>
      <c r="C24" s="592"/>
      <c r="D24" s="592"/>
      <c r="E24" s="2791" t="s">
        <v>525</v>
      </c>
      <c r="F24" s="592"/>
      <c r="G24" s="592"/>
      <c r="H24" s="409"/>
      <c r="I24" s="409"/>
      <c r="J24" s="409"/>
      <c r="K24" s="2799"/>
      <c r="L24" s="732"/>
      <c r="M24" s="2800">
        <v>0</v>
      </c>
      <c r="N24" s="733"/>
      <c r="O24" s="733"/>
      <c r="P24" s="733"/>
      <c r="Q24" s="733"/>
      <c r="R24" s="733"/>
      <c r="S24" s="733"/>
      <c r="T24" s="733"/>
      <c r="U24" s="733"/>
      <c r="V24" s="733"/>
      <c r="W24" s="733"/>
      <c r="X24" s="733"/>
      <c r="Y24" s="734"/>
      <c r="Z24" s="2656"/>
      <c r="AA24" s="537" t="s">
        <v>525</v>
      </c>
      <c r="AB24" s="733"/>
      <c r="AC24" s="733"/>
      <c r="AD24" s="733"/>
      <c r="AE24" s="733"/>
      <c r="AF24" s="733"/>
      <c r="AG24" s="2503"/>
      <c r="AH24" s="733"/>
      <c r="AI24" s="733"/>
      <c r="AJ24" s="733"/>
      <c r="AK24" s="733"/>
      <c r="AL24" s="733"/>
      <c r="AM24" s="2503"/>
      <c r="AN24" s="733"/>
      <c r="AO24" s="733"/>
      <c r="AP24" s="733"/>
      <c r="AQ24" s="733"/>
      <c r="AR24" s="733"/>
      <c r="AS24" s="2503"/>
      <c r="AT24" s="733"/>
      <c r="AU24" s="733"/>
      <c r="AV24" s="733"/>
      <c r="AW24" s="733"/>
      <c r="AX24" s="733"/>
      <c r="AY24" s="2503"/>
      <c r="AZ24" s="2656"/>
      <c r="BA24" s="2507" t="s">
        <v>525</v>
      </c>
      <c r="BB24" s="1875" t="s">
        <v>525</v>
      </c>
      <c r="BC24" s="1875" t="s">
        <v>525</v>
      </c>
      <c r="BD24" s="537" t="s">
        <v>525</v>
      </c>
      <c r="BE24" s="537" t="s">
        <v>525</v>
      </c>
      <c r="BF24" s="537" t="s">
        <v>525</v>
      </c>
      <c r="BG24" s="538" t="s">
        <v>525</v>
      </c>
      <c r="BH24" s="538" t="s">
        <v>525</v>
      </c>
      <c r="BI24" s="539" t="s">
        <v>525</v>
      </c>
      <c r="BJ24" s="537" t="s">
        <v>525</v>
      </c>
      <c r="BK24" s="537">
        <v>0</v>
      </c>
      <c r="BL24" s="2663" t="s">
        <v>525</v>
      </c>
      <c r="BM24" s="1871"/>
      <c r="BN24" s="2560">
        <v>0</v>
      </c>
      <c r="BO24" s="2560">
        <v>0</v>
      </c>
      <c r="BP24" s="2560">
        <v>0</v>
      </c>
      <c r="BQ24" s="2560">
        <v>0</v>
      </c>
      <c r="BR24" s="2560">
        <v>0</v>
      </c>
      <c r="BS24" s="2561">
        <v>0</v>
      </c>
      <c r="BT24" s="2560" t="s">
        <v>525</v>
      </c>
      <c r="BU24" s="2560" t="s">
        <v>525</v>
      </c>
      <c r="BV24" s="2561">
        <v>0</v>
      </c>
      <c r="BW24" s="2561">
        <v>0</v>
      </c>
      <c r="BX24" s="2561">
        <v>0</v>
      </c>
      <c r="BY24" s="2561">
        <v>0</v>
      </c>
      <c r="BZ24" s="2560">
        <v>0</v>
      </c>
      <c r="CA24" s="2560" t="s">
        <v>525</v>
      </c>
      <c r="CB24" s="2560" t="s">
        <v>525</v>
      </c>
      <c r="CC24" s="2562" t="s">
        <v>525</v>
      </c>
      <c r="CD24" s="2524" t="s">
        <v>525</v>
      </c>
      <c r="CE24" s="2525">
        <v>0</v>
      </c>
      <c r="CF24" s="2525">
        <v>0</v>
      </c>
      <c r="CG24" s="2525">
        <v>0</v>
      </c>
      <c r="CH24" s="2525">
        <v>0</v>
      </c>
      <c r="CI24" s="2525">
        <v>0</v>
      </c>
      <c r="CJ24" s="2525">
        <v>0</v>
      </c>
      <c r="CK24" s="2525">
        <v>0</v>
      </c>
      <c r="CL24" s="2525">
        <v>0</v>
      </c>
      <c r="CM24" s="2525">
        <v>0</v>
      </c>
      <c r="CN24" s="2525">
        <v>0</v>
      </c>
      <c r="CO24" s="2525">
        <v>0</v>
      </c>
      <c r="CP24" s="2525">
        <v>0</v>
      </c>
      <c r="CQ24" s="267"/>
      <c r="CR24" s="2531"/>
      <c r="CS24" s="267"/>
      <c r="CT24" s="267">
        <v>0</v>
      </c>
      <c r="CU24" s="267">
        <v>0</v>
      </c>
      <c r="CV24" s="267">
        <v>0</v>
      </c>
      <c r="CW24" s="267">
        <v>0</v>
      </c>
      <c r="CX24" s="267">
        <v>0</v>
      </c>
      <c r="CY24" s="267">
        <v>0</v>
      </c>
      <c r="CZ24" s="267">
        <v>0</v>
      </c>
      <c r="DA24" s="267">
        <v>0</v>
      </c>
      <c r="DB24" s="267">
        <v>0</v>
      </c>
      <c r="DC24" s="267">
        <v>0</v>
      </c>
      <c r="DD24" s="267">
        <v>0</v>
      </c>
      <c r="DE24" s="267">
        <v>0</v>
      </c>
      <c r="DF24" s="267"/>
      <c r="DG24" s="267"/>
      <c r="DH24" s="267"/>
      <c r="DI24" s="267"/>
      <c r="DJ24" s="267"/>
      <c r="DK24" s="267"/>
      <c r="DL24" s="267"/>
      <c r="DM24" s="267"/>
      <c r="DN24" s="267"/>
      <c r="DO24" s="267"/>
      <c r="DP24" s="267"/>
      <c r="DQ24" s="267"/>
      <c r="DR24" s="267"/>
    </row>
    <row r="25" spans="1:122" ht="18" customHeight="1">
      <c r="A25" s="729"/>
      <c r="B25" s="1493"/>
      <c r="C25" s="592"/>
      <c r="D25" s="592"/>
      <c r="E25" s="2791" t="s">
        <v>525</v>
      </c>
      <c r="F25" s="592"/>
      <c r="G25" s="592"/>
      <c r="H25" s="592"/>
      <c r="I25" s="592"/>
      <c r="J25" s="409"/>
      <c r="K25" s="2799"/>
      <c r="L25" s="732"/>
      <c r="M25" s="2800">
        <v>0</v>
      </c>
      <c r="N25" s="733"/>
      <c r="O25" s="733"/>
      <c r="P25" s="733"/>
      <c r="Q25" s="733"/>
      <c r="R25" s="733"/>
      <c r="S25" s="733"/>
      <c r="T25" s="733"/>
      <c r="U25" s="733"/>
      <c r="V25" s="733"/>
      <c r="W25" s="733"/>
      <c r="X25" s="733"/>
      <c r="Y25" s="734"/>
      <c r="Z25" s="2656"/>
      <c r="AA25" s="537" t="s">
        <v>525</v>
      </c>
      <c r="AB25" s="733"/>
      <c r="AC25" s="733"/>
      <c r="AD25" s="733"/>
      <c r="AE25" s="733"/>
      <c r="AF25" s="733"/>
      <c r="AG25" s="2503"/>
      <c r="AH25" s="733"/>
      <c r="AI25" s="733"/>
      <c r="AJ25" s="733"/>
      <c r="AK25" s="733"/>
      <c r="AL25" s="733"/>
      <c r="AM25" s="2503"/>
      <c r="AN25" s="733"/>
      <c r="AO25" s="733"/>
      <c r="AP25" s="733"/>
      <c r="AQ25" s="733"/>
      <c r="AR25" s="733"/>
      <c r="AS25" s="2503"/>
      <c r="AT25" s="733"/>
      <c r="AU25" s="733"/>
      <c r="AV25" s="733"/>
      <c r="AW25" s="733"/>
      <c r="AX25" s="733"/>
      <c r="AY25" s="2503"/>
      <c r="AZ25" s="2656"/>
      <c r="BA25" s="2507" t="s">
        <v>525</v>
      </c>
      <c r="BB25" s="1875" t="s">
        <v>525</v>
      </c>
      <c r="BC25" s="1875" t="s">
        <v>525</v>
      </c>
      <c r="BD25" s="537" t="s">
        <v>525</v>
      </c>
      <c r="BE25" s="537" t="s">
        <v>525</v>
      </c>
      <c r="BF25" s="537" t="s">
        <v>525</v>
      </c>
      <c r="BG25" s="538" t="s">
        <v>525</v>
      </c>
      <c r="BH25" s="538" t="s">
        <v>525</v>
      </c>
      <c r="BI25" s="539" t="s">
        <v>525</v>
      </c>
      <c r="BJ25" s="537" t="s">
        <v>525</v>
      </c>
      <c r="BK25" s="537">
        <v>0</v>
      </c>
      <c r="BL25" s="2663" t="s">
        <v>525</v>
      </c>
      <c r="BM25" s="1871"/>
      <c r="BN25" s="2560">
        <v>0</v>
      </c>
      <c r="BO25" s="2560">
        <v>0</v>
      </c>
      <c r="BP25" s="2560">
        <v>0</v>
      </c>
      <c r="BQ25" s="2560">
        <v>0</v>
      </c>
      <c r="BR25" s="2560">
        <v>0</v>
      </c>
      <c r="BS25" s="2561">
        <v>0</v>
      </c>
      <c r="BT25" s="2560" t="s">
        <v>525</v>
      </c>
      <c r="BU25" s="2560" t="s">
        <v>525</v>
      </c>
      <c r="BV25" s="2561">
        <v>0</v>
      </c>
      <c r="BW25" s="2561">
        <v>0</v>
      </c>
      <c r="BX25" s="2561">
        <v>0</v>
      </c>
      <c r="BY25" s="2561">
        <v>0</v>
      </c>
      <c r="BZ25" s="2560">
        <v>0</v>
      </c>
      <c r="CA25" s="2560" t="s">
        <v>525</v>
      </c>
      <c r="CB25" s="2560" t="s">
        <v>525</v>
      </c>
      <c r="CC25" s="2562" t="s">
        <v>525</v>
      </c>
      <c r="CD25" s="2524" t="s">
        <v>525</v>
      </c>
      <c r="CE25" s="2525">
        <v>0</v>
      </c>
      <c r="CF25" s="2525">
        <v>0</v>
      </c>
      <c r="CG25" s="2525">
        <v>0</v>
      </c>
      <c r="CH25" s="2525">
        <v>0</v>
      </c>
      <c r="CI25" s="2525">
        <v>0</v>
      </c>
      <c r="CJ25" s="2525">
        <v>0</v>
      </c>
      <c r="CK25" s="2525">
        <v>0</v>
      </c>
      <c r="CL25" s="2525">
        <v>0</v>
      </c>
      <c r="CM25" s="2525">
        <v>0</v>
      </c>
      <c r="CN25" s="2525">
        <v>0</v>
      </c>
      <c r="CO25" s="2525">
        <v>0</v>
      </c>
      <c r="CP25" s="2525">
        <v>0</v>
      </c>
      <c r="CQ25" s="267"/>
      <c r="CR25" s="2531"/>
      <c r="CS25" s="267"/>
      <c r="CT25" s="267">
        <v>0</v>
      </c>
      <c r="CU25" s="267">
        <v>0</v>
      </c>
      <c r="CV25" s="267">
        <v>0</v>
      </c>
      <c r="CW25" s="267">
        <v>0</v>
      </c>
      <c r="CX25" s="267">
        <v>0</v>
      </c>
      <c r="CY25" s="267">
        <v>0</v>
      </c>
      <c r="CZ25" s="267">
        <v>0</v>
      </c>
      <c r="DA25" s="267">
        <v>0</v>
      </c>
      <c r="DB25" s="267">
        <v>0</v>
      </c>
      <c r="DC25" s="267">
        <v>0</v>
      </c>
      <c r="DD25" s="267">
        <v>0</v>
      </c>
      <c r="DE25" s="267">
        <v>0</v>
      </c>
      <c r="DF25" s="267"/>
      <c r="DG25" s="267"/>
      <c r="DH25" s="267"/>
      <c r="DI25" s="267"/>
      <c r="DJ25" s="267"/>
      <c r="DK25" s="267"/>
      <c r="DL25" s="267"/>
      <c r="DM25" s="267"/>
      <c r="DN25" s="267"/>
      <c r="DO25" s="267"/>
      <c r="DP25" s="267"/>
      <c r="DQ25" s="267"/>
      <c r="DR25" s="267"/>
    </row>
    <row r="26" spans="1:122" ht="17.399999999999999">
      <c r="K26" s="2799"/>
      <c r="M26" s="2800"/>
      <c r="Z26" s="927"/>
      <c r="AA26" s="416"/>
      <c r="AZ26" s="927"/>
      <c r="BL26" s="267"/>
      <c r="BM26" s="1871"/>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row>
    <row r="27" spans="1:122" ht="17.399999999999999">
      <c r="K27" s="2799"/>
      <c r="M27" s="2800"/>
      <c r="Z27" s="927"/>
      <c r="AA27" s="416"/>
      <c r="AZ27" s="927"/>
      <c r="BL27" s="267"/>
      <c r="BM27" s="1871"/>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row>
    <row r="28" spans="1:122" s="79" customFormat="1" ht="35.25" customHeight="1">
      <c r="A28" s="79" t="s">
        <v>323</v>
      </c>
      <c r="E28" s="3"/>
      <c r="K28" s="2799"/>
      <c r="L28" s="511"/>
      <c r="M28" s="2800"/>
      <c r="N28" s="511"/>
      <c r="O28" s="511"/>
      <c r="P28" s="511"/>
      <c r="Q28" s="511"/>
      <c r="R28" s="511"/>
      <c r="S28" s="511"/>
      <c r="T28" s="511"/>
      <c r="U28" s="511"/>
      <c r="V28" s="511"/>
      <c r="W28" s="511"/>
      <c r="X28" s="511"/>
      <c r="Y28" s="511"/>
      <c r="Z28" s="2657"/>
      <c r="AA28" s="2660"/>
      <c r="AB28" s="90"/>
      <c r="AC28" s="90"/>
      <c r="AD28" s="90"/>
      <c r="AE28" s="90"/>
      <c r="AF28" s="90"/>
      <c r="AG28" s="1878"/>
      <c r="AH28" s="90"/>
      <c r="AI28" s="90"/>
      <c r="AJ28" s="90"/>
      <c r="AK28" s="90"/>
      <c r="AL28" s="90"/>
      <c r="AM28" s="1878"/>
      <c r="AN28" s="90"/>
      <c r="AO28" s="90"/>
      <c r="AP28" s="90"/>
      <c r="AQ28" s="90"/>
      <c r="AR28" s="90"/>
      <c r="AS28" s="1878"/>
      <c r="AT28" s="90"/>
      <c r="AU28" s="90"/>
      <c r="AV28" s="90"/>
      <c r="AW28" s="90"/>
      <c r="AX28" s="90"/>
      <c r="AY28" s="1878"/>
      <c r="AZ28" s="2657"/>
      <c r="BJ28" s="78"/>
      <c r="BK28" s="78"/>
      <c r="BL28" s="933"/>
      <c r="BM28" s="1871"/>
      <c r="BN28" s="876"/>
      <c r="BO28" s="876"/>
      <c r="BP28" s="876"/>
      <c r="BQ28" s="876"/>
      <c r="BR28" s="876"/>
      <c r="BS28" s="876"/>
      <c r="BT28" s="876"/>
      <c r="BU28" s="876"/>
      <c r="BV28" s="876"/>
      <c r="BW28" s="876"/>
      <c r="BX28" s="876"/>
      <c r="BY28" s="876"/>
      <c r="BZ28" s="876"/>
      <c r="CA28" s="876"/>
      <c r="CB28" s="876"/>
      <c r="CC28" s="2562"/>
      <c r="CD28" s="2526"/>
      <c r="CE28" s="2527"/>
      <c r="CF28" s="2527"/>
      <c r="CG28" s="2527"/>
      <c r="CH28" s="2527"/>
      <c r="CI28" s="2527"/>
      <c r="CJ28" s="2527"/>
      <c r="CK28" s="2527"/>
      <c r="CL28" s="2527"/>
      <c r="CM28" s="2527"/>
      <c r="CN28" s="2527"/>
      <c r="CO28" s="2527"/>
      <c r="CP28" s="2527"/>
      <c r="CQ28" s="2523"/>
      <c r="CR28" s="2531"/>
      <c r="CS28" s="2523"/>
      <c r="CT28" s="267"/>
      <c r="CU28" s="267"/>
      <c r="CV28" s="267"/>
      <c r="CW28" s="267"/>
      <c r="CX28" s="267"/>
      <c r="CY28" s="267"/>
      <c r="CZ28" s="267"/>
      <c r="DA28" s="267"/>
      <c r="DB28" s="267"/>
      <c r="DC28" s="267"/>
      <c r="DD28" s="267"/>
      <c r="DE28" s="267"/>
      <c r="DF28" s="2523"/>
      <c r="DG28" s="2523"/>
      <c r="DH28" s="2523"/>
      <c r="DI28" s="2523"/>
      <c r="DJ28" s="2523"/>
      <c r="DK28" s="2523"/>
      <c r="DL28" s="2523"/>
      <c r="DM28" s="2523"/>
      <c r="DN28" s="2523"/>
      <c r="DO28" s="2523"/>
      <c r="DP28" s="2523"/>
      <c r="DQ28" s="2523"/>
      <c r="DR28" s="2523"/>
    </row>
    <row r="29" spans="1:122" ht="13.5" customHeight="1">
      <c r="K29" s="2799"/>
      <c r="L29" s="510"/>
      <c r="M29" s="2800"/>
      <c r="N29" s="512"/>
      <c r="O29" s="512"/>
      <c r="P29" s="512"/>
      <c r="Q29" s="512"/>
      <c r="R29" s="512"/>
      <c r="S29" s="513"/>
      <c r="T29" s="513"/>
      <c r="U29" s="513"/>
      <c r="V29" s="513"/>
      <c r="W29" s="513"/>
      <c r="X29" s="513"/>
      <c r="Y29" s="513"/>
      <c r="Z29" s="927"/>
      <c r="AA29" s="2661"/>
      <c r="AB29" s="90"/>
      <c r="AC29" s="90"/>
      <c r="AD29" s="90"/>
      <c r="AE29" s="90"/>
      <c r="AF29" s="90"/>
      <c r="AG29" s="1878"/>
      <c r="AH29" s="90"/>
      <c r="AI29" s="90"/>
      <c r="AJ29" s="90"/>
      <c r="AK29" s="90"/>
      <c r="AL29" s="90"/>
      <c r="AM29" s="1878"/>
      <c r="AN29" s="90"/>
      <c r="AO29" s="90"/>
      <c r="AP29" s="90"/>
      <c r="AQ29" s="90"/>
      <c r="AR29" s="90"/>
      <c r="AS29" s="1878"/>
      <c r="AT29" s="90"/>
      <c r="AU29" s="90"/>
      <c r="AV29" s="90"/>
      <c r="AW29" s="90"/>
      <c r="AX29" s="90"/>
      <c r="AY29" s="1878"/>
      <c r="AZ29" s="927"/>
      <c r="BJ29" s="78"/>
      <c r="BK29" s="78"/>
      <c r="BL29" s="933"/>
      <c r="BM29" s="1871"/>
      <c r="BN29" s="876"/>
      <c r="BO29" s="876"/>
      <c r="BP29" s="876"/>
      <c r="BQ29" s="876"/>
      <c r="BR29" s="876"/>
      <c r="BS29" s="876"/>
      <c r="BT29" s="876"/>
      <c r="BU29" s="876"/>
      <c r="BV29" s="876"/>
      <c r="BW29" s="876"/>
      <c r="BX29" s="876"/>
      <c r="BY29" s="876"/>
      <c r="BZ29" s="876"/>
      <c r="CA29" s="876"/>
      <c r="CB29" s="876"/>
      <c r="CC29" s="2562"/>
      <c r="CD29" s="2526"/>
      <c r="CE29" s="1882"/>
      <c r="CF29" s="1882"/>
      <c r="CG29" s="1882"/>
      <c r="CH29" s="1882"/>
      <c r="CI29" s="1882"/>
      <c r="CJ29" s="1882"/>
      <c r="CK29" s="1882"/>
      <c r="CL29" s="1882"/>
      <c r="CM29" s="1882"/>
      <c r="CN29" s="1882"/>
      <c r="CO29" s="1882"/>
      <c r="CP29" s="1882"/>
      <c r="CQ29" s="267"/>
      <c r="CR29" s="2531"/>
      <c r="CS29" s="267"/>
      <c r="CT29" s="267"/>
      <c r="CU29" s="267"/>
      <c r="CV29" s="267"/>
      <c r="CW29" s="267"/>
      <c r="CX29" s="267"/>
      <c r="CY29" s="267"/>
      <c r="CZ29" s="267"/>
      <c r="DA29" s="267"/>
      <c r="DB29" s="267"/>
      <c r="DC29" s="267"/>
      <c r="DD29" s="267"/>
      <c r="DF29" s="267"/>
      <c r="DG29" s="267"/>
      <c r="DH29" s="267"/>
      <c r="DI29" s="267"/>
      <c r="DJ29" s="267"/>
      <c r="DK29" s="267"/>
      <c r="DL29" s="267"/>
      <c r="DM29" s="267"/>
      <c r="DN29" s="267"/>
      <c r="DO29" s="267"/>
      <c r="DP29" s="267"/>
      <c r="DQ29" s="267"/>
      <c r="DR29" s="267"/>
    </row>
    <row r="30" spans="1:122" ht="18.75" customHeight="1">
      <c r="A30" s="729"/>
      <c r="B30" s="1493"/>
      <c r="C30" s="592"/>
      <c r="D30" s="592"/>
      <c r="E30" s="1824" t="s">
        <v>525</v>
      </c>
      <c r="F30" s="592"/>
      <c r="G30" s="592"/>
      <c r="H30" s="592"/>
      <c r="I30" s="592"/>
      <c r="J30" s="409"/>
      <c r="K30" s="2799"/>
      <c r="L30" s="732"/>
      <c r="M30" s="2800">
        <v>0</v>
      </c>
      <c r="N30" s="733"/>
      <c r="O30" s="733"/>
      <c r="P30" s="733"/>
      <c r="Q30" s="733"/>
      <c r="R30" s="733"/>
      <c r="S30" s="733"/>
      <c r="T30" s="733"/>
      <c r="U30" s="733"/>
      <c r="V30" s="733"/>
      <c r="W30" s="733"/>
      <c r="X30" s="733"/>
      <c r="Y30" s="733"/>
      <c r="Z30" s="2656"/>
      <c r="AA30" s="537" t="s">
        <v>525</v>
      </c>
      <c r="AB30" s="733"/>
      <c r="AC30" s="733"/>
      <c r="AD30" s="733"/>
      <c r="AE30" s="733"/>
      <c r="AF30" s="733"/>
      <c r="AG30" s="2503"/>
      <c r="AH30" s="733"/>
      <c r="AI30" s="733"/>
      <c r="AJ30" s="733"/>
      <c r="AK30" s="733"/>
      <c r="AL30" s="733"/>
      <c r="AM30" s="2503"/>
      <c r="AN30" s="733"/>
      <c r="AO30" s="733"/>
      <c r="AP30" s="733"/>
      <c r="AQ30" s="733"/>
      <c r="AR30" s="733"/>
      <c r="AS30" s="2503"/>
      <c r="AT30" s="733"/>
      <c r="AU30" s="733"/>
      <c r="AV30" s="733"/>
      <c r="AW30" s="733"/>
      <c r="AX30" s="733"/>
      <c r="AY30" s="2503"/>
      <c r="AZ30" s="2656"/>
      <c r="BA30" s="2507" t="s">
        <v>525</v>
      </c>
      <c r="BB30" s="2801" t="s">
        <v>525</v>
      </c>
      <c r="BC30" s="2801" t="s">
        <v>525</v>
      </c>
      <c r="BD30" s="537" t="s">
        <v>525</v>
      </c>
      <c r="BE30" s="537" t="s">
        <v>525</v>
      </c>
      <c r="BF30" s="537" t="s">
        <v>525</v>
      </c>
      <c r="BG30" s="538" t="s">
        <v>525</v>
      </c>
      <c r="BH30" s="538" t="s">
        <v>525</v>
      </c>
      <c r="BI30" s="539" t="s">
        <v>525</v>
      </c>
      <c r="BJ30" s="537" t="s">
        <v>525</v>
      </c>
      <c r="BK30" s="537">
        <v>0</v>
      </c>
      <c r="BL30" s="2663" t="s">
        <v>525</v>
      </c>
      <c r="BM30" s="1871"/>
      <c r="BN30" s="2560">
        <v>0</v>
      </c>
      <c r="BO30" s="2560">
        <v>0</v>
      </c>
      <c r="BP30" s="2560">
        <v>0</v>
      </c>
      <c r="BQ30" s="2560">
        <v>0</v>
      </c>
      <c r="BR30" s="2560">
        <v>0</v>
      </c>
      <c r="BS30" s="2561">
        <v>0</v>
      </c>
      <c r="BT30" s="2560" t="s">
        <v>525</v>
      </c>
      <c r="BU30" s="2560" t="s">
        <v>525</v>
      </c>
      <c r="BV30" s="2561">
        <v>0</v>
      </c>
      <c r="BW30" s="2561">
        <v>0</v>
      </c>
      <c r="BX30" s="2561">
        <v>0</v>
      </c>
      <c r="BY30" s="2561">
        <v>0</v>
      </c>
      <c r="BZ30" s="2560">
        <v>0</v>
      </c>
      <c r="CA30" s="2560" t="s">
        <v>525</v>
      </c>
      <c r="CB30" s="2560" t="s">
        <v>525</v>
      </c>
      <c r="CC30" s="2562" t="s">
        <v>525</v>
      </c>
      <c r="CD30" s="2524" t="s">
        <v>525</v>
      </c>
      <c r="CE30" s="2525">
        <v>0</v>
      </c>
      <c r="CF30" s="2525">
        <v>0</v>
      </c>
      <c r="CG30" s="2525">
        <v>0</v>
      </c>
      <c r="CH30" s="2525">
        <v>0</v>
      </c>
      <c r="CI30" s="2525">
        <v>0</v>
      </c>
      <c r="CJ30" s="2525">
        <v>0</v>
      </c>
      <c r="CK30" s="2525">
        <v>0</v>
      </c>
      <c r="CL30" s="2525">
        <v>0</v>
      </c>
      <c r="CM30" s="2525">
        <v>0</v>
      </c>
      <c r="CN30" s="2525">
        <v>0</v>
      </c>
      <c r="CO30" s="2525">
        <v>0</v>
      </c>
      <c r="CP30" s="2525">
        <v>0</v>
      </c>
      <c r="CQ30" s="267"/>
      <c r="CR30" s="2531"/>
      <c r="CS30" s="267"/>
      <c r="CT30" s="267">
        <v>0</v>
      </c>
      <c r="CU30" s="267">
        <v>0</v>
      </c>
      <c r="CV30" s="267">
        <v>0</v>
      </c>
      <c r="CW30" s="267">
        <v>0</v>
      </c>
      <c r="CX30" s="267">
        <v>0</v>
      </c>
      <c r="CY30" s="267">
        <v>0</v>
      </c>
      <c r="CZ30" s="267">
        <v>0</v>
      </c>
      <c r="DA30" s="267">
        <v>0</v>
      </c>
      <c r="DB30" s="267">
        <v>0</v>
      </c>
      <c r="DC30" s="267">
        <v>0</v>
      </c>
      <c r="DD30" s="267">
        <v>0</v>
      </c>
      <c r="DE30" s="267">
        <v>0</v>
      </c>
      <c r="DF30" s="267"/>
      <c r="DG30" s="267"/>
      <c r="DH30" s="267"/>
      <c r="DI30" s="267"/>
      <c r="DJ30" s="267"/>
      <c r="DK30" s="267"/>
      <c r="DL30" s="267"/>
      <c r="DM30" s="267"/>
      <c r="DN30" s="267"/>
      <c r="DO30" s="267"/>
      <c r="DP30" s="267"/>
      <c r="DQ30" s="267"/>
      <c r="DR30" s="267"/>
    </row>
    <row r="31" spans="1:122" ht="18.75" customHeight="1">
      <c r="A31" s="729"/>
      <c r="B31" s="1493"/>
      <c r="C31" s="592"/>
      <c r="D31" s="592"/>
      <c r="E31" s="2791" t="s">
        <v>525</v>
      </c>
      <c r="F31" s="409"/>
      <c r="G31" s="592"/>
      <c r="H31" s="409"/>
      <c r="I31" s="409"/>
      <c r="J31" s="409"/>
      <c r="K31" s="2799"/>
      <c r="L31" s="732"/>
      <c r="M31" s="2800">
        <v>0</v>
      </c>
      <c r="N31" s="733"/>
      <c r="O31" s="733"/>
      <c r="P31" s="733"/>
      <c r="Q31" s="733"/>
      <c r="R31" s="733"/>
      <c r="S31" s="733"/>
      <c r="T31" s="734"/>
      <c r="U31" s="734"/>
      <c r="V31" s="734"/>
      <c r="W31" s="734"/>
      <c r="X31" s="734"/>
      <c r="Y31" s="734"/>
      <c r="Z31" s="2656"/>
      <c r="AA31" s="537" t="s">
        <v>525</v>
      </c>
      <c r="AB31" s="733"/>
      <c r="AC31" s="733"/>
      <c r="AD31" s="733"/>
      <c r="AE31" s="733"/>
      <c r="AF31" s="733"/>
      <c r="AG31" s="2503"/>
      <c r="AH31" s="733"/>
      <c r="AI31" s="733"/>
      <c r="AJ31" s="733"/>
      <c r="AK31" s="733"/>
      <c r="AL31" s="733"/>
      <c r="AM31" s="2503"/>
      <c r="AN31" s="733"/>
      <c r="AO31" s="733"/>
      <c r="AP31" s="733"/>
      <c r="AQ31" s="733"/>
      <c r="AR31" s="733"/>
      <c r="AS31" s="2503"/>
      <c r="AT31" s="733"/>
      <c r="AU31" s="733"/>
      <c r="AV31" s="733"/>
      <c r="AW31" s="733"/>
      <c r="AX31" s="733"/>
      <c r="AY31" s="2503"/>
      <c r="AZ31" s="2656"/>
      <c r="BA31" s="2507" t="s">
        <v>525</v>
      </c>
      <c r="BB31" s="1875" t="s">
        <v>525</v>
      </c>
      <c r="BC31" s="1875" t="s">
        <v>525</v>
      </c>
      <c r="BD31" s="537" t="s">
        <v>525</v>
      </c>
      <c r="BE31" s="537" t="s">
        <v>525</v>
      </c>
      <c r="BF31" s="537" t="s">
        <v>525</v>
      </c>
      <c r="BG31" s="538" t="s">
        <v>525</v>
      </c>
      <c r="BH31" s="538" t="s">
        <v>525</v>
      </c>
      <c r="BI31" s="539" t="s">
        <v>525</v>
      </c>
      <c r="BJ31" s="537" t="s">
        <v>525</v>
      </c>
      <c r="BK31" s="537">
        <v>0</v>
      </c>
      <c r="BL31" s="2663" t="s">
        <v>525</v>
      </c>
      <c r="BM31" s="1871"/>
      <c r="BN31" s="2560">
        <v>0</v>
      </c>
      <c r="BO31" s="2560">
        <v>0</v>
      </c>
      <c r="BP31" s="2560">
        <v>0</v>
      </c>
      <c r="BQ31" s="2560">
        <v>0</v>
      </c>
      <c r="BR31" s="2560">
        <v>0</v>
      </c>
      <c r="BS31" s="2561">
        <v>0</v>
      </c>
      <c r="BT31" s="2560" t="s">
        <v>525</v>
      </c>
      <c r="BU31" s="2560" t="s">
        <v>525</v>
      </c>
      <c r="BV31" s="2561">
        <v>0</v>
      </c>
      <c r="BW31" s="2561">
        <v>0</v>
      </c>
      <c r="BX31" s="2561">
        <v>0</v>
      </c>
      <c r="BY31" s="2561">
        <v>0</v>
      </c>
      <c r="BZ31" s="2560">
        <v>0</v>
      </c>
      <c r="CA31" s="2560" t="s">
        <v>525</v>
      </c>
      <c r="CB31" s="2560" t="s">
        <v>525</v>
      </c>
      <c r="CC31" s="2562" t="s">
        <v>525</v>
      </c>
      <c r="CD31" s="2524" t="s">
        <v>525</v>
      </c>
      <c r="CE31" s="2525">
        <v>0</v>
      </c>
      <c r="CF31" s="2525">
        <v>0</v>
      </c>
      <c r="CG31" s="2525">
        <v>0</v>
      </c>
      <c r="CH31" s="2525">
        <v>0</v>
      </c>
      <c r="CI31" s="2525">
        <v>0</v>
      </c>
      <c r="CJ31" s="2525">
        <v>0</v>
      </c>
      <c r="CK31" s="2525">
        <v>0</v>
      </c>
      <c r="CL31" s="2525">
        <v>0</v>
      </c>
      <c r="CM31" s="2525">
        <v>0</v>
      </c>
      <c r="CN31" s="2525">
        <v>0</v>
      </c>
      <c r="CO31" s="2525">
        <v>0</v>
      </c>
      <c r="CP31" s="2525">
        <v>0</v>
      </c>
      <c r="CQ31" s="267"/>
      <c r="CR31" s="2531"/>
      <c r="CS31" s="267"/>
      <c r="CT31" s="267">
        <v>0</v>
      </c>
      <c r="CU31" s="267">
        <v>0</v>
      </c>
      <c r="CV31" s="267">
        <v>0</v>
      </c>
      <c r="CW31" s="267">
        <v>0</v>
      </c>
      <c r="CX31" s="267">
        <v>0</v>
      </c>
      <c r="CY31" s="267">
        <v>0</v>
      </c>
      <c r="CZ31" s="267">
        <v>0</v>
      </c>
      <c r="DA31" s="267">
        <v>0</v>
      </c>
      <c r="DB31" s="267">
        <v>0</v>
      </c>
      <c r="DC31" s="267">
        <v>0</v>
      </c>
      <c r="DD31" s="267">
        <v>0</v>
      </c>
      <c r="DE31" s="267">
        <v>0</v>
      </c>
      <c r="DF31" s="267"/>
      <c r="DG31" s="267"/>
      <c r="DH31" s="267"/>
      <c r="DI31" s="267"/>
      <c r="DJ31" s="267"/>
      <c r="DK31" s="267"/>
      <c r="DL31" s="267"/>
      <c r="DM31" s="267"/>
      <c r="DN31" s="267"/>
      <c r="DO31" s="267"/>
      <c r="DP31" s="267"/>
      <c r="DQ31" s="267"/>
      <c r="DR31" s="267"/>
    </row>
    <row r="32" spans="1:122" ht="18.75" customHeight="1">
      <c r="A32" s="729"/>
      <c r="B32" s="1493"/>
      <c r="C32" s="592"/>
      <c r="D32" s="592"/>
      <c r="E32" s="2791" t="s">
        <v>525</v>
      </c>
      <c r="F32" s="409"/>
      <c r="G32" s="592"/>
      <c r="H32" s="592"/>
      <c r="I32" s="592"/>
      <c r="J32" s="409"/>
      <c r="K32" s="2799"/>
      <c r="L32" s="732"/>
      <c r="M32" s="2800">
        <v>0</v>
      </c>
      <c r="N32" s="733"/>
      <c r="O32" s="733"/>
      <c r="P32" s="733"/>
      <c r="Q32" s="733"/>
      <c r="R32" s="733"/>
      <c r="S32" s="733"/>
      <c r="T32" s="734"/>
      <c r="U32" s="734"/>
      <c r="V32" s="734"/>
      <c r="W32" s="734"/>
      <c r="X32" s="734"/>
      <c r="Y32" s="734"/>
      <c r="Z32" s="2656"/>
      <c r="AA32" s="537" t="s">
        <v>525</v>
      </c>
      <c r="AB32" s="733"/>
      <c r="AC32" s="733"/>
      <c r="AD32" s="733"/>
      <c r="AE32" s="733"/>
      <c r="AF32" s="733"/>
      <c r="AG32" s="2503"/>
      <c r="AH32" s="733"/>
      <c r="AI32" s="733"/>
      <c r="AJ32" s="733"/>
      <c r="AK32" s="733"/>
      <c r="AL32" s="733"/>
      <c r="AM32" s="2503"/>
      <c r="AN32" s="733"/>
      <c r="AO32" s="733"/>
      <c r="AP32" s="733"/>
      <c r="AQ32" s="733"/>
      <c r="AR32" s="733"/>
      <c r="AS32" s="2503"/>
      <c r="AT32" s="733"/>
      <c r="AU32" s="733"/>
      <c r="AV32" s="733"/>
      <c r="AW32" s="733"/>
      <c r="AX32" s="733"/>
      <c r="AY32" s="2503"/>
      <c r="AZ32" s="2656"/>
      <c r="BA32" s="2507" t="s">
        <v>525</v>
      </c>
      <c r="BB32" s="1875" t="s">
        <v>525</v>
      </c>
      <c r="BC32" s="1875" t="s">
        <v>525</v>
      </c>
      <c r="BD32" s="537" t="s">
        <v>525</v>
      </c>
      <c r="BE32" s="537" t="s">
        <v>525</v>
      </c>
      <c r="BF32" s="537" t="s">
        <v>525</v>
      </c>
      <c r="BG32" s="538" t="s">
        <v>525</v>
      </c>
      <c r="BH32" s="538" t="s">
        <v>525</v>
      </c>
      <c r="BI32" s="539" t="s">
        <v>525</v>
      </c>
      <c r="BJ32" s="537" t="s">
        <v>525</v>
      </c>
      <c r="BK32" s="537">
        <v>0</v>
      </c>
      <c r="BL32" s="2663" t="s">
        <v>525</v>
      </c>
      <c r="BM32" s="1871"/>
      <c r="BN32" s="2560">
        <v>0</v>
      </c>
      <c r="BO32" s="2560">
        <v>0</v>
      </c>
      <c r="BP32" s="2560">
        <v>0</v>
      </c>
      <c r="BQ32" s="2560">
        <v>0</v>
      </c>
      <c r="BR32" s="2560">
        <v>0</v>
      </c>
      <c r="BS32" s="2561">
        <v>0</v>
      </c>
      <c r="BT32" s="2560" t="s">
        <v>525</v>
      </c>
      <c r="BU32" s="2560" t="s">
        <v>525</v>
      </c>
      <c r="BV32" s="2561">
        <v>0</v>
      </c>
      <c r="BW32" s="2561">
        <v>0</v>
      </c>
      <c r="BX32" s="2561">
        <v>0</v>
      </c>
      <c r="BY32" s="2561">
        <v>0</v>
      </c>
      <c r="BZ32" s="2560">
        <v>0</v>
      </c>
      <c r="CA32" s="2560" t="s">
        <v>525</v>
      </c>
      <c r="CB32" s="2560" t="s">
        <v>525</v>
      </c>
      <c r="CC32" s="2562" t="s">
        <v>525</v>
      </c>
      <c r="CD32" s="2524" t="s">
        <v>525</v>
      </c>
      <c r="CE32" s="2525">
        <v>0</v>
      </c>
      <c r="CF32" s="2525">
        <v>0</v>
      </c>
      <c r="CG32" s="2525">
        <v>0</v>
      </c>
      <c r="CH32" s="2525">
        <v>0</v>
      </c>
      <c r="CI32" s="2525">
        <v>0</v>
      </c>
      <c r="CJ32" s="2525">
        <v>0</v>
      </c>
      <c r="CK32" s="2525">
        <v>0</v>
      </c>
      <c r="CL32" s="2525">
        <v>0</v>
      </c>
      <c r="CM32" s="2525">
        <v>0</v>
      </c>
      <c r="CN32" s="2525">
        <v>0</v>
      </c>
      <c r="CO32" s="2525">
        <v>0</v>
      </c>
      <c r="CP32" s="2525">
        <v>0</v>
      </c>
      <c r="CQ32" s="267"/>
      <c r="CR32" s="2531"/>
      <c r="CS32" s="267"/>
      <c r="CT32" s="267">
        <v>0</v>
      </c>
      <c r="CU32" s="267">
        <v>0</v>
      </c>
      <c r="CV32" s="267">
        <v>0</v>
      </c>
      <c r="CW32" s="267">
        <v>0</v>
      </c>
      <c r="CX32" s="267">
        <v>0</v>
      </c>
      <c r="CY32" s="267">
        <v>0</v>
      </c>
      <c r="CZ32" s="267">
        <v>0</v>
      </c>
      <c r="DA32" s="267">
        <v>0</v>
      </c>
      <c r="DB32" s="267">
        <v>0</v>
      </c>
      <c r="DC32" s="267">
        <v>0</v>
      </c>
      <c r="DD32" s="267">
        <v>0</v>
      </c>
      <c r="DE32" s="267">
        <v>0</v>
      </c>
      <c r="DF32" s="267"/>
      <c r="DG32" s="267"/>
      <c r="DH32" s="267"/>
      <c r="DI32" s="267"/>
      <c r="DJ32" s="267"/>
      <c r="DK32" s="267"/>
      <c r="DL32" s="267"/>
      <c r="DM32" s="267"/>
      <c r="DN32" s="267"/>
      <c r="DO32" s="267"/>
      <c r="DP32" s="267"/>
      <c r="DQ32" s="267"/>
      <c r="DR32" s="267"/>
    </row>
    <row r="33" spans="1:122" ht="18.75" customHeight="1">
      <c r="A33" s="729"/>
      <c r="B33" s="1493"/>
      <c r="C33" s="592"/>
      <c r="D33" s="592"/>
      <c r="E33" s="2791" t="s">
        <v>525</v>
      </c>
      <c r="F33" s="592"/>
      <c r="G33" s="409"/>
      <c r="H33" s="409"/>
      <c r="I33" s="409"/>
      <c r="J33" s="409"/>
      <c r="K33" s="2799"/>
      <c r="L33" s="732"/>
      <c r="M33" s="2800">
        <v>0</v>
      </c>
      <c r="N33" s="733"/>
      <c r="O33" s="733"/>
      <c r="P33" s="733"/>
      <c r="Q33" s="733"/>
      <c r="R33" s="733"/>
      <c r="S33" s="733"/>
      <c r="T33" s="733"/>
      <c r="U33" s="733"/>
      <c r="V33" s="733"/>
      <c r="W33" s="733"/>
      <c r="X33" s="733"/>
      <c r="Y33" s="733"/>
      <c r="Z33" s="2656"/>
      <c r="AA33" s="537" t="s">
        <v>525</v>
      </c>
      <c r="AB33" s="733"/>
      <c r="AC33" s="733"/>
      <c r="AD33" s="733"/>
      <c r="AE33" s="733"/>
      <c r="AF33" s="733"/>
      <c r="AG33" s="2503"/>
      <c r="AH33" s="733"/>
      <c r="AI33" s="733"/>
      <c r="AJ33" s="733"/>
      <c r="AK33" s="733"/>
      <c r="AL33" s="733"/>
      <c r="AM33" s="2503"/>
      <c r="AN33" s="733"/>
      <c r="AO33" s="733"/>
      <c r="AP33" s="733"/>
      <c r="AQ33" s="733"/>
      <c r="AR33" s="733"/>
      <c r="AS33" s="2503"/>
      <c r="AT33" s="733"/>
      <c r="AU33" s="733"/>
      <c r="AV33" s="733"/>
      <c r="AW33" s="733"/>
      <c r="AX33" s="733"/>
      <c r="AY33" s="2503"/>
      <c r="AZ33" s="2656"/>
      <c r="BA33" s="2507" t="s">
        <v>525</v>
      </c>
      <c r="BB33" s="1875" t="s">
        <v>525</v>
      </c>
      <c r="BC33" s="1875" t="s">
        <v>525</v>
      </c>
      <c r="BD33" s="537" t="s">
        <v>525</v>
      </c>
      <c r="BE33" s="537" t="s">
        <v>525</v>
      </c>
      <c r="BF33" s="537" t="s">
        <v>525</v>
      </c>
      <c r="BG33" s="538" t="s">
        <v>525</v>
      </c>
      <c r="BH33" s="538" t="s">
        <v>525</v>
      </c>
      <c r="BI33" s="539" t="s">
        <v>525</v>
      </c>
      <c r="BJ33" s="537" t="s">
        <v>525</v>
      </c>
      <c r="BK33" s="537">
        <v>0</v>
      </c>
      <c r="BL33" s="2663" t="s">
        <v>525</v>
      </c>
      <c r="BM33" s="1871"/>
      <c r="BN33" s="2560">
        <v>0</v>
      </c>
      <c r="BO33" s="2560">
        <v>0</v>
      </c>
      <c r="BP33" s="2560">
        <v>0</v>
      </c>
      <c r="BQ33" s="2560">
        <v>0</v>
      </c>
      <c r="BR33" s="2560">
        <v>0</v>
      </c>
      <c r="BS33" s="2561">
        <v>0</v>
      </c>
      <c r="BT33" s="2560" t="s">
        <v>525</v>
      </c>
      <c r="BU33" s="2560" t="s">
        <v>525</v>
      </c>
      <c r="BV33" s="2561">
        <v>0</v>
      </c>
      <c r="BW33" s="2561">
        <v>0</v>
      </c>
      <c r="BX33" s="2561">
        <v>0</v>
      </c>
      <c r="BY33" s="2561">
        <v>0</v>
      </c>
      <c r="BZ33" s="2560">
        <v>0</v>
      </c>
      <c r="CA33" s="2560" t="s">
        <v>525</v>
      </c>
      <c r="CB33" s="2560" t="s">
        <v>525</v>
      </c>
      <c r="CC33" s="2562" t="s">
        <v>525</v>
      </c>
      <c r="CD33" s="2524" t="s">
        <v>525</v>
      </c>
      <c r="CE33" s="2525">
        <v>0</v>
      </c>
      <c r="CF33" s="2525">
        <v>0</v>
      </c>
      <c r="CG33" s="2525">
        <v>0</v>
      </c>
      <c r="CH33" s="2525">
        <v>0</v>
      </c>
      <c r="CI33" s="2525">
        <v>0</v>
      </c>
      <c r="CJ33" s="2525">
        <v>0</v>
      </c>
      <c r="CK33" s="2525">
        <v>0</v>
      </c>
      <c r="CL33" s="2525">
        <v>0</v>
      </c>
      <c r="CM33" s="2525">
        <v>0</v>
      </c>
      <c r="CN33" s="2525">
        <v>0</v>
      </c>
      <c r="CO33" s="2525">
        <v>0</v>
      </c>
      <c r="CP33" s="2525">
        <v>0</v>
      </c>
      <c r="CQ33" s="267"/>
      <c r="CR33" s="2531"/>
      <c r="CS33" s="267"/>
      <c r="CT33" s="267">
        <v>0</v>
      </c>
      <c r="CU33" s="267">
        <v>0</v>
      </c>
      <c r="CV33" s="267">
        <v>0</v>
      </c>
      <c r="CW33" s="267">
        <v>0</v>
      </c>
      <c r="CX33" s="267">
        <v>0</v>
      </c>
      <c r="CY33" s="267">
        <v>0</v>
      </c>
      <c r="CZ33" s="267">
        <v>0</v>
      </c>
      <c r="DA33" s="267">
        <v>0</v>
      </c>
      <c r="DB33" s="267">
        <v>0</v>
      </c>
      <c r="DC33" s="267">
        <v>0</v>
      </c>
      <c r="DD33" s="267">
        <v>0</v>
      </c>
      <c r="DE33" s="267">
        <v>0</v>
      </c>
      <c r="DF33" s="267"/>
      <c r="DG33" s="267"/>
      <c r="DH33" s="267"/>
      <c r="DI33" s="267"/>
      <c r="DJ33" s="267"/>
      <c r="DK33" s="267"/>
      <c r="DL33" s="267"/>
      <c r="DM33" s="267"/>
      <c r="DN33" s="267"/>
      <c r="DO33" s="267"/>
      <c r="DP33" s="267"/>
      <c r="DQ33" s="267"/>
      <c r="DR33" s="267"/>
    </row>
    <row r="34" spans="1:122" ht="18.75" customHeight="1">
      <c r="A34" s="729"/>
      <c r="B34" s="1493"/>
      <c r="C34" s="592"/>
      <c r="D34" s="592"/>
      <c r="E34" s="2791" t="s">
        <v>525</v>
      </c>
      <c r="F34" s="592"/>
      <c r="G34" s="409"/>
      <c r="H34" s="409"/>
      <c r="I34" s="409"/>
      <c r="J34" s="409"/>
      <c r="K34" s="2799"/>
      <c r="L34" s="732"/>
      <c r="M34" s="2800">
        <v>0</v>
      </c>
      <c r="N34" s="733"/>
      <c r="O34" s="733"/>
      <c r="P34" s="733"/>
      <c r="Q34" s="733"/>
      <c r="R34" s="733"/>
      <c r="S34" s="733"/>
      <c r="T34" s="733"/>
      <c r="U34" s="733"/>
      <c r="V34" s="733"/>
      <c r="W34" s="733"/>
      <c r="X34" s="733"/>
      <c r="Y34" s="733"/>
      <c r="Z34" s="2656"/>
      <c r="AA34" s="537" t="s">
        <v>525</v>
      </c>
      <c r="AB34" s="733"/>
      <c r="AC34" s="733"/>
      <c r="AD34" s="733"/>
      <c r="AE34" s="733"/>
      <c r="AF34" s="733"/>
      <c r="AG34" s="2503"/>
      <c r="AH34" s="733"/>
      <c r="AI34" s="733"/>
      <c r="AJ34" s="733"/>
      <c r="AK34" s="733"/>
      <c r="AL34" s="733"/>
      <c r="AM34" s="2503"/>
      <c r="AN34" s="733"/>
      <c r="AO34" s="733"/>
      <c r="AP34" s="733"/>
      <c r="AQ34" s="733"/>
      <c r="AR34" s="733"/>
      <c r="AS34" s="2503"/>
      <c r="AT34" s="733"/>
      <c r="AU34" s="733"/>
      <c r="AV34" s="733"/>
      <c r="AW34" s="733"/>
      <c r="AX34" s="733"/>
      <c r="AY34" s="2503"/>
      <c r="AZ34" s="2656"/>
      <c r="BA34" s="2507" t="s">
        <v>525</v>
      </c>
      <c r="BB34" s="1875" t="s">
        <v>525</v>
      </c>
      <c r="BC34" s="1875" t="s">
        <v>525</v>
      </c>
      <c r="BD34" s="537" t="s">
        <v>525</v>
      </c>
      <c r="BE34" s="537" t="s">
        <v>525</v>
      </c>
      <c r="BF34" s="537" t="s">
        <v>525</v>
      </c>
      <c r="BG34" s="538" t="s">
        <v>525</v>
      </c>
      <c r="BH34" s="538" t="s">
        <v>525</v>
      </c>
      <c r="BI34" s="539" t="s">
        <v>525</v>
      </c>
      <c r="BJ34" s="537" t="s">
        <v>525</v>
      </c>
      <c r="BK34" s="537">
        <v>0</v>
      </c>
      <c r="BL34" s="2663" t="s">
        <v>525</v>
      </c>
      <c r="BM34" s="1871"/>
      <c r="BN34" s="2560">
        <v>0</v>
      </c>
      <c r="BO34" s="2560">
        <v>0</v>
      </c>
      <c r="BP34" s="2560">
        <v>0</v>
      </c>
      <c r="BQ34" s="2560">
        <v>0</v>
      </c>
      <c r="BR34" s="2560">
        <v>0</v>
      </c>
      <c r="BS34" s="2561">
        <v>0</v>
      </c>
      <c r="BT34" s="2560" t="s">
        <v>525</v>
      </c>
      <c r="BU34" s="2560" t="s">
        <v>525</v>
      </c>
      <c r="BV34" s="2561">
        <v>0</v>
      </c>
      <c r="BW34" s="2561">
        <v>0</v>
      </c>
      <c r="BX34" s="2561">
        <v>0</v>
      </c>
      <c r="BY34" s="2561">
        <v>0</v>
      </c>
      <c r="BZ34" s="2560">
        <v>0</v>
      </c>
      <c r="CA34" s="2560" t="s">
        <v>525</v>
      </c>
      <c r="CB34" s="2560" t="s">
        <v>525</v>
      </c>
      <c r="CC34" s="2562" t="s">
        <v>525</v>
      </c>
      <c r="CD34" s="2524" t="s">
        <v>525</v>
      </c>
      <c r="CE34" s="2525">
        <v>0</v>
      </c>
      <c r="CF34" s="2525">
        <v>0</v>
      </c>
      <c r="CG34" s="2525">
        <v>0</v>
      </c>
      <c r="CH34" s="2525">
        <v>0</v>
      </c>
      <c r="CI34" s="2525">
        <v>0</v>
      </c>
      <c r="CJ34" s="2525">
        <v>0</v>
      </c>
      <c r="CK34" s="2525">
        <v>0</v>
      </c>
      <c r="CL34" s="2525">
        <v>0</v>
      </c>
      <c r="CM34" s="2525">
        <v>0</v>
      </c>
      <c r="CN34" s="2525">
        <v>0</v>
      </c>
      <c r="CO34" s="2525">
        <v>0</v>
      </c>
      <c r="CP34" s="2525">
        <v>0</v>
      </c>
      <c r="CQ34" s="267"/>
      <c r="CR34" s="2531"/>
      <c r="CS34" s="267"/>
      <c r="CT34" s="267">
        <v>0</v>
      </c>
      <c r="CU34" s="267">
        <v>0</v>
      </c>
      <c r="CV34" s="267">
        <v>0</v>
      </c>
      <c r="CW34" s="267">
        <v>0</v>
      </c>
      <c r="CX34" s="267">
        <v>0</v>
      </c>
      <c r="CY34" s="267">
        <v>0</v>
      </c>
      <c r="CZ34" s="267">
        <v>0</v>
      </c>
      <c r="DA34" s="267">
        <v>0</v>
      </c>
      <c r="DB34" s="267">
        <v>0</v>
      </c>
      <c r="DC34" s="267">
        <v>0</v>
      </c>
      <c r="DD34" s="267">
        <v>0</v>
      </c>
      <c r="DE34" s="267">
        <v>0</v>
      </c>
      <c r="DF34" s="267"/>
      <c r="DG34" s="267"/>
      <c r="DH34" s="267"/>
      <c r="DI34" s="267"/>
      <c r="DJ34" s="267"/>
      <c r="DK34" s="267"/>
      <c r="DL34" s="267"/>
      <c r="DM34" s="267"/>
      <c r="DN34" s="267"/>
      <c r="DO34" s="267"/>
      <c r="DP34" s="267"/>
      <c r="DQ34" s="267"/>
      <c r="DR34" s="267"/>
    </row>
    <row r="35" spans="1:122" s="79" customFormat="1" ht="18.75" customHeight="1">
      <c r="A35" s="729"/>
      <c r="B35" s="1493"/>
      <c r="C35" s="592"/>
      <c r="D35" s="592"/>
      <c r="E35" s="2791" t="s">
        <v>525</v>
      </c>
      <c r="F35" s="592"/>
      <c r="G35" s="409"/>
      <c r="H35" s="409"/>
      <c r="I35" s="409"/>
      <c r="J35" s="409"/>
      <c r="K35" s="2799"/>
      <c r="L35" s="732"/>
      <c r="M35" s="2800">
        <v>0</v>
      </c>
      <c r="N35" s="733"/>
      <c r="O35" s="733"/>
      <c r="P35" s="733"/>
      <c r="Q35" s="733"/>
      <c r="R35" s="733"/>
      <c r="S35" s="733"/>
      <c r="T35" s="733"/>
      <c r="U35" s="733"/>
      <c r="V35" s="733"/>
      <c r="W35" s="733"/>
      <c r="X35" s="733"/>
      <c r="Y35" s="733"/>
      <c r="Z35" s="2656"/>
      <c r="AA35" s="537" t="s">
        <v>525</v>
      </c>
      <c r="AB35" s="733"/>
      <c r="AC35" s="733"/>
      <c r="AD35" s="733"/>
      <c r="AE35" s="733"/>
      <c r="AF35" s="733"/>
      <c r="AG35" s="2503"/>
      <c r="AH35" s="733"/>
      <c r="AI35" s="733"/>
      <c r="AJ35" s="733"/>
      <c r="AK35" s="733"/>
      <c r="AL35" s="733"/>
      <c r="AM35" s="2503"/>
      <c r="AN35" s="733"/>
      <c r="AO35" s="733"/>
      <c r="AP35" s="733"/>
      <c r="AQ35" s="733"/>
      <c r="AR35" s="733"/>
      <c r="AS35" s="2503"/>
      <c r="AT35" s="733"/>
      <c r="AU35" s="733"/>
      <c r="AV35" s="733"/>
      <c r="AW35" s="733"/>
      <c r="AX35" s="733"/>
      <c r="AY35" s="2503"/>
      <c r="AZ35" s="2656"/>
      <c r="BA35" s="2507" t="s">
        <v>525</v>
      </c>
      <c r="BB35" s="1875" t="s">
        <v>525</v>
      </c>
      <c r="BC35" s="1875" t="s">
        <v>525</v>
      </c>
      <c r="BD35" s="537" t="s">
        <v>525</v>
      </c>
      <c r="BE35" s="537" t="s">
        <v>525</v>
      </c>
      <c r="BF35" s="537" t="s">
        <v>525</v>
      </c>
      <c r="BG35" s="538" t="s">
        <v>525</v>
      </c>
      <c r="BH35" s="538" t="s">
        <v>525</v>
      </c>
      <c r="BI35" s="539" t="s">
        <v>525</v>
      </c>
      <c r="BJ35" s="537" t="s">
        <v>525</v>
      </c>
      <c r="BK35" s="537">
        <v>0</v>
      </c>
      <c r="BL35" s="2663" t="s">
        <v>525</v>
      </c>
      <c r="BM35" s="1871"/>
      <c r="BN35" s="2560">
        <v>0</v>
      </c>
      <c r="BO35" s="2560">
        <v>0</v>
      </c>
      <c r="BP35" s="2560">
        <v>0</v>
      </c>
      <c r="BQ35" s="2560">
        <v>0</v>
      </c>
      <c r="BR35" s="2560">
        <v>0</v>
      </c>
      <c r="BS35" s="2561">
        <v>0</v>
      </c>
      <c r="BT35" s="2560" t="s">
        <v>525</v>
      </c>
      <c r="BU35" s="2560" t="s">
        <v>525</v>
      </c>
      <c r="BV35" s="2561">
        <v>0</v>
      </c>
      <c r="BW35" s="2561">
        <v>0</v>
      </c>
      <c r="BX35" s="2561">
        <v>0</v>
      </c>
      <c r="BY35" s="2561">
        <v>0</v>
      </c>
      <c r="BZ35" s="2560">
        <v>0</v>
      </c>
      <c r="CA35" s="2560" t="s">
        <v>525</v>
      </c>
      <c r="CB35" s="2560" t="s">
        <v>525</v>
      </c>
      <c r="CC35" s="2562" t="s">
        <v>525</v>
      </c>
      <c r="CD35" s="2524" t="s">
        <v>525</v>
      </c>
      <c r="CE35" s="2525">
        <v>0</v>
      </c>
      <c r="CF35" s="2525">
        <v>0</v>
      </c>
      <c r="CG35" s="2525">
        <v>0</v>
      </c>
      <c r="CH35" s="2525">
        <v>0</v>
      </c>
      <c r="CI35" s="2525">
        <v>0</v>
      </c>
      <c r="CJ35" s="2525">
        <v>0</v>
      </c>
      <c r="CK35" s="2525">
        <v>0</v>
      </c>
      <c r="CL35" s="2525">
        <v>0</v>
      </c>
      <c r="CM35" s="2525">
        <v>0</v>
      </c>
      <c r="CN35" s="2525">
        <v>0</v>
      </c>
      <c r="CO35" s="2525">
        <v>0</v>
      </c>
      <c r="CP35" s="2525">
        <v>0</v>
      </c>
      <c r="CQ35" s="2523"/>
      <c r="CR35" s="2531"/>
      <c r="CS35" s="2523"/>
      <c r="CT35" s="267">
        <v>0</v>
      </c>
      <c r="CU35" s="267">
        <v>0</v>
      </c>
      <c r="CV35" s="267">
        <v>0</v>
      </c>
      <c r="CW35" s="267">
        <v>0</v>
      </c>
      <c r="CX35" s="267">
        <v>0</v>
      </c>
      <c r="CY35" s="267">
        <v>0</v>
      </c>
      <c r="CZ35" s="267">
        <v>0</v>
      </c>
      <c r="DA35" s="267">
        <v>0</v>
      </c>
      <c r="DB35" s="267">
        <v>0</v>
      </c>
      <c r="DC35" s="267">
        <v>0</v>
      </c>
      <c r="DD35" s="267">
        <v>0</v>
      </c>
      <c r="DE35" s="267">
        <v>0</v>
      </c>
      <c r="DF35" s="2523"/>
      <c r="DG35" s="2523"/>
      <c r="DH35" s="2523"/>
      <c r="DI35" s="2523"/>
      <c r="DJ35" s="2523"/>
      <c r="DK35" s="2523"/>
      <c r="DL35" s="2523"/>
      <c r="DM35" s="2523"/>
      <c r="DN35" s="2523"/>
      <c r="DO35" s="2523"/>
      <c r="DP35" s="2523"/>
      <c r="DQ35" s="2523"/>
      <c r="DR35" s="2523"/>
    </row>
    <row r="36" spans="1:122" ht="18.75" customHeight="1">
      <c r="A36" s="729"/>
      <c r="B36" s="1493"/>
      <c r="C36" s="592"/>
      <c r="D36" s="592"/>
      <c r="E36" s="2791" t="s">
        <v>525</v>
      </c>
      <c r="F36" s="592"/>
      <c r="G36" s="409"/>
      <c r="H36" s="409"/>
      <c r="I36" s="409"/>
      <c r="J36" s="409"/>
      <c r="K36" s="2799"/>
      <c r="L36" s="732"/>
      <c r="M36" s="2800">
        <v>0</v>
      </c>
      <c r="N36" s="733"/>
      <c r="O36" s="733"/>
      <c r="P36" s="733"/>
      <c r="Q36" s="733"/>
      <c r="R36" s="733"/>
      <c r="S36" s="733"/>
      <c r="T36" s="733"/>
      <c r="U36" s="733"/>
      <c r="V36" s="733"/>
      <c r="W36" s="733"/>
      <c r="X36" s="733"/>
      <c r="Y36" s="733"/>
      <c r="Z36" s="2656"/>
      <c r="AA36" s="537" t="s">
        <v>525</v>
      </c>
      <c r="AB36" s="733"/>
      <c r="AC36" s="733"/>
      <c r="AD36" s="733"/>
      <c r="AE36" s="733"/>
      <c r="AF36" s="733"/>
      <c r="AG36" s="2503"/>
      <c r="AH36" s="733"/>
      <c r="AI36" s="733"/>
      <c r="AJ36" s="733"/>
      <c r="AK36" s="733"/>
      <c r="AL36" s="733"/>
      <c r="AM36" s="2503"/>
      <c r="AN36" s="733"/>
      <c r="AO36" s="733"/>
      <c r="AP36" s="733"/>
      <c r="AQ36" s="733"/>
      <c r="AR36" s="733"/>
      <c r="AS36" s="2503"/>
      <c r="AT36" s="733"/>
      <c r="AU36" s="733"/>
      <c r="AV36" s="733"/>
      <c r="AW36" s="733"/>
      <c r="AX36" s="733"/>
      <c r="AY36" s="2503"/>
      <c r="AZ36" s="2656"/>
      <c r="BA36" s="2507" t="s">
        <v>525</v>
      </c>
      <c r="BB36" s="1875" t="s">
        <v>525</v>
      </c>
      <c r="BC36" s="1875" t="s">
        <v>525</v>
      </c>
      <c r="BD36" s="537" t="s">
        <v>525</v>
      </c>
      <c r="BE36" s="537" t="s">
        <v>525</v>
      </c>
      <c r="BF36" s="537" t="s">
        <v>525</v>
      </c>
      <c r="BG36" s="538" t="s">
        <v>525</v>
      </c>
      <c r="BH36" s="538" t="s">
        <v>525</v>
      </c>
      <c r="BI36" s="539" t="s">
        <v>525</v>
      </c>
      <c r="BJ36" s="537" t="s">
        <v>525</v>
      </c>
      <c r="BK36" s="537">
        <v>0</v>
      </c>
      <c r="BL36" s="2663" t="s">
        <v>525</v>
      </c>
      <c r="BM36" s="1871"/>
      <c r="BN36" s="2560">
        <v>0</v>
      </c>
      <c r="BO36" s="2560">
        <v>0</v>
      </c>
      <c r="BP36" s="2560">
        <v>0</v>
      </c>
      <c r="BQ36" s="2560">
        <v>0</v>
      </c>
      <c r="BR36" s="2560">
        <v>0</v>
      </c>
      <c r="BS36" s="2561">
        <v>0</v>
      </c>
      <c r="BT36" s="2560" t="s">
        <v>525</v>
      </c>
      <c r="BU36" s="2560" t="s">
        <v>525</v>
      </c>
      <c r="BV36" s="2561">
        <v>0</v>
      </c>
      <c r="BW36" s="2561">
        <v>0</v>
      </c>
      <c r="BX36" s="2561">
        <v>0</v>
      </c>
      <c r="BY36" s="2561">
        <v>0</v>
      </c>
      <c r="BZ36" s="2560">
        <v>0</v>
      </c>
      <c r="CA36" s="2560" t="s">
        <v>525</v>
      </c>
      <c r="CB36" s="2560" t="s">
        <v>525</v>
      </c>
      <c r="CC36" s="2562" t="s">
        <v>525</v>
      </c>
      <c r="CD36" s="2524" t="s">
        <v>525</v>
      </c>
      <c r="CE36" s="2525">
        <v>0</v>
      </c>
      <c r="CF36" s="2525">
        <v>0</v>
      </c>
      <c r="CG36" s="2525">
        <v>0</v>
      </c>
      <c r="CH36" s="2525">
        <v>0</v>
      </c>
      <c r="CI36" s="2525">
        <v>0</v>
      </c>
      <c r="CJ36" s="2525">
        <v>0</v>
      </c>
      <c r="CK36" s="2525">
        <v>0</v>
      </c>
      <c r="CL36" s="2525">
        <v>0</v>
      </c>
      <c r="CM36" s="2525">
        <v>0</v>
      </c>
      <c r="CN36" s="2525">
        <v>0</v>
      </c>
      <c r="CO36" s="2525">
        <v>0</v>
      </c>
      <c r="CP36" s="2525">
        <v>0</v>
      </c>
      <c r="CQ36" s="267"/>
      <c r="CR36" s="2531"/>
      <c r="CS36" s="267"/>
      <c r="CT36" s="267">
        <v>0</v>
      </c>
      <c r="CU36" s="267">
        <v>0</v>
      </c>
      <c r="CV36" s="267">
        <v>0</v>
      </c>
      <c r="CW36" s="267">
        <v>0</v>
      </c>
      <c r="CX36" s="267">
        <v>0</v>
      </c>
      <c r="CY36" s="267">
        <v>0</v>
      </c>
      <c r="CZ36" s="267">
        <v>0</v>
      </c>
      <c r="DA36" s="267">
        <v>0</v>
      </c>
      <c r="DB36" s="267">
        <v>0</v>
      </c>
      <c r="DC36" s="267">
        <v>0</v>
      </c>
      <c r="DD36" s="267">
        <v>0</v>
      </c>
      <c r="DE36" s="267">
        <v>0</v>
      </c>
      <c r="DF36" s="267"/>
      <c r="DG36" s="267"/>
      <c r="DH36" s="267"/>
      <c r="DI36" s="267"/>
      <c r="DJ36" s="267"/>
      <c r="DK36" s="267"/>
      <c r="DL36" s="267"/>
      <c r="DM36" s="267"/>
      <c r="DN36" s="267"/>
      <c r="DO36" s="267"/>
      <c r="DP36" s="267"/>
      <c r="DQ36" s="267"/>
      <c r="DR36" s="267"/>
    </row>
    <row r="37" spans="1:122" ht="18.75" customHeight="1">
      <c r="A37" s="729"/>
      <c r="B37" s="1493"/>
      <c r="C37" s="592"/>
      <c r="D37" s="592"/>
      <c r="E37" s="2791" t="s">
        <v>525</v>
      </c>
      <c r="F37" s="592"/>
      <c r="G37" s="409"/>
      <c r="H37" s="409"/>
      <c r="I37" s="409"/>
      <c r="J37" s="409"/>
      <c r="K37" s="2799"/>
      <c r="L37" s="732"/>
      <c r="M37" s="2800">
        <v>0</v>
      </c>
      <c r="N37" s="733"/>
      <c r="O37" s="733"/>
      <c r="P37" s="733"/>
      <c r="Q37" s="733"/>
      <c r="R37" s="733"/>
      <c r="S37" s="733"/>
      <c r="T37" s="733"/>
      <c r="U37" s="733"/>
      <c r="V37" s="733"/>
      <c r="W37" s="733"/>
      <c r="X37" s="733"/>
      <c r="Y37" s="733"/>
      <c r="Z37" s="2656"/>
      <c r="AA37" s="537" t="s">
        <v>525</v>
      </c>
      <c r="AB37" s="733"/>
      <c r="AC37" s="733"/>
      <c r="AD37" s="733"/>
      <c r="AE37" s="733"/>
      <c r="AF37" s="733"/>
      <c r="AG37" s="2503"/>
      <c r="AH37" s="733"/>
      <c r="AI37" s="733"/>
      <c r="AJ37" s="733"/>
      <c r="AK37" s="733"/>
      <c r="AL37" s="733"/>
      <c r="AM37" s="2503"/>
      <c r="AN37" s="733"/>
      <c r="AO37" s="733"/>
      <c r="AP37" s="733"/>
      <c r="AQ37" s="733"/>
      <c r="AR37" s="733"/>
      <c r="AS37" s="2503"/>
      <c r="AT37" s="733"/>
      <c r="AU37" s="733"/>
      <c r="AV37" s="733"/>
      <c r="AW37" s="733"/>
      <c r="AX37" s="733"/>
      <c r="AY37" s="2503"/>
      <c r="AZ37" s="2656"/>
      <c r="BA37" s="2507" t="s">
        <v>525</v>
      </c>
      <c r="BB37" s="1875" t="s">
        <v>525</v>
      </c>
      <c r="BC37" s="1875" t="s">
        <v>525</v>
      </c>
      <c r="BD37" s="537" t="s">
        <v>525</v>
      </c>
      <c r="BE37" s="537" t="s">
        <v>525</v>
      </c>
      <c r="BF37" s="537" t="s">
        <v>525</v>
      </c>
      <c r="BG37" s="538" t="s">
        <v>525</v>
      </c>
      <c r="BH37" s="538" t="s">
        <v>525</v>
      </c>
      <c r="BI37" s="539" t="s">
        <v>525</v>
      </c>
      <c r="BJ37" s="537" t="s">
        <v>525</v>
      </c>
      <c r="BK37" s="537">
        <v>0</v>
      </c>
      <c r="BL37" s="2663" t="s">
        <v>525</v>
      </c>
      <c r="BM37" s="1871"/>
      <c r="BN37" s="2560">
        <v>0</v>
      </c>
      <c r="BO37" s="2560">
        <v>0</v>
      </c>
      <c r="BP37" s="2560">
        <v>0</v>
      </c>
      <c r="BQ37" s="2560">
        <v>0</v>
      </c>
      <c r="BR37" s="2560">
        <v>0</v>
      </c>
      <c r="BS37" s="2561">
        <v>0</v>
      </c>
      <c r="BT37" s="2560" t="s">
        <v>525</v>
      </c>
      <c r="BU37" s="2560" t="s">
        <v>525</v>
      </c>
      <c r="BV37" s="2561">
        <v>0</v>
      </c>
      <c r="BW37" s="2561">
        <v>0</v>
      </c>
      <c r="BX37" s="2561">
        <v>0</v>
      </c>
      <c r="BY37" s="2561">
        <v>0</v>
      </c>
      <c r="BZ37" s="2560">
        <v>0</v>
      </c>
      <c r="CA37" s="2560" t="s">
        <v>525</v>
      </c>
      <c r="CB37" s="2560" t="s">
        <v>525</v>
      </c>
      <c r="CC37" s="2562" t="s">
        <v>525</v>
      </c>
      <c r="CD37" s="2524" t="s">
        <v>525</v>
      </c>
      <c r="CE37" s="2525">
        <v>0</v>
      </c>
      <c r="CF37" s="2525">
        <v>0</v>
      </c>
      <c r="CG37" s="2525">
        <v>0</v>
      </c>
      <c r="CH37" s="2525">
        <v>0</v>
      </c>
      <c r="CI37" s="2525">
        <v>0</v>
      </c>
      <c r="CJ37" s="2525">
        <v>0</v>
      </c>
      <c r="CK37" s="2525">
        <v>0</v>
      </c>
      <c r="CL37" s="2525">
        <v>0</v>
      </c>
      <c r="CM37" s="2525">
        <v>0</v>
      </c>
      <c r="CN37" s="2525">
        <v>0</v>
      </c>
      <c r="CO37" s="2525">
        <v>0</v>
      </c>
      <c r="CP37" s="2525">
        <v>0</v>
      </c>
      <c r="CQ37" s="267"/>
      <c r="CR37" s="2531"/>
      <c r="CS37" s="267"/>
      <c r="CT37" s="267">
        <v>0</v>
      </c>
      <c r="CU37" s="267">
        <v>0</v>
      </c>
      <c r="CV37" s="267">
        <v>0</v>
      </c>
      <c r="CW37" s="267">
        <v>0</v>
      </c>
      <c r="CX37" s="267">
        <v>0</v>
      </c>
      <c r="CY37" s="267">
        <v>0</v>
      </c>
      <c r="CZ37" s="267">
        <v>0</v>
      </c>
      <c r="DA37" s="267">
        <v>0</v>
      </c>
      <c r="DB37" s="267">
        <v>0</v>
      </c>
      <c r="DC37" s="267">
        <v>0</v>
      </c>
      <c r="DD37" s="267">
        <v>0</v>
      </c>
      <c r="DE37" s="267">
        <v>0</v>
      </c>
      <c r="DF37" s="267"/>
      <c r="DG37" s="267"/>
      <c r="DH37" s="267"/>
      <c r="DI37" s="267"/>
      <c r="DJ37" s="267"/>
      <c r="DK37" s="267"/>
      <c r="DL37" s="267"/>
      <c r="DM37" s="267"/>
      <c r="DN37" s="267"/>
      <c r="DO37" s="267"/>
      <c r="DP37" s="267"/>
      <c r="DQ37" s="267"/>
      <c r="DR37" s="267"/>
    </row>
    <row r="38" spans="1:122" ht="18.75" customHeight="1">
      <c r="A38" s="729"/>
      <c r="B38" s="1493"/>
      <c r="C38" s="592"/>
      <c r="D38" s="592"/>
      <c r="E38" s="2791" t="s">
        <v>525</v>
      </c>
      <c r="F38" s="592"/>
      <c r="G38" s="409"/>
      <c r="H38" s="409"/>
      <c r="I38" s="409"/>
      <c r="J38" s="409"/>
      <c r="K38" s="2799"/>
      <c r="L38" s="732"/>
      <c r="M38" s="2800">
        <v>0</v>
      </c>
      <c r="N38" s="733"/>
      <c r="O38" s="733"/>
      <c r="P38" s="733"/>
      <c r="Q38" s="733"/>
      <c r="R38" s="733"/>
      <c r="S38" s="733"/>
      <c r="T38" s="733"/>
      <c r="U38" s="733"/>
      <c r="V38" s="733"/>
      <c r="W38" s="733"/>
      <c r="X38" s="733"/>
      <c r="Y38" s="733"/>
      <c r="Z38" s="2656"/>
      <c r="AA38" s="537" t="s">
        <v>525</v>
      </c>
      <c r="AB38" s="733"/>
      <c r="AC38" s="733"/>
      <c r="AD38" s="733"/>
      <c r="AE38" s="733"/>
      <c r="AF38" s="733"/>
      <c r="AG38" s="2503"/>
      <c r="AH38" s="733"/>
      <c r="AI38" s="733"/>
      <c r="AJ38" s="733"/>
      <c r="AK38" s="733"/>
      <c r="AL38" s="733"/>
      <c r="AM38" s="2503"/>
      <c r="AN38" s="733"/>
      <c r="AO38" s="733"/>
      <c r="AP38" s="733"/>
      <c r="AQ38" s="733"/>
      <c r="AR38" s="733"/>
      <c r="AS38" s="2503"/>
      <c r="AT38" s="733"/>
      <c r="AU38" s="733"/>
      <c r="AV38" s="733"/>
      <c r="AW38" s="733"/>
      <c r="AX38" s="733"/>
      <c r="AY38" s="2503"/>
      <c r="AZ38" s="2656"/>
      <c r="BA38" s="2507" t="s">
        <v>525</v>
      </c>
      <c r="BB38" s="1875" t="s">
        <v>525</v>
      </c>
      <c r="BC38" s="1875" t="s">
        <v>525</v>
      </c>
      <c r="BD38" s="537" t="s">
        <v>525</v>
      </c>
      <c r="BE38" s="537" t="s">
        <v>525</v>
      </c>
      <c r="BF38" s="537" t="s">
        <v>525</v>
      </c>
      <c r="BG38" s="538" t="s">
        <v>525</v>
      </c>
      <c r="BH38" s="538" t="s">
        <v>525</v>
      </c>
      <c r="BI38" s="539" t="s">
        <v>525</v>
      </c>
      <c r="BJ38" s="537" t="s">
        <v>525</v>
      </c>
      <c r="BK38" s="537">
        <v>0</v>
      </c>
      <c r="BL38" s="2663" t="s">
        <v>525</v>
      </c>
      <c r="BM38" s="1871"/>
      <c r="BN38" s="2560">
        <v>0</v>
      </c>
      <c r="BO38" s="2560">
        <v>0</v>
      </c>
      <c r="BP38" s="2560">
        <v>0</v>
      </c>
      <c r="BQ38" s="2560">
        <v>0</v>
      </c>
      <c r="BR38" s="2560">
        <v>0</v>
      </c>
      <c r="BS38" s="2561">
        <v>0</v>
      </c>
      <c r="BT38" s="2560" t="s">
        <v>525</v>
      </c>
      <c r="BU38" s="2560" t="s">
        <v>525</v>
      </c>
      <c r="BV38" s="2561">
        <v>0</v>
      </c>
      <c r="BW38" s="2561">
        <v>0</v>
      </c>
      <c r="BX38" s="2561">
        <v>0</v>
      </c>
      <c r="BY38" s="2561">
        <v>0</v>
      </c>
      <c r="BZ38" s="2560">
        <v>0</v>
      </c>
      <c r="CA38" s="2560" t="s">
        <v>525</v>
      </c>
      <c r="CB38" s="2560" t="s">
        <v>525</v>
      </c>
      <c r="CC38" s="2562" t="s">
        <v>525</v>
      </c>
      <c r="CD38" s="2524" t="s">
        <v>525</v>
      </c>
      <c r="CE38" s="2525">
        <v>0</v>
      </c>
      <c r="CF38" s="2525">
        <v>0</v>
      </c>
      <c r="CG38" s="2525">
        <v>0</v>
      </c>
      <c r="CH38" s="2525">
        <v>0</v>
      </c>
      <c r="CI38" s="2525">
        <v>0</v>
      </c>
      <c r="CJ38" s="2525">
        <v>0</v>
      </c>
      <c r="CK38" s="2525">
        <v>0</v>
      </c>
      <c r="CL38" s="2525">
        <v>0</v>
      </c>
      <c r="CM38" s="2525">
        <v>0</v>
      </c>
      <c r="CN38" s="2525">
        <v>0</v>
      </c>
      <c r="CO38" s="2525">
        <v>0</v>
      </c>
      <c r="CP38" s="2525">
        <v>0</v>
      </c>
      <c r="CQ38" s="267"/>
      <c r="CR38" s="2531"/>
      <c r="CS38" s="267"/>
      <c r="CT38" s="267">
        <v>0</v>
      </c>
      <c r="CU38" s="267">
        <v>0</v>
      </c>
      <c r="CV38" s="267">
        <v>0</v>
      </c>
      <c r="CW38" s="267">
        <v>0</v>
      </c>
      <c r="CX38" s="267">
        <v>0</v>
      </c>
      <c r="CY38" s="267">
        <v>0</v>
      </c>
      <c r="CZ38" s="267">
        <v>0</v>
      </c>
      <c r="DA38" s="267">
        <v>0</v>
      </c>
      <c r="DB38" s="267">
        <v>0</v>
      </c>
      <c r="DC38" s="267">
        <v>0</v>
      </c>
      <c r="DD38" s="267">
        <v>0</v>
      </c>
      <c r="DE38" s="267">
        <v>0</v>
      </c>
      <c r="DF38" s="267"/>
      <c r="DG38" s="267"/>
      <c r="DH38" s="267"/>
      <c r="DI38" s="267"/>
      <c r="DJ38" s="267"/>
      <c r="DK38" s="267"/>
      <c r="DL38" s="267"/>
      <c r="DM38" s="267"/>
      <c r="DN38" s="267"/>
      <c r="DO38" s="267"/>
      <c r="DP38" s="267"/>
      <c r="DQ38" s="267"/>
      <c r="DR38" s="267"/>
    </row>
    <row r="39" spans="1:122" ht="18.75" customHeight="1">
      <c r="A39" s="729"/>
      <c r="B39" s="1493"/>
      <c r="C39" s="592"/>
      <c r="D39" s="592"/>
      <c r="E39" s="2791" t="s">
        <v>525</v>
      </c>
      <c r="F39" s="592"/>
      <c r="G39" s="409"/>
      <c r="H39" s="409"/>
      <c r="I39" s="409"/>
      <c r="J39" s="409"/>
      <c r="K39" s="2799"/>
      <c r="L39" s="732"/>
      <c r="M39" s="2800">
        <v>0</v>
      </c>
      <c r="N39" s="733"/>
      <c r="O39" s="733"/>
      <c r="P39" s="733"/>
      <c r="Q39" s="733"/>
      <c r="R39" s="733"/>
      <c r="S39" s="733"/>
      <c r="T39" s="733"/>
      <c r="U39" s="733"/>
      <c r="V39" s="733"/>
      <c r="W39" s="733"/>
      <c r="X39" s="733"/>
      <c r="Y39" s="733"/>
      <c r="Z39" s="2656"/>
      <c r="AA39" s="537" t="s">
        <v>525</v>
      </c>
      <c r="AB39" s="733"/>
      <c r="AC39" s="733"/>
      <c r="AD39" s="733"/>
      <c r="AE39" s="733"/>
      <c r="AF39" s="733"/>
      <c r="AG39" s="2503"/>
      <c r="AH39" s="733"/>
      <c r="AI39" s="733"/>
      <c r="AJ39" s="733"/>
      <c r="AK39" s="733"/>
      <c r="AL39" s="733"/>
      <c r="AM39" s="2503"/>
      <c r="AN39" s="733"/>
      <c r="AO39" s="733"/>
      <c r="AP39" s="733"/>
      <c r="AQ39" s="733"/>
      <c r="AR39" s="733"/>
      <c r="AS39" s="2503"/>
      <c r="AT39" s="733"/>
      <c r="AU39" s="733"/>
      <c r="AV39" s="733"/>
      <c r="AW39" s="733"/>
      <c r="AX39" s="733"/>
      <c r="AY39" s="2503"/>
      <c r="AZ39" s="2656"/>
      <c r="BA39" s="2507" t="s">
        <v>525</v>
      </c>
      <c r="BB39" s="1875" t="s">
        <v>525</v>
      </c>
      <c r="BC39" s="1875" t="s">
        <v>525</v>
      </c>
      <c r="BD39" s="537" t="s">
        <v>525</v>
      </c>
      <c r="BE39" s="537" t="s">
        <v>525</v>
      </c>
      <c r="BF39" s="537" t="s">
        <v>525</v>
      </c>
      <c r="BG39" s="538" t="s">
        <v>525</v>
      </c>
      <c r="BH39" s="538" t="s">
        <v>525</v>
      </c>
      <c r="BI39" s="539" t="s">
        <v>525</v>
      </c>
      <c r="BJ39" s="537" t="s">
        <v>525</v>
      </c>
      <c r="BK39" s="537">
        <v>0</v>
      </c>
      <c r="BL39" s="2663" t="s">
        <v>525</v>
      </c>
      <c r="BM39" s="1871"/>
      <c r="BN39" s="2560">
        <v>0</v>
      </c>
      <c r="BO39" s="2560">
        <v>0</v>
      </c>
      <c r="BP39" s="2560">
        <v>0</v>
      </c>
      <c r="BQ39" s="2560">
        <v>0</v>
      </c>
      <c r="BR39" s="2560">
        <v>0</v>
      </c>
      <c r="BS39" s="2561">
        <v>0</v>
      </c>
      <c r="BT39" s="2560" t="s">
        <v>525</v>
      </c>
      <c r="BU39" s="2560" t="s">
        <v>525</v>
      </c>
      <c r="BV39" s="2561">
        <v>0</v>
      </c>
      <c r="BW39" s="2561">
        <v>0</v>
      </c>
      <c r="BX39" s="2561">
        <v>0</v>
      </c>
      <c r="BY39" s="2561">
        <v>0</v>
      </c>
      <c r="BZ39" s="2560">
        <v>0</v>
      </c>
      <c r="CA39" s="2560" t="s">
        <v>525</v>
      </c>
      <c r="CB39" s="2560" t="s">
        <v>525</v>
      </c>
      <c r="CC39" s="2562" t="s">
        <v>525</v>
      </c>
      <c r="CD39" s="2524" t="s">
        <v>525</v>
      </c>
      <c r="CE39" s="2525">
        <v>0</v>
      </c>
      <c r="CF39" s="2525">
        <v>0</v>
      </c>
      <c r="CG39" s="2525">
        <v>0</v>
      </c>
      <c r="CH39" s="2525">
        <v>0</v>
      </c>
      <c r="CI39" s="2525">
        <v>0</v>
      </c>
      <c r="CJ39" s="2525">
        <v>0</v>
      </c>
      <c r="CK39" s="2525">
        <v>0</v>
      </c>
      <c r="CL39" s="2525">
        <v>0</v>
      </c>
      <c r="CM39" s="2525">
        <v>0</v>
      </c>
      <c r="CN39" s="2525">
        <v>0</v>
      </c>
      <c r="CO39" s="2525">
        <v>0</v>
      </c>
      <c r="CP39" s="2525">
        <v>0</v>
      </c>
      <c r="CQ39" s="267"/>
      <c r="CR39" s="2531"/>
      <c r="CS39" s="267"/>
      <c r="CT39" s="267">
        <v>0</v>
      </c>
      <c r="CU39" s="267">
        <v>0</v>
      </c>
      <c r="CV39" s="267">
        <v>0</v>
      </c>
      <c r="CW39" s="267">
        <v>0</v>
      </c>
      <c r="CX39" s="267">
        <v>0</v>
      </c>
      <c r="CY39" s="267">
        <v>0</v>
      </c>
      <c r="CZ39" s="267">
        <v>0</v>
      </c>
      <c r="DA39" s="267">
        <v>0</v>
      </c>
      <c r="DB39" s="267">
        <v>0</v>
      </c>
      <c r="DC39" s="267">
        <v>0</v>
      </c>
      <c r="DD39" s="267">
        <v>0</v>
      </c>
      <c r="DE39" s="267">
        <v>0</v>
      </c>
      <c r="DF39" s="267"/>
      <c r="DG39" s="267"/>
      <c r="DH39" s="267"/>
      <c r="DI39" s="267"/>
      <c r="DJ39" s="267"/>
      <c r="DK39" s="267"/>
      <c r="DL39" s="267"/>
      <c r="DM39" s="267"/>
      <c r="DN39" s="267"/>
      <c r="DO39" s="267"/>
      <c r="DP39" s="267"/>
      <c r="DQ39" s="267"/>
      <c r="DR39" s="267"/>
    </row>
    <row r="40" spans="1:122" ht="18.75" customHeight="1">
      <c r="A40" s="729"/>
      <c r="B40" s="1493"/>
      <c r="C40" s="592"/>
      <c r="D40" s="592"/>
      <c r="E40" s="2791" t="s">
        <v>525</v>
      </c>
      <c r="F40" s="592"/>
      <c r="G40" s="409"/>
      <c r="H40" s="409"/>
      <c r="I40" s="409"/>
      <c r="J40" s="409"/>
      <c r="K40" s="2799"/>
      <c r="L40" s="732"/>
      <c r="M40" s="2800">
        <v>0</v>
      </c>
      <c r="N40" s="733"/>
      <c r="O40" s="733"/>
      <c r="P40" s="733"/>
      <c r="Q40" s="733"/>
      <c r="R40" s="733"/>
      <c r="S40" s="733"/>
      <c r="T40" s="733"/>
      <c r="U40" s="733"/>
      <c r="V40" s="733"/>
      <c r="W40" s="733"/>
      <c r="X40" s="733"/>
      <c r="Y40" s="733"/>
      <c r="Z40" s="2656"/>
      <c r="AA40" s="537" t="s">
        <v>525</v>
      </c>
      <c r="AB40" s="733"/>
      <c r="AC40" s="733"/>
      <c r="AD40" s="733"/>
      <c r="AE40" s="733"/>
      <c r="AF40" s="733"/>
      <c r="AG40" s="2503"/>
      <c r="AH40" s="733"/>
      <c r="AI40" s="733"/>
      <c r="AJ40" s="733"/>
      <c r="AK40" s="733"/>
      <c r="AL40" s="733"/>
      <c r="AM40" s="2503"/>
      <c r="AN40" s="733"/>
      <c r="AO40" s="733"/>
      <c r="AP40" s="733"/>
      <c r="AQ40" s="733"/>
      <c r="AR40" s="733"/>
      <c r="AS40" s="2503"/>
      <c r="AT40" s="733"/>
      <c r="AU40" s="733"/>
      <c r="AV40" s="733"/>
      <c r="AW40" s="733"/>
      <c r="AX40" s="733"/>
      <c r="AY40" s="2503"/>
      <c r="AZ40" s="2656"/>
      <c r="BA40" s="2507" t="s">
        <v>525</v>
      </c>
      <c r="BB40" s="1875" t="s">
        <v>525</v>
      </c>
      <c r="BC40" s="1875" t="s">
        <v>525</v>
      </c>
      <c r="BD40" s="537" t="s">
        <v>525</v>
      </c>
      <c r="BE40" s="537" t="s">
        <v>525</v>
      </c>
      <c r="BF40" s="537" t="s">
        <v>525</v>
      </c>
      <c r="BG40" s="538" t="s">
        <v>525</v>
      </c>
      <c r="BH40" s="538" t="s">
        <v>525</v>
      </c>
      <c r="BI40" s="539" t="s">
        <v>525</v>
      </c>
      <c r="BJ40" s="537" t="s">
        <v>525</v>
      </c>
      <c r="BK40" s="537">
        <v>0</v>
      </c>
      <c r="BL40" s="2663" t="s">
        <v>525</v>
      </c>
      <c r="BM40" s="1871"/>
      <c r="BN40" s="2560">
        <v>0</v>
      </c>
      <c r="BO40" s="2560">
        <v>0</v>
      </c>
      <c r="BP40" s="2560">
        <v>0</v>
      </c>
      <c r="BQ40" s="2560">
        <v>0</v>
      </c>
      <c r="BR40" s="2560">
        <v>0</v>
      </c>
      <c r="BS40" s="2561">
        <v>0</v>
      </c>
      <c r="BT40" s="2560" t="s">
        <v>525</v>
      </c>
      <c r="BU40" s="2560" t="s">
        <v>525</v>
      </c>
      <c r="BV40" s="2561">
        <v>0</v>
      </c>
      <c r="BW40" s="2561">
        <v>0</v>
      </c>
      <c r="BX40" s="2561">
        <v>0</v>
      </c>
      <c r="BY40" s="2561">
        <v>0</v>
      </c>
      <c r="BZ40" s="2560">
        <v>0</v>
      </c>
      <c r="CA40" s="2560" t="s">
        <v>525</v>
      </c>
      <c r="CB40" s="2560" t="s">
        <v>525</v>
      </c>
      <c r="CC40" s="2562" t="s">
        <v>525</v>
      </c>
      <c r="CD40" s="2524" t="s">
        <v>525</v>
      </c>
      <c r="CE40" s="2525">
        <v>0</v>
      </c>
      <c r="CF40" s="2525">
        <v>0</v>
      </c>
      <c r="CG40" s="2525">
        <v>0</v>
      </c>
      <c r="CH40" s="2525">
        <v>0</v>
      </c>
      <c r="CI40" s="2525">
        <v>0</v>
      </c>
      <c r="CJ40" s="2525">
        <v>0</v>
      </c>
      <c r="CK40" s="2525">
        <v>0</v>
      </c>
      <c r="CL40" s="2525">
        <v>0</v>
      </c>
      <c r="CM40" s="2525">
        <v>0</v>
      </c>
      <c r="CN40" s="2525">
        <v>0</v>
      </c>
      <c r="CO40" s="2525">
        <v>0</v>
      </c>
      <c r="CP40" s="2525">
        <v>0</v>
      </c>
      <c r="CQ40" s="267"/>
      <c r="CR40" s="2531"/>
      <c r="CS40" s="267"/>
      <c r="CT40" s="267">
        <v>0</v>
      </c>
      <c r="CU40" s="267">
        <v>0</v>
      </c>
      <c r="CV40" s="267">
        <v>0</v>
      </c>
      <c r="CW40" s="267">
        <v>0</v>
      </c>
      <c r="CX40" s="267">
        <v>0</v>
      </c>
      <c r="CY40" s="267">
        <v>0</v>
      </c>
      <c r="CZ40" s="267">
        <v>0</v>
      </c>
      <c r="DA40" s="267">
        <v>0</v>
      </c>
      <c r="DB40" s="267">
        <v>0</v>
      </c>
      <c r="DC40" s="267">
        <v>0</v>
      </c>
      <c r="DD40" s="267">
        <v>0</v>
      </c>
      <c r="DE40" s="267">
        <v>0</v>
      </c>
      <c r="DF40" s="267"/>
      <c r="DG40" s="267"/>
      <c r="DH40" s="267"/>
      <c r="DI40" s="267"/>
      <c r="DJ40" s="267"/>
      <c r="DK40" s="267"/>
      <c r="DL40" s="267"/>
      <c r="DM40" s="267"/>
      <c r="DN40" s="267"/>
      <c r="DO40" s="267"/>
      <c r="DP40" s="267"/>
      <c r="DQ40" s="267"/>
      <c r="DR40" s="267"/>
    </row>
    <row r="41" spans="1:122" ht="18.75" customHeight="1">
      <c r="A41" s="729"/>
      <c r="B41" s="1493"/>
      <c r="C41" s="592"/>
      <c r="D41" s="592"/>
      <c r="E41" s="2791" t="s">
        <v>525</v>
      </c>
      <c r="F41" s="592"/>
      <c r="G41" s="409"/>
      <c r="H41" s="409"/>
      <c r="I41" s="409"/>
      <c r="J41" s="409"/>
      <c r="K41" s="2799"/>
      <c r="L41" s="732"/>
      <c r="M41" s="2800">
        <v>0</v>
      </c>
      <c r="N41" s="733"/>
      <c r="O41" s="733"/>
      <c r="P41" s="733"/>
      <c r="Q41" s="733"/>
      <c r="R41" s="733"/>
      <c r="S41" s="733"/>
      <c r="T41" s="733"/>
      <c r="U41" s="733"/>
      <c r="V41" s="733"/>
      <c r="W41" s="733"/>
      <c r="X41" s="733"/>
      <c r="Y41" s="733"/>
      <c r="Z41" s="2656"/>
      <c r="AA41" s="537" t="s">
        <v>525</v>
      </c>
      <c r="AB41" s="733"/>
      <c r="AC41" s="733"/>
      <c r="AD41" s="733"/>
      <c r="AE41" s="733"/>
      <c r="AF41" s="733"/>
      <c r="AG41" s="2503"/>
      <c r="AH41" s="733"/>
      <c r="AI41" s="733"/>
      <c r="AJ41" s="733"/>
      <c r="AK41" s="733"/>
      <c r="AL41" s="733"/>
      <c r="AM41" s="2503"/>
      <c r="AN41" s="733"/>
      <c r="AO41" s="733"/>
      <c r="AP41" s="733"/>
      <c r="AQ41" s="733"/>
      <c r="AR41" s="733"/>
      <c r="AS41" s="2503"/>
      <c r="AT41" s="733"/>
      <c r="AU41" s="733"/>
      <c r="AV41" s="733"/>
      <c r="AW41" s="733"/>
      <c r="AX41" s="733"/>
      <c r="AY41" s="2503"/>
      <c r="AZ41" s="2656"/>
      <c r="BA41" s="2507" t="s">
        <v>525</v>
      </c>
      <c r="BB41" s="1875" t="s">
        <v>525</v>
      </c>
      <c r="BC41" s="1875" t="s">
        <v>525</v>
      </c>
      <c r="BD41" s="537" t="s">
        <v>525</v>
      </c>
      <c r="BE41" s="537" t="s">
        <v>525</v>
      </c>
      <c r="BF41" s="537" t="s">
        <v>525</v>
      </c>
      <c r="BG41" s="538" t="s">
        <v>525</v>
      </c>
      <c r="BH41" s="538" t="s">
        <v>525</v>
      </c>
      <c r="BI41" s="539" t="s">
        <v>525</v>
      </c>
      <c r="BJ41" s="537" t="s">
        <v>525</v>
      </c>
      <c r="BK41" s="537">
        <v>0</v>
      </c>
      <c r="BL41" s="2663" t="s">
        <v>525</v>
      </c>
      <c r="BM41" s="1871"/>
      <c r="BN41" s="2560">
        <v>0</v>
      </c>
      <c r="BO41" s="2560">
        <v>0</v>
      </c>
      <c r="BP41" s="2560">
        <v>0</v>
      </c>
      <c r="BQ41" s="2560">
        <v>0</v>
      </c>
      <c r="BR41" s="2560">
        <v>0</v>
      </c>
      <c r="BS41" s="2561">
        <v>0</v>
      </c>
      <c r="BT41" s="2560" t="s">
        <v>525</v>
      </c>
      <c r="BU41" s="2560" t="s">
        <v>525</v>
      </c>
      <c r="BV41" s="2561">
        <v>0</v>
      </c>
      <c r="BW41" s="2561">
        <v>0</v>
      </c>
      <c r="BX41" s="2561">
        <v>0</v>
      </c>
      <c r="BY41" s="2561">
        <v>0</v>
      </c>
      <c r="BZ41" s="2560">
        <v>0</v>
      </c>
      <c r="CA41" s="2560" t="s">
        <v>525</v>
      </c>
      <c r="CB41" s="2560" t="s">
        <v>525</v>
      </c>
      <c r="CC41" s="2562" t="s">
        <v>525</v>
      </c>
      <c r="CD41" s="2524" t="s">
        <v>525</v>
      </c>
      <c r="CE41" s="2525">
        <v>0</v>
      </c>
      <c r="CF41" s="2525">
        <v>0</v>
      </c>
      <c r="CG41" s="2525">
        <v>0</v>
      </c>
      <c r="CH41" s="2525">
        <v>0</v>
      </c>
      <c r="CI41" s="2525">
        <v>0</v>
      </c>
      <c r="CJ41" s="2525">
        <v>0</v>
      </c>
      <c r="CK41" s="2525">
        <v>0</v>
      </c>
      <c r="CL41" s="2525">
        <v>0</v>
      </c>
      <c r="CM41" s="2525">
        <v>0</v>
      </c>
      <c r="CN41" s="2525">
        <v>0</v>
      </c>
      <c r="CO41" s="2525">
        <v>0</v>
      </c>
      <c r="CP41" s="2525">
        <v>0</v>
      </c>
      <c r="CQ41" s="267"/>
      <c r="CR41" s="2531"/>
      <c r="CS41" s="267"/>
      <c r="CT41" s="267">
        <v>0</v>
      </c>
      <c r="CU41" s="267">
        <v>0</v>
      </c>
      <c r="CV41" s="267">
        <v>0</v>
      </c>
      <c r="CW41" s="267">
        <v>0</v>
      </c>
      <c r="CX41" s="267">
        <v>0</v>
      </c>
      <c r="CY41" s="267">
        <v>0</v>
      </c>
      <c r="CZ41" s="267">
        <v>0</v>
      </c>
      <c r="DA41" s="267">
        <v>0</v>
      </c>
      <c r="DB41" s="267">
        <v>0</v>
      </c>
      <c r="DC41" s="267">
        <v>0</v>
      </c>
      <c r="DD41" s="267">
        <v>0</v>
      </c>
      <c r="DE41" s="267">
        <v>0</v>
      </c>
      <c r="DF41" s="267"/>
      <c r="DG41" s="267"/>
      <c r="DH41" s="267"/>
      <c r="DI41" s="267"/>
      <c r="DJ41" s="267"/>
      <c r="DK41" s="267"/>
      <c r="DL41" s="267"/>
      <c r="DM41" s="267"/>
      <c r="DN41" s="267"/>
      <c r="DO41" s="267"/>
      <c r="DP41" s="267"/>
      <c r="DQ41" s="267"/>
      <c r="DR41" s="267"/>
    </row>
    <row r="42" spans="1:122" ht="18.75" customHeight="1">
      <c r="A42" s="729"/>
      <c r="B42" s="1493"/>
      <c r="C42" s="592"/>
      <c r="D42" s="592"/>
      <c r="E42" s="2791" t="s">
        <v>525</v>
      </c>
      <c r="F42" s="592"/>
      <c r="G42" s="409"/>
      <c r="H42" s="409"/>
      <c r="I42" s="409"/>
      <c r="J42" s="409"/>
      <c r="K42" s="2799"/>
      <c r="L42" s="732"/>
      <c r="M42" s="2800">
        <v>0</v>
      </c>
      <c r="N42" s="733"/>
      <c r="O42" s="733"/>
      <c r="P42" s="733"/>
      <c r="Q42" s="733"/>
      <c r="R42" s="733"/>
      <c r="S42" s="733"/>
      <c r="T42" s="733"/>
      <c r="U42" s="733"/>
      <c r="V42" s="733"/>
      <c r="W42" s="733"/>
      <c r="X42" s="733"/>
      <c r="Y42" s="733"/>
      <c r="Z42" s="2656"/>
      <c r="AA42" s="537" t="s">
        <v>525</v>
      </c>
      <c r="AB42" s="733"/>
      <c r="AC42" s="733"/>
      <c r="AD42" s="733"/>
      <c r="AE42" s="733"/>
      <c r="AF42" s="733"/>
      <c r="AG42" s="2503"/>
      <c r="AH42" s="733"/>
      <c r="AI42" s="733"/>
      <c r="AJ42" s="733"/>
      <c r="AK42" s="733"/>
      <c r="AL42" s="733"/>
      <c r="AM42" s="2503"/>
      <c r="AN42" s="733"/>
      <c r="AO42" s="733"/>
      <c r="AP42" s="733"/>
      <c r="AQ42" s="733"/>
      <c r="AR42" s="733"/>
      <c r="AS42" s="2503"/>
      <c r="AT42" s="733"/>
      <c r="AU42" s="733"/>
      <c r="AV42" s="733"/>
      <c r="AW42" s="733"/>
      <c r="AX42" s="733"/>
      <c r="AY42" s="2503"/>
      <c r="AZ42" s="2656"/>
      <c r="BA42" s="2507" t="s">
        <v>525</v>
      </c>
      <c r="BB42" s="1875" t="s">
        <v>525</v>
      </c>
      <c r="BC42" s="1875" t="s">
        <v>525</v>
      </c>
      <c r="BD42" s="537" t="s">
        <v>525</v>
      </c>
      <c r="BE42" s="537" t="s">
        <v>525</v>
      </c>
      <c r="BF42" s="537" t="s">
        <v>525</v>
      </c>
      <c r="BG42" s="538" t="s">
        <v>525</v>
      </c>
      <c r="BH42" s="538" t="s">
        <v>525</v>
      </c>
      <c r="BI42" s="539" t="s">
        <v>525</v>
      </c>
      <c r="BJ42" s="537" t="s">
        <v>525</v>
      </c>
      <c r="BK42" s="537">
        <v>0</v>
      </c>
      <c r="BL42" s="2663" t="s">
        <v>525</v>
      </c>
      <c r="BM42" s="1871"/>
      <c r="BN42" s="2560">
        <v>0</v>
      </c>
      <c r="BO42" s="2560">
        <v>0</v>
      </c>
      <c r="BP42" s="2560">
        <v>0</v>
      </c>
      <c r="BQ42" s="2560">
        <v>0</v>
      </c>
      <c r="BR42" s="2560">
        <v>0</v>
      </c>
      <c r="BS42" s="2561">
        <v>0</v>
      </c>
      <c r="BT42" s="2560" t="s">
        <v>525</v>
      </c>
      <c r="BU42" s="2560" t="s">
        <v>525</v>
      </c>
      <c r="BV42" s="2561">
        <v>0</v>
      </c>
      <c r="BW42" s="2561">
        <v>0</v>
      </c>
      <c r="BX42" s="2561">
        <v>0</v>
      </c>
      <c r="BY42" s="2561">
        <v>0</v>
      </c>
      <c r="BZ42" s="2560">
        <v>0</v>
      </c>
      <c r="CA42" s="2560" t="s">
        <v>525</v>
      </c>
      <c r="CB42" s="2560" t="s">
        <v>525</v>
      </c>
      <c r="CC42" s="2562" t="s">
        <v>525</v>
      </c>
      <c r="CD42" s="2524" t="s">
        <v>525</v>
      </c>
      <c r="CE42" s="2525">
        <v>0</v>
      </c>
      <c r="CF42" s="2525">
        <v>0</v>
      </c>
      <c r="CG42" s="2525">
        <v>0</v>
      </c>
      <c r="CH42" s="2525">
        <v>0</v>
      </c>
      <c r="CI42" s="2525">
        <v>0</v>
      </c>
      <c r="CJ42" s="2525">
        <v>0</v>
      </c>
      <c r="CK42" s="2525">
        <v>0</v>
      </c>
      <c r="CL42" s="2525">
        <v>0</v>
      </c>
      <c r="CM42" s="2525">
        <v>0</v>
      </c>
      <c r="CN42" s="2525">
        <v>0</v>
      </c>
      <c r="CO42" s="2525">
        <v>0</v>
      </c>
      <c r="CP42" s="2525">
        <v>0</v>
      </c>
      <c r="CQ42" s="267"/>
      <c r="CR42" s="2531"/>
      <c r="CS42" s="267"/>
      <c r="CT42" s="267">
        <v>0</v>
      </c>
      <c r="CU42" s="267">
        <v>0</v>
      </c>
      <c r="CV42" s="267">
        <v>0</v>
      </c>
      <c r="CW42" s="267">
        <v>0</v>
      </c>
      <c r="CX42" s="267">
        <v>0</v>
      </c>
      <c r="CY42" s="267">
        <v>0</v>
      </c>
      <c r="CZ42" s="267">
        <v>0</v>
      </c>
      <c r="DA42" s="267">
        <v>0</v>
      </c>
      <c r="DB42" s="267">
        <v>0</v>
      </c>
      <c r="DC42" s="267">
        <v>0</v>
      </c>
      <c r="DD42" s="267">
        <v>0</v>
      </c>
      <c r="DE42" s="267">
        <v>0</v>
      </c>
      <c r="DF42" s="267"/>
      <c r="DG42" s="267"/>
      <c r="DH42" s="267"/>
      <c r="DI42" s="267"/>
      <c r="DJ42" s="267"/>
      <c r="DK42" s="267"/>
      <c r="DL42" s="267"/>
      <c r="DM42" s="267"/>
      <c r="DN42" s="267"/>
      <c r="DO42" s="267"/>
      <c r="DP42" s="267"/>
      <c r="DQ42" s="267"/>
      <c r="DR42" s="267"/>
    </row>
    <row r="43" spans="1:122" ht="18.75" customHeight="1">
      <c r="A43" s="729"/>
      <c r="B43" s="1493"/>
      <c r="C43" s="592"/>
      <c r="D43" s="592"/>
      <c r="E43" s="2791" t="s">
        <v>525</v>
      </c>
      <c r="F43" s="592"/>
      <c r="G43" s="409"/>
      <c r="H43" s="409"/>
      <c r="I43" s="409"/>
      <c r="J43" s="409"/>
      <c r="K43" s="2799"/>
      <c r="L43" s="732"/>
      <c r="M43" s="2800">
        <v>0</v>
      </c>
      <c r="N43" s="733"/>
      <c r="O43" s="733"/>
      <c r="P43" s="733"/>
      <c r="Q43" s="733"/>
      <c r="R43" s="733"/>
      <c r="S43" s="733"/>
      <c r="T43" s="733"/>
      <c r="U43" s="733"/>
      <c r="V43" s="733"/>
      <c r="W43" s="733"/>
      <c r="X43" s="733"/>
      <c r="Y43" s="733"/>
      <c r="Z43" s="2656"/>
      <c r="AA43" s="537" t="s">
        <v>525</v>
      </c>
      <c r="AB43" s="733"/>
      <c r="AC43" s="733"/>
      <c r="AD43" s="733"/>
      <c r="AE43" s="733"/>
      <c r="AF43" s="733"/>
      <c r="AG43" s="2503"/>
      <c r="AH43" s="733"/>
      <c r="AI43" s="733"/>
      <c r="AJ43" s="733"/>
      <c r="AK43" s="733"/>
      <c r="AL43" s="733"/>
      <c r="AM43" s="2503"/>
      <c r="AN43" s="733"/>
      <c r="AO43" s="733"/>
      <c r="AP43" s="733"/>
      <c r="AQ43" s="733"/>
      <c r="AR43" s="733"/>
      <c r="AS43" s="2503"/>
      <c r="AT43" s="733"/>
      <c r="AU43" s="733"/>
      <c r="AV43" s="733"/>
      <c r="AW43" s="733"/>
      <c r="AX43" s="733"/>
      <c r="AY43" s="2503"/>
      <c r="AZ43" s="2656"/>
      <c r="BA43" s="2507" t="s">
        <v>525</v>
      </c>
      <c r="BB43" s="1875" t="s">
        <v>525</v>
      </c>
      <c r="BC43" s="1875" t="s">
        <v>525</v>
      </c>
      <c r="BD43" s="537" t="s">
        <v>525</v>
      </c>
      <c r="BE43" s="537" t="s">
        <v>525</v>
      </c>
      <c r="BF43" s="537" t="s">
        <v>525</v>
      </c>
      <c r="BG43" s="538" t="s">
        <v>525</v>
      </c>
      <c r="BH43" s="538" t="s">
        <v>525</v>
      </c>
      <c r="BI43" s="539" t="s">
        <v>525</v>
      </c>
      <c r="BJ43" s="537" t="s">
        <v>525</v>
      </c>
      <c r="BK43" s="537">
        <v>0</v>
      </c>
      <c r="BL43" s="2663" t="s">
        <v>525</v>
      </c>
      <c r="BM43" s="1871"/>
      <c r="BN43" s="2560">
        <v>0</v>
      </c>
      <c r="BO43" s="2560">
        <v>0</v>
      </c>
      <c r="BP43" s="2560">
        <v>0</v>
      </c>
      <c r="BQ43" s="2560">
        <v>0</v>
      </c>
      <c r="BR43" s="2560">
        <v>0</v>
      </c>
      <c r="BS43" s="2561">
        <v>0</v>
      </c>
      <c r="BT43" s="2560" t="s">
        <v>525</v>
      </c>
      <c r="BU43" s="2560" t="s">
        <v>525</v>
      </c>
      <c r="BV43" s="2561">
        <v>0</v>
      </c>
      <c r="BW43" s="2561">
        <v>0</v>
      </c>
      <c r="BX43" s="2561">
        <v>0</v>
      </c>
      <c r="BY43" s="2561">
        <v>0</v>
      </c>
      <c r="BZ43" s="2560">
        <v>0</v>
      </c>
      <c r="CA43" s="2560" t="s">
        <v>525</v>
      </c>
      <c r="CB43" s="2560" t="s">
        <v>525</v>
      </c>
      <c r="CC43" s="2562" t="s">
        <v>525</v>
      </c>
      <c r="CD43" s="2524" t="s">
        <v>525</v>
      </c>
      <c r="CE43" s="2525">
        <v>0</v>
      </c>
      <c r="CF43" s="2525">
        <v>0</v>
      </c>
      <c r="CG43" s="2525">
        <v>0</v>
      </c>
      <c r="CH43" s="2525">
        <v>0</v>
      </c>
      <c r="CI43" s="2525">
        <v>0</v>
      </c>
      <c r="CJ43" s="2525">
        <v>0</v>
      </c>
      <c r="CK43" s="2525">
        <v>0</v>
      </c>
      <c r="CL43" s="2525">
        <v>0</v>
      </c>
      <c r="CM43" s="2525">
        <v>0</v>
      </c>
      <c r="CN43" s="2525">
        <v>0</v>
      </c>
      <c r="CO43" s="2525">
        <v>0</v>
      </c>
      <c r="CP43" s="2525">
        <v>0</v>
      </c>
      <c r="CQ43" s="267"/>
      <c r="CR43" s="2531"/>
      <c r="CS43" s="267"/>
      <c r="CT43" s="267">
        <v>0</v>
      </c>
      <c r="CU43" s="267">
        <v>0</v>
      </c>
      <c r="CV43" s="267">
        <v>0</v>
      </c>
      <c r="CW43" s="267">
        <v>0</v>
      </c>
      <c r="CX43" s="267">
        <v>0</v>
      </c>
      <c r="CY43" s="267">
        <v>0</v>
      </c>
      <c r="CZ43" s="267">
        <v>0</v>
      </c>
      <c r="DA43" s="267">
        <v>0</v>
      </c>
      <c r="DB43" s="267">
        <v>0</v>
      </c>
      <c r="DC43" s="267">
        <v>0</v>
      </c>
      <c r="DD43" s="267">
        <v>0</v>
      </c>
      <c r="DE43" s="267">
        <v>0</v>
      </c>
      <c r="DF43" s="267"/>
      <c r="DG43" s="267"/>
      <c r="DH43" s="267"/>
      <c r="DI43" s="267"/>
      <c r="DJ43" s="267"/>
      <c r="DK43" s="267"/>
      <c r="DL43" s="267"/>
      <c r="DM43" s="267"/>
      <c r="DN43" s="267"/>
      <c r="DO43" s="267"/>
      <c r="DP43" s="267"/>
      <c r="DQ43" s="267"/>
      <c r="DR43" s="267"/>
    </row>
    <row r="44" spans="1:122" ht="18.75" customHeight="1">
      <c r="A44" s="729"/>
      <c r="B44" s="1493"/>
      <c r="C44" s="592"/>
      <c r="D44" s="592"/>
      <c r="E44" s="2791" t="s">
        <v>525</v>
      </c>
      <c r="F44" s="592"/>
      <c r="G44" s="409"/>
      <c r="H44" s="409"/>
      <c r="I44" s="409"/>
      <c r="J44" s="409"/>
      <c r="K44" s="2799"/>
      <c r="L44" s="732"/>
      <c r="M44" s="2800">
        <v>0</v>
      </c>
      <c r="N44" s="733"/>
      <c r="O44" s="733"/>
      <c r="P44" s="733"/>
      <c r="Q44" s="733"/>
      <c r="R44" s="733"/>
      <c r="S44" s="733"/>
      <c r="T44" s="733"/>
      <c r="U44" s="733"/>
      <c r="V44" s="733"/>
      <c r="W44" s="733"/>
      <c r="X44" s="733"/>
      <c r="Y44" s="733"/>
      <c r="Z44" s="2656"/>
      <c r="AA44" s="537" t="s">
        <v>525</v>
      </c>
      <c r="AB44" s="733"/>
      <c r="AC44" s="733"/>
      <c r="AD44" s="733"/>
      <c r="AE44" s="733"/>
      <c r="AF44" s="733"/>
      <c r="AG44" s="2503"/>
      <c r="AH44" s="733"/>
      <c r="AI44" s="733"/>
      <c r="AJ44" s="733"/>
      <c r="AK44" s="733"/>
      <c r="AL44" s="733"/>
      <c r="AM44" s="2503"/>
      <c r="AN44" s="733"/>
      <c r="AO44" s="733"/>
      <c r="AP44" s="733"/>
      <c r="AQ44" s="733"/>
      <c r="AR44" s="733"/>
      <c r="AS44" s="2503"/>
      <c r="AT44" s="733"/>
      <c r="AU44" s="733"/>
      <c r="AV44" s="733"/>
      <c r="AW44" s="733"/>
      <c r="AX44" s="733"/>
      <c r="AY44" s="2503"/>
      <c r="AZ44" s="2656"/>
      <c r="BA44" s="2507" t="s">
        <v>525</v>
      </c>
      <c r="BB44" s="1875" t="s">
        <v>525</v>
      </c>
      <c r="BC44" s="1875" t="s">
        <v>525</v>
      </c>
      <c r="BD44" s="537" t="s">
        <v>525</v>
      </c>
      <c r="BE44" s="537" t="s">
        <v>525</v>
      </c>
      <c r="BF44" s="537" t="s">
        <v>525</v>
      </c>
      <c r="BG44" s="538" t="s">
        <v>525</v>
      </c>
      <c r="BH44" s="538" t="s">
        <v>525</v>
      </c>
      <c r="BI44" s="539" t="s">
        <v>525</v>
      </c>
      <c r="BJ44" s="537" t="s">
        <v>525</v>
      </c>
      <c r="BK44" s="537">
        <v>0</v>
      </c>
      <c r="BL44" s="2663" t="s">
        <v>525</v>
      </c>
      <c r="BM44" s="1871"/>
      <c r="BN44" s="2560">
        <v>0</v>
      </c>
      <c r="BO44" s="2560">
        <v>0</v>
      </c>
      <c r="BP44" s="2560">
        <v>0</v>
      </c>
      <c r="BQ44" s="2560">
        <v>0</v>
      </c>
      <c r="BR44" s="2560">
        <v>0</v>
      </c>
      <c r="BS44" s="2561">
        <v>0</v>
      </c>
      <c r="BT44" s="2560" t="s">
        <v>525</v>
      </c>
      <c r="BU44" s="2560" t="s">
        <v>525</v>
      </c>
      <c r="BV44" s="2561">
        <v>0</v>
      </c>
      <c r="BW44" s="2561">
        <v>0</v>
      </c>
      <c r="BX44" s="2561">
        <v>0</v>
      </c>
      <c r="BY44" s="2561">
        <v>0</v>
      </c>
      <c r="BZ44" s="2560">
        <v>0</v>
      </c>
      <c r="CA44" s="2560" t="s">
        <v>525</v>
      </c>
      <c r="CB44" s="2560" t="s">
        <v>525</v>
      </c>
      <c r="CC44" s="2562" t="s">
        <v>525</v>
      </c>
      <c r="CD44" s="2524" t="s">
        <v>525</v>
      </c>
      <c r="CE44" s="2525">
        <v>0</v>
      </c>
      <c r="CF44" s="2525">
        <v>0</v>
      </c>
      <c r="CG44" s="2525">
        <v>0</v>
      </c>
      <c r="CH44" s="2525">
        <v>0</v>
      </c>
      <c r="CI44" s="2525">
        <v>0</v>
      </c>
      <c r="CJ44" s="2525">
        <v>0</v>
      </c>
      <c r="CK44" s="2525">
        <v>0</v>
      </c>
      <c r="CL44" s="2525">
        <v>0</v>
      </c>
      <c r="CM44" s="2525">
        <v>0</v>
      </c>
      <c r="CN44" s="2525">
        <v>0</v>
      </c>
      <c r="CO44" s="2525">
        <v>0</v>
      </c>
      <c r="CP44" s="2525">
        <v>0</v>
      </c>
      <c r="CQ44" s="267"/>
      <c r="CR44" s="2531"/>
      <c r="CS44" s="267"/>
      <c r="CT44" s="267">
        <v>0</v>
      </c>
      <c r="CU44" s="267">
        <v>0</v>
      </c>
      <c r="CV44" s="267">
        <v>0</v>
      </c>
      <c r="CW44" s="267">
        <v>0</v>
      </c>
      <c r="CX44" s="267">
        <v>0</v>
      </c>
      <c r="CY44" s="267">
        <v>0</v>
      </c>
      <c r="CZ44" s="267">
        <v>0</v>
      </c>
      <c r="DA44" s="267">
        <v>0</v>
      </c>
      <c r="DB44" s="267">
        <v>0</v>
      </c>
      <c r="DC44" s="267">
        <v>0</v>
      </c>
      <c r="DD44" s="267">
        <v>0</v>
      </c>
      <c r="DE44" s="267">
        <v>0</v>
      </c>
      <c r="DF44" s="267"/>
      <c r="DG44" s="267"/>
      <c r="DH44" s="267"/>
      <c r="DI44" s="267"/>
      <c r="DJ44" s="267"/>
      <c r="DK44" s="267"/>
      <c r="DL44" s="267"/>
      <c r="DM44" s="267"/>
      <c r="DN44" s="267"/>
      <c r="DO44" s="267"/>
      <c r="DP44" s="267"/>
      <c r="DQ44" s="267"/>
      <c r="DR44" s="267"/>
    </row>
    <row r="45" spans="1:122" ht="18.75" customHeight="1">
      <c r="A45" s="729"/>
      <c r="B45" s="1493"/>
      <c r="C45" s="592"/>
      <c r="D45" s="592"/>
      <c r="E45" s="2791" t="s">
        <v>525</v>
      </c>
      <c r="F45" s="592"/>
      <c r="G45" s="409"/>
      <c r="H45" s="409"/>
      <c r="I45" s="409"/>
      <c r="J45" s="409"/>
      <c r="K45" s="2799"/>
      <c r="L45" s="732"/>
      <c r="M45" s="2800">
        <v>0</v>
      </c>
      <c r="N45" s="733"/>
      <c r="O45" s="733"/>
      <c r="P45" s="733"/>
      <c r="Q45" s="733"/>
      <c r="R45" s="733"/>
      <c r="S45" s="733"/>
      <c r="T45" s="733"/>
      <c r="U45" s="733"/>
      <c r="V45" s="733"/>
      <c r="W45" s="733"/>
      <c r="X45" s="733"/>
      <c r="Y45" s="733"/>
      <c r="Z45" s="2656"/>
      <c r="AA45" s="537" t="s">
        <v>525</v>
      </c>
      <c r="AB45" s="733"/>
      <c r="AC45" s="733"/>
      <c r="AD45" s="733"/>
      <c r="AE45" s="733"/>
      <c r="AF45" s="733"/>
      <c r="AG45" s="2503"/>
      <c r="AH45" s="733"/>
      <c r="AI45" s="733"/>
      <c r="AJ45" s="733"/>
      <c r="AK45" s="733"/>
      <c r="AL45" s="733"/>
      <c r="AM45" s="2503"/>
      <c r="AN45" s="733"/>
      <c r="AO45" s="733"/>
      <c r="AP45" s="733"/>
      <c r="AQ45" s="733"/>
      <c r="AR45" s="733"/>
      <c r="AS45" s="2503"/>
      <c r="AT45" s="733"/>
      <c r="AU45" s="733"/>
      <c r="AV45" s="733"/>
      <c r="AW45" s="733"/>
      <c r="AX45" s="733"/>
      <c r="AY45" s="2503"/>
      <c r="AZ45" s="2656"/>
      <c r="BA45" s="2507" t="s">
        <v>525</v>
      </c>
      <c r="BB45" s="1875" t="s">
        <v>525</v>
      </c>
      <c r="BC45" s="1875" t="s">
        <v>525</v>
      </c>
      <c r="BD45" s="537" t="s">
        <v>525</v>
      </c>
      <c r="BE45" s="537" t="s">
        <v>525</v>
      </c>
      <c r="BF45" s="537" t="s">
        <v>525</v>
      </c>
      <c r="BG45" s="538" t="s">
        <v>525</v>
      </c>
      <c r="BH45" s="538" t="s">
        <v>525</v>
      </c>
      <c r="BI45" s="539" t="s">
        <v>525</v>
      </c>
      <c r="BJ45" s="537" t="s">
        <v>525</v>
      </c>
      <c r="BK45" s="537">
        <v>0</v>
      </c>
      <c r="BL45" s="2663" t="s">
        <v>525</v>
      </c>
      <c r="BM45" s="1871"/>
      <c r="BN45" s="2560">
        <v>0</v>
      </c>
      <c r="BO45" s="2560">
        <v>0</v>
      </c>
      <c r="BP45" s="2560">
        <v>0</v>
      </c>
      <c r="BQ45" s="2560">
        <v>0</v>
      </c>
      <c r="BR45" s="2560">
        <v>0</v>
      </c>
      <c r="BS45" s="2561">
        <v>0</v>
      </c>
      <c r="BT45" s="2560" t="s">
        <v>525</v>
      </c>
      <c r="BU45" s="2560" t="s">
        <v>525</v>
      </c>
      <c r="BV45" s="2561">
        <v>0</v>
      </c>
      <c r="BW45" s="2561">
        <v>0</v>
      </c>
      <c r="BX45" s="2561">
        <v>0</v>
      </c>
      <c r="BY45" s="2561">
        <v>0</v>
      </c>
      <c r="BZ45" s="2560">
        <v>0</v>
      </c>
      <c r="CA45" s="2560" t="s">
        <v>525</v>
      </c>
      <c r="CB45" s="2560" t="s">
        <v>525</v>
      </c>
      <c r="CC45" s="2562" t="s">
        <v>525</v>
      </c>
      <c r="CD45" s="2524" t="s">
        <v>525</v>
      </c>
      <c r="CE45" s="2525">
        <v>0</v>
      </c>
      <c r="CF45" s="2525">
        <v>0</v>
      </c>
      <c r="CG45" s="2525">
        <v>0</v>
      </c>
      <c r="CH45" s="2525">
        <v>0</v>
      </c>
      <c r="CI45" s="2525">
        <v>0</v>
      </c>
      <c r="CJ45" s="2525">
        <v>0</v>
      </c>
      <c r="CK45" s="2525">
        <v>0</v>
      </c>
      <c r="CL45" s="2525">
        <v>0</v>
      </c>
      <c r="CM45" s="2525">
        <v>0</v>
      </c>
      <c r="CN45" s="2525">
        <v>0</v>
      </c>
      <c r="CO45" s="2525">
        <v>0</v>
      </c>
      <c r="CP45" s="2525">
        <v>0</v>
      </c>
      <c r="CQ45" s="267"/>
      <c r="CR45" s="2531"/>
      <c r="CS45" s="267"/>
      <c r="CT45" s="267">
        <v>0</v>
      </c>
      <c r="CU45" s="267">
        <v>0</v>
      </c>
      <c r="CV45" s="267">
        <v>0</v>
      </c>
      <c r="CW45" s="267">
        <v>0</v>
      </c>
      <c r="CX45" s="267">
        <v>0</v>
      </c>
      <c r="CY45" s="267">
        <v>0</v>
      </c>
      <c r="CZ45" s="267">
        <v>0</v>
      </c>
      <c r="DA45" s="267">
        <v>0</v>
      </c>
      <c r="DB45" s="267">
        <v>0</v>
      </c>
      <c r="DC45" s="267">
        <v>0</v>
      </c>
      <c r="DD45" s="267">
        <v>0</v>
      </c>
      <c r="DE45" s="267">
        <v>0</v>
      </c>
      <c r="DF45" s="267"/>
      <c r="DG45" s="267"/>
      <c r="DH45" s="267"/>
      <c r="DI45" s="267"/>
      <c r="DJ45" s="267"/>
      <c r="DK45" s="267"/>
      <c r="DL45" s="267"/>
      <c r="DM45" s="267"/>
      <c r="DN45" s="267"/>
      <c r="DO45" s="267"/>
      <c r="DP45" s="267"/>
      <c r="DQ45" s="267"/>
      <c r="DR45" s="267"/>
    </row>
    <row r="46" spans="1:122" ht="17.399999999999999">
      <c r="E46" s="642">
        <v>12665.610350000001</v>
      </c>
      <c r="K46" s="3"/>
      <c r="L46" s="3"/>
      <c r="M46" s="3"/>
      <c r="N46" s="3"/>
      <c r="O46" s="3"/>
      <c r="P46" s="3"/>
      <c r="Q46" s="3"/>
      <c r="R46" s="3"/>
      <c r="Z46" s="927"/>
      <c r="AA46" s="267"/>
      <c r="AB46" s="641">
        <v>16</v>
      </c>
      <c r="AC46" s="641">
        <v>23</v>
      </c>
      <c r="AD46" s="641">
        <v>31</v>
      </c>
      <c r="AE46" s="641">
        <v>56</v>
      </c>
      <c r="AF46" s="641">
        <v>57</v>
      </c>
      <c r="AG46" s="641">
        <v>57.5</v>
      </c>
      <c r="AH46" s="641">
        <v>20</v>
      </c>
      <c r="AI46" s="641">
        <v>8</v>
      </c>
      <c r="AJ46" s="641">
        <v>27</v>
      </c>
      <c r="AK46" s="641">
        <v>27</v>
      </c>
      <c r="AL46" s="641">
        <v>32</v>
      </c>
      <c r="AM46" s="641">
        <v>29.5</v>
      </c>
      <c r="AN46" s="641" t="s">
        <v>525</v>
      </c>
      <c r="AO46" s="641" t="s">
        <v>525</v>
      </c>
      <c r="AP46" s="641" t="s">
        <v>525</v>
      </c>
      <c r="AQ46" s="641" t="s">
        <v>525</v>
      </c>
      <c r="AR46" s="641" t="s">
        <v>525</v>
      </c>
      <c r="AS46" s="641" t="s">
        <v>525</v>
      </c>
      <c r="AT46" s="641" t="s">
        <v>525</v>
      </c>
      <c r="AU46" s="641" t="s">
        <v>525</v>
      </c>
      <c r="AV46" s="641" t="s">
        <v>525</v>
      </c>
      <c r="AW46" s="641" t="s">
        <v>525</v>
      </c>
      <c r="AX46" s="641" t="s">
        <v>525</v>
      </c>
      <c r="AY46" s="641" t="s">
        <v>525</v>
      </c>
      <c r="AZ46" s="927"/>
      <c r="BA46" s="267"/>
      <c r="BB46" s="267"/>
      <c r="BC46" s="267"/>
      <c r="BD46" s="267"/>
      <c r="BE46" s="267"/>
      <c r="BF46" s="267"/>
      <c r="BG46" s="267"/>
      <c r="BH46" s="267"/>
      <c r="BI46" s="267"/>
      <c r="BJ46" s="267"/>
      <c r="BK46" s="267"/>
      <c r="BL46" s="267"/>
      <c r="BM46" s="1871"/>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row>
    <row r="47" spans="1:122" ht="17.399999999999999">
      <c r="K47" s="3"/>
      <c r="L47" s="3"/>
      <c r="M47" s="3"/>
      <c r="N47" s="3"/>
      <c r="O47" s="3"/>
      <c r="P47" s="3"/>
      <c r="Q47" s="3"/>
      <c r="R47" s="3"/>
      <c r="Z47" s="927"/>
      <c r="AA47" s="267"/>
      <c r="AB47" s="2545">
        <v>18</v>
      </c>
      <c r="AC47" s="2545">
        <v>15.5</v>
      </c>
      <c r="AD47" s="2545">
        <v>29</v>
      </c>
      <c r="AE47" s="2545">
        <v>41.5</v>
      </c>
      <c r="AF47" s="2545">
        <v>44.5</v>
      </c>
      <c r="AG47" s="2545">
        <v>43.5</v>
      </c>
      <c r="AH47" s="267"/>
      <c r="AI47" s="267"/>
      <c r="AJ47" s="267"/>
      <c r="AK47" s="267"/>
      <c r="AL47" s="267"/>
      <c r="AM47" s="267"/>
      <c r="AN47" s="267"/>
      <c r="AO47" s="267"/>
      <c r="AP47" s="267"/>
      <c r="AQ47" s="267"/>
      <c r="AR47" s="267"/>
      <c r="AS47" s="267"/>
      <c r="AT47" s="267"/>
      <c r="AU47" s="267"/>
      <c r="AV47" s="267"/>
      <c r="AW47" s="267"/>
      <c r="AX47" s="267"/>
      <c r="AY47" s="267"/>
      <c r="AZ47" s="927"/>
      <c r="BA47" s="267"/>
      <c r="BB47" s="267"/>
      <c r="BC47" s="267"/>
      <c r="BD47" s="267"/>
      <c r="BE47" s="267"/>
      <c r="BF47" s="267"/>
      <c r="BG47" s="267"/>
      <c r="BH47" s="267"/>
      <c r="BI47" s="267"/>
      <c r="BJ47" s="267"/>
      <c r="BK47" s="267"/>
      <c r="BL47" s="267"/>
      <c r="BM47" s="1871"/>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row>
    <row r="48" spans="1:122" ht="17.399999999999999">
      <c r="K48" s="3"/>
      <c r="L48" s="3"/>
      <c r="M48" s="3"/>
      <c r="N48" s="3"/>
      <c r="O48" s="3"/>
      <c r="P48" s="3"/>
      <c r="Q48" s="3"/>
      <c r="R48" s="3"/>
      <c r="Z48" s="927"/>
      <c r="AA48" s="267"/>
      <c r="AB48" s="267">
        <v>36</v>
      </c>
      <c r="AC48" s="267">
        <v>31</v>
      </c>
      <c r="AD48" s="267">
        <v>58</v>
      </c>
      <c r="AE48" s="267">
        <v>83</v>
      </c>
      <c r="AF48" s="267">
        <v>89</v>
      </c>
      <c r="AG48" s="267">
        <v>87</v>
      </c>
      <c r="AZ48" s="927"/>
      <c r="BA48" s="267"/>
      <c r="BB48" s="267"/>
      <c r="BC48" s="267"/>
      <c r="BD48" s="267"/>
      <c r="BE48" s="267"/>
      <c r="BF48" s="267"/>
      <c r="BG48" s="267"/>
      <c r="BH48" s="267"/>
      <c r="BI48" s="267"/>
      <c r="BJ48" s="267"/>
      <c r="BK48" s="267"/>
      <c r="BL48" s="267"/>
      <c r="BM48" s="1871"/>
      <c r="BN48" s="267"/>
      <c r="BO48" s="267"/>
      <c r="BP48" s="267"/>
      <c r="BQ48" s="267"/>
      <c r="BR48" s="267"/>
      <c r="BS48" s="267"/>
      <c r="BT48" s="267"/>
      <c r="BU48" s="267"/>
      <c r="BV48" s="267"/>
      <c r="BW48" s="267"/>
      <c r="BX48" s="267"/>
      <c r="BY48" s="267"/>
      <c r="BZ48" s="267"/>
      <c r="CA48" s="267"/>
      <c r="CB48" s="267"/>
      <c r="CC48" s="267"/>
    </row>
    <row r="49" spans="11:65" ht="17.399999999999999">
      <c r="K49" s="3"/>
      <c r="L49" s="3"/>
      <c r="M49" s="3"/>
      <c r="N49" s="3"/>
      <c r="O49" s="3"/>
      <c r="P49" s="3"/>
      <c r="Q49" s="3"/>
      <c r="R49" s="3"/>
      <c r="Z49" s="927"/>
      <c r="AA49" s="267"/>
      <c r="AB49" s="2545">
        <v>7.2</v>
      </c>
      <c r="AC49" s="2545">
        <v>7.75</v>
      </c>
      <c r="AD49" s="2545">
        <v>7</v>
      </c>
      <c r="AE49" s="2545">
        <v>7.7142857142857144</v>
      </c>
      <c r="AF49" s="2545">
        <v>8.1428571428571423</v>
      </c>
      <c r="AG49" s="267"/>
      <c r="AZ49" s="927"/>
      <c r="BA49" s="267"/>
      <c r="BB49" s="267"/>
      <c r="BC49" s="267"/>
      <c r="BD49" s="267"/>
      <c r="BE49" s="267"/>
      <c r="BF49" s="267"/>
      <c r="BG49" s="267"/>
      <c r="BH49" s="267"/>
      <c r="BI49" s="267"/>
      <c r="BJ49" s="267"/>
      <c r="BK49" s="267"/>
      <c r="BL49" s="267"/>
      <c r="BM49" s="1871"/>
    </row>
    <row r="50" spans="11:65" ht="17.399999999999999">
      <c r="K50" s="3"/>
      <c r="L50" s="3"/>
      <c r="M50" s="3"/>
      <c r="N50" s="3"/>
      <c r="O50" s="3"/>
      <c r="P50" s="3"/>
      <c r="Q50" s="3"/>
      <c r="R50" s="3"/>
      <c r="Z50" s="927"/>
      <c r="AA50" s="267"/>
      <c r="AB50" s="2545">
        <v>8</v>
      </c>
      <c r="AC50" s="2545">
        <v>8</v>
      </c>
      <c r="AD50" s="2545" t="s">
        <v>525</v>
      </c>
      <c r="AE50" s="2545">
        <v>8</v>
      </c>
      <c r="AF50" s="2545">
        <v>8</v>
      </c>
      <c r="AG50" s="2545">
        <v>7.5</v>
      </c>
      <c r="AZ50" s="927"/>
      <c r="BA50" s="267"/>
      <c r="BB50" s="267"/>
      <c r="BC50" s="267"/>
      <c r="BD50" s="267"/>
      <c r="BE50" s="267"/>
      <c r="BF50" s="267"/>
      <c r="BG50" s="267"/>
      <c r="BH50" s="267"/>
      <c r="BI50" s="267"/>
      <c r="BJ50" s="267"/>
      <c r="BK50" s="267"/>
      <c r="BL50" s="267"/>
      <c r="BM50" s="1871"/>
    </row>
    <row r="51" spans="11:65" ht="17.399999999999999">
      <c r="K51" s="3"/>
      <c r="L51" s="3"/>
      <c r="M51" s="3"/>
      <c r="N51" s="3"/>
      <c r="O51" s="3"/>
      <c r="P51" s="3"/>
      <c r="Q51" s="3"/>
      <c r="R51" s="3"/>
      <c r="Z51" s="927"/>
      <c r="AA51" s="267"/>
      <c r="AB51" s="2545">
        <v>8</v>
      </c>
      <c r="AC51" s="2545">
        <v>8</v>
      </c>
      <c r="AD51" s="2545">
        <v>8</v>
      </c>
      <c r="AE51" s="2545">
        <v>8</v>
      </c>
      <c r="AF51" s="2545" t="s">
        <v>525</v>
      </c>
      <c r="AG51" s="2545">
        <v>6</v>
      </c>
      <c r="AZ51" s="927"/>
      <c r="BA51" s="267"/>
      <c r="BB51" s="267"/>
      <c r="BC51" s="267"/>
      <c r="BD51" s="267"/>
      <c r="BE51" s="267"/>
      <c r="BF51" s="267"/>
      <c r="BG51" s="267"/>
      <c r="BH51" s="267"/>
      <c r="BI51" s="267"/>
      <c r="BJ51" s="267"/>
      <c r="BK51" s="267"/>
      <c r="BL51" s="267"/>
      <c r="BM51" s="1871"/>
    </row>
    <row r="52" spans="11:65" ht="17.399999999999999">
      <c r="K52" s="3"/>
      <c r="L52" s="3"/>
      <c r="M52" s="3"/>
      <c r="N52" s="3"/>
      <c r="O52" s="3"/>
      <c r="P52" s="3"/>
      <c r="Q52" s="3"/>
      <c r="R52" s="3"/>
      <c r="Z52" s="267"/>
      <c r="AA52" s="267"/>
      <c r="AB52" s="2545">
        <v>4</v>
      </c>
      <c r="AC52" s="2545" t="s">
        <v>525</v>
      </c>
      <c r="AD52" s="2545">
        <v>8</v>
      </c>
      <c r="AE52" s="2545" t="s">
        <v>525</v>
      </c>
      <c r="AF52" s="2545">
        <v>8</v>
      </c>
      <c r="AG52" s="2545">
        <v>8</v>
      </c>
      <c r="AZ52" s="267"/>
      <c r="BA52" s="267"/>
      <c r="BB52" s="267"/>
      <c r="BC52" s="267"/>
      <c r="BD52" s="267"/>
      <c r="BE52" s="267"/>
      <c r="BF52" s="267"/>
      <c r="BG52" s="267"/>
      <c r="BH52" s="267"/>
      <c r="BI52" s="267"/>
      <c r="BJ52" s="267"/>
      <c r="BK52" s="267"/>
      <c r="BL52" s="267"/>
      <c r="BM52" s="1871"/>
    </row>
    <row r="53" spans="11:65" ht="17.399999999999999">
      <c r="K53" s="3"/>
      <c r="L53" s="3"/>
      <c r="M53" s="3"/>
      <c r="N53" s="3"/>
      <c r="O53" s="3"/>
      <c r="P53" s="3"/>
      <c r="Q53" s="3"/>
      <c r="R53" s="3"/>
      <c r="Z53" s="267"/>
      <c r="AA53" s="267"/>
      <c r="AB53" s="2545">
        <v>8</v>
      </c>
      <c r="AC53" s="2545">
        <v>8</v>
      </c>
      <c r="AD53" s="2545" t="s">
        <v>525</v>
      </c>
      <c r="AE53" s="2545">
        <v>6</v>
      </c>
      <c r="AF53" s="2545">
        <v>8</v>
      </c>
      <c r="AG53" s="2545" t="s">
        <v>525</v>
      </c>
      <c r="AZ53" s="267"/>
      <c r="BA53" s="267"/>
      <c r="BB53" s="267"/>
      <c r="BC53" s="267"/>
      <c r="BD53" s="267"/>
      <c r="BE53" s="267"/>
      <c r="BF53" s="267"/>
      <c r="BG53" s="267"/>
      <c r="BH53" s="267"/>
      <c r="BI53" s="267"/>
      <c r="BJ53" s="267"/>
      <c r="BK53" s="267"/>
      <c r="BL53" s="267"/>
      <c r="BM53" s="1871"/>
    </row>
    <row r="54" spans="11:65" ht="17.399999999999999">
      <c r="K54" s="3"/>
      <c r="L54" s="3"/>
      <c r="M54" s="3"/>
      <c r="N54" s="3"/>
      <c r="O54" s="3"/>
      <c r="P54" s="3"/>
      <c r="Q54" s="3"/>
      <c r="R54" s="3"/>
      <c r="Z54" s="267"/>
      <c r="AA54" s="267"/>
      <c r="AB54" s="2545" t="s">
        <v>525</v>
      </c>
      <c r="AC54" s="2545" t="s">
        <v>525</v>
      </c>
      <c r="AD54" s="2545" t="s">
        <v>525</v>
      </c>
      <c r="AE54" s="2545" t="s">
        <v>525</v>
      </c>
      <c r="AF54" s="2545">
        <v>8</v>
      </c>
      <c r="AG54" s="2545">
        <v>8</v>
      </c>
      <c r="AZ54" s="267"/>
      <c r="BA54" s="267"/>
      <c r="BB54" s="267"/>
      <c r="BC54" s="267"/>
      <c r="BD54" s="267"/>
      <c r="BE54" s="267"/>
      <c r="BF54" s="267"/>
      <c r="BG54" s="267"/>
      <c r="BH54" s="267"/>
      <c r="BI54" s="267"/>
      <c r="BJ54" s="267"/>
      <c r="BK54" s="267"/>
      <c r="BL54" s="267"/>
      <c r="BM54" s="1871"/>
    </row>
    <row r="55" spans="11:65">
      <c r="K55" s="3"/>
      <c r="L55" s="3"/>
      <c r="M55" s="3"/>
      <c r="N55" s="3"/>
      <c r="O55" s="3"/>
      <c r="P55" s="3"/>
      <c r="Q55" s="3"/>
      <c r="R55" s="3"/>
      <c r="Z55" s="267"/>
      <c r="AA55" s="267"/>
      <c r="AB55" s="2545" t="s">
        <v>525</v>
      </c>
      <c r="AC55" s="2545">
        <v>7</v>
      </c>
      <c r="AD55" s="2545">
        <v>7</v>
      </c>
      <c r="AE55" s="2545">
        <v>7</v>
      </c>
      <c r="AF55" s="2545" t="s">
        <v>525</v>
      </c>
      <c r="AG55" s="2545">
        <v>7</v>
      </c>
      <c r="AZ55" s="267"/>
      <c r="BA55" s="267"/>
      <c r="BB55" s="267"/>
      <c r="BC55" s="267"/>
      <c r="BD55" s="267"/>
      <c r="BE55" s="267"/>
      <c r="BF55" s="267"/>
      <c r="BG55" s="267"/>
      <c r="BH55" s="267"/>
      <c r="BI55" s="267"/>
      <c r="BJ55" s="267"/>
      <c r="BK55" s="267"/>
      <c r="BL55" s="267"/>
    </row>
    <row r="56" spans="11:65">
      <c r="K56" s="3"/>
      <c r="L56" s="3"/>
      <c r="M56" s="3"/>
      <c r="N56" s="3"/>
      <c r="O56" s="3"/>
      <c r="P56" s="3"/>
      <c r="Q56" s="3"/>
      <c r="R56" s="3"/>
      <c r="Z56" s="267"/>
      <c r="AA56" s="267"/>
      <c r="AB56" s="2545" t="s">
        <v>525</v>
      </c>
      <c r="AC56" s="2545" t="s">
        <v>525</v>
      </c>
      <c r="AD56" s="2545" t="s">
        <v>525</v>
      </c>
      <c r="AE56" s="2545" t="s">
        <v>525</v>
      </c>
      <c r="AF56" s="2545" t="s">
        <v>525</v>
      </c>
      <c r="AG56" s="2545" t="s">
        <v>525</v>
      </c>
      <c r="AZ56" s="267"/>
      <c r="BA56" s="267"/>
      <c r="BB56" s="267"/>
      <c r="BC56" s="267"/>
      <c r="BD56" s="267"/>
      <c r="BE56" s="267"/>
      <c r="BF56" s="267"/>
      <c r="BG56" s="267"/>
      <c r="BH56" s="267"/>
      <c r="BI56" s="267"/>
      <c r="BJ56" s="267"/>
      <c r="BK56" s="267"/>
      <c r="BL56" s="267"/>
    </row>
    <row r="57" spans="11:65">
      <c r="K57" s="3"/>
      <c r="L57" s="3"/>
      <c r="M57" s="3"/>
      <c r="N57" s="3"/>
      <c r="O57" s="3"/>
      <c r="P57" s="3"/>
      <c r="Q57" s="3"/>
      <c r="R57" s="3"/>
      <c r="Z57" s="267"/>
      <c r="AA57" s="267"/>
      <c r="AB57" s="2545" t="s">
        <v>525</v>
      </c>
      <c r="AC57" s="2545" t="s">
        <v>525</v>
      </c>
      <c r="AD57" s="2545" t="s">
        <v>525</v>
      </c>
      <c r="AE57" s="2545">
        <v>8</v>
      </c>
      <c r="AF57" s="2545">
        <v>8</v>
      </c>
      <c r="AG57" s="2545">
        <v>7.5</v>
      </c>
      <c r="AZ57" s="267"/>
      <c r="BA57" s="267"/>
      <c r="BB57" s="267"/>
      <c r="BC57" s="267"/>
      <c r="BD57" s="267"/>
      <c r="BE57" s="267"/>
      <c r="BF57" s="267"/>
      <c r="BG57" s="267"/>
      <c r="BH57" s="267"/>
      <c r="BI57" s="267"/>
      <c r="BJ57" s="267"/>
      <c r="BK57" s="267"/>
      <c r="BL57" s="267"/>
    </row>
    <row r="58" spans="11:65">
      <c r="K58" s="3"/>
      <c r="L58" s="3"/>
      <c r="M58" s="3"/>
      <c r="N58" s="3"/>
      <c r="O58" s="3"/>
      <c r="P58" s="3"/>
      <c r="Q58" s="3"/>
      <c r="R58" s="3"/>
      <c r="Z58" s="267"/>
      <c r="AA58" s="267"/>
      <c r="AB58" s="2545" t="s">
        <v>525</v>
      </c>
      <c r="AC58" s="2545" t="s">
        <v>525</v>
      </c>
      <c r="AD58" s="2545">
        <v>4</v>
      </c>
      <c r="AE58" s="2545">
        <v>8</v>
      </c>
      <c r="AF58" s="2545">
        <v>8</v>
      </c>
      <c r="AG58" s="2545">
        <v>7.5</v>
      </c>
      <c r="AZ58" s="267"/>
      <c r="BA58" s="267"/>
      <c r="BB58" s="267"/>
      <c r="BC58" s="267"/>
      <c r="BD58" s="267"/>
      <c r="BE58" s="267"/>
      <c r="BF58" s="267"/>
      <c r="BG58" s="267"/>
      <c r="BH58" s="267"/>
      <c r="BI58" s="267"/>
      <c r="BJ58" s="267"/>
      <c r="BK58" s="267"/>
      <c r="BL58" s="267"/>
    </row>
    <row r="59" spans="11:65">
      <c r="K59" s="3"/>
      <c r="L59" s="3"/>
      <c r="M59" s="3"/>
      <c r="N59" s="3"/>
      <c r="O59" s="3"/>
      <c r="P59" s="3"/>
      <c r="Q59" s="3"/>
      <c r="R59" s="3"/>
      <c r="Z59" s="267"/>
      <c r="AA59" s="267"/>
      <c r="AB59" s="2545" t="s">
        <v>525</v>
      </c>
      <c r="AC59" s="2545" t="s">
        <v>525</v>
      </c>
      <c r="AD59" s="2545" t="s">
        <v>525</v>
      </c>
      <c r="AE59" s="2545" t="s">
        <v>525</v>
      </c>
      <c r="AF59" s="2545" t="s">
        <v>525</v>
      </c>
      <c r="AG59" s="2545" t="s">
        <v>525</v>
      </c>
      <c r="AZ59" s="267"/>
      <c r="BA59" s="267"/>
      <c r="BB59" s="267"/>
      <c r="BC59" s="267"/>
      <c r="BD59" s="267"/>
      <c r="BE59" s="267"/>
      <c r="BF59" s="267"/>
      <c r="BG59" s="267"/>
      <c r="BH59" s="267"/>
      <c r="BI59" s="267"/>
      <c r="BJ59" s="267"/>
      <c r="BK59" s="267"/>
      <c r="BL59" s="267"/>
    </row>
    <row r="60" spans="11:65">
      <c r="K60" s="3"/>
      <c r="L60" s="3"/>
      <c r="M60" s="3"/>
      <c r="N60" s="3"/>
      <c r="O60" s="3"/>
      <c r="P60" s="3"/>
      <c r="Q60" s="3"/>
      <c r="R60" s="3"/>
      <c r="Z60" s="267"/>
      <c r="AA60" s="267"/>
      <c r="AB60" s="2545" t="s">
        <v>525</v>
      </c>
      <c r="AC60" s="2545" t="s">
        <v>525</v>
      </c>
      <c r="AD60" s="2545" t="s">
        <v>525</v>
      </c>
      <c r="AE60" s="2545" t="s">
        <v>525</v>
      </c>
      <c r="AF60" s="2545" t="s">
        <v>525</v>
      </c>
      <c r="AG60" s="2545" t="s">
        <v>525</v>
      </c>
      <c r="AZ60" s="267"/>
      <c r="BA60" s="267"/>
      <c r="BB60" s="267"/>
      <c r="BC60" s="267"/>
      <c r="BD60" s="267"/>
      <c r="BE60" s="267"/>
      <c r="BF60" s="267"/>
      <c r="BG60" s="267"/>
      <c r="BH60" s="267"/>
      <c r="BI60" s="267"/>
      <c r="BJ60" s="267"/>
      <c r="BK60" s="267"/>
      <c r="BL60" s="267"/>
    </row>
    <row r="61" spans="11:65">
      <c r="K61" s="3"/>
      <c r="L61" s="3"/>
      <c r="M61" s="3"/>
      <c r="N61" s="3"/>
      <c r="O61" s="3"/>
      <c r="P61" s="3"/>
      <c r="Q61" s="3"/>
      <c r="R61" s="3"/>
      <c r="Z61" s="267"/>
      <c r="AA61" s="267"/>
      <c r="AB61" s="2545" t="s">
        <v>525</v>
      </c>
      <c r="AC61" s="2545" t="s">
        <v>525</v>
      </c>
      <c r="AD61" s="2545" t="s">
        <v>525</v>
      </c>
      <c r="AE61" s="2545" t="s">
        <v>525</v>
      </c>
      <c r="AF61" s="2545" t="s">
        <v>525</v>
      </c>
      <c r="AG61" s="2545" t="s">
        <v>525</v>
      </c>
      <c r="AZ61" s="267"/>
      <c r="BA61" s="267"/>
      <c r="BB61" s="267"/>
      <c r="BC61" s="267"/>
      <c r="BD61" s="267"/>
      <c r="BE61" s="267"/>
      <c r="BF61" s="267"/>
      <c r="BG61" s="267"/>
      <c r="BH61" s="267"/>
      <c r="BI61" s="267"/>
      <c r="BJ61" s="267"/>
      <c r="BK61" s="267"/>
      <c r="BL61" s="267"/>
    </row>
    <row r="62" spans="11:65">
      <c r="K62" s="3"/>
      <c r="L62" s="3"/>
      <c r="M62" s="3"/>
      <c r="N62" s="3"/>
      <c r="O62" s="3"/>
      <c r="P62" s="3"/>
      <c r="Q62" s="3"/>
      <c r="R62" s="3"/>
      <c r="Z62" s="267"/>
      <c r="AA62" s="267"/>
      <c r="AB62" s="2545" t="s">
        <v>525</v>
      </c>
      <c r="AC62" s="2545" t="s">
        <v>525</v>
      </c>
      <c r="AD62" s="2545" t="s">
        <v>525</v>
      </c>
      <c r="AE62" s="2545" t="s">
        <v>525</v>
      </c>
      <c r="AF62" s="2545" t="s">
        <v>525</v>
      </c>
      <c r="AG62" s="2545" t="s">
        <v>525</v>
      </c>
      <c r="AZ62" s="267"/>
      <c r="BA62" s="267"/>
      <c r="BB62" s="267"/>
      <c r="BC62" s="267"/>
      <c r="BD62" s="267"/>
      <c r="BE62" s="267"/>
      <c r="BF62" s="267"/>
      <c r="BG62" s="267"/>
      <c r="BH62" s="267"/>
      <c r="BI62" s="267"/>
      <c r="BJ62" s="267"/>
      <c r="BK62" s="267"/>
      <c r="BL62" s="267"/>
    </row>
    <row r="63" spans="11:65">
      <c r="K63" s="3"/>
      <c r="L63" s="3"/>
      <c r="M63" s="3"/>
      <c r="N63" s="3"/>
      <c r="O63" s="3"/>
      <c r="P63" s="3"/>
      <c r="Q63" s="3"/>
      <c r="R63" s="3"/>
      <c r="Z63" s="267"/>
      <c r="AA63" s="267"/>
      <c r="AB63" s="2545" t="s">
        <v>525</v>
      </c>
      <c r="AC63" s="2545" t="s">
        <v>525</v>
      </c>
      <c r="AD63" s="2545" t="s">
        <v>525</v>
      </c>
      <c r="AE63" s="2545" t="s">
        <v>525</v>
      </c>
      <c r="AF63" s="2545" t="s">
        <v>525</v>
      </c>
      <c r="AG63" s="2545" t="s">
        <v>525</v>
      </c>
      <c r="AZ63" s="267"/>
      <c r="BA63" s="267"/>
      <c r="BB63" s="267"/>
      <c r="BC63" s="267"/>
      <c r="BD63" s="267"/>
      <c r="BE63" s="267"/>
      <c r="BF63" s="267"/>
      <c r="BG63" s="267"/>
      <c r="BH63" s="267"/>
      <c r="BI63" s="267"/>
      <c r="BJ63" s="267"/>
      <c r="BK63" s="267"/>
      <c r="BL63" s="267"/>
    </row>
    <row r="64" spans="11:65">
      <c r="K64" s="3"/>
      <c r="L64" s="3"/>
      <c r="M64" s="3"/>
      <c r="N64" s="3"/>
      <c r="O64" s="3"/>
      <c r="P64" s="3"/>
      <c r="Q64" s="3"/>
      <c r="R64" s="3"/>
      <c r="Z64" s="267"/>
      <c r="AA64" s="267"/>
      <c r="AB64" s="2545" t="s">
        <v>525</v>
      </c>
      <c r="AC64" s="2545" t="s">
        <v>525</v>
      </c>
      <c r="AD64" s="2545" t="s">
        <v>525</v>
      </c>
      <c r="AE64" s="2545" t="s">
        <v>525</v>
      </c>
      <c r="AF64" s="2545" t="s">
        <v>525</v>
      </c>
      <c r="AG64" s="2545" t="s">
        <v>525</v>
      </c>
      <c r="AZ64" s="267"/>
      <c r="BA64" s="267"/>
      <c r="BB64" s="267"/>
      <c r="BC64" s="267"/>
      <c r="BD64" s="267"/>
      <c r="BE64" s="267"/>
      <c r="BF64" s="267"/>
      <c r="BG64" s="267"/>
      <c r="BH64" s="267"/>
      <c r="BI64" s="267"/>
      <c r="BJ64" s="267"/>
      <c r="BK64" s="267"/>
      <c r="BL64" s="267"/>
    </row>
    <row r="65" spans="11:64">
      <c r="K65" s="3"/>
      <c r="L65" s="3"/>
      <c r="M65" s="3"/>
      <c r="N65" s="3"/>
      <c r="O65" s="3"/>
      <c r="P65" s="3"/>
      <c r="Q65" s="3"/>
      <c r="R65" s="3"/>
      <c r="Z65" s="267"/>
      <c r="AA65" s="267"/>
      <c r="AB65" s="2545" t="s">
        <v>525</v>
      </c>
      <c r="AC65" s="2545" t="s">
        <v>525</v>
      </c>
      <c r="AD65" s="2545" t="s">
        <v>525</v>
      </c>
      <c r="AE65" s="2545" t="s">
        <v>525</v>
      </c>
      <c r="AF65" s="2545" t="s">
        <v>525</v>
      </c>
      <c r="AG65" s="2545" t="s">
        <v>525</v>
      </c>
      <c r="AZ65" s="267"/>
      <c r="BA65" s="267"/>
      <c r="BB65" s="267"/>
      <c r="BC65" s="267"/>
      <c r="BD65" s="267"/>
      <c r="BE65" s="267"/>
      <c r="BF65" s="267"/>
      <c r="BG65" s="267"/>
      <c r="BH65" s="267"/>
      <c r="BI65" s="267"/>
      <c r="BJ65" s="267"/>
      <c r="BK65" s="267"/>
      <c r="BL65" s="267"/>
    </row>
    <row r="66" spans="11:64">
      <c r="K66" s="3"/>
      <c r="L66" s="3"/>
      <c r="M66" s="3"/>
      <c r="N66" s="3"/>
      <c r="O66" s="3"/>
      <c r="P66" s="3"/>
      <c r="Q66" s="3"/>
      <c r="R66" s="3"/>
      <c r="Z66" s="267"/>
      <c r="AA66" s="267"/>
      <c r="AB66" s="2545">
        <v>8</v>
      </c>
      <c r="AC66" s="2545" t="s">
        <v>525</v>
      </c>
      <c r="AD66" s="2545">
        <v>8</v>
      </c>
      <c r="AE66" s="2545">
        <v>9</v>
      </c>
      <c r="AF66" s="2545">
        <v>9</v>
      </c>
      <c r="AG66" s="2545">
        <v>6</v>
      </c>
      <c r="AZ66" s="267"/>
      <c r="BA66" s="267"/>
      <c r="BB66" s="267"/>
      <c r="BC66" s="267"/>
      <c r="BD66" s="267"/>
      <c r="BE66" s="267"/>
      <c r="BF66" s="267"/>
      <c r="BG66" s="267"/>
      <c r="BH66" s="267"/>
      <c r="BI66" s="267"/>
      <c r="BJ66" s="267"/>
      <c r="BK66" s="267"/>
      <c r="BL66" s="267"/>
    </row>
    <row r="67" spans="11:64">
      <c r="K67" s="3"/>
      <c r="L67" s="3"/>
      <c r="M67" s="3"/>
      <c r="N67" s="3"/>
      <c r="O67" s="3"/>
      <c r="P67" s="3"/>
      <c r="Q67" s="3"/>
      <c r="R67" s="3"/>
      <c r="Z67" s="267"/>
      <c r="AA67" s="267"/>
      <c r="AB67" s="2545" t="s">
        <v>525</v>
      </c>
      <c r="AC67" s="2545" t="s">
        <v>525</v>
      </c>
      <c r="AD67" s="2545" t="s">
        <v>525</v>
      </c>
      <c r="AE67" s="2545" t="s">
        <v>525</v>
      </c>
      <c r="AF67" s="2545" t="s">
        <v>525</v>
      </c>
      <c r="AG67" s="2545" t="s">
        <v>525</v>
      </c>
      <c r="AZ67" s="267"/>
      <c r="BA67" s="267"/>
      <c r="BB67" s="267"/>
      <c r="BC67" s="267"/>
      <c r="BD67" s="267"/>
      <c r="BE67" s="267"/>
      <c r="BF67" s="267"/>
      <c r="BG67" s="267"/>
      <c r="BH67" s="267"/>
      <c r="BI67" s="267"/>
      <c r="BJ67" s="267"/>
      <c r="BK67" s="267"/>
      <c r="BL67" s="267"/>
    </row>
    <row r="68" spans="11:64">
      <c r="K68" s="3"/>
      <c r="L68" s="3"/>
      <c r="M68" s="3"/>
      <c r="N68" s="3"/>
      <c r="O68" s="3"/>
      <c r="P68" s="3"/>
      <c r="Q68" s="3"/>
      <c r="R68" s="3"/>
      <c r="Z68" s="267"/>
      <c r="AA68" s="267"/>
      <c r="AB68" s="2545" t="s">
        <v>525</v>
      </c>
      <c r="AC68" s="2545" t="s">
        <v>525</v>
      </c>
      <c r="AD68" s="2545" t="s">
        <v>525</v>
      </c>
      <c r="AE68" s="2545" t="s">
        <v>525</v>
      </c>
      <c r="AF68" s="2545" t="s">
        <v>525</v>
      </c>
      <c r="AG68" s="2545" t="s">
        <v>525</v>
      </c>
      <c r="AZ68" s="267"/>
      <c r="BA68" s="267"/>
      <c r="BB68" s="267"/>
      <c r="BC68" s="267"/>
      <c r="BD68" s="267"/>
      <c r="BE68" s="267"/>
      <c r="BF68" s="267"/>
      <c r="BG68" s="267"/>
      <c r="BH68" s="267"/>
      <c r="BI68" s="267"/>
      <c r="BJ68" s="267"/>
      <c r="BK68" s="267"/>
      <c r="BL68" s="267"/>
    </row>
    <row r="69" spans="11:64">
      <c r="K69" s="3"/>
      <c r="L69" s="3"/>
      <c r="M69" s="3"/>
      <c r="N69" s="3"/>
      <c r="O69" s="3"/>
      <c r="P69" s="3"/>
      <c r="Q69" s="3"/>
      <c r="R69" s="3"/>
      <c r="Z69" s="267"/>
      <c r="AA69" s="267"/>
      <c r="AB69" s="2545" t="s">
        <v>525</v>
      </c>
      <c r="AC69" s="2545" t="s">
        <v>525</v>
      </c>
      <c r="AD69" s="2545" t="s">
        <v>525</v>
      </c>
      <c r="AE69" s="2545" t="s">
        <v>525</v>
      </c>
      <c r="AF69" s="2545" t="s">
        <v>525</v>
      </c>
      <c r="AG69" s="2545" t="s">
        <v>525</v>
      </c>
      <c r="AZ69" s="267"/>
      <c r="BA69" s="267"/>
      <c r="BB69" s="267"/>
      <c r="BC69" s="267"/>
      <c r="BD69" s="267"/>
      <c r="BE69" s="267"/>
      <c r="BF69" s="267"/>
      <c r="BG69" s="267"/>
      <c r="BH69" s="267"/>
      <c r="BI69" s="267"/>
      <c r="BJ69" s="267"/>
      <c r="BK69" s="267"/>
      <c r="BL69" s="267"/>
    </row>
    <row r="70" spans="11:64">
      <c r="K70" s="3"/>
      <c r="L70" s="3"/>
      <c r="M70" s="3"/>
      <c r="N70" s="3"/>
      <c r="O70" s="3"/>
      <c r="P70" s="3"/>
      <c r="Q70" s="3"/>
      <c r="R70" s="3"/>
      <c r="Z70" s="267"/>
      <c r="AA70" s="267"/>
      <c r="AB70" s="2545" t="s">
        <v>525</v>
      </c>
      <c r="AC70" s="2545" t="s">
        <v>525</v>
      </c>
      <c r="AD70" s="2545" t="s">
        <v>525</v>
      </c>
      <c r="AE70" s="2545" t="s">
        <v>525</v>
      </c>
      <c r="AF70" s="2545" t="s">
        <v>525</v>
      </c>
      <c r="AG70" s="2545" t="s">
        <v>525</v>
      </c>
      <c r="AZ70" s="267"/>
      <c r="BA70" s="267"/>
      <c r="BB70" s="267"/>
      <c r="BC70" s="267"/>
      <c r="BD70" s="267"/>
      <c r="BE70" s="267"/>
      <c r="BF70" s="267"/>
      <c r="BG70" s="267"/>
      <c r="BH70" s="267"/>
      <c r="BI70" s="267"/>
      <c r="BJ70" s="267"/>
      <c r="BK70" s="267"/>
      <c r="BL70" s="267"/>
    </row>
    <row r="71" spans="11:64">
      <c r="Z71" s="267"/>
      <c r="AA71" s="267"/>
      <c r="AB71" s="2545" t="s">
        <v>525</v>
      </c>
      <c r="AC71" s="2545" t="s">
        <v>525</v>
      </c>
      <c r="AD71" s="2545" t="s">
        <v>525</v>
      </c>
      <c r="AE71" s="2545" t="s">
        <v>525</v>
      </c>
      <c r="AF71" s="2545" t="s">
        <v>525</v>
      </c>
      <c r="AG71" s="2545" t="s">
        <v>525</v>
      </c>
      <c r="AZ71" s="267"/>
      <c r="BA71" s="267"/>
      <c r="BB71" s="267"/>
      <c r="BC71" s="267"/>
      <c r="BD71" s="267"/>
      <c r="BE71" s="267"/>
      <c r="BF71" s="267"/>
      <c r="BG71" s="267"/>
      <c r="BH71" s="267"/>
      <c r="BI71" s="267"/>
      <c r="BJ71" s="267"/>
      <c r="BK71" s="267"/>
      <c r="BL71" s="267"/>
    </row>
    <row r="72" spans="11:64">
      <c r="Z72" s="267"/>
      <c r="AA72" s="267"/>
      <c r="AB72" s="2545" t="s">
        <v>525</v>
      </c>
      <c r="AC72" s="2545" t="s">
        <v>525</v>
      </c>
      <c r="AD72" s="2545" t="s">
        <v>525</v>
      </c>
      <c r="AE72" s="2545" t="s">
        <v>525</v>
      </c>
      <c r="AF72" s="2545" t="s">
        <v>525</v>
      </c>
      <c r="AG72" s="2545" t="s">
        <v>525</v>
      </c>
      <c r="AZ72" s="267"/>
      <c r="BA72" s="267"/>
      <c r="BB72" s="267"/>
      <c r="BC72" s="267"/>
      <c r="BD72" s="267"/>
      <c r="BE72" s="267"/>
      <c r="BF72" s="267"/>
      <c r="BG72" s="267"/>
      <c r="BH72" s="267"/>
      <c r="BI72" s="267"/>
      <c r="BJ72" s="267"/>
      <c r="BK72" s="267"/>
      <c r="BL72" s="267"/>
    </row>
    <row r="73" spans="11:64">
      <c r="Z73" s="267"/>
      <c r="AA73" s="267"/>
      <c r="AB73" s="2545" t="s">
        <v>525</v>
      </c>
      <c r="AC73" s="2545" t="s">
        <v>525</v>
      </c>
      <c r="AD73" s="2545" t="s">
        <v>525</v>
      </c>
      <c r="AE73" s="2545" t="s">
        <v>525</v>
      </c>
      <c r="AF73" s="2545" t="s">
        <v>525</v>
      </c>
      <c r="AG73" s="2545" t="s">
        <v>525</v>
      </c>
      <c r="AZ73" s="267"/>
      <c r="BA73" s="267"/>
      <c r="BB73" s="267"/>
      <c r="BC73" s="267"/>
      <c r="BD73" s="267"/>
      <c r="BE73" s="267"/>
      <c r="BF73" s="267"/>
      <c r="BG73" s="267"/>
      <c r="BH73" s="267"/>
      <c r="BI73" s="267"/>
      <c r="BJ73" s="267"/>
      <c r="BK73" s="267"/>
      <c r="BL73" s="267"/>
    </row>
    <row r="74" spans="11:64">
      <c r="Z74" s="267"/>
      <c r="AA74" s="267"/>
      <c r="AB74" s="2545" t="s">
        <v>525</v>
      </c>
      <c r="AC74" s="2545" t="s">
        <v>525</v>
      </c>
      <c r="AD74" s="2545" t="s">
        <v>525</v>
      </c>
      <c r="AE74" s="2545" t="s">
        <v>525</v>
      </c>
      <c r="AF74" s="2545" t="s">
        <v>525</v>
      </c>
      <c r="AG74" s="2545" t="s">
        <v>525</v>
      </c>
      <c r="AZ74" s="267"/>
      <c r="BA74" s="267"/>
      <c r="BB74" s="267"/>
      <c r="BC74" s="267"/>
      <c r="BD74" s="267"/>
      <c r="BE74" s="267"/>
      <c r="BF74" s="267"/>
      <c r="BG74" s="267"/>
      <c r="BH74" s="267"/>
      <c r="BI74" s="267"/>
      <c r="BJ74" s="267"/>
      <c r="BK74" s="267"/>
      <c r="BL74" s="267"/>
    </row>
    <row r="75" spans="11:64">
      <c r="Z75" s="267"/>
      <c r="AA75" s="267"/>
      <c r="AB75" s="2545" t="s">
        <v>525</v>
      </c>
      <c r="AC75" s="2545" t="s">
        <v>525</v>
      </c>
      <c r="AD75" s="2545" t="s">
        <v>525</v>
      </c>
      <c r="AE75" s="2545" t="s">
        <v>525</v>
      </c>
      <c r="AF75" s="2545" t="s">
        <v>525</v>
      </c>
      <c r="AG75" s="2545" t="s">
        <v>525</v>
      </c>
      <c r="AZ75" s="267"/>
      <c r="BA75" s="267"/>
      <c r="BB75" s="267"/>
      <c r="BC75" s="267"/>
      <c r="BD75" s="267"/>
      <c r="BE75" s="267"/>
      <c r="BF75" s="267"/>
      <c r="BG75" s="267"/>
      <c r="BH75" s="267"/>
      <c r="BI75" s="267"/>
      <c r="BJ75" s="267"/>
      <c r="BK75" s="267"/>
      <c r="BL75" s="267"/>
    </row>
    <row r="76" spans="11:64">
      <c r="Z76" s="267"/>
      <c r="AA76" s="267"/>
      <c r="AB76" s="2545" t="s">
        <v>525</v>
      </c>
      <c r="AC76" s="2545" t="s">
        <v>525</v>
      </c>
      <c r="AD76" s="2545" t="s">
        <v>525</v>
      </c>
      <c r="AE76" s="2545" t="s">
        <v>525</v>
      </c>
      <c r="AF76" s="2545" t="s">
        <v>525</v>
      </c>
      <c r="AG76" s="2545" t="s">
        <v>525</v>
      </c>
      <c r="AZ76" s="267"/>
      <c r="BA76" s="267"/>
      <c r="BB76" s="267"/>
      <c r="BC76" s="267"/>
      <c r="BD76" s="267"/>
      <c r="BE76" s="267"/>
      <c r="BF76" s="267"/>
      <c r="BG76" s="267"/>
      <c r="BH76" s="267"/>
      <c r="BI76" s="267"/>
      <c r="BJ76" s="267"/>
      <c r="BK76" s="267"/>
      <c r="BL76" s="267"/>
    </row>
    <row r="77" spans="11:64">
      <c r="Z77" s="267"/>
      <c r="AA77" s="267"/>
      <c r="AB77" s="2545" t="s">
        <v>525</v>
      </c>
      <c r="AC77" s="2545" t="s">
        <v>525</v>
      </c>
      <c r="AD77" s="2545" t="s">
        <v>525</v>
      </c>
      <c r="AE77" s="2545" t="s">
        <v>525</v>
      </c>
      <c r="AF77" s="2545" t="s">
        <v>525</v>
      </c>
      <c r="AG77" s="2545" t="s">
        <v>525</v>
      </c>
      <c r="AZ77" s="267"/>
      <c r="BA77" s="267"/>
      <c r="BB77" s="267"/>
      <c r="BC77" s="267"/>
      <c r="BD77" s="267"/>
      <c r="BE77" s="267"/>
      <c r="BF77" s="267"/>
      <c r="BG77" s="267"/>
      <c r="BH77" s="267"/>
      <c r="BI77" s="267"/>
      <c r="BJ77" s="267"/>
      <c r="BK77" s="267"/>
      <c r="BL77" s="267"/>
    </row>
    <row r="78" spans="11:64">
      <c r="Z78" s="267"/>
      <c r="AA78" s="267"/>
      <c r="AB78" s="2545" t="s">
        <v>525</v>
      </c>
      <c r="AC78" s="2545" t="s">
        <v>525</v>
      </c>
      <c r="AD78" s="2545" t="s">
        <v>525</v>
      </c>
      <c r="AE78" s="2545" t="s">
        <v>525</v>
      </c>
      <c r="AF78" s="2545" t="s">
        <v>525</v>
      </c>
      <c r="AG78" s="2545" t="s">
        <v>525</v>
      </c>
      <c r="AZ78" s="267"/>
      <c r="BA78" s="267"/>
      <c r="BB78" s="267"/>
      <c r="BC78" s="267"/>
      <c r="BD78" s="267"/>
      <c r="BE78" s="267"/>
      <c r="BF78" s="267"/>
      <c r="BG78" s="267"/>
      <c r="BH78" s="267"/>
      <c r="BI78" s="267"/>
      <c r="BJ78" s="267"/>
      <c r="BK78" s="267"/>
      <c r="BL78" s="267"/>
    </row>
    <row r="79" spans="11:64">
      <c r="Z79" s="267"/>
      <c r="AA79" s="267"/>
      <c r="AB79" s="2545" t="s">
        <v>525</v>
      </c>
      <c r="AC79" s="2545" t="s">
        <v>525</v>
      </c>
      <c r="AD79" s="2545" t="s">
        <v>525</v>
      </c>
      <c r="AE79" s="2545" t="s">
        <v>525</v>
      </c>
      <c r="AF79" s="2545" t="s">
        <v>525</v>
      </c>
      <c r="AG79" s="2545" t="s">
        <v>525</v>
      </c>
      <c r="AZ79" s="267"/>
      <c r="BA79" s="267"/>
      <c r="BB79" s="267"/>
      <c r="BC79" s="267"/>
      <c r="BD79" s="267"/>
      <c r="BE79" s="267"/>
      <c r="BF79" s="267"/>
      <c r="BG79" s="267"/>
      <c r="BH79" s="267"/>
      <c r="BI79" s="267"/>
      <c r="BJ79" s="267"/>
      <c r="BK79" s="267"/>
      <c r="BL79" s="267"/>
    </row>
    <row r="80" spans="11:64">
      <c r="Z80" s="267"/>
      <c r="AA80" s="267"/>
      <c r="AB80" s="2545" t="s">
        <v>525</v>
      </c>
      <c r="AC80" s="2545" t="s">
        <v>525</v>
      </c>
      <c r="AD80" s="2545" t="s">
        <v>525</v>
      </c>
      <c r="AE80" s="2545" t="s">
        <v>525</v>
      </c>
      <c r="AF80" s="2545" t="s">
        <v>525</v>
      </c>
      <c r="AG80" s="2545" t="s">
        <v>525</v>
      </c>
      <c r="AZ80" s="267"/>
      <c r="BA80" s="267"/>
      <c r="BB80" s="267"/>
      <c r="BC80" s="267"/>
      <c r="BD80" s="267"/>
      <c r="BE80" s="267"/>
      <c r="BF80" s="267"/>
      <c r="BG80" s="267"/>
      <c r="BH80" s="267"/>
      <c r="BI80" s="267"/>
      <c r="BJ80" s="267"/>
      <c r="BK80" s="267"/>
      <c r="BL80" s="267"/>
    </row>
    <row r="81" spans="26:64">
      <c r="Z81" s="267"/>
      <c r="AA81" s="267"/>
      <c r="AB81" s="2545" t="s">
        <v>525</v>
      </c>
      <c r="AC81" s="2545" t="s">
        <v>525</v>
      </c>
      <c r="AD81" s="2545" t="s">
        <v>525</v>
      </c>
      <c r="AE81" s="2545" t="s">
        <v>525</v>
      </c>
      <c r="AF81" s="2545" t="s">
        <v>525</v>
      </c>
      <c r="AG81" s="2545" t="s">
        <v>525</v>
      </c>
      <c r="AZ81" s="267"/>
      <c r="BA81" s="267"/>
      <c r="BB81" s="267"/>
      <c r="BC81" s="267"/>
      <c r="BD81" s="267"/>
      <c r="BE81" s="267"/>
      <c r="BF81" s="267"/>
      <c r="BG81" s="267"/>
      <c r="BH81" s="267"/>
      <c r="BI81" s="267"/>
      <c r="BJ81" s="267"/>
      <c r="BK81" s="267"/>
      <c r="BL81" s="267"/>
    </row>
    <row r="82" spans="26:64">
      <c r="Z82" s="267"/>
      <c r="AA82" s="267"/>
      <c r="AB82" s="2545" t="s">
        <v>525</v>
      </c>
      <c r="AC82" s="2545" t="s">
        <v>525</v>
      </c>
      <c r="AD82" s="2545" t="s">
        <v>525</v>
      </c>
      <c r="AE82" s="2545" t="s">
        <v>525</v>
      </c>
      <c r="AF82" s="2545" t="s">
        <v>525</v>
      </c>
      <c r="AG82" s="2545" t="s">
        <v>525</v>
      </c>
      <c r="AZ82" s="267"/>
      <c r="BA82" s="267"/>
      <c r="BB82" s="267"/>
      <c r="BC82" s="267"/>
      <c r="BD82" s="267"/>
      <c r="BE82" s="267"/>
      <c r="BF82" s="267"/>
      <c r="BG82" s="267"/>
      <c r="BH82" s="267"/>
      <c r="BI82" s="267"/>
      <c r="BJ82" s="267"/>
      <c r="BK82" s="267"/>
      <c r="BL82" s="267"/>
    </row>
    <row r="83" spans="26:64">
      <c r="Z83" s="267"/>
      <c r="AA83" s="267"/>
      <c r="AB83" s="2545" t="s">
        <v>525</v>
      </c>
      <c r="AC83" s="2545" t="s">
        <v>525</v>
      </c>
      <c r="AD83" s="2545" t="s">
        <v>525</v>
      </c>
      <c r="AE83" s="2545" t="s">
        <v>525</v>
      </c>
      <c r="AF83" s="2545" t="s">
        <v>525</v>
      </c>
      <c r="AG83" s="2545" t="s">
        <v>525</v>
      </c>
      <c r="AZ83" s="267"/>
      <c r="BA83" s="267"/>
      <c r="BB83" s="267"/>
      <c r="BC83" s="267"/>
      <c r="BD83" s="267"/>
      <c r="BE83" s="267"/>
      <c r="BF83" s="267"/>
      <c r="BG83" s="267"/>
      <c r="BH83" s="267"/>
      <c r="BI83" s="267"/>
      <c r="BJ83" s="267"/>
      <c r="BK83" s="267"/>
      <c r="BL83" s="267"/>
    </row>
    <row r="84" spans="26:64">
      <c r="Z84" s="267"/>
      <c r="AA84" s="267"/>
      <c r="AB84" s="2545" t="s">
        <v>525</v>
      </c>
      <c r="AC84" s="2545" t="s">
        <v>525</v>
      </c>
      <c r="AD84" s="2545" t="s">
        <v>525</v>
      </c>
      <c r="AE84" s="2545" t="s">
        <v>525</v>
      </c>
      <c r="AF84" s="2545" t="s">
        <v>525</v>
      </c>
      <c r="AG84" s="2545" t="s">
        <v>525</v>
      </c>
      <c r="AZ84" s="267"/>
      <c r="BA84" s="267"/>
      <c r="BB84" s="267"/>
      <c r="BC84" s="267"/>
      <c r="BD84" s="267"/>
      <c r="BE84" s="267"/>
      <c r="BF84" s="267"/>
      <c r="BG84" s="267"/>
      <c r="BH84" s="267"/>
      <c r="BI84" s="267"/>
      <c r="BJ84" s="267"/>
      <c r="BK84" s="267"/>
      <c r="BL84" s="267"/>
    </row>
    <row r="85" spans="26:64">
      <c r="Z85" s="267"/>
      <c r="AB85" s="2545" t="s">
        <v>525</v>
      </c>
      <c r="AC85" s="2545" t="s">
        <v>525</v>
      </c>
      <c r="AD85" s="2545" t="s">
        <v>525</v>
      </c>
      <c r="AE85" s="2545" t="s">
        <v>525</v>
      </c>
      <c r="AF85" s="2545" t="s">
        <v>525</v>
      </c>
      <c r="AG85" s="2545" t="s">
        <v>525</v>
      </c>
      <c r="AZ85" s="267"/>
      <c r="BA85" s="267"/>
      <c r="BB85" s="267"/>
      <c r="BC85" s="267"/>
      <c r="BD85" s="267"/>
      <c r="BE85" s="267"/>
      <c r="BF85" s="267"/>
      <c r="BG85" s="267"/>
      <c r="BH85" s="267"/>
      <c r="BI85" s="267"/>
      <c r="BJ85" s="267"/>
      <c r="BK85" s="267"/>
      <c r="BL85" s="267"/>
    </row>
  </sheetData>
  <sheetProtection algorithmName="SHA-512" hashValue="kOSJ75LwZLezcQXr2n+AyCMpF12F5w8RHKrvrH+4Ez14RcM2gCL9DenpaD/avuwlgoyDwXSqFT3hkGBByY3pPA==" saltValue="pljhG8rAFI7gxR7V7LcnEw==" spinCount="100000" sheet="1" objects="1" scenarios="1"/>
  <customSheetViews>
    <customSheetView guid="{91EE9386-9500-473B-B86C-27DB8DF0BA46}" showGridLines="0">
      <selection activeCell="AC13" sqref="AC13"/>
      <pageMargins left="0.25" right="0.25" top="0.75" bottom="0.75" header="0.3" footer="0.3"/>
      <pageSetup paperSize="9" scale="55" orientation="landscape" r:id="rId1"/>
    </customSheetView>
    <customSheetView guid="{B8019777-F14C-4393-8CE3-CE0081D0CD28}" showGridLines="0">
      <selection activeCell="F3" sqref="F3"/>
      <pageMargins left="0.25" right="0.25" top="0.75" bottom="0.75" header="0.3" footer="0.3"/>
      <pageSetup paperSize="9" scale="55" orientation="landscape" r:id="rId2"/>
    </customSheetView>
  </customSheetViews>
  <mergeCells count="38">
    <mergeCell ref="P1:Y2"/>
    <mergeCell ref="Q5:W5"/>
    <mergeCell ref="BG5:BG6"/>
    <mergeCell ref="L5:L6"/>
    <mergeCell ref="X4:Y4"/>
    <mergeCell ref="L4:W4"/>
    <mergeCell ref="O3:Y3"/>
    <mergeCell ref="L3:N3"/>
    <mergeCell ref="BF5:BF6"/>
    <mergeCell ref="M5:M6"/>
    <mergeCell ref="BE5:BE6"/>
    <mergeCell ref="BB5:BB6"/>
    <mergeCell ref="AZ5:BA5"/>
    <mergeCell ref="BD5:BD6"/>
    <mergeCell ref="BH5:BH6"/>
    <mergeCell ref="BK5:BK6"/>
    <mergeCell ref="BJ5:BJ6"/>
    <mergeCell ref="AI2:AR2"/>
    <mergeCell ref="AB3:AM3"/>
    <mergeCell ref="AN3:AY3"/>
    <mergeCell ref="BI5:BI6"/>
    <mergeCell ref="AB5:AG5"/>
    <mergeCell ref="AH5:AM5"/>
    <mergeCell ref="AN5:AS5"/>
    <mergeCell ref="AT5:AY5"/>
    <mergeCell ref="AA2:AB2"/>
    <mergeCell ref="B3:D4"/>
    <mergeCell ref="A1:B2"/>
    <mergeCell ref="H4:I4"/>
    <mergeCell ref="C2:L2"/>
    <mergeCell ref="F3:H3"/>
    <mergeCell ref="K4:K6"/>
    <mergeCell ref="I3:J3"/>
    <mergeCell ref="I5:I6"/>
    <mergeCell ref="J5:J6"/>
    <mergeCell ref="E4:F4"/>
    <mergeCell ref="H5:H6"/>
    <mergeCell ref="A3:A4"/>
  </mergeCells>
  <pageMargins left="0.25" right="0.25" top="0.75" bottom="0.75" header="0.3" footer="0.3"/>
  <pageSetup paperSize="9" scale="45" orientation="landscape" r:id="rId3"/>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Q96"/>
  <sheetViews>
    <sheetView showGridLines="0" workbookViewId="0">
      <selection activeCell="A7" sqref="A7"/>
    </sheetView>
  </sheetViews>
  <sheetFormatPr baseColWidth="10" defaultRowHeight="15"/>
  <cols>
    <col min="1" max="1" width="17.44140625" style="3" customWidth="1"/>
    <col min="2" max="6" width="9.44140625" style="3" customWidth="1"/>
    <col min="7" max="7" width="10.21875" style="34" customWidth="1"/>
    <col min="8" max="8" width="9.21875" style="34" customWidth="1"/>
    <col min="9" max="9" width="10.21875" style="34" customWidth="1"/>
    <col min="10" max="10" width="1.77734375" style="34" customWidth="1"/>
    <col min="11" max="15" width="7.44140625" style="190" customWidth="1"/>
    <col min="16" max="22" width="7.44140625" style="3" customWidth="1"/>
    <col min="23" max="23" width="5.44140625" style="3" customWidth="1"/>
    <col min="24" max="29" width="7.44140625" style="3" customWidth="1"/>
    <col min="30" max="30" width="6.44140625" style="3" customWidth="1"/>
    <col min="31" max="31" width="2.21875" style="3" customWidth="1"/>
    <col min="32" max="32" width="7.21875" style="3" customWidth="1"/>
    <col min="33" max="33" width="5.44140625" style="3" customWidth="1"/>
    <col min="34" max="34" width="7.44140625" style="3" customWidth="1"/>
    <col min="35" max="35" width="7.77734375" style="3" customWidth="1"/>
    <col min="36" max="37" width="7.44140625" style="3" customWidth="1"/>
    <col min="38" max="38" width="7" style="3" customWidth="1"/>
  </cols>
  <sheetData>
    <row r="1" spans="1:69" s="1280" customFormat="1" ht="35.25" customHeight="1">
      <c r="A1" s="1280" t="s">
        <v>829</v>
      </c>
      <c r="G1" s="3693" t="s">
        <v>1003</v>
      </c>
      <c r="H1" s="3693"/>
      <c r="I1" s="3693"/>
      <c r="J1" s="3693"/>
      <c r="K1" s="3693"/>
      <c r="L1" s="1281"/>
      <c r="M1" s="3344" t="s">
        <v>943</v>
      </c>
      <c r="N1" s="3344"/>
      <c r="O1" s="3344"/>
      <c r="P1" s="3344"/>
      <c r="Q1" s="3344"/>
      <c r="R1" s="3344"/>
      <c r="S1" s="3344"/>
      <c r="T1" s="3344"/>
      <c r="U1" s="3344"/>
      <c r="V1" s="3344"/>
      <c r="W1" s="3694" t="s">
        <v>1004</v>
      </c>
      <c r="X1" s="3695"/>
      <c r="Y1" s="3687"/>
      <c r="Z1" s="3688"/>
      <c r="AA1" s="3688"/>
      <c r="AB1" s="3688"/>
      <c r="AC1" s="3688"/>
      <c r="AD1" s="3688"/>
      <c r="AE1" s="3688"/>
      <c r="AF1" s="3689"/>
    </row>
    <row r="2" spans="1:69" s="3" customFormat="1" ht="117.6" customHeight="1">
      <c r="A2" s="3677" t="s">
        <v>944</v>
      </c>
      <c r="B2" s="3678"/>
      <c r="C2" s="3678"/>
      <c r="D2" s="3678"/>
      <c r="E2" s="3678"/>
      <c r="F2" s="3679"/>
      <c r="G2" s="34"/>
      <c r="H2" s="34"/>
      <c r="I2" s="3497" t="str">
        <f>IF(Start!O20&gt;0,"Bei Buchung für Solo-Selbstständige sind Mitarbeiter nicht freigeschaltet","")</f>
        <v/>
      </c>
      <c r="J2" s="3497"/>
      <c r="K2" s="3497"/>
      <c r="L2" s="3497"/>
      <c r="M2" s="3344"/>
      <c r="N2" s="3344"/>
      <c r="O2" s="3344"/>
      <c r="P2" s="3344"/>
      <c r="Q2" s="3344"/>
      <c r="R2" s="3344"/>
      <c r="S2" s="3344"/>
      <c r="T2" s="3344"/>
      <c r="U2" s="3344"/>
      <c r="V2" s="3344"/>
      <c r="W2" s="3696"/>
      <c r="X2" s="3697"/>
      <c r="Y2" s="3690"/>
      <c r="Z2" s="3691"/>
      <c r="AA2" s="3691"/>
      <c r="AB2" s="3691"/>
      <c r="AC2" s="3691"/>
      <c r="AD2" s="3691"/>
      <c r="AE2" s="3691"/>
      <c r="AF2" s="3692"/>
    </row>
    <row r="3" spans="1:69" s="78" customFormat="1" ht="64.5" customHeight="1" thickBot="1">
      <c r="A3" s="3680" t="s">
        <v>277</v>
      </c>
      <c r="B3" s="3681"/>
      <c r="C3" s="3681"/>
      <c r="D3" s="3681"/>
      <c r="E3" s="3681"/>
      <c r="F3" s="3681"/>
      <c r="G3" s="3686" t="str">
        <f>IF(SUM(C7:D22,F7:F22)&gt;0,"Achtung Weihnachts oder Urlaubsgeld !!!
Die Beträge tragen Sie bitte zusätztlich wie hier beschrieben ein ====&gt;","")</f>
        <v/>
      </c>
      <c r="H3" s="3686"/>
      <c r="I3" s="3686"/>
      <c r="J3" s="3686"/>
      <c r="K3" s="3686"/>
      <c r="L3" s="1200" t="str">
        <f>IF(G3="","","!")</f>
        <v/>
      </c>
      <c r="M3" s="3672" t="s">
        <v>942</v>
      </c>
      <c r="N3" s="3672"/>
      <c r="O3" s="3672"/>
      <c r="P3" s="3672"/>
      <c r="Q3" s="3672"/>
      <c r="R3" s="3672"/>
      <c r="S3" s="3672"/>
      <c r="T3" s="3672"/>
      <c r="U3" s="3672"/>
      <c r="V3" s="3672"/>
      <c r="W3" s="191"/>
      <c r="X3" s="191"/>
      <c r="Y3" s="191"/>
      <c r="Z3" s="191"/>
      <c r="AA3" s="3670" t="s">
        <v>1076</v>
      </c>
      <c r="AB3" s="3670"/>
      <c r="AC3" s="3670"/>
      <c r="AD3" s="375"/>
      <c r="AE3" s="191"/>
      <c r="AJ3" s="191"/>
      <c r="AM3" s="3"/>
    </row>
    <row r="4" spans="1:69" ht="34.049999999999997" customHeight="1" thickBot="1">
      <c r="A4" s="3682" t="s">
        <v>276</v>
      </c>
      <c r="B4" s="3683"/>
      <c r="C4" s="377">
        <f>'4 Eingabe Friseure'!G4</f>
        <v>6</v>
      </c>
      <c r="D4" s="3684" t="s">
        <v>200</v>
      </c>
      <c r="E4" s="3685"/>
      <c r="F4" s="376">
        <f>'4 Eingabe Friseure'!J4</f>
        <v>40</v>
      </c>
      <c r="G4" s="669"/>
      <c r="H4" s="3675" t="s">
        <v>832</v>
      </c>
      <c r="I4" s="3648" t="s">
        <v>828</v>
      </c>
      <c r="J4" s="3649"/>
      <c r="K4" s="3649"/>
      <c r="L4" s="3649"/>
      <c r="M4" s="3649"/>
      <c r="N4" s="3649"/>
      <c r="O4" s="3649"/>
      <c r="P4" s="3649"/>
      <c r="Q4" s="3649"/>
      <c r="R4" s="3649"/>
      <c r="S4" s="3649"/>
      <c r="T4" s="3649"/>
      <c r="U4" s="3673" t="s">
        <v>177</v>
      </c>
      <c r="V4" s="3674"/>
      <c r="W4" s="191"/>
      <c r="X4" s="191"/>
      <c r="Y4" s="191"/>
      <c r="Z4" s="191"/>
      <c r="AA4" s="3670"/>
      <c r="AB4" s="3670"/>
      <c r="AC4" s="3670"/>
      <c r="AD4" s="375"/>
      <c r="AF4" s="534">
        <f>F4*4.33</f>
        <v>173.2</v>
      </c>
      <c r="AG4" s="534" t="s">
        <v>141</v>
      </c>
      <c r="AH4" s="535"/>
      <c r="AI4" s="1828" t="str">
        <f>'4 Eingabe Friseure'!BF4</f>
        <v>Geöffnete Monate</v>
      </c>
      <c r="AJ4" s="1829">
        <f>'4 Eingabe Friseure'!BG4</f>
        <v>12</v>
      </c>
      <c r="AK4" s="1831" t="s">
        <v>54</v>
      </c>
      <c r="AL4" s="1830">
        <f>SUM(AL7:AL23)</f>
        <v>0</v>
      </c>
    </row>
    <row r="5" spans="1:69" ht="41.25" customHeight="1">
      <c r="A5" s="3665" t="s">
        <v>474</v>
      </c>
      <c r="B5" s="237" t="s">
        <v>1</v>
      </c>
      <c r="C5" s="667" t="s">
        <v>487</v>
      </c>
      <c r="D5" s="667" t="s">
        <v>488</v>
      </c>
      <c r="E5" s="3624" t="s">
        <v>491</v>
      </c>
      <c r="F5" s="3621" t="s">
        <v>671</v>
      </c>
      <c r="G5" s="3667" t="s">
        <v>490</v>
      </c>
      <c r="H5" s="3676"/>
      <c r="I5" s="3644" t="str">
        <f>IF(B24="","","Wenn der MA für ein Jahr geplant wird, geben Sie hier 12  ein, sonst nichts !!")</f>
        <v>Wenn der MA für ein Jahr geplant wird, geben Sie hier 12  ein, sonst nichts !!</v>
      </c>
      <c r="J5" s="3656" t="str">
        <f>IF(B7="","","!")</f>
        <v>!</v>
      </c>
      <c r="K5" s="79"/>
      <c r="L5" s="1199" t="s">
        <v>175</v>
      </c>
      <c r="M5" s="191"/>
      <c r="N5" s="3444" t="s">
        <v>522</v>
      </c>
      <c r="O5" s="3444"/>
      <c r="P5" s="3444"/>
      <c r="Q5" s="3444"/>
      <c r="R5" s="3444"/>
      <c r="S5" s="3444"/>
      <c r="T5" s="3444"/>
      <c r="U5" s="213">
        <v>1</v>
      </c>
      <c r="V5" s="1201">
        <v>0.5</v>
      </c>
      <c r="W5" s="191"/>
      <c r="X5" s="3671" t="s">
        <v>176</v>
      </c>
      <c r="Y5" s="3671"/>
      <c r="Z5" s="3671"/>
      <c r="AA5" s="3670"/>
      <c r="AB5" s="3670"/>
      <c r="AC5" s="3670"/>
      <c r="AD5" s="375"/>
      <c r="AE5" s="79"/>
      <c r="AF5" s="3659" t="s">
        <v>139</v>
      </c>
      <c r="AG5" s="239" t="s">
        <v>138</v>
      </c>
      <c r="AH5" s="3663" t="s">
        <v>494</v>
      </c>
      <c r="AI5" s="3657" t="s">
        <v>201</v>
      </c>
      <c r="AJ5" s="3668" t="s">
        <v>805</v>
      </c>
      <c r="AK5" s="3642" t="s">
        <v>489</v>
      </c>
      <c r="AL5" s="3635" t="s">
        <v>300</v>
      </c>
      <c r="AM5" s="3630" t="s">
        <v>493</v>
      </c>
      <c r="AN5" s="3630" t="s">
        <v>492</v>
      </c>
    </row>
    <row r="6" spans="1:69" ht="23.25" customHeight="1">
      <c r="A6" s="3666"/>
      <c r="B6" s="240"/>
      <c r="C6" s="644" t="str">
        <f>IF(SUM(C7:C22)&gt;0,BE7,"")</f>
        <v/>
      </c>
      <c r="D6" s="666" t="str">
        <f>IF(SUM(D7:D22)&gt;0,BE8,"")</f>
        <v/>
      </c>
      <c r="E6" s="3625"/>
      <c r="F6" s="3620"/>
      <c r="G6" s="3620"/>
      <c r="H6" s="1283" t="s">
        <v>833</v>
      </c>
      <c r="I6" s="3645"/>
      <c r="J6" s="3656"/>
      <c r="K6" s="198">
        <f>'4 Eingabe Friseure'!N6</f>
        <v>44927</v>
      </c>
      <c r="L6" s="198">
        <f>'4 Eingabe Friseure'!O6</f>
        <v>44959</v>
      </c>
      <c r="M6" s="198">
        <f>'4 Eingabe Friseure'!P6</f>
        <v>44991</v>
      </c>
      <c r="N6" s="198">
        <f>'4 Eingabe Friseure'!Q6</f>
        <v>45023</v>
      </c>
      <c r="O6" s="198">
        <f>'4 Eingabe Friseure'!R6</f>
        <v>45055</v>
      </c>
      <c r="P6" s="198">
        <f>'4 Eingabe Friseure'!S6</f>
        <v>45087</v>
      </c>
      <c r="Q6" s="198">
        <f>'4 Eingabe Friseure'!T6</f>
        <v>45119</v>
      </c>
      <c r="R6" s="198">
        <f>'4 Eingabe Friseure'!U6</f>
        <v>45151</v>
      </c>
      <c r="S6" s="198">
        <f>'4 Eingabe Friseure'!V6</f>
        <v>45183</v>
      </c>
      <c r="T6" s="198">
        <f>'4 Eingabe Friseure'!W6</f>
        <v>45215</v>
      </c>
      <c r="U6" s="198">
        <f>'4 Eingabe Friseure'!X6</f>
        <v>45247</v>
      </c>
      <c r="V6" s="1202">
        <f>'4 Eingabe Friseure'!Y6</f>
        <v>45279</v>
      </c>
      <c r="X6" s="36" t="s">
        <v>168</v>
      </c>
      <c r="Y6" s="36" t="s">
        <v>169</v>
      </c>
      <c r="Z6" s="36" t="s">
        <v>170</v>
      </c>
      <c r="AA6" s="36" t="s">
        <v>171</v>
      </c>
      <c r="AB6" s="36" t="s">
        <v>172</v>
      </c>
      <c r="AC6" s="36" t="s">
        <v>173</v>
      </c>
      <c r="AD6" s="191"/>
      <c r="AE6" s="191"/>
      <c r="AF6" s="3660"/>
      <c r="AG6" s="242"/>
      <c r="AH6" s="3664"/>
      <c r="AI6" s="3658"/>
      <c r="AJ6" s="3669"/>
      <c r="AK6" s="3643"/>
      <c r="AL6" s="3636"/>
      <c r="AM6" s="3631"/>
      <c r="AN6" s="3631"/>
    </row>
    <row r="7" spans="1:69" ht="17.399999999999999">
      <c r="A7" s="729" t="s">
        <v>1425</v>
      </c>
      <c r="B7" s="409">
        <v>1600</v>
      </c>
      <c r="C7" s="592"/>
      <c r="D7" s="592"/>
      <c r="E7" s="409"/>
      <c r="F7" s="409"/>
      <c r="G7" s="409"/>
      <c r="H7" s="1282"/>
      <c r="I7" s="1203">
        <v>12</v>
      </c>
      <c r="J7" s="1383" t="str">
        <f>IF(AD7=0,"","ü")</f>
        <v>ü</v>
      </c>
      <c r="K7" s="733"/>
      <c r="L7" s="733"/>
      <c r="M7" s="733"/>
      <c r="N7" s="733"/>
      <c r="O7" s="733"/>
      <c r="P7" s="733"/>
      <c r="Q7" s="734"/>
      <c r="R7" s="734"/>
      <c r="S7" s="734"/>
      <c r="T7" s="734"/>
      <c r="U7" s="734"/>
      <c r="V7" s="1204"/>
      <c r="W7" s="692" t="str">
        <f>IF(A7="","",A7)</f>
        <v>Gina</v>
      </c>
      <c r="X7" s="733"/>
      <c r="Y7" s="733">
        <v>6</v>
      </c>
      <c r="Z7" s="733">
        <v>6</v>
      </c>
      <c r="AA7" s="733">
        <v>6</v>
      </c>
      <c r="AB7" s="733">
        <v>6</v>
      </c>
      <c r="AC7" s="733"/>
      <c r="AD7" s="210">
        <f>SUM(X7:AC7)</f>
        <v>24</v>
      </c>
      <c r="AE7" s="191"/>
      <c r="AF7" s="536">
        <f>IF(A7=0,"",IF(A7="","",AD7))</f>
        <v>24</v>
      </c>
      <c r="AG7" s="536">
        <f>IF(A7=0,"",IF(A7="","",COUNTIF(X7:AC7,"&gt;0")))</f>
        <v>4</v>
      </c>
      <c r="AH7" s="537">
        <f>IF(B7=0,"",IF(B7="","",SUM(B7,E7,G7,(C7/AK7),(F7/AK7),(D7/AK7))))</f>
        <v>1600</v>
      </c>
      <c r="AI7" s="537">
        <f>IF(AF7=0,"",IF(AF7="","",AF7*4.33))</f>
        <v>103.92</v>
      </c>
      <c r="AJ7" s="537">
        <f>IF(B7=0,"",IF(B7="","",AH7/AI7))</f>
        <v>15.396458814472672</v>
      </c>
      <c r="AK7" s="538">
        <f>IF(A7=0,"",IF(A7="","",IF(I7=12,12,SUMIF(K7:V7,"&gt;0,4"))))</f>
        <v>12</v>
      </c>
      <c r="AL7" s="539" t="str">
        <f>IF(A7=0,"",IF(A7="","",IF(H7="","",(AF7/$F$4/$AJ$4*AK7)*H7)))</f>
        <v/>
      </c>
      <c r="AM7" s="537">
        <f>IF(B7=0,"",IF(B7="","",SUM(B7,E7,G7,(C7/AK7),(F7/AK7),(D7/AK7))*AK7))</f>
        <v>19200</v>
      </c>
      <c r="AN7" s="537">
        <f>IF(SUM(C7:D7,F7)&gt;0,SUM(C7:D7,F7)/AK7,0)</f>
        <v>0</v>
      </c>
      <c r="AO7" s="540" t="str">
        <f>IF(AN7="","",$C$6)</f>
        <v/>
      </c>
      <c r="AP7" s="537">
        <f>B7</f>
        <v>1600</v>
      </c>
      <c r="AQ7" s="368">
        <f t="shared" ref="AQ7:BB7" si="0">IF($B7=0,0,IF($I7=12,1,IF(K7&gt;0.4,K7,0)))</f>
        <v>1</v>
      </c>
      <c r="AR7" s="368">
        <f t="shared" si="0"/>
        <v>1</v>
      </c>
      <c r="AS7" s="368">
        <f t="shared" si="0"/>
        <v>1</v>
      </c>
      <c r="AT7" s="368">
        <f t="shared" si="0"/>
        <v>1</v>
      </c>
      <c r="AU7" s="368">
        <f t="shared" si="0"/>
        <v>1</v>
      </c>
      <c r="AV7" s="368">
        <f t="shared" si="0"/>
        <v>1</v>
      </c>
      <c r="AW7" s="368">
        <f t="shared" si="0"/>
        <v>1</v>
      </c>
      <c r="AX7" s="368">
        <f t="shared" si="0"/>
        <v>1</v>
      </c>
      <c r="AY7" s="368">
        <f t="shared" si="0"/>
        <v>1</v>
      </c>
      <c r="AZ7" s="368">
        <f t="shared" si="0"/>
        <v>1</v>
      </c>
      <c r="BA7" s="368">
        <f t="shared" si="0"/>
        <v>1</v>
      </c>
      <c r="BB7" s="368">
        <f t="shared" si="0"/>
        <v>1</v>
      </c>
      <c r="BD7" s="541">
        <f>V6</f>
        <v>45279</v>
      </c>
      <c r="BE7" s="541">
        <f>IF(BF7&lt;BD7,BF7,IF(BG7&lt;BD7,BG7,IF(BH7&lt;BD7,BH7,IF(BI7&lt;BD7,BI7,BJ7))))</f>
        <v>45231</v>
      </c>
      <c r="BF7" s="541">
        <f>'4 Eingabe Friseure'!BE1</f>
        <v>46327</v>
      </c>
      <c r="BG7" s="541">
        <f>'4 Eingabe Friseure'!BF1</f>
        <v>45962</v>
      </c>
      <c r="BH7" s="541">
        <f>'4 Eingabe Friseure'!BG1</f>
        <v>45597</v>
      </c>
      <c r="BI7" s="541">
        <f>'4 Eingabe Friseure'!BH1</f>
        <v>45231</v>
      </c>
      <c r="BJ7" s="541">
        <f>'4 Eingabe Friseure'!BI1</f>
        <v>44866</v>
      </c>
    </row>
    <row r="8" spans="1:69" ht="17.399999999999999">
      <c r="A8" s="729"/>
      <c r="B8" s="409"/>
      <c r="C8" s="592"/>
      <c r="D8" s="592"/>
      <c r="E8" s="409"/>
      <c r="F8" s="409"/>
      <c r="G8" s="409"/>
      <c r="H8" s="1282"/>
      <c r="I8" s="1203"/>
      <c r="J8" s="1383" t="str">
        <f t="shared" ref="J8:J23" si="1">IF(AD8=0,"","ü")</f>
        <v/>
      </c>
      <c r="K8" s="733"/>
      <c r="L8" s="733"/>
      <c r="M8" s="733"/>
      <c r="N8" s="733"/>
      <c r="O8" s="733"/>
      <c r="P8" s="733"/>
      <c r="Q8" s="734"/>
      <c r="R8" s="734"/>
      <c r="S8" s="734"/>
      <c r="T8" s="734"/>
      <c r="U8" s="734"/>
      <c r="V8" s="1204"/>
      <c r="W8" s="692" t="str">
        <f>IF(A8="","",A8)</f>
        <v/>
      </c>
      <c r="X8" s="733"/>
      <c r="Y8" s="733"/>
      <c r="Z8" s="733"/>
      <c r="AA8" s="733"/>
      <c r="AB8" s="733"/>
      <c r="AC8" s="733"/>
      <c r="AD8" s="210">
        <f>SUM(X8:AC8)</f>
        <v>0</v>
      </c>
      <c r="AE8" s="191"/>
      <c r="AF8" s="536" t="str">
        <f t="shared" ref="AF8:AF23" si="2">IF(A8=0,"",IF(A8="","",AD8))</f>
        <v/>
      </c>
      <c r="AG8" s="536" t="str">
        <f t="shared" ref="AG8:AG23" si="3">IF(A8=0,"",IF(A8="","",COUNTIF(X8:AC8,"&gt;0")))</f>
        <v/>
      </c>
      <c r="AH8" s="537" t="str">
        <f t="shared" ref="AH8:AH23" si="4">IF(B8=0,"",IF(B8="","",SUM(B8,E8,G8,(C8/AK8),(F8/AK8),(D8/AK8))))</f>
        <v/>
      </c>
      <c r="AI8" s="537" t="str">
        <f t="shared" ref="AI8:AI23" si="5">IF(AF8=0,"",IF(AF8="","",AF8*4.33))</f>
        <v/>
      </c>
      <c r="AJ8" s="537" t="str">
        <f t="shared" ref="AJ8:AJ23" si="6">IF(B8=0,"",IF(B8="","",AH8/AI8))</f>
        <v/>
      </c>
      <c r="AK8" s="538" t="str">
        <f t="shared" ref="AK8:AK23" si="7">IF(A8=0,"",IF(A8="","",IF(I8=12,12,SUMIF(K8:V8,"&gt;0,4"))))</f>
        <v/>
      </c>
      <c r="AL8" s="539" t="str">
        <f t="shared" ref="AL8:AL23" si="8">IF(A8=0,"",IF(A8="","",IF(H8="","",(AF8/$F$4/$AJ$4*AK8)*H8)))</f>
        <v/>
      </c>
      <c r="AM8" s="537" t="str">
        <f t="shared" ref="AM8:AM23" si="9">IF(B8=0,"",IF(B8="","",SUM(B8,E8,G8,(C8/AK8),(F8/AK8),(D8/AK8))*AK8))</f>
        <v/>
      </c>
      <c r="AN8" s="537">
        <f t="shared" ref="AN8:AN23" si="10">IF(SUM(C8:D8,F8)&gt;0,SUM(C8:D8,F8)/AK8,0)</f>
        <v>0</v>
      </c>
      <c r="AO8" s="540" t="str">
        <f t="shared" ref="AO8:AO23" si="11">IF(AN8="","",$C$6)</f>
        <v/>
      </c>
      <c r="AP8" s="537">
        <f t="shared" ref="AP8:AP23" si="12">B8</f>
        <v>0</v>
      </c>
      <c r="AQ8" s="368">
        <f t="shared" ref="AQ8:AQ22" si="13">IF($B8=0,0,IF($I8=12,1,IF(K8&gt;0.4,K8,0)))</f>
        <v>0</v>
      </c>
      <c r="AR8" s="368">
        <f t="shared" ref="AR8:AR22" si="14">IF($B8=0,0,IF($I8=12,1,IF(L8&gt;0.4,L8,0)))</f>
        <v>0</v>
      </c>
      <c r="AS8" s="368">
        <f t="shared" ref="AS8:AS22" si="15">IF($B8=0,0,IF($I8=12,1,IF(M8&gt;0.4,M8,0)))</f>
        <v>0</v>
      </c>
      <c r="AT8" s="368">
        <f t="shared" ref="AT8:AT22" si="16">IF($B8=0,0,IF($I8=12,1,IF(N8&gt;0.4,N8,0)))</f>
        <v>0</v>
      </c>
      <c r="AU8" s="368">
        <f t="shared" ref="AU8:AU22" si="17">IF($B8=0,0,IF($I8=12,1,IF(O8&gt;0.4,O8,0)))</f>
        <v>0</v>
      </c>
      <c r="AV8" s="368">
        <f t="shared" ref="AV8:AV22" si="18">IF($B8=0,0,IF($I8=12,1,IF(P8&gt;0.4,P8,0)))</f>
        <v>0</v>
      </c>
      <c r="AW8" s="368">
        <f t="shared" ref="AW8:AW22" si="19">IF($B8=0,0,IF($I8=12,1,IF(Q8&gt;0.4,Q8,0)))</f>
        <v>0</v>
      </c>
      <c r="AX8" s="368">
        <f t="shared" ref="AX8:AX22" si="20">IF($B8=0,0,IF($I8=12,1,IF(R8&gt;0.4,R8,0)))</f>
        <v>0</v>
      </c>
      <c r="AY8" s="368">
        <f t="shared" ref="AY8:AY22" si="21">IF($B8=0,0,IF($I8=12,1,IF(S8&gt;0.4,S8,0)))</f>
        <v>0</v>
      </c>
      <c r="AZ8" s="368">
        <f t="shared" ref="AZ8:AZ22" si="22">IF($B8=0,0,IF($I8=12,1,IF(T8&gt;0.4,T8,0)))</f>
        <v>0</v>
      </c>
      <c r="BA8" s="368">
        <f t="shared" ref="BA8:BA22" si="23">IF($B8=0,0,IF($I8=12,1,IF(U8&gt;0.4,U8,0)))</f>
        <v>0</v>
      </c>
      <c r="BB8" s="368">
        <f t="shared" ref="BB8:BB22" si="24">IF($B8=0,0,IF($I8=12,1,IF(V8&gt;0.4,V8,0)))</f>
        <v>0</v>
      </c>
      <c r="BD8" s="541">
        <f>V6</f>
        <v>45279</v>
      </c>
      <c r="BE8" s="541">
        <f>IF(BF8&lt;BD8,BF8,IF(BG8&lt;BD8,BG8,IF(BH8&lt;BD8,BH8,IF(BI8&lt;BD8,BI8,BJ8))))</f>
        <v>45078</v>
      </c>
      <c r="BF8" s="541">
        <f>'4 Eingabe Friseure'!BE2</f>
        <v>46174</v>
      </c>
      <c r="BG8" s="541">
        <f>'4 Eingabe Friseure'!BF2</f>
        <v>45809</v>
      </c>
      <c r="BH8" s="541">
        <f>'4 Eingabe Friseure'!BG2</f>
        <v>45444</v>
      </c>
      <c r="BI8" s="541">
        <f>'4 Eingabe Friseure'!BH2</f>
        <v>45078</v>
      </c>
      <c r="BJ8" s="541">
        <f>'4 Eingabe Friseure'!BI2</f>
        <v>44713</v>
      </c>
      <c r="BK8" s="541"/>
      <c r="BL8" s="541"/>
      <c r="BM8" s="541"/>
      <c r="BN8" s="541"/>
      <c r="BO8" s="541"/>
      <c r="BP8" s="541"/>
      <c r="BQ8" s="541"/>
    </row>
    <row r="9" spans="1:69" ht="19.5" customHeight="1">
      <c r="A9" s="729"/>
      <c r="B9" s="409"/>
      <c r="C9" s="592"/>
      <c r="D9" s="592"/>
      <c r="E9" s="592"/>
      <c r="F9" s="409"/>
      <c r="G9" s="409"/>
      <c r="H9" s="1282"/>
      <c r="I9" s="1203"/>
      <c r="J9" s="1383" t="str">
        <f t="shared" si="1"/>
        <v/>
      </c>
      <c r="K9" s="733"/>
      <c r="L9" s="733"/>
      <c r="M9" s="733"/>
      <c r="N9" s="733"/>
      <c r="O9" s="733"/>
      <c r="P9" s="733"/>
      <c r="Q9" s="734"/>
      <c r="R9" s="734"/>
      <c r="S9" s="734"/>
      <c r="T9" s="734"/>
      <c r="U9" s="734"/>
      <c r="V9" s="1204"/>
      <c r="W9" s="692" t="str">
        <f t="shared" ref="W9:W23" si="25">IF(A9="","",A9)</f>
        <v/>
      </c>
      <c r="X9" s="733"/>
      <c r="Y9" s="733"/>
      <c r="Z9" s="733"/>
      <c r="AA9" s="733"/>
      <c r="AB9" s="733"/>
      <c r="AC9" s="733"/>
      <c r="AD9" s="210">
        <f>SUM(X9:AC9)</f>
        <v>0</v>
      </c>
      <c r="AE9" s="191"/>
      <c r="AF9" s="536" t="str">
        <f t="shared" si="2"/>
        <v/>
      </c>
      <c r="AG9" s="536" t="str">
        <f t="shared" si="3"/>
        <v/>
      </c>
      <c r="AH9" s="537" t="str">
        <f t="shared" si="4"/>
        <v/>
      </c>
      <c r="AI9" s="537" t="str">
        <f t="shared" si="5"/>
        <v/>
      </c>
      <c r="AJ9" s="537" t="str">
        <f t="shared" si="6"/>
        <v/>
      </c>
      <c r="AK9" s="538" t="str">
        <f t="shared" si="7"/>
        <v/>
      </c>
      <c r="AL9" s="539" t="str">
        <f t="shared" si="8"/>
        <v/>
      </c>
      <c r="AM9" s="537" t="str">
        <f t="shared" si="9"/>
        <v/>
      </c>
      <c r="AN9" s="537">
        <f t="shared" si="10"/>
        <v>0</v>
      </c>
      <c r="AO9" s="540" t="str">
        <f t="shared" si="11"/>
        <v/>
      </c>
      <c r="AP9" s="537">
        <f t="shared" si="12"/>
        <v>0</v>
      </c>
      <c r="AQ9" s="368">
        <f t="shared" si="13"/>
        <v>0</v>
      </c>
      <c r="AR9" s="368">
        <f t="shared" si="14"/>
        <v>0</v>
      </c>
      <c r="AS9" s="368">
        <f t="shared" si="15"/>
        <v>0</v>
      </c>
      <c r="AT9" s="368">
        <f t="shared" si="16"/>
        <v>0</v>
      </c>
      <c r="AU9" s="368">
        <f t="shared" si="17"/>
        <v>0</v>
      </c>
      <c r="AV9" s="368">
        <f t="shared" si="18"/>
        <v>0</v>
      </c>
      <c r="AW9" s="368">
        <f t="shared" si="19"/>
        <v>0</v>
      </c>
      <c r="AX9" s="368">
        <f t="shared" si="20"/>
        <v>0</v>
      </c>
      <c r="AY9" s="368">
        <f t="shared" si="21"/>
        <v>0</v>
      </c>
      <c r="AZ9" s="368">
        <f t="shared" si="22"/>
        <v>0</v>
      </c>
      <c r="BA9" s="368">
        <f t="shared" si="23"/>
        <v>0</v>
      </c>
      <c r="BB9" s="368">
        <f t="shared" si="24"/>
        <v>0</v>
      </c>
    </row>
    <row r="10" spans="1:69" ht="17.399999999999999">
      <c r="A10" s="729"/>
      <c r="B10" s="409"/>
      <c r="C10" s="592"/>
      <c r="D10" s="592"/>
      <c r="E10" s="592"/>
      <c r="F10" s="409"/>
      <c r="G10" s="1493"/>
      <c r="H10" s="1282"/>
      <c r="I10" s="1203"/>
      <c r="J10" s="1383" t="str">
        <f t="shared" si="1"/>
        <v/>
      </c>
      <c r="K10" s="733"/>
      <c r="L10" s="733"/>
      <c r="M10" s="733"/>
      <c r="N10" s="733"/>
      <c r="O10" s="733"/>
      <c r="P10" s="733"/>
      <c r="Q10" s="734"/>
      <c r="R10" s="734"/>
      <c r="S10" s="734"/>
      <c r="T10" s="734"/>
      <c r="U10" s="734"/>
      <c r="V10" s="1204"/>
      <c r="W10" s="692" t="str">
        <f t="shared" si="25"/>
        <v/>
      </c>
      <c r="X10" s="733"/>
      <c r="Y10" s="733"/>
      <c r="Z10" s="733"/>
      <c r="AA10" s="733"/>
      <c r="AB10" s="733"/>
      <c r="AC10" s="733"/>
      <c r="AD10" s="210">
        <f>SUM(X10:AC10)</f>
        <v>0</v>
      </c>
      <c r="AE10" s="191"/>
      <c r="AF10" s="536" t="str">
        <f t="shared" si="2"/>
        <v/>
      </c>
      <c r="AG10" s="536" t="str">
        <f t="shared" si="3"/>
        <v/>
      </c>
      <c r="AH10" s="537" t="str">
        <f t="shared" si="4"/>
        <v/>
      </c>
      <c r="AI10" s="537" t="str">
        <f t="shared" si="5"/>
        <v/>
      </c>
      <c r="AJ10" s="537" t="str">
        <f t="shared" si="6"/>
        <v/>
      </c>
      <c r="AK10" s="538" t="str">
        <f t="shared" si="7"/>
        <v/>
      </c>
      <c r="AL10" s="539" t="str">
        <f t="shared" si="8"/>
        <v/>
      </c>
      <c r="AM10" s="537" t="str">
        <f t="shared" si="9"/>
        <v/>
      </c>
      <c r="AN10" s="537">
        <f t="shared" si="10"/>
        <v>0</v>
      </c>
      <c r="AO10" s="540" t="str">
        <f t="shared" si="11"/>
        <v/>
      </c>
      <c r="AP10" s="537">
        <f t="shared" si="12"/>
        <v>0</v>
      </c>
      <c r="AQ10" s="368">
        <f t="shared" si="13"/>
        <v>0</v>
      </c>
      <c r="AR10" s="368">
        <f t="shared" si="14"/>
        <v>0</v>
      </c>
      <c r="AS10" s="368">
        <f t="shared" si="15"/>
        <v>0</v>
      </c>
      <c r="AT10" s="368">
        <f t="shared" si="16"/>
        <v>0</v>
      </c>
      <c r="AU10" s="368">
        <f t="shared" si="17"/>
        <v>0</v>
      </c>
      <c r="AV10" s="368">
        <f t="shared" si="18"/>
        <v>0</v>
      </c>
      <c r="AW10" s="368">
        <f t="shared" si="19"/>
        <v>0</v>
      </c>
      <c r="AX10" s="368">
        <f t="shared" si="20"/>
        <v>0</v>
      </c>
      <c r="AY10" s="368">
        <f t="shared" si="21"/>
        <v>0</v>
      </c>
      <c r="AZ10" s="368">
        <f t="shared" si="22"/>
        <v>0</v>
      </c>
      <c r="BA10" s="368">
        <f t="shared" si="23"/>
        <v>0</v>
      </c>
      <c r="BB10" s="368">
        <f t="shared" si="24"/>
        <v>0</v>
      </c>
    </row>
    <row r="11" spans="1:69" ht="17.399999999999999">
      <c r="A11" s="729"/>
      <c r="B11" s="409"/>
      <c r="C11" s="592"/>
      <c r="D11" s="592"/>
      <c r="E11" s="592"/>
      <c r="F11" s="409"/>
      <c r="G11" s="1493"/>
      <c r="H11" s="1282"/>
      <c r="I11" s="1203"/>
      <c r="J11" s="1383" t="str">
        <f t="shared" si="1"/>
        <v/>
      </c>
      <c r="K11" s="733"/>
      <c r="L11" s="733"/>
      <c r="M11" s="733"/>
      <c r="N11" s="733"/>
      <c r="O11" s="733"/>
      <c r="P11" s="733"/>
      <c r="Q11" s="733"/>
      <c r="R11" s="733"/>
      <c r="S11" s="733"/>
      <c r="T11" s="733"/>
      <c r="U11" s="733"/>
      <c r="V11" s="1204"/>
      <c r="W11" s="692" t="str">
        <f t="shared" si="25"/>
        <v/>
      </c>
      <c r="X11" s="733"/>
      <c r="Y11" s="733"/>
      <c r="Z11" s="733"/>
      <c r="AA11" s="733"/>
      <c r="AB11" s="733"/>
      <c r="AC11" s="733"/>
      <c r="AD11" s="210">
        <f t="shared" ref="AD11:AD23" si="26">SUM(X11:AC11)</f>
        <v>0</v>
      </c>
      <c r="AE11" s="191"/>
      <c r="AF11" s="536" t="str">
        <f t="shared" si="2"/>
        <v/>
      </c>
      <c r="AG11" s="536" t="str">
        <f t="shared" si="3"/>
        <v/>
      </c>
      <c r="AH11" s="537" t="str">
        <f t="shared" si="4"/>
        <v/>
      </c>
      <c r="AI11" s="537" t="str">
        <f t="shared" si="5"/>
        <v/>
      </c>
      <c r="AJ11" s="537" t="str">
        <f t="shared" si="6"/>
        <v/>
      </c>
      <c r="AK11" s="538" t="str">
        <f t="shared" si="7"/>
        <v/>
      </c>
      <c r="AL11" s="539" t="str">
        <f t="shared" si="8"/>
        <v/>
      </c>
      <c r="AM11" s="537" t="str">
        <f t="shared" si="9"/>
        <v/>
      </c>
      <c r="AN11" s="537">
        <f t="shared" si="10"/>
        <v>0</v>
      </c>
      <c r="AO11" s="540" t="str">
        <f t="shared" si="11"/>
        <v/>
      </c>
      <c r="AP11" s="537">
        <f t="shared" si="12"/>
        <v>0</v>
      </c>
      <c r="AQ11" s="368">
        <f t="shared" si="13"/>
        <v>0</v>
      </c>
      <c r="AR11" s="368">
        <f t="shared" si="14"/>
        <v>0</v>
      </c>
      <c r="AS11" s="368">
        <f t="shared" si="15"/>
        <v>0</v>
      </c>
      <c r="AT11" s="368">
        <f t="shared" si="16"/>
        <v>0</v>
      </c>
      <c r="AU11" s="368">
        <f t="shared" si="17"/>
        <v>0</v>
      </c>
      <c r="AV11" s="368">
        <f t="shared" si="18"/>
        <v>0</v>
      </c>
      <c r="AW11" s="368">
        <f t="shared" si="19"/>
        <v>0</v>
      </c>
      <c r="AX11" s="368">
        <f t="shared" si="20"/>
        <v>0</v>
      </c>
      <c r="AY11" s="368">
        <f t="shared" si="21"/>
        <v>0</v>
      </c>
      <c r="AZ11" s="368">
        <f t="shared" si="22"/>
        <v>0</v>
      </c>
      <c r="BA11" s="368">
        <f t="shared" si="23"/>
        <v>0</v>
      </c>
      <c r="BB11" s="368">
        <f t="shared" si="24"/>
        <v>0</v>
      </c>
    </row>
    <row r="12" spans="1:69" ht="17.399999999999999">
      <c r="A12" s="729"/>
      <c r="B12" s="409"/>
      <c r="C12" s="592"/>
      <c r="D12" s="592"/>
      <c r="E12" s="592"/>
      <c r="F12" s="409"/>
      <c r="G12" s="409"/>
      <c r="H12" s="1282"/>
      <c r="I12" s="1203"/>
      <c r="J12" s="1383" t="str">
        <f t="shared" si="1"/>
        <v/>
      </c>
      <c r="K12" s="733"/>
      <c r="L12" s="733"/>
      <c r="M12" s="733"/>
      <c r="N12" s="733"/>
      <c r="O12" s="733"/>
      <c r="P12" s="733"/>
      <c r="Q12" s="733"/>
      <c r="R12" s="733"/>
      <c r="S12" s="733"/>
      <c r="T12" s="733"/>
      <c r="U12" s="733"/>
      <c r="V12" s="733"/>
      <c r="W12" s="692" t="str">
        <f t="shared" si="25"/>
        <v/>
      </c>
      <c r="X12" s="733"/>
      <c r="Y12" s="733"/>
      <c r="Z12" s="733"/>
      <c r="AA12" s="733"/>
      <c r="AB12" s="733"/>
      <c r="AC12" s="733"/>
      <c r="AD12" s="210">
        <f t="shared" si="26"/>
        <v>0</v>
      </c>
      <c r="AE12" s="191"/>
      <c r="AF12" s="536" t="str">
        <f t="shared" si="2"/>
        <v/>
      </c>
      <c r="AG12" s="536" t="str">
        <f t="shared" si="3"/>
        <v/>
      </c>
      <c r="AH12" s="537" t="str">
        <f t="shared" si="4"/>
        <v/>
      </c>
      <c r="AI12" s="537" t="str">
        <f t="shared" si="5"/>
        <v/>
      </c>
      <c r="AJ12" s="537" t="str">
        <f t="shared" si="6"/>
        <v/>
      </c>
      <c r="AK12" s="538" t="str">
        <f t="shared" si="7"/>
        <v/>
      </c>
      <c r="AL12" s="539" t="str">
        <f t="shared" si="8"/>
        <v/>
      </c>
      <c r="AM12" s="537" t="str">
        <f t="shared" si="9"/>
        <v/>
      </c>
      <c r="AN12" s="537">
        <f t="shared" si="10"/>
        <v>0</v>
      </c>
      <c r="AO12" s="540" t="str">
        <f t="shared" si="11"/>
        <v/>
      </c>
      <c r="AP12" s="537">
        <f t="shared" si="12"/>
        <v>0</v>
      </c>
      <c r="AQ12" s="368">
        <f t="shared" si="13"/>
        <v>0</v>
      </c>
      <c r="AR12" s="368">
        <f t="shared" si="14"/>
        <v>0</v>
      </c>
      <c r="AS12" s="368">
        <f t="shared" si="15"/>
        <v>0</v>
      </c>
      <c r="AT12" s="368">
        <f t="shared" si="16"/>
        <v>0</v>
      </c>
      <c r="AU12" s="368">
        <f t="shared" si="17"/>
        <v>0</v>
      </c>
      <c r="AV12" s="368">
        <f t="shared" si="18"/>
        <v>0</v>
      </c>
      <c r="AW12" s="368">
        <f t="shared" si="19"/>
        <v>0</v>
      </c>
      <c r="AX12" s="368">
        <f t="shared" si="20"/>
        <v>0</v>
      </c>
      <c r="AY12" s="368">
        <f t="shared" si="21"/>
        <v>0</v>
      </c>
      <c r="AZ12" s="368">
        <f t="shared" si="22"/>
        <v>0</v>
      </c>
      <c r="BA12" s="368">
        <f t="shared" si="23"/>
        <v>0</v>
      </c>
      <c r="BB12" s="368">
        <f t="shared" si="24"/>
        <v>0</v>
      </c>
    </row>
    <row r="13" spans="1:69" ht="17.399999999999999">
      <c r="A13" s="729"/>
      <c r="B13" s="409"/>
      <c r="C13" s="409"/>
      <c r="D13" s="409"/>
      <c r="E13" s="592"/>
      <c r="F13" s="409"/>
      <c r="G13" s="409"/>
      <c r="H13" s="1282"/>
      <c r="I13" s="1203"/>
      <c r="J13" s="1383" t="str">
        <f t="shared" si="1"/>
        <v/>
      </c>
      <c r="K13" s="733"/>
      <c r="L13" s="733"/>
      <c r="M13" s="733"/>
      <c r="N13" s="733"/>
      <c r="O13" s="733"/>
      <c r="P13" s="733"/>
      <c r="Q13" s="733"/>
      <c r="R13" s="733"/>
      <c r="S13" s="733"/>
      <c r="T13" s="733"/>
      <c r="U13" s="733"/>
      <c r="V13" s="733"/>
      <c r="W13" s="692" t="str">
        <f t="shared" si="25"/>
        <v/>
      </c>
      <c r="X13" s="733"/>
      <c r="Y13" s="733"/>
      <c r="Z13" s="733"/>
      <c r="AA13" s="733"/>
      <c r="AB13" s="733"/>
      <c r="AC13" s="733"/>
      <c r="AD13" s="210">
        <f t="shared" si="26"/>
        <v>0</v>
      </c>
      <c r="AE13" s="191"/>
      <c r="AF13" s="536" t="str">
        <f t="shared" si="2"/>
        <v/>
      </c>
      <c r="AG13" s="536" t="str">
        <f t="shared" si="3"/>
        <v/>
      </c>
      <c r="AH13" s="537" t="str">
        <f t="shared" si="4"/>
        <v/>
      </c>
      <c r="AI13" s="537" t="str">
        <f t="shared" si="5"/>
        <v/>
      </c>
      <c r="AJ13" s="537" t="str">
        <f t="shared" si="6"/>
        <v/>
      </c>
      <c r="AK13" s="538" t="str">
        <f t="shared" si="7"/>
        <v/>
      </c>
      <c r="AL13" s="539" t="str">
        <f t="shared" si="8"/>
        <v/>
      </c>
      <c r="AM13" s="537" t="str">
        <f t="shared" si="9"/>
        <v/>
      </c>
      <c r="AN13" s="537">
        <f t="shared" si="10"/>
        <v>0</v>
      </c>
      <c r="AO13" s="540" t="str">
        <f t="shared" si="11"/>
        <v/>
      </c>
      <c r="AP13" s="537">
        <f t="shared" si="12"/>
        <v>0</v>
      </c>
      <c r="AQ13" s="368">
        <f t="shared" si="13"/>
        <v>0</v>
      </c>
      <c r="AR13" s="368">
        <f t="shared" si="14"/>
        <v>0</v>
      </c>
      <c r="AS13" s="368">
        <f t="shared" si="15"/>
        <v>0</v>
      </c>
      <c r="AT13" s="368">
        <f t="shared" si="16"/>
        <v>0</v>
      </c>
      <c r="AU13" s="368">
        <f t="shared" si="17"/>
        <v>0</v>
      </c>
      <c r="AV13" s="368">
        <f t="shared" si="18"/>
        <v>0</v>
      </c>
      <c r="AW13" s="368">
        <f t="shared" si="19"/>
        <v>0</v>
      </c>
      <c r="AX13" s="368">
        <f t="shared" si="20"/>
        <v>0</v>
      </c>
      <c r="AY13" s="368">
        <f t="shared" si="21"/>
        <v>0</v>
      </c>
      <c r="AZ13" s="368">
        <f t="shared" si="22"/>
        <v>0</v>
      </c>
      <c r="BA13" s="368">
        <f t="shared" si="23"/>
        <v>0</v>
      </c>
      <c r="BB13" s="368">
        <f t="shared" si="24"/>
        <v>0</v>
      </c>
    </row>
    <row r="14" spans="1:69" ht="17.399999999999999">
      <c r="A14" s="731"/>
      <c r="B14" s="409"/>
      <c r="C14" s="592"/>
      <c r="D14" s="592"/>
      <c r="E14" s="592"/>
      <c r="F14" s="409"/>
      <c r="G14" s="409"/>
      <c r="H14" s="1282"/>
      <c r="I14" s="1203"/>
      <c r="J14" s="1383" t="str">
        <f t="shared" si="1"/>
        <v/>
      </c>
      <c r="K14" s="733"/>
      <c r="L14" s="733"/>
      <c r="M14" s="733"/>
      <c r="N14" s="733"/>
      <c r="O14" s="733"/>
      <c r="P14" s="733"/>
      <c r="Q14" s="733"/>
      <c r="R14" s="733"/>
      <c r="S14" s="733"/>
      <c r="T14" s="733"/>
      <c r="U14" s="733"/>
      <c r="V14" s="733"/>
      <c r="W14" s="692" t="str">
        <f t="shared" si="25"/>
        <v/>
      </c>
      <c r="X14" s="733"/>
      <c r="Y14" s="733"/>
      <c r="Z14" s="733"/>
      <c r="AA14" s="733"/>
      <c r="AB14" s="733"/>
      <c r="AC14" s="733"/>
      <c r="AD14" s="210">
        <f t="shared" si="26"/>
        <v>0</v>
      </c>
      <c r="AE14" s="191"/>
      <c r="AF14" s="536" t="str">
        <f t="shared" si="2"/>
        <v/>
      </c>
      <c r="AG14" s="536" t="str">
        <f t="shared" si="3"/>
        <v/>
      </c>
      <c r="AH14" s="537" t="str">
        <f t="shared" si="4"/>
        <v/>
      </c>
      <c r="AI14" s="537" t="str">
        <f t="shared" si="5"/>
        <v/>
      </c>
      <c r="AJ14" s="537" t="str">
        <f t="shared" si="6"/>
        <v/>
      </c>
      <c r="AK14" s="538" t="str">
        <f t="shared" si="7"/>
        <v/>
      </c>
      <c r="AL14" s="539" t="str">
        <f t="shared" si="8"/>
        <v/>
      </c>
      <c r="AM14" s="537" t="str">
        <f t="shared" si="9"/>
        <v/>
      </c>
      <c r="AN14" s="537">
        <f t="shared" si="10"/>
        <v>0</v>
      </c>
      <c r="AO14" s="540" t="str">
        <f t="shared" si="11"/>
        <v/>
      </c>
      <c r="AP14" s="537">
        <f t="shared" si="12"/>
        <v>0</v>
      </c>
      <c r="AQ14" s="368">
        <f t="shared" si="13"/>
        <v>0</v>
      </c>
      <c r="AR14" s="368">
        <f t="shared" si="14"/>
        <v>0</v>
      </c>
      <c r="AS14" s="368">
        <f t="shared" si="15"/>
        <v>0</v>
      </c>
      <c r="AT14" s="368">
        <f t="shared" si="16"/>
        <v>0</v>
      </c>
      <c r="AU14" s="368">
        <f t="shared" si="17"/>
        <v>0</v>
      </c>
      <c r="AV14" s="368">
        <f t="shared" si="18"/>
        <v>0</v>
      </c>
      <c r="AW14" s="368">
        <f t="shared" si="19"/>
        <v>0</v>
      </c>
      <c r="AX14" s="368">
        <f t="shared" si="20"/>
        <v>0</v>
      </c>
      <c r="AY14" s="368">
        <f t="shared" si="21"/>
        <v>0</v>
      </c>
      <c r="AZ14" s="368">
        <f t="shared" si="22"/>
        <v>0</v>
      </c>
      <c r="BA14" s="368">
        <f t="shared" si="23"/>
        <v>0</v>
      </c>
      <c r="BB14" s="368">
        <f t="shared" si="24"/>
        <v>0</v>
      </c>
    </row>
    <row r="15" spans="1:69" ht="17.399999999999999">
      <c r="A15" s="729"/>
      <c r="B15" s="409"/>
      <c r="C15" s="592"/>
      <c r="D15" s="592"/>
      <c r="E15" s="592"/>
      <c r="F15" s="409"/>
      <c r="G15" s="409"/>
      <c r="H15" s="1282"/>
      <c r="I15" s="1203"/>
      <c r="J15" s="1383" t="str">
        <f t="shared" si="1"/>
        <v/>
      </c>
      <c r="K15" s="733"/>
      <c r="L15" s="733"/>
      <c r="M15" s="733"/>
      <c r="N15" s="733"/>
      <c r="O15" s="733"/>
      <c r="P15" s="733"/>
      <c r="Q15" s="733"/>
      <c r="R15" s="733"/>
      <c r="S15" s="733"/>
      <c r="T15" s="733"/>
      <c r="U15" s="733"/>
      <c r="V15" s="733"/>
      <c r="W15" s="692" t="str">
        <f t="shared" si="25"/>
        <v/>
      </c>
      <c r="X15" s="733"/>
      <c r="Y15" s="733"/>
      <c r="Z15" s="733"/>
      <c r="AA15" s="733"/>
      <c r="AB15" s="733"/>
      <c r="AC15" s="733"/>
      <c r="AD15" s="210">
        <f t="shared" si="26"/>
        <v>0</v>
      </c>
      <c r="AE15" s="191"/>
      <c r="AF15" s="536" t="str">
        <f t="shared" si="2"/>
        <v/>
      </c>
      <c r="AG15" s="536" t="str">
        <f t="shared" si="3"/>
        <v/>
      </c>
      <c r="AH15" s="537" t="str">
        <f t="shared" si="4"/>
        <v/>
      </c>
      <c r="AI15" s="537" t="str">
        <f t="shared" si="5"/>
        <v/>
      </c>
      <c r="AJ15" s="537" t="str">
        <f t="shared" si="6"/>
        <v/>
      </c>
      <c r="AK15" s="538" t="str">
        <f t="shared" si="7"/>
        <v/>
      </c>
      <c r="AL15" s="539" t="str">
        <f t="shared" si="8"/>
        <v/>
      </c>
      <c r="AM15" s="537" t="str">
        <f t="shared" si="9"/>
        <v/>
      </c>
      <c r="AN15" s="537">
        <f t="shared" si="10"/>
        <v>0</v>
      </c>
      <c r="AO15" s="540" t="str">
        <f t="shared" si="11"/>
        <v/>
      </c>
      <c r="AP15" s="537">
        <f t="shared" si="12"/>
        <v>0</v>
      </c>
      <c r="AQ15" s="368">
        <f t="shared" si="13"/>
        <v>0</v>
      </c>
      <c r="AR15" s="368">
        <f t="shared" si="14"/>
        <v>0</v>
      </c>
      <c r="AS15" s="368">
        <f t="shared" si="15"/>
        <v>0</v>
      </c>
      <c r="AT15" s="368">
        <f t="shared" si="16"/>
        <v>0</v>
      </c>
      <c r="AU15" s="368">
        <f t="shared" si="17"/>
        <v>0</v>
      </c>
      <c r="AV15" s="368">
        <f t="shared" si="18"/>
        <v>0</v>
      </c>
      <c r="AW15" s="368">
        <f t="shared" si="19"/>
        <v>0</v>
      </c>
      <c r="AX15" s="368">
        <f t="shared" si="20"/>
        <v>0</v>
      </c>
      <c r="AY15" s="368">
        <f t="shared" si="21"/>
        <v>0</v>
      </c>
      <c r="AZ15" s="368">
        <f t="shared" si="22"/>
        <v>0</v>
      </c>
      <c r="BA15" s="368">
        <f t="shared" si="23"/>
        <v>0</v>
      </c>
      <c r="BB15" s="368">
        <f t="shared" si="24"/>
        <v>0</v>
      </c>
    </row>
    <row r="16" spans="1:69" ht="17.399999999999999">
      <c r="A16" s="729"/>
      <c r="B16" s="409"/>
      <c r="C16" s="592"/>
      <c r="D16" s="592"/>
      <c r="E16" s="592"/>
      <c r="F16" s="409"/>
      <c r="G16" s="409"/>
      <c r="H16" s="1282"/>
      <c r="I16" s="1203"/>
      <c r="J16" s="1383" t="str">
        <f t="shared" si="1"/>
        <v/>
      </c>
      <c r="K16" s="733"/>
      <c r="L16" s="733"/>
      <c r="M16" s="733"/>
      <c r="N16" s="733"/>
      <c r="O16" s="733"/>
      <c r="P16" s="733"/>
      <c r="Q16" s="733"/>
      <c r="R16" s="733"/>
      <c r="S16" s="733"/>
      <c r="T16" s="733"/>
      <c r="U16" s="733"/>
      <c r="V16" s="733"/>
      <c r="W16" s="692" t="str">
        <f t="shared" si="25"/>
        <v/>
      </c>
      <c r="X16" s="733"/>
      <c r="Y16" s="733"/>
      <c r="Z16" s="733"/>
      <c r="AA16" s="733"/>
      <c r="AB16" s="733"/>
      <c r="AC16" s="733"/>
      <c r="AD16" s="210">
        <f t="shared" si="26"/>
        <v>0</v>
      </c>
      <c r="AE16" s="191"/>
      <c r="AF16" s="536" t="str">
        <f t="shared" si="2"/>
        <v/>
      </c>
      <c r="AG16" s="536" t="str">
        <f t="shared" si="3"/>
        <v/>
      </c>
      <c r="AH16" s="537" t="str">
        <f t="shared" si="4"/>
        <v/>
      </c>
      <c r="AI16" s="537" t="str">
        <f t="shared" si="5"/>
        <v/>
      </c>
      <c r="AJ16" s="537" t="str">
        <f t="shared" si="6"/>
        <v/>
      </c>
      <c r="AK16" s="538" t="str">
        <f t="shared" si="7"/>
        <v/>
      </c>
      <c r="AL16" s="539" t="str">
        <f t="shared" si="8"/>
        <v/>
      </c>
      <c r="AM16" s="537" t="str">
        <f t="shared" si="9"/>
        <v/>
      </c>
      <c r="AN16" s="537">
        <f t="shared" si="10"/>
        <v>0</v>
      </c>
      <c r="AO16" s="540" t="str">
        <f t="shared" si="11"/>
        <v/>
      </c>
      <c r="AP16" s="537">
        <f t="shared" si="12"/>
        <v>0</v>
      </c>
      <c r="AQ16" s="368">
        <f t="shared" si="13"/>
        <v>0</v>
      </c>
      <c r="AR16" s="368">
        <f t="shared" si="14"/>
        <v>0</v>
      </c>
      <c r="AS16" s="368">
        <f t="shared" si="15"/>
        <v>0</v>
      </c>
      <c r="AT16" s="368">
        <f t="shared" si="16"/>
        <v>0</v>
      </c>
      <c r="AU16" s="368">
        <f t="shared" si="17"/>
        <v>0</v>
      </c>
      <c r="AV16" s="368">
        <f t="shared" si="18"/>
        <v>0</v>
      </c>
      <c r="AW16" s="368">
        <f t="shared" si="19"/>
        <v>0</v>
      </c>
      <c r="AX16" s="368">
        <f t="shared" si="20"/>
        <v>0</v>
      </c>
      <c r="AY16" s="368">
        <f t="shared" si="21"/>
        <v>0</v>
      </c>
      <c r="AZ16" s="368">
        <f t="shared" si="22"/>
        <v>0</v>
      </c>
      <c r="BA16" s="368">
        <f t="shared" si="23"/>
        <v>0</v>
      </c>
      <c r="BB16" s="368">
        <f t="shared" si="24"/>
        <v>0</v>
      </c>
    </row>
    <row r="17" spans="1:54" ht="17.399999999999999">
      <c r="A17" s="729"/>
      <c r="B17" s="409"/>
      <c r="C17" s="592"/>
      <c r="D17" s="592"/>
      <c r="E17" s="592"/>
      <c r="F17" s="409"/>
      <c r="G17" s="409"/>
      <c r="H17" s="1282"/>
      <c r="I17" s="1203"/>
      <c r="J17" s="1383" t="str">
        <f t="shared" si="1"/>
        <v/>
      </c>
      <c r="K17" s="733"/>
      <c r="L17" s="733"/>
      <c r="M17" s="733"/>
      <c r="N17" s="733"/>
      <c r="O17" s="733"/>
      <c r="P17" s="733"/>
      <c r="Q17" s="733"/>
      <c r="R17" s="733"/>
      <c r="S17" s="733"/>
      <c r="T17" s="733"/>
      <c r="U17" s="733"/>
      <c r="V17" s="733"/>
      <c r="W17" s="692" t="str">
        <f t="shared" si="25"/>
        <v/>
      </c>
      <c r="X17" s="733"/>
      <c r="Y17" s="733"/>
      <c r="Z17" s="733"/>
      <c r="AA17" s="733"/>
      <c r="AB17" s="733"/>
      <c r="AC17" s="733"/>
      <c r="AD17" s="210">
        <f t="shared" si="26"/>
        <v>0</v>
      </c>
      <c r="AE17" s="191"/>
      <c r="AF17" s="536" t="str">
        <f t="shared" si="2"/>
        <v/>
      </c>
      <c r="AG17" s="536" t="str">
        <f t="shared" si="3"/>
        <v/>
      </c>
      <c r="AH17" s="537" t="str">
        <f t="shared" si="4"/>
        <v/>
      </c>
      <c r="AI17" s="537" t="str">
        <f t="shared" si="5"/>
        <v/>
      </c>
      <c r="AJ17" s="537" t="str">
        <f t="shared" si="6"/>
        <v/>
      </c>
      <c r="AK17" s="538" t="str">
        <f t="shared" si="7"/>
        <v/>
      </c>
      <c r="AL17" s="539" t="str">
        <f t="shared" si="8"/>
        <v/>
      </c>
      <c r="AM17" s="537" t="str">
        <f t="shared" si="9"/>
        <v/>
      </c>
      <c r="AN17" s="537">
        <f t="shared" si="10"/>
        <v>0</v>
      </c>
      <c r="AO17" s="540" t="str">
        <f t="shared" si="11"/>
        <v/>
      </c>
      <c r="AP17" s="537">
        <f t="shared" si="12"/>
        <v>0</v>
      </c>
      <c r="AQ17" s="368">
        <f t="shared" si="13"/>
        <v>0</v>
      </c>
      <c r="AR17" s="368">
        <f t="shared" si="14"/>
        <v>0</v>
      </c>
      <c r="AS17" s="368">
        <f t="shared" si="15"/>
        <v>0</v>
      </c>
      <c r="AT17" s="368">
        <f t="shared" si="16"/>
        <v>0</v>
      </c>
      <c r="AU17" s="368">
        <f t="shared" si="17"/>
        <v>0</v>
      </c>
      <c r="AV17" s="368">
        <f t="shared" si="18"/>
        <v>0</v>
      </c>
      <c r="AW17" s="368">
        <f t="shared" si="19"/>
        <v>0</v>
      </c>
      <c r="AX17" s="368">
        <f t="shared" si="20"/>
        <v>0</v>
      </c>
      <c r="AY17" s="368">
        <f t="shared" si="21"/>
        <v>0</v>
      </c>
      <c r="AZ17" s="368">
        <f t="shared" si="22"/>
        <v>0</v>
      </c>
      <c r="BA17" s="368">
        <f t="shared" si="23"/>
        <v>0</v>
      </c>
      <c r="BB17" s="368">
        <f t="shared" si="24"/>
        <v>0</v>
      </c>
    </row>
    <row r="18" spans="1:54" ht="17.399999999999999">
      <c r="A18" s="729"/>
      <c r="B18" s="409"/>
      <c r="C18" s="592"/>
      <c r="D18" s="592"/>
      <c r="E18" s="592"/>
      <c r="F18" s="409"/>
      <c r="G18" s="409"/>
      <c r="H18" s="1282"/>
      <c r="I18" s="1203"/>
      <c r="J18" s="1383" t="str">
        <f t="shared" si="1"/>
        <v/>
      </c>
      <c r="K18" s="733"/>
      <c r="L18" s="733"/>
      <c r="M18" s="733"/>
      <c r="N18" s="733"/>
      <c r="O18" s="733"/>
      <c r="P18" s="733"/>
      <c r="Q18" s="733"/>
      <c r="R18" s="733"/>
      <c r="S18" s="733"/>
      <c r="T18" s="733"/>
      <c r="U18" s="733"/>
      <c r="V18" s="733"/>
      <c r="W18" s="692" t="str">
        <f t="shared" si="25"/>
        <v/>
      </c>
      <c r="X18" s="733"/>
      <c r="Y18" s="733"/>
      <c r="Z18" s="733"/>
      <c r="AA18" s="733"/>
      <c r="AB18" s="733"/>
      <c r="AC18" s="733"/>
      <c r="AD18" s="210">
        <f t="shared" si="26"/>
        <v>0</v>
      </c>
      <c r="AE18" s="191"/>
      <c r="AF18" s="536" t="str">
        <f t="shared" si="2"/>
        <v/>
      </c>
      <c r="AG18" s="536" t="str">
        <f t="shared" si="3"/>
        <v/>
      </c>
      <c r="AH18" s="537" t="str">
        <f t="shared" si="4"/>
        <v/>
      </c>
      <c r="AI18" s="537" t="str">
        <f t="shared" si="5"/>
        <v/>
      </c>
      <c r="AJ18" s="537" t="str">
        <f t="shared" si="6"/>
        <v/>
      </c>
      <c r="AK18" s="538" t="str">
        <f t="shared" si="7"/>
        <v/>
      </c>
      <c r="AL18" s="539" t="str">
        <f t="shared" si="8"/>
        <v/>
      </c>
      <c r="AM18" s="537" t="str">
        <f t="shared" si="9"/>
        <v/>
      </c>
      <c r="AN18" s="537">
        <f t="shared" si="10"/>
        <v>0</v>
      </c>
      <c r="AO18" s="540" t="str">
        <f t="shared" si="11"/>
        <v/>
      </c>
      <c r="AP18" s="537">
        <f t="shared" si="12"/>
        <v>0</v>
      </c>
      <c r="AQ18" s="368">
        <f t="shared" si="13"/>
        <v>0</v>
      </c>
      <c r="AR18" s="368">
        <f t="shared" si="14"/>
        <v>0</v>
      </c>
      <c r="AS18" s="368">
        <f t="shared" si="15"/>
        <v>0</v>
      </c>
      <c r="AT18" s="368">
        <f t="shared" si="16"/>
        <v>0</v>
      </c>
      <c r="AU18" s="368">
        <f t="shared" si="17"/>
        <v>0</v>
      </c>
      <c r="AV18" s="368">
        <f t="shared" si="18"/>
        <v>0</v>
      </c>
      <c r="AW18" s="368">
        <f t="shared" si="19"/>
        <v>0</v>
      </c>
      <c r="AX18" s="368">
        <f t="shared" si="20"/>
        <v>0</v>
      </c>
      <c r="AY18" s="368">
        <f t="shared" si="21"/>
        <v>0</v>
      </c>
      <c r="AZ18" s="368">
        <f t="shared" si="22"/>
        <v>0</v>
      </c>
      <c r="BA18" s="368">
        <f t="shared" si="23"/>
        <v>0</v>
      </c>
      <c r="BB18" s="368">
        <f t="shared" si="24"/>
        <v>0</v>
      </c>
    </row>
    <row r="19" spans="1:54" ht="17.399999999999999">
      <c r="A19" s="729"/>
      <c r="B19" s="409"/>
      <c r="C19" s="592"/>
      <c r="D19" s="592"/>
      <c r="E19" s="592"/>
      <c r="F19" s="409"/>
      <c r="G19" s="409"/>
      <c r="H19" s="1282"/>
      <c r="I19" s="1203"/>
      <c r="J19" s="1383" t="str">
        <f t="shared" si="1"/>
        <v/>
      </c>
      <c r="K19" s="733"/>
      <c r="L19" s="733"/>
      <c r="M19" s="733"/>
      <c r="N19" s="733"/>
      <c r="O19" s="733"/>
      <c r="P19" s="733"/>
      <c r="Q19" s="733"/>
      <c r="R19" s="733"/>
      <c r="S19" s="733"/>
      <c r="T19" s="733"/>
      <c r="U19" s="733"/>
      <c r="V19" s="733"/>
      <c r="W19" s="692" t="str">
        <f t="shared" si="25"/>
        <v/>
      </c>
      <c r="X19" s="733"/>
      <c r="Y19" s="733"/>
      <c r="Z19" s="733"/>
      <c r="AA19" s="733"/>
      <c r="AB19" s="733"/>
      <c r="AC19" s="733"/>
      <c r="AD19" s="210">
        <f t="shared" si="26"/>
        <v>0</v>
      </c>
      <c r="AE19" s="191"/>
      <c r="AF19" s="536" t="str">
        <f t="shared" si="2"/>
        <v/>
      </c>
      <c r="AG19" s="536" t="str">
        <f t="shared" si="3"/>
        <v/>
      </c>
      <c r="AH19" s="537" t="str">
        <f t="shared" si="4"/>
        <v/>
      </c>
      <c r="AI19" s="537" t="str">
        <f t="shared" si="5"/>
        <v/>
      </c>
      <c r="AJ19" s="537" t="str">
        <f t="shared" si="6"/>
        <v/>
      </c>
      <c r="AK19" s="538" t="str">
        <f t="shared" si="7"/>
        <v/>
      </c>
      <c r="AL19" s="539" t="str">
        <f t="shared" si="8"/>
        <v/>
      </c>
      <c r="AM19" s="537" t="str">
        <f t="shared" si="9"/>
        <v/>
      </c>
      <c r="AN19" s="537">
        <f t="shared" si="10"/>
        <v>0</v>
      </c>
      <c r="AO19" s="540" t="str">
        <f t="shared" si="11"/>
        <v/>
      </c>
      <c r="AP19" s="537">
        <f t="shared" si="12"/>
        <v>0</v>
      </c>
      <c r="AQ19" s="368">
        <f t="shared" si="13"/>
        <v>0</v>
      </c>
      <c r="AR19" s="368">
        <f t="shared" si="14"/>
        <v>0</v>
      </c>
      <c r="AS19" s="368">
        <f t="shared" si="15"/>
        <v>0</v>
      </c>
      <c r="AT19" s="368">
        <f t="shared" si="16"/>
        <v>0</v>
      </c>
      <c r="AU19" s="368">
        <f t="shared" si="17"/>
        <v>0</v>
      </c>
      <c r="AV19" s="368">
        <f t="shared" si="18"/>
        <v>0</v>
      </c>
      <c r="AW19" s="368">
        <f t="shared" si="19"/>
        <v>0</v>
      </c>
      <c r="AX19" s="368">
        <f t="shared" si="20"/>
        <v>0</v>
      </c>
      <c r="AY19" s="368">
        <f t="shared" si="21"/>
        <v>0</v>
      </c>
      <c r="AZ19" s="368">
        <f t="shared" si="22"/>
        <v>0</v>
      </c>
      <c r="BA19" s="368">
        <f t="shared" si="23"/>
        <v>0</v>
      </c>
      <c r="BB19" s="368">
        <f t="shared" si="24"/>
        <v>0</v>
      </c>
    </row>
    <row r="20" spans="1:54" ht="17.399999999999999">
      <c r="A20" s="729"/>
      <c r="B20" s="409"/>
      <c r="C20" s="592"/>
      <c r="D20" s="592"/>
      <c r="E20" s="592"/>
      <c r="F20" s="409"/>
      <c r="G20" s="409"/>
      <c r="H20" s="1282"/>
      <c r="I20" s="1203"/>
      <c r="J20" s="1383" t="str">
        <f t="shared" si="1"/>
        <v/>
      </c>
      <c r="K20" s="733"/>
      <c r="L20" s="733"/>
      <c r="M20" s="733"/>
      <c r="N20" s="733"/>
      <c r="O20" s="733"/>
      <c r="P20" s="733"/>
      <c r="Q20" s="733"/>
      <c r="R20" s="733"/>
      <c r="S20" s="733"/>
      <c r="T20" s="733"/>
      <c r="U20" s="733"/>
      <c r="V20" s="733"/>
      <c r="W20" s="692" t="str">
        <f t="shared" si="25"/>
        <v/>
      </c>
      <c r="X20" s="733"/>
      <c r="Y20" s="733"/>
      <c r="Z20" s="733"/>
      <c r="AA20" s="733"/>
      <c r="AB20" s="733"/>
      <c r="AC20" s="733"/>
      <c r="AD20" s="210">
        <f t="shared" si="26"/>
        <v>0</v>
      </c>
      <c r="AE20" s="191"/>
      <c r="AF20" s="536" t="str">
        <f t="shared" si="2"/>
        <v/>
      </c>
      <c r="AG20" s="536" t="str">
        <f t="shared" si="3"/>
        <v/>
      </c>
      <c r="AH20" s="537" t="str">
        <f t="shared" si="4"/>
        <v/>
      </c>
      <c r="AI20" s="537" t="str">
        <f t="shared" si="5"/>
        <v/>
      </c>
      <c r="AJ20" s="537" t="str">
        <f t="shared" si="6"/>
        <v/>
      </c>
      <c r="AK20" s="538" t="str">
        <f t="shared" si="7"/>
        <v/>
      </c>
      <c r="AL20" s="539" t="str">
        <f t="shared" si="8"/>
        <v/>
      </c>
      <c r="AM20" s="537" t="str">
        <f t="shared" si="9"/>
        <v/>
      </c>
      <c r="AN20" s="537">
        <f t="shared" si="10"/>
        <v>0</v>
      </c>
      <c r="AO20" s="540" t="str">
        <f t="shared" si="11"/>
        <v/>
      </c>
      <c r="AP20" s="537">
        <f t="shared" si="12"/>
        <v>0</v>
      </c>
      <c r="AQ20" s="368">
        <f t="shared" si="13"/>
        <v>0</v>
      </c>
      <c r="AR20" s="368">
        <f t="shared" si="14"/>
        <v>0</v>
      </c>
      <c r="AS20" s="368">
        <f t="shared" si="15"/>
        <v>0</v>
      </c>
      <c r="AT20" s="368">
        <f t="shared" si="16"/>
        <v>0</v>
      </c>
      <c r="AU20" s="368">
        <f t="shared" si="17"/>
        <v>0</v>
      </c>
      <c r="AV20" s="368">
        <f t="shared" si="18"/>
        <v>0</v>
      </c>
      <c r="AW20" s="368">
        <f t="shared" si="19"/>
        <v>0</v>
      </c>
      <c r="AX20" s="368">
        <f t="shared" si="20"/>
        <v>0</v>
      </c>
      <c r="AY20" s="368">
        <f t="shared" si="21"/>
        <v>0</v>
      </c>
      <c r="AZ20" s="368">
        <f t="shared" si="22"/>
        <v>0</v>
      </c>
      <c r="BA20" s="368">
        <f t="shared" si="23"/>
        <v>0</v>
      </c>
      <c r="BB20" s="368">
        <f t="shared" si="24"/>
        <v>0</v>
      </c>
    </row>
    <row r="21" spans="1:54" ht="17.399999999999999">
      <c r="A21" s="729"/>
      <c r="B21" s="409"/>
      <c r="C21" s="592"/>
      <c r="D21" s="592"/>
      <c r="E21" s="592"/>
      <c r="F21" s="409"/>
      <c r="G21" s="409"/>
      <c r="H21" s="1282"/>
      <c r="I21" s="1203"/>
      <c r="J21" s="1383" t="str">
        <f t="shared" si="1"/>
        <v/>
      </c>
      <c r="K21" s="733"/>
      <c r="L21" s="733"/>
      <c r="M21" s="733"/>
      <c r="N21" s="733"/>
      <c r="O21" s="733"/>
      <c r="P21" s="733"/>
      <c r="Q21" s="733"/>
      <c r="R21" s="733"/>
      <c r="S21" s="733"/>
      <c r="T21" s="733"/>
      <c r="U21" s="733"/>
      <c r="V21" s="733"/>
      <c r="W21" s="692" t="str">
        <f t="shared" si="25"/>
        <v/>
      </c>
      <c r="X21" s="733"/>
      <c r="Y21" s="733"/>
      <c r="Z21" s="733"/>
      <c r="AA21" s="733"/>
      <c r="AB21" s="733"/>
      <c r="AC21" s="733"/>
      <c r="AD21" s="210">
        <f t="shared" si="26"/>
        <v>0</v>
      </c>
      <c r="AE21" s="191"/>
      <c r="AF21" s="536" t="str">
        <f t="shared" si="2"/>
        <v/>
      </c>
      <c r="AG21" s="536" t="str">
        <f t="shared" si="3"/>
        <v/>
      </c>
      <c r="AH21" s="537" t="str">
        <f t="shared" si="4"/>
        <v/>
      </c>
      <c r="AI21" s="537" t="str">
        <f t="shared" si="5"/>
        <v/>
      </c>
      <c r="AJ21" s="537" t="str">
        <f t="shared" si="6"/>
        <v/>
      </c>
      <c r="AK21" s="538" t="str">
        <f t="shared" si="7"/>
        <v/>
      </c>
      <c r="AL21" s="539" t="str">
        <f t="shared" si="8"/>
        <v/>
      </c>
      <c r="AM21" s="537" t="str">
        <f t="shared" si="9"/>
        <v/>
      </c>
      <c r="AN21" s="537">
        <f t="shared" si="10"/>
        <v>0</v>
      </c>
      <c r="AO21" s="540" t="str">
        <f t="shared" si="11"/>
        <v/>
      </c>
      <c r="AP21" s="537">
        <f t="shared" si="12"/>
        <v>0</v>
      </c>
      <c r="AQ21" s="368">
        <f t="shared" si="13"/>
        <v>0</v>
      </c>
      <c r="AR21" s="368">
        <f t="shared" si="14"/>
        <v>0</v>
      </c>
      <c r="AS21" s="368">
        <f t="shared" si="15"/>
        <v>0</v>
      </c>
      <c r="AT21" s="368">
        <f t="shared" si="16"/>
        <v>0</v>
      </c>
      <c r="AU21" s="368">
        <f t="shared" si="17"/>
        <v>0</v>
      </c>
      <c r="AV21" s="368">
        <f t="shared" si="18"/>
        <v>0</v>
      </c>
      <c r="AW21" s="368">
        <f t="shared" si="19"/>
        <v>0</v>
      </c>
      <c r="AX21" s="368">
        <f t="shared" si="20"/>
        <v>0</v>
      </c>
      <c r="AY21" s="368">
        <f t="shared" si="21"/>
        <v>0</v>
      </c>
      <c r="AZ21" s="368">
        <f t="shared" si="22"/>
        <v>0</v>
      </c>
      <c r="BA21" s="368">
        <f t="shared" si="23"/>
        <v>0</v>
      </c>
      <c r="BB21" s="368">
        <f t="shared" si="24"/>
        <v>0</v>
      </c>
    </row>
    <row r="22" spans="1:54" ht="17.399999999999999">
      <c r="A22" s="729"/>
      <c r="B22" s="409"/>
      <c r="C22" s="592"/>
      <c r="D22" s="592"/>
      <c r="E22" s="592"/>
      <c r="F22" s="409"/>
      <c r="G22" s="409"/>
      <c r="H22" s="1282"/>
      <c r="I22" s="1203"/>
      <c r="J22" s="1383" t="str">
        <f t="shared" si="1"/>
        <v/>
      </c>
      <c r="K22" s="733"/>
      <c r="L22" s="733"/>
      <c r="M22" s="733"/>
      <c r="N22" s="733"/>
      <c r="O22" s="733"/>
      <c r="P22" s="733"/>
      <c r="Q22" s="733"/>
      <c r="R22" s="733"/>
      <c r="S22" s="733"/>
      <c r="T22" s="733"/>
      <c r="U22" s="733"/>
      <c r="V22" s="733"/>
      <c r="W22" s="692" t="str">
        <f t="shared" si="25"/>
        <v/>
      </c>
      <c r="X22" s="733"/>
      <c r="Y22" s="733"/>
      <c r="Z22" s="733"/>
      <c r="AA22" s="733"/>
      <c r="AB22" s="733"/>
      <c r="AC22" s="733"/>
      <c r="AD22" s="210">
        <f t="shared" si="26"/>
        <v>0</v>
      </c>
      <c r="AE22" s="191"/>
      <c r="AF22" s="536" t="str">
        <f t="shared" si="2"/>
        <v/>
      </c>
      <c r="AG22" s="536" t="str">
        <f t="shared" si="3"/>
        <v/>
      </c>
      <c r="AH22" s="537" t="str">
        <f t="shared" si="4"/>
        <v/>
      </c>
      <c r="AI22" s="537" t="str">
        <f t="shared" si="5"/>
        <v/>
      </c>
      <c r="AJ22" s="537" t="str">
        <f t="shared" si="6"/>
        <v/>
      </c>
      <c r="AK22" s="538" t="str">
        <f t="shared" si="7"/>
        <v/>
      </c>
      <c r="AL22" s="539" t="str">
        <f t="shared" si="8"/>
        <v/>
      </c>
      <c r="AM22" s="537" t="str">
        <f t="shared" si="9"/>
        <v/>
      </c>
      <c r="AN22" s="537">
        <f t="shared" si="10"/>
        <v>0</v>
      </c>
      <c r="AO22" s="540" t="str">
        <f t="shared" si="11"/>
        <v/>
      </c>
      <c r="AP22" s="537">
        <f t="shared" si="12"/>
        <v>0</v>
      </c>
      <c r="AQ22" s="368">
        <f t="shared" si="13"/>
        <v>0</v>
      </c>
      <c r="AR22" s="368">
        <f t="shared" si="14"/>
        <v>0</v>
      </c>
      <c r="AS22" s="368">
        <f t="shared" si="15"/>
        <v>0</v>
      </c>
      <c r="AT22" s="368">
        <f t="shared" si="16"/>
        <v>0</v>
      </c>
      <c r="AU22" s="368">
        <f t="shared" si="17"/>
        <v>0</v>
      </c>
      <c r="AV22" s="368">
        <f t="shared" si="18"/>
        <v>0</v>
      </c>
      <c r="AW22" s="368">
        <f t="shared" si="19"/>
        <v>0</v>
      </c>
      <c r="AX22" s="368">
        <f t="shared" si="20"/>
        <v>0</v>
      </c>
      <c r="AY22" s="368">
        <f t="shared" si="21"/>
        <v>0</v>
      </c>
      <c r="AZ22" s="368">
        <f t="shared" si="22"/>
        <v>0</v>
      </c>
      <c r="BA22" s="368">
        <f t="shared" si="23"/>
        <v>0</v>
      </c>
      <c r="BB22" s="368">
        <f t="shared" si="24"/>
        <v>0</v>
      </c>
    </row>
    <row r="23" spans="1:54" ht="17.399999999999999">
      <c r="A23" s="729"/>
      <c r="B23" s="409"/>
      <c r="C23" s="592"/>
      <c r="D23" s="592"/>
      <c r="E23" s="592"/>
      <c r="F23" s="409"/>
      <c r="G23" s="409"/>
      <c r="H23" s="1282"/>
      <c r="I23" s="1203"/>
      <c r="J23" s="1383" t="str">
        <f t="shared" si="1"/>
        <v/>
      </c>
      <c r="K23" s="251"/>
      <c r="L23" s="251"/>
      <c r="M23" s="251"/>
      <c r="N23" s="251"/>
      <c r="O23" s="251"/>
      <c r="P23" s="251"/>
      <c r="Q23" s="251"/>
      <c r="R23" s="251"/>
      <c r="S23" s="251"/>
      <c r="T23" s="251"/>
      <c r="U23" s="251"/>
      <c r="V23" s="733"/>
      <c r="W23" s="692" t="str">
        <f t="shared" si="25"/>
        <v/>
      </c>
      <c r="X23" s="251"/>
      <c r="Y23" s="251"/>
      <c r="Z23" s="251"/>
      <c r="AA23" s="251"/>
      <c r="AB23" s="251"/>
      <c r="AC23" s="251"/>
      <c r="AD23" s="210">
        <f t="shared" si="26"/>
        <v>0</v>
      </c>
      <c r="AE23" s="191"/>
      <c r="AF23" s="536" t="str">
        <f t="shared" si="2"/>
        <v/>
      </c>
      <c r="AG23" s="536" t="str">
        <f t="shared" si="3"/>
        <v/>
      </c>
      <c r="AH23" s="537" t="str">
        <f t="shared" si="4"/>
        <v/>
      </c>
      <c r="AI23" s="537" t="str">
        <f t="shared" si="5"/>
        <v/>
      </c>
      <c r="AJ23" s="537" t="str">
        <f t="shared" si="6"/>
        <v/>
      </c>
      <c r="AK23" s="538" t="str">
        <f t="shared" si="7"/>
        <v/>
      </c>
      <c r="AL23" s="539" t="str">
        <f t="shared" si="8"/>
        <v/>
      </c>
      <c r="AM23" s="537" t="str">
        <f t="shared" si="9"/>
        <v/>
      </c>
      <c r="AN23" s="537">
        <f t="shared" si="10"/>
        <v>0</v>
      </c>
      <c r="AO23" s="540" t="str">
        <f t="shared" si="11"/>
        <v/>
      </c>
      <c r="AP23" s="537">
        <f t="shared" si="12"/>
        <v>0</v>
      </c>
      <c r="AQ23" s="368">
        <f t="shared" ref="AQ23:BB23" si="27">IF($B23=0,0,IF($I23=12,1,IF(K23&gt;0.4,K23,0)))</f>
        <v>0</v>
      </c>
      <c r="AR23" s="368">
        <f t="shared" si="27"/>
        <v>0</v>
      </c>
      <c r="AS23" s="368">
        <f t="shared" si="27"/>
        <v>0</v>
      </c>
      <c r="AT23" s="368">
        <f t="shared" si="27"/>
        <v>0</v>
      </c>
      <c r="AU23" s="368">
        <f t="shared" si="27"/>
        <v>0</v>
      </c>
      <c r="AV23" s="368">
        <f t="shared" si="27"/>
        <v>0</v>
      </c>
      <c r="AW23" s="368">
        <f t="shared" si="27"/>
        <v>0</v>
      </c>
      <c r="AX23" s="368">
        <f t="shared" si="27"/>
        <v>0</v>
      </c>
      <c r="AY23" s="368">
        <f t="shared" si="27"/>
        <v>0</v>
      </c>
      <c r="AZ23" s="368">
        <f t="shared" si="27"/>
        <v>0</v>
      </c>
      <c r="BA23" s="368">
        <f t="shared" si="27"/>
        <v>0</v>
      </c>
      <c r="BB23" s="368">
        <f t="shared" si="27"/>
        <v>0</v>
      </c>
    </row>
    <row r="24" spans="1:54" ht="17.399999999999999">
      <c r="A24" s="31"/>
      <c r="B24" s="643">
        <f>SUM(B7:B22)</f>
        <v>1600</v>
      </c>
      <c r="C24" s="209"/>
      <c r="D24" s="209"/>
      <c r="E24" s="374"/>
      <c r="F24" s="15"/>
      <c r="K24" s="191"/>
      <c r="L24" s="191"/>
      <c r="M24" s="191"/>
      <c r="N24" s="191"/>
      <c r="O24" s="191"/>
      <c r="P24" s="191"/>
      <c r="Q24" s="191"/>
      <c r="R24" s="191"/>
      <c r="S24" s="191"/>
      <c r="T24" s="191"/>
      <c r="U24" s="191"/>
      <c r="V24" s="191"/>
      <c r="W24" s="191"/>
      <c r="X24" s="191"/>
      <c r="Y24" s="191"/>
      <c r="Z24" s="191"/>
      <c r="AA24" s="191"/>
      <c r="AB24" s="191"/>
      <c r="AC24" s="191"/>
      <c r="AD24" s="211"/>
      <c r="AE24" s="191"/>
      <c r="AF24" s="542"/>
      <c r="AG24" s="543"/>
      <c r="AH24" s="58"/>
      <c r="AI24" s="544"/>
      <c r="AJ24" s="544"/>
      <c r="AK24" s="80"/>
      <c r="AL24" s="80"/>
      <c r="AM24" s="78"/>
      <c r="AN24" s="78"/>
      <c r="AO24" s="78"/>
      <c r="AP24" s="78"/>
    </row>
    <row r="25" spans="1:54">
      <c r="G25" s="79"/>
      <c r="H25" s="79"/>
      <c r="I25" s="79"/>
      <c r="J25" s="79"/>
      <c r="K25" s="3"/>
      <c r="L25" s="3"/>
      <c r="M25" s="3"/>
      <c r="N25" s="3"/>
      <c r="O25" s="3"/>
      <c r="AM25" s="3"/>
      <c r="AN25" s="3"/>
      <c r="AO25" s="3"/>
      <c r="AP25" s="3"/>
      <c r="AQ25" s="3"/>
      <c r="AR25" s="3"/>
      <c r="AS25" s="3"/>
      <c r="AT25" s="3"/>
      <c r="AU25" s="3"/>
      <c r="AV25" s="3"/>
    </row>
    <row r="26" spans="1:54">
      <c r="K26" s="3"/>
      <c r="L26" s="3"/>
      <c r="M26" s="3"/>
      <c r="N26" s="3"/>
      <c r="O26" s="3"/>
      <c r="AM26" s="3"/>
      <c r="AN26" s="3"/>
      <c r="AO26" s="3"/>
      <c r="AP26" s="3"/>
      <c r="AQ26" s="3"/>
      <c r="AR26" s="3"/>
      <c r="AS26" s="3"/>
      <c r="AT26" s="3"/>
      <c r="AU26" s="3"/>
      <c r="AV26" s="3"/>
    </row>
    <row r="27" spans="1:54">
      <c r="K27" s="3"/>
      <c r="L27" s="3"/>
      <c r="M27" s="3"/>
      <c r="N27" s="3"/>
      <c r="O27" s="3"/>
      <c r="AM27" s="3"/>
      <c r="AN27" s="3"/>
      <c r="AO27" s="3"/>
      <c r="AP27" s="3"/>
      <c r="AQ27" s="3"/>
      <c r="AR27" s="3"/>
      <c r="AS27" s="3"/>
      <c r="AT27" s="3"/>
      <c r="AU27" s="3"/>
      <c r="AV27" s="3"/>
    </row>
    <row r="28" spans="1:54">
      <c r="G28" s="3"/>
      <c r="H28" s="3"/>
      <c r="I28" s="3"/>
      <c r="J28" s="3"/>
      <c r="K28" s="3"/>
      <c r="L28" s="3"/>
      <c r="M28" s="3"/>
      <c r="N28" s="3"/>
      <c r="O28" s="3"/>
      <c r="AM28" s="3"/>
      <c r="AN28" s="3"/>
      <c r="AO28" s="3"/>
      <c r="AP28" s="3"/>
      <c r="AQ28" s="3"/>
      <c r="AR28" s="3"/>
      <c r="AS28" s="3"/>
      <c r="AT28" s="3"/>
      <c r="AU28" s="3"/>
      <c r="AV28" s="3"/>
    </row>
    <row r="29" spans="1:54">
      <c r="G29" s="3"/>
      <c r="H29" s="3"/>
      <c r="I29" s="3"/>
      <c r="J29" s="3"/>
      <c r="K29" s="3"/>
      <c r="L29" s="3"/>
      <c r="M29" s="3"/>
      <c r="N29" s="3"/>
      <c r="O29" s="3"/>
      <c r="AM29" s="3"/>
      <c r="AN29" s="3"/>
      <c r="AO29" s="3"/>
      <c r="AP29" s="3"/>
      <c r="AQ29" s="3"/>
      <c r="AR29" s="3"/>
      <c r="AS29" s="3"/>
      <c r="AT29" s="3"/>
      <c r="AU29" s="3"/>
      <c r="AV29" s="3"/>
    </row>
    <row r="30" spans="1:54">
      <c r="G30" s="3"/>
      <c r="H30" s="3"/>
      <c r="I30" s="3"/>
      <c r="J30" s="3"/>
      <c r="K30" s="3"/>
      <c r="L30" s="3"/>
      <c r="M30" s="3"/>
      <c r="N30" s="3"/>
      <c r="O30" s="3"/>
      <c r="AM30" s="3"/>
      <c r="AN30" s="3"/>
      <c r="AO30" s="3"/>
      <c r="AP30" s="3"/>
      <c r="AQ30" s="3"/>
      <c r="AR30" s="3"/>
      <c r="AS30" s="3"/>
      <c r="AT30" s="3"/>
      <c r="AU30" s="3"/>
      <c r="AV30" s="3"/>
    </row>
    <row r="31" spans="1:54">
      <c r="G31" s="3"/>
      <c r="H31" s="3"/>
      <c r="I31" s="3"/>
      <c r="J31" s="3"/>
      <c r="K31" s="3"/>
      <c r="L31" s="3"/>
      <c r="M31" s="3"/>
      <c r="N31" s="3"/>
      <c r="O31" s="3"/>
      <c r="AM31" s="3"/>
      <c r="AN31" s="3"/>
      <c r="AO31" s="3"/>
      <c r="AP31" s="3"/>
      <c r="AQ31" s="3"/>
      <c r="AR31" s="3"/>
      <c r="AS31" s="3"/>
      <c r="AT31" s="3"/>
      <c r="AU31" s="3"/>
      <c r="AV31" s="3"/>
    </row>
    <row r="32" spans="1:54">
      <c r="G32" s="3"/>
      <c r="H32" s="3"/>
      <c r="I32" s="3"/>
      <c r="J32" s="3"/>
      <c r="K32" s="3"/>
      <c r="L32" s="3"/>
      <c r="M32" s="3"/>
      <c r="N32" s="3"/>
      <c r="O32" s="3"/>
      <c r="AM32" s="3"/>
      <c r="AN32" s="3"/>
      <c r="AO32" s="3"/>
      <c r="AP32" s="3"/>
      <c r="AQ32" s="3"/>
      <c r="AR32" s="3"/>
      <c r="AS32" s="3"/>
      <c r="AT32" s="3"/>
      <c r="AU32" s="3"/>
      <c r="AV32" s="3"/>
    </row>
    <row r="33" spans="1:48">
      <c r="G33" s="3"/>
      <c r="H33" s="3"/>
      <c r="I33" s="3"/>
      <c r="J33" s="3"/>
      <c r="K33" s="3"/>
      <c r="L33" s="3"/>
      <c r="M33" s="3"/>
      <c r="N33" s="3"/>
      <c r="O33" s="3"/>
      <c r="AM33" s="3"/>
      <c r="AN33" s="3"/>
      <c r="AO33" s="3"/>
      <c r="AP33" s="3"/>
      <c r="AQ33" s="3"/>
      <c r="AR33" s="3"/>
      <c r="AS33" s="3"/>
      <c r="AT33" s="3"/>
      <c r="AU33" s="3"/>
      <c r="AV33" s="3"/>
    </row>
    <row r="34" spans="1:48">
      <c r="A34"/>
      <c r="B34"/>
      <c r="C34"/>
      <c r="D34"/>
      <c r="E34"/>
      <c r="F34"/>
      <c r="G34" s="3"/>
      <c r="H34" s="3"/>
      <c r="I34" s="3"/>
      <c r="J34" s="3"/>
      <c r="K34" s="3"/>
      <c r="L34" s="3"/>
      <c r="M34" s="3"/>
      <c r="N34" s="3"/>
      <c r="O34" s="3"/>
      <c r="AM34" s="3"/>
      <c r="AN34" s="3"/>
      <c r="AO34" s="3"/>
      <c r="AP34" s="3"/>
      <c r="AQ34" s="3"/>
      <c r="AR34" s="3"/>
      <c r="AS34" s="3"/>
      <c r="AT34" s="3"/>
      <c r="AU34" s="3"/>
      <c r="AV34" s="3"/>
    </row>
    <row r="35" spans="1:48">
      <c r="A35"/>
      <c r="B35"/>
      <c r="C35"/>
      <c r="D35"/>
      <c r="E35"/>
      <c r="F35"/>
      <c r="G35" s="3"/>
      <c r="H35" s="3"/>
      <c r="I35" s="3"/>
      <c r="J35" s="3"/>
      <c r="K35" s="3"/>
      <c r="L35" s="3"/>
      <c r="M35" s="3"/>
      <c r="N35" s="3"/>
      <c r="O35" s="3"/>
      <c r="AM35" s="3"/>
      <c r="AN35" s="3"/>
      <c r="AO35" s="3"/>
      <c r="AP35" s="3"/>
      <c r="AQ35" s="3"/>
      <c r="AR35" s="3"/>
      <c r="AS35" s="3"/>
      <c r="AT35" s="3"/>
      <c r="AU35" s="3"/>
      <c r="AV35" s="3"/>
    </row>
    <row r="36" spans="1:48">
      <c r="A36"/>
      <c r="B36"/>
      <c r="C36"/>
      <c r="D36"/>
      <c r="E36"/>
      <c r="F36"/>
      <c r="G36" s="3"/>
      <c r="H36" s="3"/>
      <c r="I36" s="3"/>
      <c r="J36" s="3"/>
      <c r="K36" s="3"/>
      <c r="L36" s="3"/>
      <c r="M36" s="3"/>
      <c r="N36" s="3"/>
      <c r="O36" s="3"/>
      <c r="AM36" s="3"/>
      <c r="AN36" s="3"/>
      <c r="AO36" s="3"/>
      <c r="AP36" s="3"/>
      <c r="AQ36" s="3"/>
      <c r="AR36" s="3"/>
      <c r="AS36" s="3"/>
      <c r="AT36" s="3"/>
      <c r="AU36" s="3"/>
      <c r="AV36" s="3"/>
    </row>
    <row r="37" spans="1:48">
      <c r="A37"/>
      <c r="B37"/>
      <c r="C37"/>
      <c r="D37"/>
      <c r="E37"/>
      <c r="F37"/>
      <c r="G37" s="3"/>
      <c r="H37" s="3"/>
      <c r="I37" s="3"/>
      <c r="J37" s="3"/>
      <c r="K37" s="3"/>
      <c r="L37" s="3"/>
      <c r="M37" s="3"/>
      <c r="N37" s="3"/>
      <c r="O37" s="3"/>
      <c r="AM37" s="3"/>
      <c r="AN37" s="3"/>
      <c r="AO37" s="3"/>
      <c r="AP37" s="3"/>
      <c r="AQ37" s="3"/>
      <c r="AR37" s="3"/>
      <c r="AS37" s="3"/>
      <c r="AT37" s="3"/>
      <c r="AU37" s="3"/>
      <c r="AV37" s="3"/>
    </row>
    <row r="38" spans="1:48">
      <c r="A38"/>
      <c r="B38"/>
      <c r="C38"/>
      <c r="D38"/>
      <c r="E38"/>
      <c r="F38"/>
      <c r="G38" s="3"/>
      <c r="H38" s="3"/>
      <c r="I38" s="3"/>
      <c r="J38" s="3"/>
      <c r="K38" s="3"/>
      <c r="L38" s="3"/>
      <c r="M38" s="3"/>
      <c r="N38" s="3"/>
      <c r="O38" s="3"/>
      <c r="AM38" s="3"/>
      <c r="AN38" s="3"/>
      <c r="AO38" s="3"/>
      <c r="AP38" s="3"/>
      <c r="AQ38" s="3"/>
      <c r="AR38" s="3"/>
      <c r="AS38" s="3"/>
      <c r="AT38" s="3"/>
      <c r="AU38" s="3"/>
      <c r="AV38" s="3"/>
    </row>
    <row r="39" spans="1:48">
      <c r="A39"/>
      <c r="B39"/>
      <c r="C39"/>
      <c r="D39"/>
      <c r="E39"/>
      <c r="F39"/>
      <c r="G39" s="3"/>
      <c r="H39" s="3"/>
      <c r="I39" s="3"/>
      <c r="J39" s="3"/>
      <c r="K39" s="3"/>
      <c r="L39" s="3"/>
      <c r="M39" s="3"/>
      <c r="N39" s="3"/>
      <c r="O39" s="3"/>
      <c r="AM39" s="3"/>
      <c r="AN39" s="3"/>
      <c r="AO39" s="3"/>
      <c r="AP39" s="3"/>
      <c r="AQ39" s="3"/>
      <c r="AR39" s="3"/>
      <c r="AS39" s="3"/>
      <c r="AT39" s="3"/>
      <c r="AU39" s="3"/>
      <c r="AV39" s="3"/>
    </row>
    <row r="40" spans="1:48">
      <c r="A40"/>
      <c r="B40"/>
      <c r="C40"/>
      <c r="D40"/>
      <c r="E40"/>
      <c r="F40"/>
      <c r="G40" s="3"/>
      <c r="H40" s="3"/>
      <c r="I40" s="3"/>
      <c r="J40" s="3"/>
      <c r="K40" s="3"/>
      <c r="L40" s="3"/>
      <c r="M40" s="3"/>
      <c r="N40" s="3"/>
      <c r="O40" s="3"/>
      <c r="AM40" s="3"/>
      <c r="AN40" s="3"/>
      <c r="AO40" s="3"/>
      <c r="AP40" s="3"/>
      <c r="AQ40" s="3"/>
      <c r="AR40" s="3"/>
      <c r="AS40" s="3"/>
      <c r="AT40" s="3"/>
      <c r="AU40" s="3"/>
      <c r="AV40" s="3"/>
    </row>
    <row r="41" spans="1:48">
      <c r="A41"/>
      <c r="B41"/>
      <c r="C41"/>
      <c r="D41"/>
      <c r="E41"/>
      <c r="F41"/>
      <c r="G41" s="3"/>
      <c r="H41" s="3"/>
      <c r="I41" s="3"/>
      <c r="J41" s="3"/>
      <c r="K41" s="3"/>
      <c r="L41" s="3"/>
      <c r="M41" s="3"/>
      <c r="N41" s="3"/>
      <c r="O41" s="3"/>
      <c r="AM41" s="3"/>
      <c r="AN41" s="3"/>
      <c r="AO41" s="3"/>
      <c r="AP41" s="3"/>
      <c r="AQ41" s="3"/>
      <c r="AR41" s="3"/>
      <c r="AS41" s="3"/>
      <c r="AT41" s="3"/>
      <c r="AU41" s="3"/>
      <c r="AV41" s="3"/>
    </row>
    <row r="42" spans="1:48">
      <c r="A42"/>
      <c r="B42"/>
      <c r="C42"/>
      <c r="D42"/>
      <c r="E42"/>
      <c r="F42"/>
      <c r="G42" s="3"/>
      <c r="H42" s="3"/>
      <c r="I42" s="3"/>
      <c r="J42" s="3"/>
      <c r="K42" s="3"/>
      <c r="L42" s="3"/>
      <c r="M42" s="3"/>
      <c r="N42" s="3"/>
      <c r="O42" s="3"/>
      <c r="AM42" s="3"/>
      <c r="AN42" s="3"/>
      <c r="AO42" s="3"/>
      <c r="AP42" s="3"/>
      <c r="AQ42" s="3"/>
      <c r="AR42" s="3"/>
      <c r="AS42" s="3"/>
      <c r="AT42" s="3"/>
      <c r="AU42" s="3"/>
      <c r="AV42" s="3"/>
    </row>
    <row r="43" spans="1:48">
      <c r="A43"/>
      <c r="B43"/>
      <c r="C43"/>
      <c r="D43"/>
      <c r="E43"/>
      <c r="F43"/>
      <c r="G43" s="3"/>
      <c r="H43" s="3"/>
      <c r="I43" s="3"/>
      <c r="J43" s="3"/>
      <c r="K43" s="3"/>
      <c r="L43" s="3"/>
      <c r="M43" s="3"/>
      <c r="N43" s="3"/>
      <c r="O43" s="3"/>
      <c r="AM43" s="3"/>
      <c r="AN43" s="3"/>
      <c r="AO43" s="3"/>
      <c r="AP43" s="3"/>
      <c r="AQ43" s="3"/>
      <c r="AR43" s="3"/>
      <c r="AS43" s="3"/>
      <c r="AT43" s="3"/>
      <c r="AU43" s="3"/>
      <c r="AV43" s="3"/>
    </row>
    <row r="44" spans="1:48">
      <c r="A44"/>
      <c r="B44"/>
      <c r="C44"/>
      <c r="D44"/>
      <c r="E44"/>
      <c r="F44"/>
      <c r="G44" s="3"/>
      <c r="H44" s="3"/>
      <c r="I44" s="3"/>
      <c r="J44" s="3"/>
      <c r="K44" s="3"/>
      <c r="L44" s="3"/>
      <c r="M44" s="3"/>
      <c r="N44" s="3"/>
      <c r="O44" s="3"/>
      <c r="AM44" s="3"/>
      <c r="AN44" s="3"/>
      <c r="AO44" s="3"/>
      <c r="AP44" s="3"/>
      <c r="AQ44" s="3"/>
      <c r="AR44" s="3"/>
      <c r="AS44" s="3"/>
      <c r="AT44" s="3"/>
      <c r="AU44" s="3"/>
      <c r="AV44" s="3"/>
    </row>
    <row r="45" spans="1:48">
      <c r="A45"/>
      <c r="B45"/>
      <c r="C45"/>
      <c r="D45"/>
      <c r="E45"/>
      <c r="F45"/>
      <c r="G45" s="3"/>
      <c r="H45" s="3"/>
      <c r="I45" s="3"/>
      <c r="J45" s="3"/>
      <c r="K45" s="3"/>
      <c r="L45" s="3"/>
      <c r="M45" s="3"/>
      <c r="N45" s="3"/>
      <c r="O45" s="3"/>
      <c r="AM45" s="3"/>
      <c r="AN45" s="3"/>
      <c r="AO45" s="3"/>
      <c r="AP45" s="3"/>
      <c r="AQ45" s="3"/>
      <c r="AR45" s="3"/>
      <c r="AS45" s="3"/>
      <c r="AT45" s="3"/>
      <c r="AU45" s="3"/>
      <c r="AV45" s="3"/>
    </row>
    <row r="46" spans="1:48">
      <c r="A46"/>
      <c r="B46"/>
      <c r="C46"/>
      <c r="D46"/>
      <c r="E46"/>
      <c r="F46"/>
      <c r="G46" s="3"/>
      <c r="H46" s="3"/>
      <c r="I46" s="3"/>
      <c r="J46" s="3"/>
      <c r="K46" s="3"/>
      <c r="L46" s="3"/>
      <c r="M46" s="3"/>
      <c r="N46" s="3"/>
      <c r="O46" s="3"/>
      <c r="AM46" s="3"/>
      <c r="AN46" s="3"/>
      <c r="AO46" s="3"/>
      <c r="AP46" s="3"/>
      <c r="AQ46" s="3"/>
      <c r="AR46" s="3"/>
      <c r="AS46" s="3"/>
      <c r="AT46" s="3"/>
      <c r="AU46" s="3"/>
      <c r="AV46" s="3"/>
    </row>
    <row r="47" spans="1:48">
      <c r="A47"/>
      <c r="B47"/>
      <c r="C47"/>
      <c r="D47"/>
      <c r="E47"/>
      <c r="F47"/>
      <c r="G47" s="3"/>
      <c r="H47" s="3"/>
      <c r="I47" s="3"/>
      <c r="J47" s="3"/>
      <c r="K47" s="3"/>
      <c r="L47" s="3"/>
      <c r="M47" s="3"/>
      <c r="N47" s="3"/>
      <c r="O47" s="3"/>
      <c r="AM47" s="3"/>
      <c r="AN47" s="3"/>
      <c r="AO47" s="3"/>
      <c r="AP47" s="3"/>
      <c r="AQ47" s="3"/>
      <c r="AR47" s="3"/>
      <c r="AS47" s="3"/>
      <c r="AT47" s="3"/>
      <c r="AU47" s="3"/>
      <c r="AV47" s="3"/>
    </row>
    <row r="48" spans="1:48">
      <c r="A48"/>
      <c r="B48"/>
      <c r="C48"/>
      <c r="D48"/>
      <c r="E48"/>
      <c r="F48"/>
      <c r="G48" s="3"/>
      <c r="H48" s="3"/>
      <c r="I48" s="3"/>
      <c r="J48" s="3"/>
      <c r="K48" s="3"/>
      <c r="L48" s="3"/>
      <c r="M48" s="3"/>
      <c r="N48" s="3"/>
      <c r="O48" s="3"/>
      <c r="AM48" s="3"/>
      <c r="AN48" s="3"/>
      <c r="AO48" s="3"/>
      <c r="AP48" s="3"/>
      <c r="AQ48" s="3"/>
      <c r="AR48" s="3"/>
      <c r="AS48" s="3"/>
      <c r="AT48" s="3"/>
      <c r="AU48" s="3"/>
      <c r="AV48" s="3"/>
    </row>
    <row r="49" spans="1:48">
      <c r="A49"/>
      <c r="B49"/>
      <c r="C49"/>
      <c r="D49"/>
      <c r="E49"/>
      <c r="F49"/>
      <c r="G49" s="3"/>
      <c r="H49" s="3"/>
      <c r="I49" s="3"/>
      <c r="J49" s="3"/>
      <c r="K49" s="3"/>
      <c r="L49" s="3"/>
      <c r="M49" s="3"/>
      <c r="N49" s="3"/>
      <c r="O49" s="3"/>
      <c r="AM49" s="3"/>
      <c r="AN49" s="3"/>
      <c r="AO49" s="3"/>
      <c r="AP49" s="3"/>
      <c r="AQ49" s="3"/>
      <c r="AR49" s="3"/>
      <c r="AS49" s="3"/>
      <c r="AT49" s="3"/>
      <c r="AU49" s="3"/>
      <c r="AV49" s="3"/>
    </row>
    <row r="50" spans="1:48">
      <c r="A50"/>
      <c r="B50"/>
      <c r="C50"/>
      <c r="D50"/>
      <c r="E50"/>
      <c r="F50"/>
      <c r="G50" s="3"/>
      <c r="H50" s="3"/>
      <c r="I50" s="3"/>
      <c r="J50" s="3"/>
      <c r="K50" s="3"/>
      <c r="L50" s="3"/>
      <c r="M50" s="3"/>
      <c r="N50" s="3"/>
      <c r="O50" s="3"/>
      <c r="AM50" s="3"/>
      <c r="AN50" s="3"/>
      <c r="AO50" s="3"/>
      <c r="AP50" s="3"/>
      <c r="AQ50" s="3"/>
      <c r="AR50" s="3"/>
      <c r="AS50" s="3"/>
      <c r="AT50" s="3"/>
      <c r="AU50" s="3"/>
      <c r="AV50" s="3"/>
    </row>
    <row r="51" spans="1:48">
      <c r="A51"/>
      <c r="B51"/>
      <c r="C51"/>
      <c r="D51"/>
      <c r="E51"/>
      <c r="F51"/>
      <c r="G51" s="3"/>
      <c r="H51" s="3"/>
      <c r="I51" s="3"/>
      <c r="J51" s="3"/>
      <c r="K51" s="3"/>
      <c r="L51" s="3"/>
      <c r="M51" s="3"/>
      <c r="N51" s="3"/>
      <c r="O51" s="3"/>
      <c r="AM51" s="3"/>
      <c r="AN51" s="3"/>
      <c r="AO51" s="3"/>
      <c r="AP51" s="3"/>
      <c r="AQ51" s="3"/>
      <c r="AR51" s="3"/>
      <c r="AS51" s="3"/>
      <c r="AT51" s="3"/>
      <c r="AU51" s="3"/>
      <c r="AV51" s="3"/>
    </row>
    <row r="52" spans="1:48">
      <c r="A52"/>
      <c r="B52"/>
      <c r="C52"/>
      <c r="D52"/>
      <c r="E52"/>
      <c r="F52"/>
      <c r="G52" s="3"/>
      <c r="H52" s="3"/>
      <c r="I52" s="3"/>
      <c r="J52" s="3"/>
      <c r="K52" s="3"/>
      <c r="L52" s="3"/>
      <c r="M52" s="3"/>
      <c r="N52" s="3"/>
      <c r="O52" s="3"/>
      <c r="AM52" s="3"/>
      <c r="AN52" s="3"/>
      <c r="AO52" s="3"/>
      <c r="AP52" s="3"/>
      <c r="AQ52" s="3"/>
      <c r="AR52" s="3"/>
      <c r="AS52" s="3"/>
      <c r="AT52" s="3"/>
      <c r="AU52" s="3"/>
      <c r="AV52" s="3"/>
    </row>
    <row r="53" spans="1:48">
      <c r="A53"/>
      <c r="B53"/>
      <c r="C53"/>
      <c r="D53"/>
      <c r="E53"/>
      <c r="F53"/>
      <c r="G53" s="3"/>
      <c r="H53" s="3"/>
      <c r="I53" s="3"/>
      <c r="J53" s="3"/>
      <c r="K53" s="3"/>
      <c r="L53" s="3"/>
      <c r="M53" s="3"/>
      <c r="N53" s="3"/>
      <c r="O53" s="3"/>
      <c r="AM53" s="3"/>
      <c r="AN53" s="3"/>
      <c r="AO53" s="3"/>
      <c r="AP53" s="3"/>
      <c r="AQ53" s="3"/>
      <c r="AR53" s="3"/>
      <c r="AS53" s="3"/>
      <c r="AT53" s="3"/>
      <c r="AU53" s="3"/>
      <c r="AV53" s="3"/>
    </row>
    <row r="54" spans="1:48">
      <c r="A54"/>
      <c r="B54"/>
      <c r="C54"/>
      <c r="D54"/>
      <c r="E54"/>
      <c r="F54"/>
      <c r="G54" s="3"/>
      <c r="H54" s="3"/>
      <c r="I54" s="3"/>
      <c r="J54" s="3"/>
      <c r="K54" s="3"/>
      <c r="L54" s="3"/>
      <c r="M54" s="3"/>
      <c r="N54" s="3"/>
      <c r="O54" s="3"/>
      <c r="AM54" s="3"/>
      <c r="AN54" s="3"/>
      <c r="AO54" s="3"/>
      <c r="AP54" s="3"/>
      <c r="AQ54" s="3"/>
      <c r="AR54" s="3"/>
      <c r="AS54" s="3"/>
      <c r="AT54" s="3"/>
      <c r="AU54" s="3"/>
      <c r="AV54" s="3"/>
    </row>
    <row r="55" spans="1:48">
      <c r="A55"/>
      <c r="B55"/>
      <c r="C55"/>
      <c r="D55"/>
      <c r="E55"/>
      <c r="F55"/>
      <c r="G55" s="3"/>
      <c r="H55" s="3"/>
      <c r="I55" s="3"/>
      <c r="J55" s="3"/>
      <c r="K55" s="3"/>
      <c r="L55" s="3"/>
      <c r="M55" s="3"/>
      <c r="N55" s="3"/>
      <c r="O55" s="3"/>
      <c r="AM55" s="3"/>
      <c r="AN55" s="3"/>
      <c r="AO55" s="3"/>
      <c r="AP55" s="3"/>
      <c r="AQ55" s="3"/>
      <c r="AR55" s="3"/>
      <c r="AS55" s="3"/>
      <c r="AT55" s="3"/>
      <c r="AU55" s="3"/>
      <c r="AV55" s="3"/>
    </row>
    <row r="56" spans="1:48">
      <c r="A56"/>
      <c r="B56"/>
      <c r="C56"/>
      <c r="D56"/>
      <c r="E56"/>
      <c r="F56"/>
      <c r="G56" s="3"/>
      <c r="H56" s="3"/>
      <c r="I56" s="3"/>
      <c r="J56" s="3"/>
      <c r="K56" s="3"/>
      <c r="L56" s="3"/>
      <c r="M56" s="3"/>
      <c r="N56" s="3"/>
      <c r="O56" s="3"/>
      <c r="AM56" s="3"/>
      <c r="AN56" s="3"/>
      <c r="AO56" s="3"/>
      <c r="AP56" s="3"/>
      <c r="AQ56" s="3"/>
      <c r="AR56" s="3"/>
      <c r="AS56" s="3"/>
      <c r="AT56" s="3"/>
      <c r="AU56" s="3"/>
      <c r="AV56" s="3"/>
    </row>
    <row r="57" spans="1:48">
      <c r="A57"/>
      <c r="B57"/>
      <c r="C57"/>
      <c r="D57"/>
      <c r="E57"/>
      <c r="F57"/>
      <c r="G57" s="3"/>
      <c r="H57" s="3"/>
      <c r="I57" s="3"/>
      <c r="J57" s="3"/>
      <c r="K57" s="3"/>
      <c r="L57" s="3"/>
      <c r="M57" s="3"/>
      <c r="N57" s="3"/>
      <c r="O57" s="3"/>
      <c r="AM57" s="3"/>
      <c r="AN57" s="3"/>
      <c r="AO57" s="3"/>
      <c r="AP57" s="3"/>
      <c r="AQ57" s="3"/>
      <c r="AR57" s="3"/>
      <c r="AS57" s="3"/>
      <c r="AT57" s="3"/>
      <c r="AU57" s="3"/>
      <c r="AV57" s="3"/>
    </row>
    <row r="58" spans="1:48">
      <c r="A58"/>
      <c r="B58"/>
      <c r="C58"/>
      <c r="D58"/>
      <c r="E58"/>
      <c r="F58"/>
      <c r="G58" s="3"/>
      <c r="H58" s="3"/>
      <c r="I58" s="3"/>
      <c r="J58" s="3"/>
      <c r="K58" s="3"/>
      <c r="L58" s="3"/>
      <c r="M58" s="3"/>
      <c r="N58" s="3"/>
      <c r="O58" s="3"/>
      <c r="AM58" s="3"/>
      <c r="AN58" s="3"/>
      <c r="AO58" s="3"/>
      <c r="AP58" s="3"/>
      <c r="AQ58" s="3"/>
      <c r="AR58" s="3"/>
      <c r="AS58" s="3"/>
      <c r="AT58" s="3"/>
      <c r="AU58" s="3"/>
      <c r="AV58" s="3"/>
    </row>
    <row r="59" spans="1:48">
      <c r="A59"/>
      <c r="B59"/>
      <c r="C59"/>
      <c r="D59"/>
      <c r="E59"/>
      <c r="F59"/>
      <c r="G59" s="3"/>
      <c r="H59" s="3"/>
      <c r="I59" s="3"/>
      <c r="J59" s="3"/>
      <c r="K59" s="3"/>
      <c r="L59" s="3"/>
      <c r="M59" s="3"/>
      <c r="N59" s="3"/>
      <c r="O59" s="3"/>
      <c r="AM59" s="3"/>
      <c r="AN59" s="3"/>
      <c r="AO59" s="3"/>
      <c r="AP59" s="3"/>
      <c r="AQ59" s="3"/>
      <c r="AR59" s="3"/>
      <c r="AS59" s="3"/>
      <c r="AT59" s="3"/>
      <c r="AU59" s="3"/>
      <c r="AV59" s="3"/>
    </row>
    <row r="60" spans="1:48">
      <c r="A60"/>
      <c r="B60"/>
      <c r="C60"/>
      <c r="D60"/>
      <c r="E60"/>
      <c r="F60"/>
      <c r="G60" s="3"/>
      <c r="H60" s="3"/>
      <c r="I60" s="3"/>
      <c r="J60" s="3"/>
      <c r="K60" s="3"/>
      <c r="L60" s="3"/>
      <c r="M60" s="3"/>
      <c r="N60" s="3"/>
      <c r="O60" s="3"/>
      <c r="AM60" s="3"/>
      <c r="AN60" s="3"/>
      <c r="AO60" s="3"/>
      <c r="AP60" s="3"/>
      <c r="AQ60" s="3"/>
      <c r="AR60" s="3"/>
      <c r="AS60" s="3"/>
      <c r="AT60" s="3"/>
      <c r="AU60" s="3"/>
      <c r="AV60" s="3"/>
    </row>
    <row r="61" spans="1:48">
      <c r="A61"/>
      <c r="B61"/>
      <c r="C61"/>
      <c r="D61"/>
      <c r="E61"/>
      <c r="F61"/>
      <c r="G61" s="3"/>
      <c r="H61" s="3"/>
      <c r="I61" s="3"/>
      <c r="J61" s="3"/>
      <c r="K61" s="3"/>
      <c r="L61" s="3"/>
      <c r="M61" s="3"/>
      <c r="N61" s="3"/>
      <c r="O61" s="3"/>
      <c r="AM61" s="3"/>
      <c r="AN61" s="3"/>
      <c r="AO61" s="3"/>
      <c r="AP61" s="3"/>
      <c r="AQ61" s="3"/>
      <c r="AR61" s="3"/>
      <c r="AS61" s="3"/>
      <c r="AT61" s="3"/>
      <c r="AU61" s="3"/>
      <c r="AV61" s="3"/>
    </row>
    <row r="62" spans="1:48">
      <c r="A62"/>
      <c r="B62"/>
      <c r="C62"/>
      <c r="D62"/>
      <c r="E62"/>
      <c r="F62"/>
      <c r="G62" s="3"/>
      <c r="H62" s="3"/>
      <c r="I62" s="3"/>
      <c r="J62" s="3"/>
      <c r="K62" s="3"/>
      <c r="L62" s="3"/>
      <c r="M62" s="3"/>
      <c r="N62" s="3"/>
      <c r="O62" s="3"/>
      <c r="AM62" s="3"/>
      <c r="AN62" s="3"/>
      <c r="AO62" s="3"/>
      <c r="AP62" s="3"/>
      <c r="AQ62" s="3"/>
      <c r="AR62" s="3"/>
      <c r="AS62" s="3"/>
      <c r="AT62" s="3"/>
      <c r="AU62" s="3"/>
      <c r="AV62" s="3"/>
    </row>
    <row r="63" spans="1:48">
      <c r="A63"/>
      <c r="B63"/>
      <c r="C63"/>
      <c r="D63"/>
      <c r="E63"/>
      <c r="F63"/>
      <c r="G63" s="3"/>
      <c r="H63" s="3"/>
      <c r="I63" s="3"/>
      <c r="J63" s="3"/>
      <c r="K63" s="3"/>
      <c r="L63" s="3"/>
      <c r="M63" s="3"/>
      <c r="N63" s="3"/>
      <c r="O63" s="3"/>
      <c r="AM63" s="3"/>
      <c r="AN63" s="3"/>
      <c r="AO63" s="3"/>
      <c r="AP63" s="3"/>
      <c r="AQ63" s="3"/>
      <c r="AR63" s="3"/>
      <c r="AS63" s="3"/>
      <c r="AT63" s="3"/>
      <c r="AU63" s="3"/>
      <c r="AV63" s="3"/>
    </row>
    <row r="64" spans="1:48">
      <c r="A64"/>
      <c r="B64"/>
      <c r="C64"/>
      <c r="D64"/>
      <c r="E64"/>
      <c r="F64"/>
      <c r="G64" s="3"/>
      <c r="H64" s="3"/>
      <c r="I64" s="3"/>
      <c r="J64" s="3"/>
      <c r="K64" s="3"/>
      <c r="L64" s="3"/>
      <c r="M64" s="3"/>
      <c r="N64" s="3"/>
      <c r="O64" s="3"/>
      <c r="AM64" s="3"/>
      <c r="AN64" s="3"/>
      <c r="AO64" s="3"/>
      <c r="AP64" s="3"/>
      <c r="AQ64" s="3"/>
      <c r="AR64" s="3"/>
      <c r="AS64" s="3"/>
      <c r="AT64" s="3"/>
      <c r="AU64" s="3"/>
      <c r="AV64" s="3"/>
    </row>
    <row r="65" spans="1:48">
      <c r="A65"/>
      <c r="B65"/>
      <c r="C65"/>
      <c r="D65"/>
      <c r="E65"/>
      <c r="F65"/>
      <c r="G65" s="3"/>
      <c r="H65" s="3"/>
      <c r="I65" s="3"/>
      <c r="J65" s="3"/>
      <c r="K65" s="3"/>
      <c r="L65" s="3"/>
      <c r="M65" s="3"/>
      <c r="N65" s="3"/>
      <c r="O65" s="3"/>
      <c r="AM65" s="3"/>
      <c r="AN65" s="3"/>
      <c r="AO65" s="3"/>
      <c r="AP65" s="3"/>
      <c r="AQ65" s="3"/>
      <c r="AR65" s="3"/>
      <c r="AS65" s="3"/>
      <c r="AT65" s="3"/>
      <c r="AU65" s="3"/>
      <c r="AV65" s="3"/>
    </row>
    <row r="66" spans="1:48">
      <c r="A66"/>
      <c r="B66"/>
      <c r="C66"/>
      <c r="D66"/>
      <c r="E66"/>
      <c r="F66"/>
      <c r="G66" s="3"/>
      <c r="H66" s="3"/>
      <c r="I66" s="3"/>
      <c r="J66" s="3"/>
      <c r="K66" s="3"/>
      <c r="L66" s="3"/>
      <c r="M66" s="3"/>
      <c r="N66" s="3"/>
      <c r="O66" s="3"/>
      <c r="AM66" s="3"/>
      <c r="AN66" s="3"/>
      <c r="AO66" s="3"/>
      <c r="AP66" s="3"/>
      <c r="AQ66" s="3"/>
      <c r="AR66" s="3"/>
      <c r="AS66" s="3"/>
      <c r="AT66" s="3"/>
      <c r="AU66" s="3"/>
      <c r="AV66" s="3"/>
    </row>
    <row r="67" spans="1:48">
      <c r="A67"/>
      <c r="B67"/>
      <c r="C67"/>
      <c r="D67"/>
      <c r="E67"/>
      <c r="F67"/>
      <c r="G67" s="3"/>
      <c r="H67" s="3"/>
      <c r="I67" s="3"/>
      <c r="J67" s="3"/>
      <c r="K67" s="3"/>
      <c r="L67" s="3"/>
      <c r="M67" s="3"/>
      <c r="N67" s="3"/>
      <c r="O67" s="3"/>
      <c r="AM67" s="3"/>
      <c r="AN67" s="3"/>
      <c r="AO67" s="3"/>
      <c r="AP67" s="3"/>
      <c r="AQ67" s="3"/>
      <c r="AR67" s="3"/>
      <c r="AS67" s="3"/>
      <c r="AT67" s="3"/>
      <c r="AU67" s="3"/>
      <c r="AV67" s="3"/>
    </row>
    <row r="68" spans="1:48">
      <c r="A68"/>
      <c r="B68"/>
      <c r="C68"/>
      <c r="D68"/>
      <c r="E68"/>
      <c r="F68"/>
      <c r="K68" s="3"/>
      <c r="L68" s="3"/>
      <c r="M68" s="3"/>
      <c r="N68" s="3"/>
      <c r="O68" s="3"/>
      <c r="AM68" s="3"/>
      <c r="AN68" s="3"/>
      <c r="AO68" s="3"/>
      <c r="AP68" s="3"/>
      <c r="AQ68" s="3"/>
      <c r="AR68" s="3"/>
      <c r="AS68" s="3"/>
      <c r="AT68" s="3"/>
      <c r="AU68" s="3"/>
      <c r="AV68" s="3"/>
    </row>
    <row r="69" spans="1:48">
      <c r="A69"/>
      <c r="B69"/>
      <c r="C69"/>
      <c r="D69"/>
      <c r="E69"/>
      <c r="F69"/>
      <c r="K69" s="3"/>
      <c r="L69" s="3"/>
      <c r="M69" s="3"/>
      <c r="N69" s="3"/>
      <c r="O69" s="3"/>
      <c r="AM69" s="3"/>
      <c r="AN69" s="3"/>
      <c r="AO69" s="3"/>
      <c r="AP69" s="3"/>
      <c r="AQ69" s="3"/>
      <c r="AR69" s="3"/>
      <c r="AS69" s="3"/>
      <c r="AT69" s="3"/>
      <c r="AU69" s="3"/>
      <c r="AV69" s="3"/>
    </row>
    <row r="70" spans="1:48">
      <c r="A70"/>
      <c r="B70"/>
      <c r="C70"/>
      <c r="D70"/>
      <c r="E70"/>
      <c r="F70"/>
      <c r="K70" s="3"/>
      <c r="L70" s="3"/>
      <c r="M70" s="3"/>
      <c r="N70" s="3"/>
      <c r="O70" s="3"/>
      <c r="AM70" s="3"/>
      <c r="AN70" s="3"/>
      <c r="AO70" s="3"/>
      <c r="AP70" s="3"/>
      <c r="AQ70" s="3"/>
      <c r="AR70" s="3"/>
      <c r="AS70" s="3"/>
      <c r="AT70" s="3"/>
      <c r="AU70" s="3"/>
      <c r="AV70" s="3"/>
    </row>
    <row r="71" spans="1:48">
      <c r="A71"/>
      <c r="B71"/>
      <c r="C71"/>
      <c r="D71"/>
      <c r="E71"/>
      <c r="F71"/>
      <c r="K71" s="3"/>
      <c r="L71" s="3"/>
      <c r="M71" s="3"/>
      <c r="N71" s="3"/>
      <c r="O71" s="3"/>
      <c r="AM71" s="3"/>
      <c r="AN71" s="3"/>
      <c r="AO71" s="3"/>
      <c r="AP71" s="3"/>
      <c r="AQ71" s="3"/>
      <c r="AR71" s="3"/>
      <c r="AS71" s="3"/>
      <c r="AT71" s="3"/>
      <c r="AU71" s="3"/>
      <c r="AV71" s="3"/>
    </row>
    <row r="72" spans="1:48">
      <c r="A72"/>
      <c r="B72"/>
      <c r="C72"/>
      <c r="D72"/>
      <c r="E72"/>
      <c r="F72"/>
      <c r="K72" s="3"/>
      <c r="L72" s="3"/>
      <c r="M72" s="3"/>
      <c r="N72" s="3"/>
      <c r="O72" s="3"/>
      <c r="AM72" s="3"/>
      <c r="AN72" s="3"/>
      <c r="AO72" s="3"/>
      <c r="AP72" s="3"/>
      <c r="AQ72" s="3"/>
      <c r="AR72" s="3"/>
      <c r="AS72" s="3"/>
      <c r="AT72" s="3"/>
      <c r="AU72" s="3"/>
      <c r="AV72" s="3"/>
    </row>
    <row r="73" spans="1:48">
      <c r="A73"/>
      <c r="B73"/>
      <c r="C73"/>
      <c r="D73"/>
      <c r="E73"/>
      <c r="F73"/>
      <c r="K73" s="3"/>
      <c r="L73" s="3"/>
      <c r="M73" s="3"/>
      <c r="N73" s="3"/>
      <c r="O73" s="3"/>
      <c r="AM73" s="3"/>
      <c r="AN73" s="3"/>
      <c r="AO73" s="3"/>
      <c r="AP73" s="3"/>
      <c r="AQ73" s="3"/>
      <c r="AR73" s="3"/>
      <c r="AS73" s="3"/>
      <c r="AT73" s="3"/>
      <c r="AU73" s="3"/>
      <c r="AV73" s="3"/>
    </row>
    <row r="74" spans="1:48">
      <c r="A74"/>
      <c r="B74"/>
      <c r="C74"/>
      <c r="D74"/>
      <c r="E74"/>
      <c r="F74"/>
      <c r="K74" s="3"/>
      <c r="L74" s="3"/>
      <c r="M74" s="3"/>
      <c r="N74" s="3"/>
      <c r="O74" s="3"/>
      <c r="AM74" s="3"/>
      <c r="AN74" s="3"/>
      <c r="AO74" s="3"/>
      <c r="AP74" s="3"/>
      <c r="AQ74" s="3"/>
      <c r="AR74" s="3"/>
      <c r="AS74" s="3"/>
      <c r="AT74" s="3"/>
      <c r="AU74" s="3"/>
      <c r="AV74" s="3"/>
    </row>
    <row r="75" spans="1:48">
      <c r="A75"/>
      <c r="B75"/>
      <c r="C75"/>
      <c r="D75"/>
      <c r="E75"/>
      <c r="F75"/>
      <c r="K75" s="3"/>
      <c r="L75" s="3"/>
      <c r="M75" s="3"/>
      <c r="N75" s="3"/>
      <c r="O75" s="3"/>
      <c r="AM75" s="3"/>
      <c r="AN75" s="3"/>
      <c r="AO75" s="3"/>
      <c r="AP75" s="3"/>
      <c r="AQ75" s="3"/>
      <c r="AR75" s="3"/>
      <c r="AS75" s="3"/>
      <c r="AT75" s="3"/>
      <c r="AU75" s="3"/>
      <c r="AV75" s="3"/>
    </row>
    <row r="76" spans="1:48">
      <c r="A76"/>
      <c r="B76"/>
      <c r="C76"/>
      <c r="D76"/>
      <c r="E76"/>
      <c r="F76"/>
      <c r="K76" s="3"/>
      <c r="L76" s="3"/>
      <c r="M76" s="3"/>
      <c r="N76" s="3"/>
      <c r="O76" s="3"/>
      <c r="AM76" s="3"/>
      <c r="AN76" s="3"/>
      <c r="AO76" s="3"/>
      <c r="AP76" s="3"/>
      <c r="AQ76" s="3"/>
      <c r="AR76" s="3"/>
      <c r="AS76" s="3"/>
      <c r="AT76" s="3"/>
      <c r="AU76" s="3"/>
      <c r="AV76" s="3"/>
    </row>
    <row r="77" spans="1:48">
      <c r="A77"/>
      <c r="B77"/>
      <c r="C77"/>
      <c r="D77"/>
      <c r="E77"/>
      <c r="F77"/>
      <c r="K77" s="3"/>
      <c r="L77" s="3"/>
      <c r="M77" s="3"/>
      <c r="N77" s="3"/>
      <c r="O77" s="3"/>
      <c r="AM77" s="3"/>
      <c r="AN77" s="3"/>
      <c r="AO77" s="3"/>
      <c r="AP77" s="3"/>
      <c r="AQ77" s="3"/>
      <c r="AR77" s="3"/>
      <c r="AS77" s="3"/>
      <c r="AT77" s="3"/>
      <c r="AU77" s="3"/>
      <c r="AV77" s="3"/>
    </row>
    <row r="78" spans="1:48">
      <c r="A78"/>
      <c r="B78"/>
      <c r="C78"/>
      <c r="D78"/>
      <c r="E78"/>
      <c r="F78"/>
      <c r="K78" s="3"/>
      <c r="L78" s="3"/>
      <c r="M78" s="3"/>
      <c r="N78" s="3"/>
      <c r="O78" s="3"/>
      <c r="AM78" s="3"/>
      <c r="AN78" s="3"/>
      <c r="AO78" s="3"/>
      <c r="AP78" s="3"/>
      <c r="AQ78" s="3"/>
      <c r="AR78" s="3"/>
      <c r="AS78" s="3"/>
      <c r="AT78" s="3"/>
      <c r="AU78" s="3"/>
      <c r="AV78" s="3"/>
    </row>
    <row r="79" spans="1:48">
      <c r="A79"/>
      <c r="B79"/>
      <c r="C79"/>
      <c r="D79"/>
      <c r="E79"/>
      <c r="F79"/>
      <c r="K79" s="3"/>
      <c r="L79" s="3"/>
      <c r="M79" s="3"/>
      <c r="N79" s="3"/>
      <c r="O79" s="3"/>
      <c r="AM79" s="3"/>
      <c r="AN79" s="3"/>
      <c r="AO79" s="3"/>
      <c r="AP79" s="3"/>
      <c r="AQ79" s="3"/>
      <c r="AR79" s="3"/>
      <c r="AS79" s="3"/>
      <c r="AT79" s="3"/>
      <c r="AU79" s="3"/>
      <c r="AV79" s="3"/>
    </row>
    <row r="80" spans="1:48">
      <c r="A80"/>
      <c r="B80"/>
      <c r="C80"/>
      <c r="D80"/>
      <c r="E80"/>
      <c r="F80"/>
      <c r="K80" s="3"/>
      <c r="L80" s="3"/>
      <c r="M80" s="3"/>
      <c r="N80" s="3"/>
      <c r="O80" s="3"/>
      <c r="AM80" s="3"/>
      <c r="AN80" s="3"/>
      <c r="AO80" s="3"/>
      <c r="AP80" s="3"/>
      <c r="AQ80" s="3"/>
      <c r="AR80" s="3"/>
      <c r="AS80" s="3"/>
      <c r="AT80" s="3"/>
      <c r="AU80" s="3"/>
      <c r="AV80" s="3"/>
    </row>
    <row r="81" spans="1:48">
      <c r="A81"/>
      <c r="B81"/>
      <c r="C81"/>
      <c r="D81"/>
      <c r="E81"/>
      <c r="F81"/>
      <c r="K81" s="3"/>
      <c r="L81" s="3"/>
      <c r="M81" s="3"/>
      <c r="N81" s="3"/>
      <c r="O81" s="3"/>
      <c r="AM81" s="3"/>
      <c r="AN81" s="3"/>
      <c r="AO81" s="3"/>
      <c r="AP81" s="3"/>
      <c r="AQ81" s="3"/>
      <c r="AR81" s="3"/>
      <c r="AS81" s="3"/>
      <c r="AT81" s="3"/>
      <c r="AU81" s="3"/>
      <c r="AV81" s="3"/>
    </row>
    <row r="82" spans="1:48">
      <c r="A82"/>
      <c r="B82"/>
      <c r="C82"/>
      <c r="D82"/>
      <c r="E82"/>
      <c r="F82"/>
      <c r="K82" s="3"/>
      <c r="L82" s="3"/>
      <c r="M82" s="3"/>
      <c r="N82" s="3"/>
      <c r="O82" s="3"/>
      <c r="AM82" s="3"/>
      <c r="AN82" s="3"/>
      <c r="AO82" s="3"/>
      <c r="AP82" s="3"/>
      <c r="AQ82" s="3"/>
      <c r="AR82" s="3"/>
      <c r="AS82" s="3"/>
      <c r="AT82" s="3"/>
      <c r="AU82" s="3"/>
      <c r="AV82" s="3"/>
    </row>
    <row r="83" spans="1:48">
      <c r="A83"/>
      <c r="B83"/>
      <c r="C83"/>
      <c r="D83"/>
      <c r="E83"/>
      <c r="F83"/>
      <c r="K83" s="3"/>
      <c r="L83" s="3"/>
      <c r="M83" s="3"/>
      <c r="N83" s="3"/>
      <c r="O83" s="3"/>
      <c r="AM83" s="3"/>
      <c r="AN83" s="3"/>
      <c r="AO83" s="3"/>
      <c r="AP83" s="3"/>
      <c r="AQ83" s="3"/>
      <c r="AR83" s="3"/>
      <c r="AS83" s="3"/>
      <c r="AT83" s="3"/>
      <c r="AU83" s="3"/>
      <c r="AV83" s="3"/>
    </row>
    <row r="84" spans="1:48">
      <c r="A84"/>
      <c r="B84"/>
      <c r="C84"/>
      <c r="D84"/>
      <c r="E84"/>
      <c r="F84"/>
      <c r="K84" s="3"/>
      <c r="L84" s="3"/>
      <c r="M84" s="3"/>
      <c r="N84" s="3"/>
      <c r="O84" s="3"/>
      <c r="AM84" s="3"/>
      <c r="AN84" s="3"/>
      <c r="AO84" s="3"/>
      <c r="AP84" s="3"/>
      <c r="AQ84" s="3"/>
      <c r="AR84" s="3"/>
      <c r="AS84" s="3"/>
      <c r="AT84" s="3"/>
      <c r="AU84" s="3"/>
      <c r="AV84" s="3"/>
    </row>
    <row r="85" spans="1:48">
      <c r="A85"/>
      <c r="B85"/>
      <c r="C85"/>
      <c r="D85"/>
      <c r="E85"/>
      <c r="F85"/>
      <c r="K85" s="3"/>
      <c r="L85" s="3"/>
      <c r="M85" s="3"/>
      <c r="N85" s="3"/>
      <c r="O85" s="3"/>
      <c r="AM85" s="3"/>
      <c r="AN85" s="3"/>
      <c r="AO85" s="3"/>
      <c r="AP85" s="3"/>
      <c r="AQ85" s="3"/>
      <c r="AR85" s="3"/>
      <c r="AS85" s="3"/>
      <c r="AT85" s="3"/>
      <c r="AU85" s="3"/>
      <c r="AV85" s="3"/>
    </row>
    <row r="86" spans="1:48">
      <c r="A86"/>
      <c r="B86"/>
      <c r="C86"/>
      <c r="D86"/>
      <c r="E86"/>
      <c r="F86"/>
      <c r="K86" s="3"/>
      <c r="L86" s="3"/>
      <c r="M86" s="3"/>
      <c r="N86" s="3"/>
      <c r="O86" s="3"/>
      <c r="AM86" s="3"/>
      <c r="AN86" s="3"/>
      <c r="AO86" s="3"/>
      <c r="AP86" s="3"/>
      <c r="AQ86" s="3"/>
      <c r="AR86" s="3"/>
      <c r="AS86" s="3"/>
      <c r="AT86" s="3"/>
      <c r="AU86" s="3"/>
      <c r="AV86" s="3"/>
    </row>
    <row r="87" spans="1:48">
      <c r="A87"/>
      <c r="B87"/>
      <c r="C87"/>
      <c r="D87"/>
      <c r="E87"/>
      <c r="F87"/>
      <c r="K87" s="3"/>
      <c r="L87" s="3"/>
      <c r="M87" s="3"/>
      <c r="N87" s="3"/>
      <c r="O87" s="3"/>
      <c r="AM87" s="3"/>
      <c r="AN87" s="3"/>
      <c r="AO87" s="3"/>
      <c r="AP87" s="3"/>
      <c r="AQ87" s="3"/>
      <c r="AR87" s="3"/>
      <c r="AS87" s="3"/>
      <c r="AT87" s="3"/>
      <c r="AU87" s="3"/>
      <c r="AV87" s="3"/>
    </row>
    <row r="88" spans="1:48">
      <c r="A88"/>
      <c r="B88"/>
      <c r="C88"/>
      <c r="D88"/>
      <c r="E88"/>
      <c r="F88"/>
      <c r="K88" s="3"/>
      <c r="L88" s="3"/>
      <c r="M88" s="3"/>
      <c r="N88" s="3"/>
      <c r="O88" s="3"/>
      <c r="AM88" s="3"/>
      <c r="AN88" s="3"/>
      <c r="AO88" s="3"/>
      <c r="AP88" s="3"/>
      <c r="AQ88" s="3"/>
      <c r="AR88" s="3"/>
      <c r="AS88" s="3"/>
      <c r="AT88" s="3"/>
      <c r="AU88" s="3"/>
      <c r="AV88" s="3"/>
    </row>
    <row r="89" spans="1:48">
      <c r="A89"/>
      <c r="B89"/>
      <c r="C89"/>
      <c r="D89"/>
      <c r="E89"/>
      <c r="F89"/>
      <c r="K89" s="3"/>
      <c r="L89" s="3"/>
      <c r="M89" s="3"/>
      <c r="N89" s="3"/>
      <c r="O89" s="3"/>
      <c r="AM89" s="3"/>
      <c r="AN89" s="3"/>
      <c r="AO89" s="3"/>
      <c r="AP89" s="3"/>
      <c r="AQ89" s="3"/>
      <c r="AR89" s="3"/>
      <c r="AS89" s="3"/>
      <c r="AT89" s="3"/>
      <c r="AU89" s="3"/>
      <c r="AV89" s="3"/>
    </row>
    <row r="90" spans="1:48">
      <c r="A90"/>
      <c r="B90"/>
      <c r="C90"/>
      <c r="D90"/>
      <c r="E90"/>
      <c r="F90"/>
      <c r="K90" s="3"/>
      <c r="L90" s="3"/>
      <c r="M90" s="3"/>
      <c r="N90" s="3"/>
      <c r="O90" s="3"/>
      <c r="AM90" s="3"/>
      <c r="AN90" s="3"/>
      <c r="AO90" s="3"/>
      <c r="AP90" s="3"/>
      <c r="AQ90" s="3"/>
      <c r="AR90" s="3"/>
      <c r="AS90" s="3"/>
      <c r="AT90" s="3"/>
      <c r="AU90" s="3"/>
      <c r="AV90" s="3"/>
    </row>
    <row r="91" spans="1:48">
      <c r="A91"/>
      <c r="B91"/>
      <c r="C91"/>
      <c r="D91"/>
      <c r="E91"/>
      <c r="F91"/>
      <c r="K91" s="3"/>
      <c r="L91" s="3"/>
      <c r="M91" s="3"/>
      <c r="N91" s="3"/>
      <c r="O91" s="3"/>
      <c r="AM91" s="3"/>
      <c r="AN91" s="3"/>
      <c r="AO91" s="3"/>
      <c r="AP91" s="3"/>
      <c r="AQ91" s="3"/>
      <c r="AR91" s="3"/>
      <c r="AS91" s="3"/>
      <c r="AT91" s="3"/>
      <c r="AU91" s="3"/>
      <c r="AV91" s="3"/>
    </row>
    <row r="92" spans="1:48">
      <c r="A92"/>
      <c r="B92"/>
      <c r="C92"/>
      <c r="D92"/>
      <c r="E92"/>
      <c r="F92"/>
      <c r="K92" s="3"/>
      <c r="L92" s="3"/>
      <c r="M92" s="3"/>
      <c r="N92" s="3"/>
      <c r="O92" s="3"/>
      <c r="AM92" s="3"/>
      <c r="AN92" s="3"/>
      <c r="AO92" s="3"/>
      <c r="AP92" s="3"/>
      <c r="AQ92" s="3"/>
      <c r="AR92" s="3"/>
      <c r="AS92" s="3"/>
      <c r="AT92" s="3"/>
      <c r="AU92" s="3"/>
      <c r="AV92" s="3"/>
    </row>
    <row r="93" spans="1:48">
      <c r="A93"/>
      <c r="B93"/>
      <c r="C93"/>
      <c r="D93"/>
      <c r="E93"/>
      <c r="F93"/>
      <c r="K93" s="3"/>
      <c r="L93" s="3"/>
      <c r="M93" s="3"/>
      <c r="N93" s="3"/>
      <c r="O93" s="3"/>
      <c r="AM93" s="3"/>
      <c r="AN93" s="3"/>
      <c r="AO93" s="3"/>
      <c r="AP93" s="3"/>
      <c r="AQ93" s="3"/>
      <c r="AR93" s="3"/>
      <c r="AS93" s="3"/>
      <c r="AT93" s="3"/>
      <c r="AU93" s="3"/>
      <c r="AV93" s="3"/>
    </row>
    <row r="94" spans="1:48">
      <c r="A94"/>
      <c r="B94"/>
      <c r="C94"/>
      <c r="D94"/>
      <c r="E94"/>
      <c r="F94"/>
      <c r="K94" s="3"/>
      <c r="L94" s="3"/>
      <c r="M94" s="3"/>
      <c r="N94" s="3"/>
      <c r="O94" s="3"/>
      <c r="AM94" s="3"/>
      <c r="AN94" s="3"/>
      <c r="AO94" s="3"/>
      <c r="AP94" s="3"/>
      <c r="AQ94" s="3"/>
      <c r="AR94" s="3"/>
      <c r="AS94" s="3"/>
      <c r="AT94" s="3"/>
      <c r="AU94" s="3"/>
      <c r="AV94" s="3"/>
    </row>
    <row r="95" spans="1:48">
      <c r="A95"/>
      <c r="B95"/>
      <c r="C95"/>
      <c r="D95"/>
      <c r="E95"/>
      <c r="F95"/>
      <c r="K95" s="3"/>
      <c r="L95" s="3"/>
      <c r="M95" s="3"/>
      <c r="N95" s="3"/>
      <c r="O95" s="3"/>
      <c r="AM95" s="3"/>
      <c r="AN95" s="3"/>
      <c r="AO95" s="3"/>
      <c r="AP95" s="3"/>
      <c r="AQ95" s="3"/>
      <c r="AR95" s="3"/>
      <c r="AS95" s="3"/>
      <c r="AT95" s="3"/>
      <c r="AU95" s="3"/>
      <c r="AV95" s="3"/>
    </row>
    <row r="96" spans="1:48">
      <c r="A96"/>
      <c r="B96"/>
      <c r="C96"/>
      <c r="D96"/>
      <c r="E96"/>
      <c r="F96"/>
      <c r="K96" s="3"/>
      <c r="L96" s="3"/>
      <c r="M96" s="3"/>
      <c r="N96" s="3"/>
      <c r="O96" s="3"/>
      <c r="AM96" s="3"/>
      <c r="AN96" s="3"/>
      <c r="AO96" s="3"/>
      <c r="AP96" s="3"/>
      <c r="AQ96" s="3"/>
      <c r="AR96" s="3"/>
      <c r="AS96" s="3"/>
      <c r="AT96" s="3"/>
      <c r="AU96" s="3"/>
      <c r="AV96" s="3"/>
    </row>
  </sheetData>
  <sheetProtection algorithmName="SHA-512" hashValue="A3qM8Wj6hw1BPdz0ALyWN3H9pnqzbl97t/8SzNeWagiGDcBQII2jW1JhgsPGhQKLS0w3yrCZGn96zzckSz9Clw==" saltValue="5iKdSINgVtPYMmFgwvuVrQ==" spinCount="100000" sheet="1" objects="1" scenarios="1"/>
  <customSheetViews>
    <customSheetView guid="{91EE9386-9500-473B-B86C-27DB8DF0BA46}" showGridLines="0">
      <selection sqref="A1:F1"/>
      <pageMargins left="0.7" right="0.7" top="0.78740157499999996" bottom="0.78740157499999996" header="0.3" footer="0.3"/>
      <pageSetup paperSize="9" orientation="portrait" r:id="rId1"/>
    </customSheetView>
    <customSheetView guid="{B8019777-F14C-4393-8CE3-CE0081D0CD28}" showGridLines="0">
      <selection activeCell="F3" sqref="F3"/>
      <pageMargins left="0.7" right="0.7" top="0.78740157499999996" bottom="0.78740157499999996" header="0.3" footer="0.3"/>
      <pageSetup paperSize="9" orientation="portrait" r:id="rId2"/>
    </customSheetView>
  </customSheetViews>
  <mergeCells count="31">
    <mergeCell ref="U4:V4"/>
    <mergeCell ref="H4:H5"/>
    <mergeCell ref="AM5:AM6"/>
    <mergeCell ref="A2:F2"/>
    <mergeCell ref="I2:L2"/>
    <mergeCell ref="E5:E6"/>
    <mergeCell ref="A3:F3"/>
    <mergeCell ref="A4:B4"/>
    <mergeCell ref="D4:E4"/>
    <mergeCell ref="I5:I6"/>
    <mergeCell ref="G3:K3"/>
    <mergeCell ref="M1:V2"/>
    <mergeCell ref="Y1:AF2"/>
    <mergeCell ref="G1:K1"/>
    <mergeCell ref="W1:X2"/>
    <mergeCell ref="AN5:AN6"/>
    <mergeCell ref="AK5:AK6"/>
    <mergeCell ref="A5:A6"/>
    <mergeCell ref="G5:G6"/>
    <mergeCell ref="AL5:AL6"/>
    <mergeCell ref="AI5:AI6"/>
    <mergeCell ref="AH5:AH6"/>
    <mergeCell ref="AJ5:AJ6"/>
    <mergeCell ref="F5:F6"/>
    <mergeCell ref="J5:J6"/>
    <mergeCell ref="AF5:AF6"/>
    <mergeCell ref="N5:T5"/>
    <mergeCell ref="AA3:AC5"/>
    <mergeCell ref="X5:Z5"/>
    <mergeCell ref="I4:T4"/>
    <mergeCell ref="M3:V3"/>
  </mergeCells>
  <pageMargins left="0.7" right="0.7" top="0.78740157499999996" bottom="0.78740157499999996" header="0.3" footer="0.3"/>
  <pageSetup paperSize="9" scale="45"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J96"/>
  <sheetViews>
    <sheetView showGridLines="0" topLeftCell="A2" zoomScaleNormal="100" workbookViewId="0">
      <selection activeCell="K10" sqref="K10"/>
    </sheetView>
  </sheetViews>
  <sheetFormatPr baseColWidth="10" defaultRowHeight="15"/>
  <cols>
    <col min="1" max="1" width="17.44140625" style="3" customWidth="1"/>
    <col min="2" max="6" width="9.44140625" style="3" customWidth="1"/>
    <col min="7" max="7" width="10.77734375" style="3" customWidth="1"/>
    <col min="8" max="8" width="10.21875" style="3" customWidth="1"/>
    <col min="9" max="9" width="1" style="3" customWidth="1"/>
    <col min="10" max="10" width="1" style="34" customWidth="1"/>
    <col min="11" max="15" width="7.44140625" style="190" customWidth="1"/>
    <col min="16" max="22" width="7.44140625" style="3" customWidth="1"/>
    <col min="23" max="23" width="2" style="3" customWidth="1"/>
    <col min="24" max="29" width="7" style="3" customWidth="1"/>
    <col min="30" max="30" width="6.44140625" style="3" customWidth="1"/>
    <col min="31" max="31" width="4" style="3" customWidth="1"/>
    <col min="32" max="33" width="6.44140625" style="3" customWidth="1"/>
    <col min="34" max="35" width="7.44140625" style="3" customWidth="1"/>
    <col min="36" max="36" width="6.44140625" style="3" customWidth="1"/>
    <col min="37" max="37" width="7.44140625" style="3" customWidth="1"/>
    <col min="38" max="38" width="6.44140625" style="3" customWidth="1"/>
  </cols>
  <sheetData>
    <row r="1" spans="1:62" s="1280" customFormat="1" ht="35.25" customHeight="1">
      <c r="A1" s="1280" t="s">
        <v>829</v>
      </c>
      <c r="K1" s="1281"/>
      <c r="L1" s="1281"/>
      <c r="M1" s="1281"/>
      <c r="N1" s="1281"/>
      <c r="O1" s="1281"/>
      <c r="P1" s="3698" t="s">
        <v>1002</v>
      </c>
      <c r="Q1" s="3699"/>
      <c r="R1" s="3699"/>
      <c r="S1" s="3699"/>
      <c r="T1" s="3699"/>
      <c r="U1" s="3699"/>
      <c r="V1" s="3700"/>
      <c r="W1" s="3701"/>
      <c r="X1" s="3702"/>
      <c r="Y1" s="3702"/>
      <c r="Z1" s="3702"/>
      <c r="AA1" s="3702"/>
      <c r="AB1" s="3702"/>
      <c r="AC1" s="3702"/>
      <c r="AD1" s="3702"/>
    </row>
    <row r="2" spans="1:62" s="3" customFormat="1" ht="104.25" customHeight="1">
      <c r="A2" s="3677" t="s">
        <v>945</v>
      </c>
      <c r="B2" s="3678"/>
      <c r="C2" s="3678"/>
      <c r="D2" s="3678"/>
      <c r="E2" s="3678"/>
      <c r="F2" s="3678"/>
      <c r="G2" s="3679"/>
      <c r="H2" s="525"/>
      <c r="I2" s="525"/>
      <c r="J2" s="34"/>
      <c r="K2" s="3343" t="s">
        <v>946</v>
      </c>
      <c r="L2" s="3343"/>
      <c r="M2" s="3343"/>
      <c r="N2" s="3343"/>
      <c r="O2" s="3343"/>
      <c r="P2" s="3343"/>
      <c r="Q2" s="3343"/>
      <c r="R2" s="3343"/>
      <c r="S2" s="3343"/>
      <c r="T2" s="3343"/>
      <c r="U2" s="3343"/>
      <c r="V2" s="3343"/>
      <c r="W2" s="3701"/>
      <c r="X2" s="3702"/>
      <c r="Y2" s="3702"/>
      <c r="Z2" s="3702"/>
      <c r="AA2" s="3702"/>
      <c r="AB2" s="3702"/>
      <c r="AC2" s="3702"/>
      <c r="AD2" s="3702"/>
    </row>
    <row r="3" spans="1:62" s="78" customFormat="1" ht="62.55" customHeight="1" thickBot="1">
      <c r="A3" s="3705" t="s">
        <v>278</v>
      </c>
      <c r="B3" s="3705"/>
      <c r="C3" s="3705"/>
      <c r="D3" s="3497" t="str">
        <f>IF(Start!O20&gt;0,"Bei Buchung für Solo-Selbstständige sind Mitarbeiter nicht freigeschaltet","")</f>
        <v/>
      </c>
      <c r="E3" s="3497"/>
      <c r="F3" s="3497"/>
      <c r="G3" s="3497"/>
      <c r="H3" s="3497"/>
      <c r="I3" s="526"/>
      <c r="J3" s="3686" t="str">
        <f>IF(SUM(C7:C22)&gt;0,"Achtung Weihnachts oder Urlaubsgeld !!!
Die Beträge tragen Sie bitte zusätztlich wie hier beschrieben ein ====&gt;","")</f>
        <v/>
      </c>
      <c r="K3" s="3686"/>
      <c r="L3" s="3686"/>
      <c r="M3" s="3686"/>
      <c r="N3" s="1200" t="str">
        <f>IF(J3="","","!")</f>
        <v/>
      </c>
      <c r="O3" s="3672" t="s">
        <v>941</v>
      </c>
      <c r="P3" s="3672"/>
      <c r="Q3" s="3672"/>
      <c r="R3" s="3672"/>
      <c r="S3" s="3672"/>
      <c r="T3" s="3672"/>
      <c r="U3" s="3672"/>
      <c r="V3" s="3672"/>
      <c r="W3" s="3672"/>
      <c r="X3" s="3672"/>
      <c r="Y3" s="191"/>
      <c r="Z3" s="191"/>
      <c r="AA3" s="3670"/>
      <c r="AB3" s="3670"/>
      <c r="AC3" s="3670"/>
      <c r="AD3" s="375"/>
      <c r="AE3" s="191"/>
      <c r="AJ3" s="191"/>
    </row>
    <row r="4" spans="1:62" ht="25.5" customHeight="1" thickBot="1">
      <c r="A4" s="3682" t="s">
        <v>276</v>
      </c>
      <c r="B4" s="3683"/>
      <c r="C4" s="377">
        <f>'4 Eingabe Friseure'!G4</f>
        <v>6</v>
      </c>
      <c r="D4" s="3684" t="s">
        <v>200</v>
      </c>
      <c r="E4" s="3685"/>
      <c r="F4" s="931"/>
      <c r="G4" s="376">
        <f>'4 Eingabe Friseure'!J4</f>
        <v>40</v>
      </c>
      <c r="H4" s="527"/>
      <c r="I4" s="527"/>
      <c r="J4" s="1210"/>
      <c r="K4" s="3706" t="s">
        <v>831</v>
      </c>
      <c r="L4" s="3649"/>
      <c r="M4" s="3649"/>
      <c r="N4" s="3649"/>
      <c r="O4" s="3649"/>
      <c r="P4" s="3649"/>
      <c r="Q4" s="3649"/>
      <c r="R4" s="3649"/>
      <c r="S4" s="3649"/>
      <c r="T4" s="3649"/>
      <c r="U4" s="3649"/>
      <c r="V4" s="3649"/>
      <c r="W4" s="1209"/>
      <c r="X4" s="191"/>
      <c r="Y4" s="191"/>
      <c r="Z4" s="191"/>
      <c r="AA4" s="3670"/>
      <c r="AB4" s="3670"/>
      <c r="AC4" s="3670"/>
      <c r="AD4" s="375"/>
      <c r="AF4" s="534">
        <f>G4*4.33</f>
        <v>173.2</v>
      </c>
      <c r="AG4" s="534" t="s">
        <v>141</v>
      </c>
      <c r="AH4" s="535"/>
      <c r="AI4" s="1828" t="str">
        <f>'5 Eingabe Organisationskräfte'!AI4</f>
        <v>Geöffnete Monate</v>
      </c>
      <c r="AJ4" s="1829">
        <f>'5 Eingabe Organisationskräfte'!AJ4</f>
        <v>12</v>
      </c>
      <c r="AK4" s="1831" t="s">
        <v>54</v>
      </c>
      <c r="AL4" s="1830">
        <f>SUM(AL7:AL23)</f>
        <v>0.56666666666666665</v>
      </c>
    </row>
    <row r="5" spans="1:62" ht="42.75" customHeight="1">
      <c r="A5" s="3703" t="s">
        <v>483</v>
      </c>
      <c r="B5" s="661" t="s">
        <v>1</v>
      </c>
      <c r="C5" s="667" t="s">
        <v>487</v>
      </c>
      <c r="D5" s="667" t="s">
        <v>488</v>
      </c>
      <c r="E5" s="3624" t="s">
        <v>491</v>
      </c>
      <c r="F5" s="3621" t="s">
        <v>684</v>
      </c>
      <c r="G5" s="3621" t="s">
        <v>490</v>
      </c>
      <c r="H5" s="662" t="s">
        <v>239</v>
      </c>
      <c r="I5" s="528"/>
      <c r="J5" s="79"/>
      <c r="K5" s="1206"/>
      <c r="L5" s="1205" t="s">
        <v>175</v>
      </c>
      <c r="M5" s="191"/>
      <c r="N5" s="3444" t="s">
        <v>830</v>
      </c>
      <c r="O5" s="3444"/>
      <c r="P5" s="3444"/>
      <c r="Q5" s="3444"/>
      <c r="R5" s="3444"/>
      <c r="S5" s="3444"/>
      <c r="T5" s="3444"/>
      <c r="U5" s="213">
        <v>1</v>
      </c>
      <c r="V5" s="1201">
        <v>0.5</v>
      </c>
      <c r="W5" s="191"/>
      <c r="X5" s="3632"/>
      <c r="Y5" s="3632"/>
      <c r="Z5" s="3632"/>
      <c r="AA5" s="3670"/>
      <c r="AB5" s="3670"/>
      <c r="AC5" s="3670"/>
      <c r="AD5" s="375"/>
      <c r="AE5" s="79"/>
      <c r="AF5" s="3659" t="s">
        <v>139</v>
      </c>
      <c r="AG5" s="239" t="s">
        <v>138</v>
      </c>
      <c r="AH5" s="3663" t="s">
        <v>494</v>
      </c>
      <c r="AI5" s="3657" t="s">
        <v>201</v>
      </c>
      <c r="AJ5" s="238" t="s">
        <v>140</v>
      </c>
      <c r="AK5" s="3642" t="s">
        <v>489</v>
      </c>
      <c r="AL5" s="3635" t="s">
        <v>300</v>
      </c>
      <c r="AM5" s="3630" t="s">
        <v>493</v>
      </c>
      <c r="AN5" s="3630" t="s">
        <v>492</v>
      </c>
    </row>
    <row r="6" spans="1:62" ht="17.399999999999999">
      <c r="A6" s="3704"/>
      <c r="B6" s="240"/>
      <c r="C6" s="644" t="str">
        <f>IF(SUM(C7:C22)&gt;0,BE7,"")</f>
        <v/>
      </c>
      <c r="D6" s="666" t="str">
        <f>IF(SUM(D7:D22)&gt;0,BE8,"")</f>
        <v/>
      </c>
      <c r="E6" s="3625"/>
      <c r="F6" s="3620"/>
      <c r="G6" s="3620"/>
      <c r="H6" s="663" t="str">
        <f>IF(B7="","","Lehrjahr?")</f>
        <v>Lehrjahr?</v>
      </c>
      <c r="I6" s="529"/>
      <c r="K6" s="1207">
        <f>'4 Eingabe Friseure'!N6</f>
        <v>44927</v>
      </c>
      <c r="L6" s="198">
        <f>'4 Eingabe Friseure'!O6</f>
        <v>44959</v>
      </c>
      <c r="M6" s="198">
        <f>'4 Eingabe Friseure'!P6</f>
        <v>44991</v>
      </c>
      <c r="N6" s="198">
        <f>'4 Eingabe Friseure'!Q6</f>
        <v>45023</v>
      </c>
      <c r="O6" s="198">
        <f>'4 Eingabe Friseure'!R6</f>
        <v>45055</v>
      </c>
      <c r="P6" s="198">
        <f>'4 Eingabe Friseure'!S6</f>
        <v>45087</v>
      </c>
      <c r="Q6" s="198">
        <f>'4 Eingabe Friseure'!T6</f>
        <v>45119</v>
      </c>
      <c r="R6" s="198">
        <f>'4 Eingabe Friseure'!U6</f>
        <v>45151</v>
      </c>
      <c r="S6" s="198">
        <f>'4 Eingabe Friseure'!V6</f>
        <v>45183</v>
      </c>
      <c r="T6" s="198">
        <f>'4 Eingabe Friseure'!W6</f>
        <v>45215</v>
      </c>
      <c r="U6" s="198">
        <f>'4 Eingabe Friseure'!X6</f>
        <v>45247</v>
      </c>
      <c r="V6" s="1202">
        <f>'4 Eingabe Friseure'!Y6</f>
        <v>45279</v>
      </c>
      <c r="X6" s="36" t="s">
        <v>168</v>
      </c>
      <c r="Y6" s="36" t="s">
        <v>169</v>
      </c>
      <c r="Z6" s="36" t="s">
        <v>170</v>
      </c>
      <c r="AA6" s="36" t="s">
        <v>171</v>
      </c>
      <c r="AB6" s="36" t="s">
        <v>172</v>
      </c>
      <c r="AC6" s="36" t="s">
        <v>173</v>
      </c>
      <c r="AD6" s="191"/>
      <c r="AE6" s="191"/>
      <c r="AF6" s="3660"/>
      <c r="AG6" s="242"/>
      <c r="AH6" s="3664"/>
      <c r="AI6" s="3658"/>
      <c r="AJ6" s="241"/>
      <c r="AK6" s="3643"/>
      <c r="AL6" s="3636"/>
      <c r="AM6" s="3631"/>
      <c r="AN6" s="3631"/>
    </row>
    <row r="7" spans="1:62" ht="20.399999999999999">
      <c r="A7" s="730" t="s">
        <v>1426</v>
      </c>
      <c r="B7" s="409">
        <v>649</v>
      </c>
      <c r="C7" s="592"/>
      <c r="D7" s="592"/>
      <c r="E7" s="592"/>
      <c r="F7" s="592"/>
      <c r="G7" s="409"/>
      <c r="H7" s="736">
        <v>2</v>
      </c>
      <c r="I7" s="530"/>
      <c r="J7" s="518" t="str">
        <f t="shared" ref="J7:J18" si="0">IF(A7="","",IF(H7="","!",""))</f>
        <v/>
      </c>
      <c r="K7" s="1208">
        <v>1</v>
      </c>
      <c r="L7" s="733">
        <v>1</v>
      </c>
      <c r="M7" s="733">
        <v>1</v>
      </c>
      <c r="N7" s="733">
        <v>1</v>
      </c>
      <c r="O7" s="733">
        <v>1</v>
      </c>
      <c r="P7" s="733">
        <v>1</v>
      </c>
      <c r="Q7" s="733">
        <v>1</v>
      </c>
      <c r="R7" s="733"/>
      <c r="S7" s="733"/>
      <c r="T7" s="733"/>
      <c r="U7" s="733"/>
      <c r="V7" s="1204"/>
      <c r="W7" s="513"/>
      <c r="X7" s="368"/>
      <c r="Y7" s="368"/>
      <c r="Z7" s="368"/>
      <c r="AA7" s="368"/>
      <c r="AB7" s="368"/>
      <c r="AC7" s="368"/>
      <c r="AD7" s="211"/>
      <c r="AE7" s="191"/>
      <c r="AF7" s="545" t="str">
        <f>IF(H7=1,"1. Lj",IF(H7=2,"2. Lj",IF(H7=3,"3. Lj","")))</f>
        <v>2. Lj</v>
      </c>
      <c r="AG7" s="546"/>
      <c r="AH7" s="537">
        <f>IF(B7=0,"",IF(B7="","",SUM(B7,E7,G7,(C7/AK7),(D7/AK7))))</f>
        <v>649</v>
      </c>
      <c r="AI7" s="547"/>
      <c r="AJ7" s="547"/>
      <c r="AK7" s="538">
        <f>IF(A7=0,"",IF(A7="","",SUMIF(K7:V7,"&gt;0,4")))</f>
        <v>7</v>
      </c>
      <c r="AL7" s="539">
        <f>IF(A7="","",IF(A7=0,"",IF(H7=1,0.1,IF(H7=2,0.3,IF(H7=3,0.5)))/$AJ$4*AK7))</f>
        <v>0.17499999999999999</v>
      </c>
      <c r="AM7" s="537">
        <f>IF(B7=0,"",IF(B7="","",SUM(B7,E7,G7,(C7/AK7),(D7/AK7))*AK7))</f>
        <v>4543</v>
      </c>
      <c r="AN7" s="537">
        <f>IF(SUM(C7:D7)&gt;0,SUM(C7:D7)/AK7,0)</f>
        <v>0</v>
      </c>
      <c r="AO7" s="540" t="str">
        <f>IF(AN7="","",$C$6)</f>
        <v/>
      </c>
      <c r="AP7" s="537">
        <f>IF(AH7="","",IF(AN7=0,AH7,AH7-AN7))</f>
        <v>649</v>
      </c>
      <c r="AQ7" s="368">
        <f t="shared" ref="AQ7:BB7" si="1">IF($B7=0,0,IF($I7=12,1,IF(K7&gt;0.4,K7,0)))</f>
        <v>1</v>
      </c>
      <c r="AR7" s="368">
        <f t="shared" si="1"/>
        <v>1</v>
      </c>
      <c r="AS7" s="368">
        <f t="shared" si="1"/>
        <v>1</v>
      </c>
      <c r="AT7" s="368">
        <f t="shared" si="1"/>
        <v>1</v>
      </c>
      <c r="AU7" s="368">
        <f t="shared" si="1"/>
        <v>1</v>
      </c>
      <c r="AV7" s="368">
        <f t="shared" si="1"/>
        <v>1</v>
      </c>
      <c r="AW7" s="368">
        <f t="shared" si="1"/>
        <v>1</v>
      </c>
      <c r="AX7" s="368">
        <f t="shared" si="1"/>
        <v>0</v>
      </c>
      <c r="AY7" s="368">
        <f t="shared" si="1"/>
        <v>0</v>
      </c>
      <c r="AZ7" s="368">
        <f t="shared" si="1"/>
        <v>0</v>
      </c>
      <c r="BA7" s="368">
        <f t="shared" si="1"/>
        <v>0</v>
      </c>
      <c r="BB7" s="368">
        <f t="shared" si="1"/>
        <v>0</v>
      </c>
      <c r="BD7" s="541">
        <f>V6</f>
        <v>45279</v>
      </c>
      <c r="BE7" s="541">
        <f>IF(BF7&lt;BD7,BF7,IF(BG7&lt;BD7,BG7,IF(BH7&lt;BD7,BH7,IF(BI7&lt;BD7,BI7,BJ7))))</f>
        <v>45231</v>
      </c>
      <c r="BF7" s="541">
        <f>'4 Eingabe Friseure'!BE1</f>
        <v>46327</v>
      </c>
      <c r="BG7" s="541">
        <f>'4 Eingabe Friseure'!BF1</f>
        <v>45962</v>
      </c>
      <c r="BH7" s="541">
        <f>'4 Eingabe Friseure'!BG1</f>
        <v>45597</v>
      </c>
      <c r="BI7" s="541">
        <f>'4 Eingabe Friseure'!BH1</f>
        <v>45231</v>
      </c>
      <c r="BJ7" s="541">
        <f>'4 Eingabe Friseure'!BI1</f>
        <v>44866</v>
      </c>
    </row>
    <row r="8" spans="1:62" ht="20.399999999999999">
      <c r="A8" s="729" t="s">
        <v>1426</v>
      </c>
      <c r="B8" s="409">
        <v>742.5</v>
      </c>
      <c r="C8" s="592"/>
      <c r="D8" s="592"/>
      <c r="E8" s="592"/>
      <c r="F8" s="592"/>
      <c r="G8" s="409"/>
      <c r="H8" s="736">
        <v>3</v>
      </c>
      <c r="I8" s="530"/>
      <c r="J8" s="518" t="str">
        <f t="shared" si="0"/>
        <v/>
      </c>
      <c r="K8" s="1208"/>
      <c r="L8" s="733"/>
      <c r="M8" s="733"/>
      <c r="N8" s="733"/>
      <c r="O8" s="733"/>
      <c r="P8" s="733"/>
      <c r="Q8" s="733"/>
      <c r="R8" s="733">
        <v>1</v>
      </c>
      <c r="S8" s="733">
        <v>1</v>
      </c>
      <c r="T8" s="733">
        <v>1</v>
      </c>
      <c r="U8" s="733">
        <v>1</v>
      </c>
      <c r="V8" s="1204">
        <v>1</v>
      </c>
      <c r="W8" s="605"/>
      <c r="X8" s="368"/>
      <c r="Y8" s="368"/>
      <c r="Z8" s="368"/>
      <c r="AA8" s="368"/>
      <c r="AB8" s="368"/>
      <c r="AC8" s="368"/>
      <c r="AD8" s="211"/>
      <c r="AE8" s="191"/>
      <c r="AF8" s="545" t="str">
        <f t="shared" ref="AF8:AF23" si="2">IF(H8=1,"1. Lj",IF(H8=2,"2. Lj",IF(H8=3,"3. Lj","")))</f>
        <v>3. Lj</v>
      </c>
      <c r="AG8" s="546"/>
      <c r="AH8" s="537">
        <f t="shared" ref="AH8:AH23" si="3">IF(B8=0,"",IF(B8="","",SUM(B8,E8,G8,(C8/AK8),(D8/AK8))))</f>
        <v>742.5</v>
      </c>
      <c r="AI8" s="547"/>
      <c r="AJ8" s="547"/>
      <c r="AK8" s="538">
        <f t="shared" ref="AK8:AK23" si="4">IF(A8=0,"",IF(A8="","",SUMIF(K8:V8,"&gt;0,4")))</f>
        <v>5</v>
      </c>
      <c r="AL8" s="539">
        <f t="shared" ref="AL8:AL23" si="5">IF(A8="","",IF(A8=0,"",IF(H8=1,0.1,IF(H8=2,0.3,IF(H8=3,0.5)))/$AJ$4*AK8))</f>
        <v>0.20833333333333331</v>
      </c>
      <c r="AM8" s="537">
        <f t="shared" ref="AM8:AM23" si="6">IF(B8=0,"",IF(B8="","",SUM(B8,E8,G8,(C8/AK8),(D8/AK8))*AK8))</f>
        <v>3712.5</v>
      </c>
      <c r="AN8" s="537">
        <f t="shared" ref="AN8:AN23" si="7">IF(SUM(C8:D8)&gt;0,SUM(C8:D8)/AK8,0)</f>
        <v>0</v>
      </c>
      <c r="AO8" s="540" t="str">
        <f t="shared" ref="AO8:AO23" si="8">IF(AN8="","",$C$6)</f>
        <v/>
      </c>
      <c r="AP8" s="537">
        <f t="shared" ref="AP8:AP23" si="9">IF(AH8="","",IF(AN8=0,AH8,AH8-AN8))</f>
        <v>742.5</v>
      </c>
      <c r="AQ8" s="368">
        <f t="shared" ref="AQ8:AQ23" si="10">IF($B8=0,0,IF($I8=12,1,IF(K8&gt;0.4,K8,0)))</f>
        <v>0</v>
      </c>
      <c r="AR8" s="368">
        <f t="shared" ref="AR8:AR23" si="11">IF($B8=0,0,IF($I8=12,1,IF(L8&gt;0.4,L8,0)))</f>
        <v>0</v>
      </c>
      <c r="AS8" s="368">
        <f t="shared" ref="AS8:AS23" si="12">IF($B8=0,0,IF($I8=12,1,IF(M8&gt;0.4,M8,0)))</f>
        <v>0</v>
      </c>
      <c r="AT8" s="368">
        <f t="shared" ref="AT8:AT23" si="13">IF($B8=0,0,IF($I8=12,1,IF(N8&gt;0.4,N8,0)))</f>
        <v>0</v>
      </c>
      <c r="AU8" s="368">
        <f t="shared" ref="AU8:AU23" si="14">IF($B8=0,0,IF($I8=12,1,IF(O8&gt;0.4,O8,0)))</f>
        <v>0</v>
      </c>
      <c r="AV8" s="368">
        <f t="shared" ref="AV8:AV23" si="15">IF($B8=0,0,IF($I8=12,1,IF(P8&gt;0.4,P8,0)))</f>
        <v>0</v>
      </c>
      <c r="AW8" s="368">
        <f t="shared" ref="AW8:AW23" si="16">IF($B8=0,0,IF($I8=12,1,IF(Q8&gt;0.4,Q8,0)))</f>
        <v>0</v>
      </c>
      <c r="AX8" s="368">
        <f t="shared" ref="AX8:AX23" si="17">IF($B8=0,0,IF($I8=12,1,IF(R8&gt;0.4,R8,0)))</f>
        <v>1</v>
      </c>
      <c r="AY8" s="368">
        <f t="shared" ref="AY8:AY23" si="18">IF($B8=0,0,IF($I8=12,1,IF(S8&gt;0.4,S8,0)))</f>
        <v>1</v>
      </c>
      <c r="AZ8" s="368">
        <f t="shared" ref="AZ8:AZ23" si="19">IF($B8=0,0,IF($I8=12,1,IF(T8&gt;0.4,T8,0)))</f>
        <v>1</v>
      </c>
      <c r="BA8" s="368">
        <f t="shared" ref="BA8:BA23" si="20">IF($B8=0,0,IF($I8=12,1,IF(U8&gt;0.4,U8,0)))</f>
        <v>1</v>
      </c>
      <c r="BB8" s="368">
        <f t="shared" ref="BB8:BB23" si="21">IF($B8=0,0,IF($I8=12,1,IF(V8&gt;0.4,V8,0)))</f>
        <v>1</v>
      </c>
      <c r="BD8" s="541">
        <f>V6</f>
        <v>45279</v>
      </c>
      <c r="BE8" s="541">
        <f>IF(BF8&lt;BD8,BF8,IF(BG8&lt;BD8,BG8,IF(BH8&lt;BD8,BH8,IF(BI8&lt;BD8,BI8,BJ8))))</f>
        <v>45078</v>
      </c>
      <c r="BF8" s="541">
        <f>'4 Eingabe Friseure'!BE2</f>
        <v>46174</v>
      </c>
      <c r="BG8" s="541">
        <f>'4 Eingabe Friseure'!BF2</f>
        <v>45809</v>
      </c>
      <c r="BH8" s="541">
        <f>'4 Eingabe Friseure'!BG2</f>
        <v>45444</v>
      </c>
      <c r="BI8" s="541">
        <f>'4 Eingabe Friseure'!BH2</f>
        <v>45078</v>
      </c>
      <c r="BJ8" s="541">
        <f>'4 Eingabe Friseure'!BI2</f>
        <v>44713</v>
      </c>
    </row>
    <row r="9" spans="1:62" ht="20.399999999999999">
      <c r="A9" s="729" t="s">
        <v>1427</v>
      </c>
      <c r="B9" s="409">
        <v>545</v>
      </c>
      <c r="C9" s="592"/>
      <c r="D9" s="592"/>
      <c r="E9" s="592"/>
      <c r="F9" s="592"/>
      <c r="G9" s="409"/>
      <c r="H9" s="736">
        <v>1</v>
      </c>
      <c r="I9" s="530"/>
      <c r="J9" s="518" t="str">
        <f t="shared" si="0"/>
        <v/>
      </c>
      <c r="K9" s="1208">
        <v>1</v>
      </c>
      <c r="L9" s="733">
        <v>1</v>
      </c>
      <c r="M9" s="733">
        <v>1</v>
      </c>
      <c r="N9" s="733">
        <v>1</v>
      </c>
      <c r="O9" s="733">
        <v>1</v>
      </c>
      <c r="P9" s="733">
        <v>1</v>
      </c>
      <c r="Q9" s="733">
        <v>1</v>
      </c>
      <c r="R9" s="733"/>
      <c r="S9" s="733"/>
      <c r="T9" s="733"/>
      <c r="U9" s="733"/>
      <c r="V9" s="733"/>
      <c r="W9" s="605"/>
      <c r="X9" s="368"/>
      <c r="Y9" s="368"/>
      <c r="Z9" s="368"/>
      <c r="AA9" s="368"/>
      <c r="AB9" s="368"/>
      <c r="AC9" s="368"/>
      <c r="AD9" s="211"/>
      <c r="AE9" s="191"/>
      <c r="AF9" s="545" t="str">
        <f t="shared" si="2"/>
        <v>1. Lj</v>
      </c>
      <c r="AG9" s="546"/>
      <c r="AH9" s="537">
        <f t="shared" si="3"/>
        <v>545</v>
      </c>
      <c r="AI9" s="547"/>
      <c r="AJ9" s="547"/>
      <c r="AK9" s="538">
        <f t="shared" si="4"/>
        <v>7</v>
      </c>
      <c r="AL9" s="539">
        <f t="shared" si="5"/>
        <v>5.8333333333333334E-2</v>
      </c>
      <c r="AM9" s="537">
        <f t="shared" si="6"/>
        <v>3815</v>
      </c>
      <c r="AN9" s="537">
        <f t="shared" si="7"/>
        <v>0</v>
      </c>
      <c r="AO9" s="540" t="str">
        <f t="shared" si="8"/>
        <v/>
      </c>
      <c r="AP9" s="537">
        <f t="shared" si="9"/>
        <v>545</v>
      </c>
      <c r="AQ9" s="368">
        <f t="shared" si="10"/>
        <v>1</v>
      </c>
      <c r="AR9" s="368">
        <f t="shared" si="11"/>
        <v>1</v>
      </c>
      <c r="AS9" s="368">
        <f t="shared" si="12"/>
        <v>1</v>
      </c>
      <c r="AT9" s="368">
        <f t="shared" si="13"/>
        <v>1</v>
      </c>
      <c r="AU9" s="368">
        <f t="shared" si="14"/>
        <v>1</v>
      </c>
      <c r="AV9" s="368">
        <f t="shared" si="15"/>
        <v>1</v>
      </c>
      <c r="AW9" s="368">
        <f t="shared" si="16"/>
        <v>1</v>
      </c>
      <c r="AX9" s="368">
        <f t="shared" si="17"/>
        <v>0</v>
      </c>
      <c r="AY9" s="368">
        <f t="shared" si="18"/>
        <v>0</v>
      </c>
      <c r="AZ9" s="368">
        <f t="shared" si="19"/>
        <v>0</v>
      </c>
      <c r="BA9" s="368">
        <f t="shared" si="20"/>
        <v>0</v>
      </c>
      <c r="BB9" s="368">
        <f t="shared" si="21"/>
        <v>0</v>
      </c>
    </row>
    <row r="10" spans="1:62" ht="20.399999999999999">
      <c r="A10" s="729" t="s">
        <v>1427</v>
      </c>
      <c r="B10" s="409">
        <v>649</v>
      </c>
      <c r="C10" s="592"/>
      <c r="D10" s="592"/>
      <c r="E10" s="592"/>
      <c r="F10" s="409"/>
      <c r="G10" s="409"/>
      <c r="H10" s="736">
        <v>2</v>
      </c>
      <c r="I10" s="530"/>
      <c r="J10" s="518" t="str">
        <f t="shared" si="0"/>
        <v/>
      </c>
      <c r="K10" s="1208"/>
      <c r="L10" s="733"/>
      <c r="M10" s="733"/>
      <c r="N10" s="733"/>
      <c r="O10" s="733"/>
      <c r="P10" s="733"/>
      <c r="Q10" s="733"/>
      <c r="R10" s="733">
        <v>1</v>
      </c>
      <c r="S10" s="733">
        <v>1</v>
      </c>
      <c r="T10" s="733">
        <v>1</v>
      </c>
      <c r="U10" s="733">
        <v>1</v>
      </c>
      <c r="V10" s="733">
        <v>1</v>
      </c>
      <c r="W10" s="605"/>
      <c r="X10" s="368"/>
      <c r="Y10" s="368"/>
      <c r="Z10" s="368"/>
      <c r="AA10" s="368"/>
      <c r="AB10" s="368"/>
      <c r="AC10" s="368"/>
      <c r="AD10" s="211"/>
      <c r="AE10" s="191"/>
      <c r="AF10" s="545" t="str">
        <f t="shared" si="2"/>
        <v>2. Lj</v>
      </c>
      <c r="AG10" s="546"/>
      <c r="AH10" s="537">
        <f t="shared" si="3"/>
        <v>649</v>
      </c>
      <c r="AI10" s="547"/>
      <c r="AJ10" s="547"/>
      <c r="AK10" s="538">
        <f t="shared" si="4"/>
        <v>5</v>
      </c>
      <c r="AL10" s="539">
        <f t="shared" si="5"/>
        <v>0.12499999999999999</v>
      </c>
      <c r="AM10" s="537">
        <f t="shared" si="6"/>
        <v>3245</v>
      </c>
      <c r="AN10" s="537">
        <f t="shared" si="7"/>
        <v>0</v>
      </c>
      <c r="AO10" s="540" t="str">
        <f t="shared" si="8"/>
        <v/>
      </c>
      <c r="AP10" s="537">
        <f t="shared" si="9"/>
        <v>649</v>
      </c>
      <c r="AQ10" s="368">
        <f t="shared" si="10"/>
        <v>0</v>
      </c>
      <c r="AR10" s="368">
        <f t="shared" si="11"/>
        <v>0</v>
      </c>
      <c r="AS10" s="368">
        <f t="shared" si="12"/>
        <v>0</v>
      </c>
      <c r="AT10" s="368">
        <f t="shared" si="13"/>
        <v>0</v>
      </c>
      <c r="AU10" s="368">
        <f t="shared" si="14"/>
        <v>0</v>
      </c>
      <c r="AV10" s="368">
        <f t="shared" si="15"/>
        <v>0</v>
      </c>
      <c r="AW10" s="368">
        <f t="shared" si="16"/>
        <v>0</v>
      </c>
      <c r="AX10" s="368">
        <f t="shared" si="17"/>
        <v>1</v>
      </c>
      <c r="AY10" s="368">
        <f t="shared" si="18"/>
        <v>1</v>
      </c>
      <c r="AZ10" s="368">
        <f t="shared" si="19"/>
        <v>1</v>
      </c>
      <c r="BA10" s="368">
        <f t="shared" si="20"/>
        <v>1</v>
      </c>
      <c r="BB10" s="368">
        <f t="shared" si="21"/>
        <v>1</v>
      </c>
    </row>
    <row r="11" spans="1:62" ht="20.399999999999999">
      <c r="A11" s="729"/>
      <c r="B11" s="409"/>
      <c r="C11" s="592"/>
      <c r="D11" s="592"/>
      <c r="E11" s="592"/>
      <c r="F11" s="409"/>
      <c r="G11" s="409"/>
      <c r="H11" s="736"/>
      <c r="I11" s="530"/>
      <c r="J11" s="518" t="str">
        <f t="shared" si="0"/>
        <v/>
      </c>
      <c r="K11" s="1208"/>
      <c r="L11" s="733"/>
      <c r="M11" s="733"/>
      <c r="N11" s="733"/>
      <c r="O11" s="733"/>
      <c r="P11" s="733"/>
      <c r="Q11" s="733"/>
      <c r="R11" s="733"/>
      <c r="S11" s="733"/>
      <c r="T11" s="733"/>
      <c r="U11" s="733"/>
      <c r="V11" s="733"/>
      <c r="W11" s="605"/>
      <c r="X11" s="368"/>
      <c r="Y11" s="368"/>
      <c r="Z11" s="368"/>
      <c r="AA11" s="368"/>
      <c r="AB11" s="368"/>
      <c r="AC11" s="368"/>
      <c r="AD11" s="211"/>
      <c r="AE11" s="191"/>
      <c r="AF11" s="545" t="str">
        <f t="shared" si="2"/>
        <v/>
      </c>
      <c r="AG11" s="546"/>
      <c r="AH11" s="537" t="str">
        <f t="shared" si="3"/>
        <v/>
      </c>
      <c r="AI11" s="547"/>
      <c r="AJ11" s="547"/>
      <c r="AK11" s="538" t="str">
        <f t="shared" si="4"/>
        <v/>
      </c>
      <c r="AL11" s="539" t="str">
        <f t="shared" si="5"/>
        <v/>
      </c>
      <c r="AM11" s="537" t="str">
        <f t="shared" si="6"/>
        <v/>
      </c>
      <c r="AN11" s="537">
        <f t="shared" si="7"/>
        <v>0</v>
      </c>
      <c r="AO11" s="540" t="str">
        <f t="shared" si="8"/>
        <v/>
      </c>
      <c r="AP11" s="537" t="str">
        <f t="shared" si="9"/>
        <v/>
      </c>
      <c r="AQ11" s="368">
        <f t="shared" si="10"/>
        <v>0</v>
      </c>
      <c r="AR11" s="368">
        <f t="shared" si="11"/>
        <v>0</v>
      </c>
      <c r="AS11" s="368">
        <f t="shared" si="12"/>
        <v>0</v>
      </c>
      <c r="AT11" s="368">
        <f t="shared" si="13"/>
        <v>0</v>
      </c>
      <c r="AU11" s="368">
        <f t="shared" si="14"/>
        <v>0</v>
      </c>
      <c r="AV11" s="368">
        <f t="shared" si="15"/>
        <v>0</v>
      </c>
      <c r="AW11" s="368">
        <f t="shared" si="16"/>
        <v>0</v>
      </c>
      <c r="AX11" s="368">
        <f t="shared" si="17"/>
        <v>0</v>
      </c>
      <c r="AY11" s="368">
        <f t="shared" si="18"/>
        <v>0</v>
      </c>
      <c r="AZ11" s="368">
        <f t="shared" si="19"/>
        <v>0</v>
      </c>
      <c r="BA11" s="368">
        <f t="shared" si="20"/>
        <v>0</v>
      </c>
      <c r="BB11" s="368">
        <f t="shared" si="21"/>
        <v>0</v>
      </c>
    </row>
    <row r="12" spans="1:62" ht="20.399999999999999">
      <c r="A12" s="729"/>
      <c r="B12" s="409"/>
      <c r="C12" s="592"/>
      <c r="D12" s="592"/>
      <c r="E12" s="592"/>
      <c r="F12" s="409"/>
      <c r="G12" s="409"/>
      <c r="H12" s="736"/>
      <c r="I12" s="530"/>
      <c r="J12" s="518" t="str">
        <f t="shared" si="0"/>
        <v/>
      </c>
      <c r="K12" s="1208"/>
      <c r="L12" s="733"/>
      <c r="M12" s="733"/>
      <c r="N12" s="733"/>
      <c r="O12" s="733"/>
      <c r="P12" s="733"/>
      <c r="Q12" s="733"/>
      <c r="R12" s="733"/>
      <c r="S12" s="733"/>
      <c r="T12" s="733"/>
      <c r="U12" s="733"/>
      <c r="V12" s="733"/>
      <c r="W12" s="605"/>
      <c r="X12" s="368"/>
      <c r="Y12" s="368"/>
      <c r="Z12" s="368"/>
      <c r="AA12" s="368"/>
      <c r="AB12" s="368"/>
      <c r="AC12" s="368"/>
      <c r="AD12" s="211"/>
      <c r="AE12" s="191"/>
      <c r="AF12" s="545" t="str">
        <f t="shared" si="2"/>
        <v/>
      </c>
      <c r="AG12" s="546"/>
      <c r="AH12" s="537" t="str">
        <f t="shared" si="3"/>
        <v/>
      </c>
      <c r="AI12" s="547"/>
      <c r="AJ12" s="547"/>
      <c r="AK12" s="538" t="str">
        <f t="shared" si="4"/>
        <v/>
      </c>
      <c r="AL12" s="539" t="str">
        <f t="shared" si="5"/>
        <v/>
      </c>
      <c r="AM12" s="537" t="str">
        <f t="shared" si="6"/>
        <v/>
      </c>
      <c r="AN12" s="537">
        <f t="shared" si="7"/>
        <v>0</v>
      </c>
      <c r="AO12" s="540" t="str">
        <f t="shared" si="8"/>
        <v/>
      </c>
      <c r="AP12" s="537" t="str">
        <f t="shared" si="9"/>
        <v/>
      </c>
      <c r="AQ12" s="368">
        <f t="shared" si="10"/>
        <v>0</v>
      </c>
      <c r="AR12" s="368">
        <f t="shared" si="11"/>
        <v>0</v>
      </c>
      <c r="AS12" s="368">
        <f t="shared" si="12"/>
        <v>0</v>
      </c>
      <c r="AT12" s="368">
        <f t="shared" si="13"/>
        <v>0</v>
      </c>
      <c r="AU12" s="368">
        <f t="shared" si="14"/>
        <v>0</v>
      </c>
      <c r="AV12" s="368">
        <f t="shared" si="15"/>
        <v>0</v>
      </c>
      <c r="AW12" s="368">
        <f t="shared" si="16"/>
        <v>0</v>
      </c>
      <c r="AX12" s="368">
        <f t="shared" si="17"/>
        <v>0</v>
      </c>
      <c r="AY12" s="368">
        <f t="shared" si="18"/>
        <v>0</v>
      </c>
      <c r="AZ12" s="368">
        <f t="shared" si="19"/>
        <v>0</v>
      </c>
      <c r="BA12" s="368">
        <f t="shared" si="20"/>
        <v>0</v>
      </c>
      <c r="BB12" s="368">
        <f t="shared" si="21"/>
        <v>0</v>
      </c>
    </row>
    <row r="13" spans="1:62" ht="20.399999999999999">
      <c r="A13" s="729"/>
      <c r="B13" s="409"/>
      <c r="C13" s="592"/>
      <c r="D13" s="592"/>
      <c r="E13" s="592"/>
      <c r="F13" s="409"/>
      <c r="G13" s="409"/>
      <c r="H13" s="736"/>
      <c r="I13" s="530"/>
      <c r="J13" s="518" t="str">
        <f t="shared" si="0"/>
        <v/>
      </c>
      <c r="K13" s="1208"/>
      <c r="L13" s="733"/>
      <c r="M13" s="733"/>
      <c r="N13" s="733"/>
      <c r="O13" s="733"/>
      <c r="P13" s="733"/>
      <c r="Q13" s="733"/>
      <c r="R13" s="733"/>
      <c r="S13" s="733"/>
      <c r="T13" s="733"/>
      <c r="U13" s="733"/>
      <c r="V13" s="733"/>
      <c r="W13" s="605"/>
      <c r="X13" s="368"/>
      <c r="Y13" s="368"/>
      <c r="Z13" s="368"/>
      <c r="AA13" s="368"/>
      <c r="AB13" s="368"/>
      <c r="AC13" s="368"/>
      <c r="AD13" s="211"/>
      <c r="AE13" s="191"/>
      <c r="AF13" s="545" t="str">
        <f t="shared" si="2"/>
        <v/>
      </c>
      <c r="AG13" s="546"/>
      <c r="AH13" s="537" t="str">
        <f t="shared" si="3"/>
        <v/>
      </c>
      <c r="AI13" s="547"/>
      <c r="AJ13" s="547"/>
      <c r="AK13" s="538" t="str">
        <f t="shared" si="4"/>
        <v/>
      </c>
      <c r="AL13" s="539" t="str">
        <f t="shared" si="5"/>
        <v/>
      </c>
      <c r="AM13" s="537" t="str">
        <f t="shared" si="6"/>
        <v/>
      </c>
      <c r="AN13" s="537">
        <f t="shared" si="7"/>
        <v>0</v>
      </c>
      <c r="AO13" s="540" t="str">
        <f t="shared" si="8"/>
        <v/>
      </c>
      <c r="AP13" s="537" t="str">
        <f t="shared" si="9"/>
        <v/>
      </c>
      <c r="AQ13" s="368">
        <f t="shared" si="10"/>
        <v>0</v>
      </c>
      <c r="AR13" s="368">
        <f t="shared" si="11"/>
        <v>0</v>
      </c>
      <c r="AS13" s="368">
        <f t="shared" si="12"/>
        <v>0</v>
      </c>
      <c r="AT13" s="368">
        <f t="shared" si="13"/>
        <v>0</v>
      </c>
      <c r="AU13" s="368">
        <f t="shared" si="14"/>
        <v>0</v>
      </c>
      <c r="AV13" s="368">
        <f t="shared" si="15"/>
        <v>0</v>
      </c>
      <c r="AW13" s="368">
        <f t="shared" si="16"/>
        <v>0</v>
      </c>
      <c r="AX13" s="368">
        <f t="shared" si="17"/>
        <v>0</v>
      </c>
      <c r="AY13" s="368">
        <f t="shared" si="18"/>
        <v>0</v>
      </c>
      <c r="AZ13" s="368">
        <f t="shared" si="19"/>
        <v>0</v>
      </c>
      <c r="BA13" s="368">
        <f t="shared" si="20"/>
        <v>0</v>
      </c>
      <c r="BB13" s="368">
        <f t="shared" si="21"/>
        <v>0</v>
      </c>
    </row>
    <row r="14" spans="1:62" ht="20.399999999999999">
      <c r="A14" s="729"/>
      <c r="B14" s="409"/>
      <c r="C14" s="592"/>
      <c r="D14" s="592"/>
      <c r="E14" s="592"/>
      <c r="F14" s="409"/>
      <c r="G14" s="409"/>
      <c r="H14" s="736"/>
      <c r="I14" s="530"/>
      <c r="J14" s="518" t="str">
        <f t="shared" si="0"/>
        <v/>
      </c>
      <c r="K14" s="1208"/>
      <c r="L14" s="733"/>
      <c r="M14" s="733"/>
      <c r="N14" s="733"/>
      <c r="O14" s="733"/>
      <c r="P14" s="733"/>
      <c r="Q14" s="733"/>
      <c r="R14" s="733"/>
      <c r="S14" s="733"/>
      <c r="T14" s="733"/>
      <c r="U14" s="733"/>
      <c r="V14" s="733"/>
      <c r="W14" s="605"/>
      <c r="X14" s="368"/>
      <c r="Y14" s="368"/>
      <c r="Z14" s="368"/>
      <c r="AA14" s="368"/>
      <c r="AB14" s="368"/>
      <c r="AC14" s="368"/>
      <c r="AD14" s="211"/>
      <c r="AE14" s="191"/>
      <c r="AF14" s="545" t="str">
        <f t="shared" si="2"/>
        <v/>
      </c>
      <c r="AG14" s="546"/>
      <c r="AH14" s="537" t="str">
        <f t="shared" si="3"/>
        <v/>
      </c>
      <c r="AI14" s="547"/>
      <c r="AJ14" s="547"/>
      <c r="AK14" s="538" t="str">
        <f t="shared" si="4"/>
        <v/>
      </c>
      <c r="AL14" s="539" t="str">
        <f t="shared" si="5"/>
        <v/>
      </c>
      <c r="AM14" s="537" t="str">
        <f t="shared" si="6"/>
        <v/>
      </c>
      <c r="AN14" s="537">
        <f t="shared" si="7"/>
        <v>0</v>
      </c>
      <c r="AO14" s="540" t="str">
        <f t="shared" si="8"/>
        <v/>
      </c>
      <c r="AP14" s="537" t="str">
        <f t="shared" si="9"/>
        <v/>
      </c>
      <c r="AQ14" s="368">
        <f t="shared" si="10"/>
        <v>0</v>
      </c>
      <c r="AR14" s="368">
        <f t="shared" si="11"/>
        <v>0</v>
      </c>
      <c r="AS14" s="368">
        <f t="shared" si="12"/>
        <v>0</v>
      </c>
      <c r="AT14" s="368">
        <f t="shared" si="13"/>
        <v>0</v>
      </c>
      <c r="AU14" s="368">
        <f t="shared" si="14"/>
        <v>0</v>
      </c>
      <c r="AV14" s="368">
        <f t="shared" si="15"/>
        <v>0</v>
      </c>
      <c r="AW14" s="368">
        <f t="shared" si="16"/>
        <v>0</v>
      </c>
      <c r="AX14" s="368">
        <f t="shared" si="17"/>
        <v>0</v>
      </c>
      <c r="AY14" s="368">
        <f t="shared" si="18"/>
        <v>0</v>
      </c>
      <c r="AZ14" s="368">
        <f t="shared" si="19"/>
        <v>0</v>
      </c>
      <c r="BA14" s="368">
        <f t="shared" si="20"/>
        <v>0</v>
      </c>
      <c r="BB14" s="368">
        <f t="shared" si="21"/>
        <v>0</v>
      </c>
    </row>
    <row r="15" spans="1:62" ht="20.399999999999999">
      <c r="A15" s="729"/>
      <c r="B15" s="409"/>
      <c r="C15" s="592"/>
      <c r="D15" s="592"/>
      <c r="E15" s="592"/>
      <c r="F15" s="409"/>
      <c r="G15" s="409"/>
      <c r="H15" s="735"/>
      <c r="I15" s="530"/>
      <c r="J15" s="518" t="str">
        <f t="shared" si="0"/>
        <v/>
      </c>
      <c r="K15" s="1208"/>
      <c r="L15" s="733"/>
      <c r="M15" s="733"/>
      <c r="N15" s="733"/>
      <c r="O15" s="733"/>
      <c r="P15" s="733"/>
      <c r="Q15" s="733"/>
      <c r="R15" s="733"/>
      <c r="S15" s="733"/>
      <c r="T15" s="733"/>
      <c r="U15" s="733"/>
      <c r="V15" s="733"/>
      <c r="W15" s="513"/>
      <c r="X15" s="368"/>
      <c r="Y15" s="368"/>
      <c r="Z15" s="368"/>
      <c r="AA15" s="368"/>
      <c r="AB15" s="368"/>
      <c r="AC15" s="368"/>
      <c r="AD15" s="211"/>
      <c r="AE15" s="191"/>
      <c r="AF15" s="545" t="str">
        <f t="shared" si="2"/>
        <v/>
      </c>
      <c r="AG15" s="546"/>
      <c r="AH15" s="537" t="str">
        <f t="shared" si="3"/>
        <v/>
      </c>
      <c r="AI15" s="547"/>
      <c r="AJ15" s="547"/>
      <c r="AK15" s="538" t="str">
        <f t="shared" si="4"/>
        <v/>
      </c>
      <c r="AL15" s="539" t="str">
        <f t="shared" si="5"/>
        <v/>
      </c>
      <c r="AM15" s="537" t="str">
        <f t="shared" si="6"/>
        <v/>
      </c>
      <c r="AN15" s="537">
        <f t="shared" si="7"/>
        <v>0</v>
      </c>
      <c r="AO15" s="540" t="str">
        <f t="shared" si="8"/>
        <v/>
      </c>
      <c r="AP15" s="537" t="str">
        <f t="shared" si="9"/>
        <v/>
      </c>
      <c r="AQ15" s="368">
        <f t="shared" si="10"/>
        <v>0</v>
      </c>
      <c r="AR15" s="368">
        <f t="shared" si="11"/>
        <v>0</v>
      </c>
      <c r="AS15" s="368">
        <f t="shared" si="12"/>
        <v>0</v>
      </c>
      <c r="AT15" s="368">
        <f t="shared" si="13"/>
        <v>0</v>
      </c>
      <c r="AU15" s="368">
        <f t="shared" si="14"/>
        <v>0</v>
      </c>
      <c r="AV15" s="368">
        <f t="shared" si="15"/>
        <v>0</v>
      </c>
      <c r="AW15" s="368">
        <f t="shared" si="16"/>
        <v>0</v>
      </c>
      <c r="AX15" s="368">
        <f t="shared" si="17"/>
        <v>0</v>
      </c>
      <c r="AY15" s="368">
        <f t="shared" si="18"/>
        <v>0</v>
      </c>
      <c r="AZ15" s="368">
        <f t="shared" si="19"/>
        <v>0</v>
      </c>
      <c r="BA15" s="368">
        <f t="shared" si="20"/>
        <v>0</v>
      </c>
      <c r="BB15" s="368">
        <f t="shared" si="21"/>
        <v>0</v>
      </c>
    </row>
    <row r="16" spans="1:62" ht="20.399999999999999">
      <c r="A16" s="729"/>
      <c r="B16" s="409"/>
      <c r="C16" s="592"/>
      <c r="D16" s="592"/>
      <c r="E16" s="592"/>
      <c r="F16" s="409"/>
      <c r="G16" s="409"/>
      <c r="H16" s="736"/>
      <c r="I16" s="530"/>
      <c r="J16" s="518" t="str">
        <f t="shared" si="0"/>
        <v/>
      </c>
      <c r="K16" s="1208"/>
      <c r="L16" s="733"/>
      <c r="M16" s="733"/>
      <c r="N16" s="733"/>
      <c r="O16" s="733"/>
      <c r="P16" s="733"/>
      <c r="Q16" s="733"/>
      <c r="R16" s="733"/>
      <c r="S16" s="733"/>
      <c r="T16" s="733"/>
      <c r="U16" s="733"/>
      <c r="V16" s="733"/>
      <c r="W16" s="605"/>
      <c r="X16" s="368"/>
      <c r="Y16" s="368"/>
      <c r="Z16" s="368"/>
      <c r="AA16" s="368"/>
      <c r="AB16" s="368"/>
      <c r="AC16" s="368"/>
      <c r="AD16" s="211"/>
      <c r="AE16" s="191"/>
      <c r="AF16" s="545" t="str">
        <f t="shared" si="2"/>
        <v/>
      </c>
      <c r="AG16" s="546"/>
      <c r="AH16" s="537" t="str">
        <f t="shared" si="3"/>
        <v/>
      </c>
      <c r="AI16" s="547"/>
      <c r="AJ16" s="547"/>
      <c r="AK16" s="538" t="str">
        <f t="shared" si="4"/>
        <v/>
      </c>
      <c r="AL16" s="539" t="str">
        <f t="shared" si="5"/>
        <v/>
      </c>
      <c r="AM16" s="537" t="str">
        <f t="shared" si="6"/>
        <v/>
      </c>
      <c r="AN16" s="537">
        <f t="shared" si="7"/>
        <v>0</v>
      </c>
      <c r="AO16" s="540" t="str">
        <f t="shared" si="8"/>
        <v/>
      </c>
      <c r="AP16" s="537" t="str">
        <f t="shared" si="9"/>
        <v/>
      </c>
      <c r="AQ16" s="368">
        <f t="shared" si="10"/>
        <v>0</v>
      </c>
      <c r="AR16" s="368">
        <f t="shared" si="11"/>
        <v>0</v>
      </c>
      <c r="AS16" s="368">
        <f t="shared" si="12"/>
        <v>0</v>
      </c>
      <c r="AT16" s="368">
        <f t="shared" si="13"/>
        <v>0</v>
      </c>
      <c r="AU16" s="368">
        <f t="shared" si="14"/>
        <v>0</v>
      </c>
      <c r="AV16" s="368">
        <f t="shared" si="15"/>
        <v>0</v>
      </c>
      <c r="AW16" s="368">
        <f t="shared" si="16"/>
        <v>0</v>
      </c>
      <c r="AX16" s="368">
        <f t="shared" si="17"/>
        <v>0</v>
      </c>
      <c r="AY16" s="368">
        <f t="shared" si="18"/>
        <v>0</v>
      </c>
      <c r="AZ16" s="368">
        <f t="shared" si="19"/>
        <v>0</v>
      </c>
      <c r="BA16" s="368">
        <f t="shared" si="20"/>
        <v>0</v>
      </c>
      <c r="BB16" s="368">
        <f t="shared" si="21"/>
        <v>0</v>
      </c>
    </row>
    <row r="17" spans="1:54" ht="20.399999999999999">
      <c r="A17" s="729"/>
      <c r="B17" s="409"/>
      <c r="C17" s="592"/>
      <c r="D17" s="592"/>
      <c r="E17" s="592"/>
      <c r="F17" s="592"/>
      <c r="G17" s="409"/>
      <c r="H17" s="736"/>
      <c r="I17" s="530"/>
      <c r="J17" s="518" t="str">
        <f t="shared" si="0"/>
        <v/>
      </c>
      <c r="K17" s="1208"/>
      <c r="L17" s="733"/>
      <c r="M17" s="733"/>
      <c r="N17" s="733"/>
      <c r="O17" s="733"/>
      <c r="P17" s="733"/>
      <c r="Q17" s="733"/>
      <c r="R17" s="733"/>
      <c r="S17" s="733"/>
      <c r="T17" s="733"/>
      <c r="U17" s="733"/>
      <c r="V17" s="733"/>
      <c r="W17" s="605"/>
      <c r="X17" s="368"/>
      <c r="Y17" s="368"/>
      <c r="Z17" s="368"/>
      <c r="AA17" s="368"/>
      <c r="AB17" s="368"/>
      <c r="AC17" s="368"/>
      <c r="AD17" s="211"/>
      <c r="AE17" s="191"/>
      <c r="AF17" s="545" t="str">
        <f t="shared" si="2"/>
        <v/>
      </c>
      <c r="AG17" s="546"/>
      <c r="AH17" s="537" t="str">
        <f t="shared" si="3"/>
        <v/>
      </c>
      <c r="AI17" s="547"/>
      <c r="AJ17" s="547"/>
      <c r="AK17" s="538" t="str">
        <f t="shared" si="4"/>
        <v/>
      </c>
      <c r="AL17" s="539" t="str">
        <f t="shared" si="5"/>
        <v/>
      </c>
      <c r="AM17" s="537" t="str">
        <f t="shared" si="6"/>
        <v/>
      </c>
      <c r="AN17" s="537">
        <f t="shared" si="7"/>
        <v>0</v>
      </c>
      <c r="AO17" s="540" t="str">
        <f t="shared" si="8"/>
        <v/>
      </c>
      <c r="AP17" s="537" t="str">
        <f t="shared" si="9"/>
        <v/>
      </c>
      <c r="AQ17" s="368">
        <f t="shared" si="10"/>
        <v>0</v>
      </c>
      <c r="AR17" s="368">
        <f t="shared" si="11"/>
        <v>0</v>
      </c>
      <c r="AS17" s="368">
        <f t="shared" si="12"/>
        <v>0</v>
      </c>
      <c r="AT17" s="368">
        <f t="shared" si="13"/>
        <v>0</v>
      </c>
      <c r="AU17" s="368">
        <f t="shared" si="14"/>
        <v>0</v>
      </c>
      <c r="AV17" s="368">
        <f t="shared" si="15"/>
        <v>0</v>
      </c>
      <c r="AW17" s="368">
        <f t="shared" si="16"/>
        <v>0</v>
      </c>
      <c r="AX17" s="368">
        <f t="shared" si="17"/>
        <v>0</v>
      </c>
      <c r="AY17" s="368">
        <f t="shared" si="18"/>
        <v>0</v>
      </c>
      <c r="AZ17" s="368">
        <f t="shared" si="19"/>
        <v>0</v>
      </c>
      <c r="BA17" s="368">
        <f t="shared" si="20"/>
        <v>0</v>
      </c>
      <c r="BB17" s="368">
        <f t="shared" si="21"/>
        <v>0</v>
      </c>
    </row>
    <row r="18" spans="1:54" ht="20.399999999999999">
      <c r="A18" s="729"/>
      <c r="B18" s="409"/>
      <c r="C18" s="592"/>
      <c r="D18" s="592"/>
      <c r="E18" s="592"/>
      <c r="F18" s="592"/>
      <c r="G18" s="409"/>
      <c r="H18" s="736"/>
      <c r="I18" s="530"/>
      <c r="J18" s="518" t="str">
        <f t="shared" si="0"/>
        <v/>
      </c>
      <c r="K18" s="1208"/>
      <c r="L18" s="733"/>
      <c r="M18" s="733"/>
      <c r="N18" s="733"/>
      <c r="O18" s="733"/>
      <c r="P18" s="733"/>
      <c r="Q18" s="733"/>
      <c r="R18" s="733"/>
      <c r="S18" s="733"/>
      <c r="T18" s="733"/>
      <c r="U18" s="733"/>
      <c r="V18" s="733"/>
      <c r="W18" s="605"/>
      <c r="X18" s="368"/>
      <c r="Y18" s="368"/>
      <c r="Z18" s="368"/>
      <c r="AA18" s="368"/>
      <c r="AB18" s="368"/>
      <c r="AC18" s="368"/>
      <c r="AD18" s="211"/>
      <c r="AE18" s="191"/>
      <c r="AF18" s="545" t="str">
        <f t="shared" si="2"/>
        <v/>
      </c>
      <c r="AG18" s="546"/>
      <c r="AH18" s="537" t="str">
        <f t="shared" si="3"/>
        <v/>
      </c>
      <c r="AI18" s="547"/>
      <c r="AJ18" s="547"/>
      <c r="AK18" s="538" t="str">
        <f t="shared" si="4"/>
        <v/>
      </c>
      <c r="AL18" s="539" t="str">
        <f t="shared" si="5"/>
        <v/>
      </c>
      <c r="AM18" s="537" t="str">
        <f t="shared" si="6"/>
        <v/>
      </c>
      <c r="AN18" s="537">
        <f t="shared" si="7"/>
        <v>0</v>
      </c>
      <c r="AO18" s="540" t="str">
        <f t="shared" si="8"/>
        <v/>
      </c>
      <c r="AP18" s="537" t="str">
        <f t="shared" si="9"/>
        <v/>
      </c>
      <c r="AQ18" s="368">
        <f t="shared" si="10"/>
        <v>0</v>
      </c>
      <c r="AR18" s="368">
        <f t="shared" si="11"/>
        <v>0</v>
      </c>
      <c r="AS18" s="368">
        <f t="shared" si="12"/>
        <v>0</v>
      </c>
      <c r="AT18" s="368">
        <f t="shared" si="13"/>
        <v>0</v>
      </c>
      <c r="AU18" s="368">
        <f t="shared" si="14"/>
        <v>0</v>
      </c>
      <c r="AV18" s="368">
        <f t="shared" si="15"/>
        <v>0</v>
      </c>
      <c r="AW18" s="368">
        <f t="shared" si="16"/>
        <v>0</v>
      </c>
      <c r="AX18" s="368">
        <f t="shared" si="17"/>
        <v>0</v>
      </c>
      <c r="AY18" s="368">
        <f t="shared" si="18"/>
        <v>0</v>
      </c>
      <c r="AZ18" s="368">
        <f t="shared" si="19"/>
        <v>0</v>
      </c>
      <c r="BA18" s="368">
        <f t="shared" si="20"/>
        <v>0</v>
      </c>
      <c r="BB18" s="368">
        <f t="shared" si="21"/>
        <v>0</v>
      </c>
    </row>
    <row r="19" spans="1:54" ht="17.399999999999999">
      <c r="A19" s="729"/>
      <c r="B19" s="409"/>
      <c r="C19" s="592"/>
      <c r="D19" s="592"/>
      <c r="E19" s="592"/>
      <c r="F19" s="592"/>
      <c r="G19" s="409"/>
      <c r="H19" s="736"/>
      <c r="I19" s="530"/>
      <c r="K19" s="1208"/>
      <c r="L19" s="733"/>
      <c r="M19" s="733"/>
      <c r="N19" s="733"/>
      <c r="O19" s="733"/>
      <c r="P19" s="733"/>
      <c r="Q19" s="733"/>
      <c r="R19" s="733"/>
      <c r="S19" s="733"/>
      <c r="T19" s="733"/>
      <c r="U19" s="733"/>
      <c r="V19" s="733"/>
      <c r="W19" s="605"/>
      <c r="X19" s="368"/>
      <c r="Y19" s="368"/>
      <c r="Z19" s="368"/>
      <c r="AA19" s="368"/>
      <c r="AB19" s="368"/>
      <c r="AC19" s="368"/>
      <c r="AD19" s="210"/>
      <c r="AE19" s="191"/>
      <c r="AF19" s="545" t="str">
        <f t="shared" si="2"/>
        <v/>
      </c>
      <c r="AG19" s="546"/>
      <c r="AH19" s="537" t="str">
        <f t="shared" si="3"/>
        <v/>
      </c>
      <c r="AI19" s="547"/>
      <c r="AJ19" s="547"/>
      <c r="AK19" s="538" t="str">
        <f t="shared" si="4"/>
        <v/>
      </c>
      <c r="AL19" s="539" t="str">
        <f t="shared" si="5"/>
        <v/>
      </c>
      <c r="AM19" s="537" t="str">
        <f t="shared" si="6"/>
        <v/>
      </c>
      <c r="AN19" s="537">
        <f t="shared" si="7"/>
        <v>0</v>
      </c>
      <c r="AO19" s="540" t="str">
        <f t="shared" si="8"/>
        <v/>
      </c>
      <c r="AP19" s="537" t="str">
        <f t="shared" si="9"/>
        <v/>
      </c>
      <c r="AQ19" s="368">
        <f t="shared" si="10"/>
        <v>0</v>
      </c>
      <c r="AR19" s="368">
        <f t="shared" si="11"/>
        <v>0</v>
      </c>
      <c r="AS19" s="368">
        <f t="shared" si="12"/>
        <v>0</v>
      </c>
      <c r="AT19" s="368">
        <f t="shared" si="13"/>
        <v>0</v>
      </c>
      <c r="AU19" s="368">
        <f t="shared" si="14"/>
        <v>0</v>
      </c>
      <c r="AV19" s="368">
        <f t="shared" si="15"/>
        <v>0</v>
      </c>
      <c r="AW19" s="368">
        <f t="shared" si="16"/>
        <v>0</v>
      </c>
      <c r="AX19" s="368">
        <f t="shared" si="17"/>
        <v>0</v>
      </c>
      <c r="AY19" s="368">
        <f t="shared" si="18"/>
        <v>0</v>
      </c>
      <c r="AZ19" s="368">
        <f t="shared" si="19"/>
        <v>0</v>
      </c>
      <c r="BA19" s="368">
        <f t="shared" si="20"/>
        <v>0</v>
      </c>
      <c r="BB19" s="368">
        <f t="shared" si="21"/>
        <v>0</v>
      </c>
    </row>
    <row r="20" spans="1:54" ht="17.399999999999999">
      <c r="A20" s="729"/>
      <c r="B20" s="409"/>
      <c r="C20" s="592"/>
      <c r="D20" s="592"/>
      <c r="E20" s="592"/>
      <c r="F20" s="592"/>
      <c r="G20" s="409"/>
      <c r="H20" s="736"/>
      <c r="I20" s="530"/>
      <c r="K20" s="1208"/>
      <c r="L20" s="733"/>
      <c r="M20" s="733"/>
      <c r="N20" s="733"/>
      <c r="O20" s="733"/>
      <c r="P20" s="733"/>
      <c r="Q20" s="733"/>
      <c r="R20" s="733"/>
      <c r="S20" s="733"/>
      <c r="T20" s="733"/>
      <c r="U20" s="733"/>
      <c r="V20" s="733"/>
      <c r="W20" s="605"/>
      <c r="X20" s="368"/>
      <c r="Y20" s="368"/>
      <c r="Z20" s="368"/>
      <c r="AA20" s="368"/>
      <c r="AB20" s="368"/>
      <c r="AC20" s="368"/>
      <c r="AD20" s="210"/>
      <c r="AE20" s="191"/>
      <c r="AF20" s="545" t="str">
        <f t="shared" si="2"/>
        <v/>
      </c>
      <c r="AG20" s="546"/>
      <c r="AH20" s="537" t="str">
        <f t="shared" si="3"/>
        <v/>
      </c>
      <c r="AI20" s="547"/>
      <c r="AJ20" s="547"/>
      <c r="AK20" s="538" t="str">
        <f t="shared" si="4"/>
        <v/>
      </c>
      <c r="AL20" s="539" t="str">
        <f t="shared" si="5"/>
        <v/>
      </c>
      <c r="AM20" s="537" t="str">
        <f t="shared" si="6"/>
        <v/>
      </c>
      <c r="AN20" s="537">
        <f t="shared" si="7"/>
        <v>0</v>
      </c>
      <c r="AO20" s="540" t="str">
        <f t="shared" si="8"/>
        <v/>
      </c>
      <c r="AP20" s="537" t="str">
        <f t="shared" si="9"/>
        <v/>
      </c>
      <c r="AQ20" s="368">
        <f t="shared" si="10"/>
        <v>0</v>
      </c>
      <c r="AR20" s="368">
        <f t="shared" si="11"/>
        <v>0</v>
      </c>
      <c r="AS20" s="368">
        <f t="shared" si="12"/>
        <v>0</v>
      </c>
      <c r="AT20" s="368">
        <f t="shared" si="13"/>
        <v>0</v>
      </c>
      <c r="AU20" s="368">
        <f t="shared" si="14"/>
        <v>0</v>
      </c>
      <c r="AV20" s="368">
        <f t="shared" si="15"/>
        <v>0</v>
      </c>
      <c r="AW20" s="368">
        <f t="shared" si="16"/>
        <v>0</v>
      </c>
      <c r="AX20" s="368">
        <f t="shared" si="17"/>
        <v>0</v>
      </c>
      <c r="AY20" s="368">
        <f t="shared" si="18"/>
        <v>0</v>
      </c>
      <c r="AZ20" s="368">
        <f t="shared" si="19"/>
        <v>0</v>
      </c>
      <c r="BA20" s="368">
        <f t="shared" si="20"/>
        <v>0</v>
      </c>
      <c r="BB20" s="368">
        <f t="shared" si="21"/>
        <v>0</v>
      </c>
    </row>
    <row r="21" spans="1:54" ht="17.399999999999999">
      <c r="A21" s="729"/>
      <c r="B21" s="409"/>
      <c r="C21" s="592"/>
      <c r="D21" s="592"/>
      <c r="E21" s="592"/>
      <c r="F21" s="592"/>
      <c r="G21" s="409"/>
      <c r="H21" s="735"/>
      <c r="I21" s="530"/>
      <c r="K21" s="1208"/>
      <c r="L21" s="733"/>
      <c r="M21" s="733"/>
      <c r="N21" s="733"/>
      <c r="O21" s="733"/>
      <c r="P21" s="733"/>
      <c r="Q21" s="733"/>
      <c r="R21" s="733"/>
      <c r="S21" s="733"/>
      <c r="T21" s="733"/>
      <c r="U21" s="733"/>
      <c r="V21" s="733"/>
      <c r="W21" s="605"/>
      <c r="X21" s="368"/>
      <c r="Y21" s="368"/>
      <c r="Z21" s="368"/>
      <c r="AA21" s="368"/>
      <c r="AB21" s="368"/>
      <c r="AC21" s="368"/>
      <c r="AD21" s="210"/>
      <c r="AE21" s="191"/>
      <c r="AF21" s="545" t="str">
        <f t="shared" si="2"/>
        <v/>
      </c>
      <c r="AG21" s="546"/>
      <c r="AH21" s="537" t="str">
        <f t="shared" si="3"/>
        <v/>
      </c>
      <c r="AI21" s="547"/>
      <c r="AJ21" s="547"/>
      <c r="AK21" s="538" t="str">
        <f t="shared" si="4"/>
        <v/>
      </c>
      <c r="AL21" s="539" t="str">
        <f t="shared" si="5"/>
        <v/>
      </c>
      <c r="AM21" s="537" t="str">
        <f t="shared" si="6"/>
        <v/>
      </c>
      <c r="AN21" s="537">
        <f t="shared" si="7"/>
        <v>0</v>
      </c>
      <c r="AO21" s="540" t="str">
        <f t="shared" si="8"/>
        <v/>
      </c>
      <c r="AP21" s="537" t="str">
        <f t="shared" si="9"/>
        <v/>
      </c>
      <c r="AQ21" s="368">
        <f t="shared" si="10"/>
        <v>0</v>
      </c>
      <c r="AR21" s="368">
        <f t="shared" si="11"/>
        <v>0</v>
      </c>
      <c r="AS21" s="368">
        <f t="shared" si="12"/>
        <v>0</v>
      </c>
      <c r="AT21" s="368">
        <f t="shared" si="13"/>
        <v>0</v>
      </c>
      <c r="AU21" s="368">
        <f t="shared" si="14"/>
        <v>0</v>
      </c>
      <c r="AV21" s="368">
        <f t="shared" si="15"/>
        <v>0</v>
      </c>
      <c r="AW21" s="368">
        <f t="shared" si="16"/>
        <v>0</v>
      </c>
      <c r="AX21" s="368">
        <f t="shared" si="17"/>
        <v>0</v>
      </c>
      <c r="AY21" s="368">
        <f t="shared" si="18"/>
        <v>0</v>
      </c>
      <c r="AZ21" s="368">
        <f t="shared" si="19"/>
        <v>0</v>
      </c>
      <c r="BA21" s="368">
        <f t="shared" si="20"/>
        <v>0</v>
      </c>
      <c r="BB21" s="368">
        <f t="shared" si="21"/>
        <v>0</v>
      </c>
    </row>
    <row r="22" spans="1:54" ht="17.399999999999999">
      <c r="A22" s="729"/>
      <c r="B22" s="409"/>
      <c r="C22" s="592"/>
      <c r="D22" s="592"/>
      <c r="E22" s="592"/>
      <c r="F22" s="592"/>
      <c r="G22" s="409"/>
      <c r="H22" s="736"/>
      <c r="I22" s="530"/>
      <c r="K22" s="1208"/>
      <c r="L22" s="733"/>
      <c r="M22" s="733"/>
      <c r="N22" s="733"/>
      <c r="O22" s="733"/>
      <c r="P22" s="733"/>
      <c r="Q22" s="733"/>
      <c r="R22" s="733"/>
      <c r="S22" s="733"/>
      <c r="T22" s="733"/>
      <c r="U22" s="733"/>
      <c r="V22" s="733"/>
      <c r="W22" s="605"/>
      <c r="X22" s="368"/>
      <c r="Y22" s="368"/>
      <c r="Z22" s="368"/>
      <c r="AA22" s="368"/>
      <c r="AB22" s="368"/>
      <c r="AC22" s="368"/>
      <c r="AD22" s="210"/>
      <c r="AE22" s="191"/>
      <c r="AF22" s="545" t="str">
        <f t="shared" si="2"/>
        <v/>
      </c>
      <c r="AG22" s="546"/>
      <c r="AH22" s="537" t="str">
        <f t="shared" si="3"/>
        <v/>
      </c>
      <c r="AI22" s="547"/>
      <c r="AJ22" s="547"/>
      <c r="AK22" s="538" t="str">
        <f t="shared" si="4"/>
        <v/>
      </c>
      <c r="AL22" s="539" t="str">
        <f t="shared" si="5"/>
        <v/>
      </c>
      <c r="AM22" s="537" t="str">
        <f t="shared" si="6"/>
        <v/>
      </c>
      <c r="AN22" s="537">
        <f t="shared" si="7"/>
        <v>0</v>
      </c>
      <c r="AO22" s="540" t="str">
        <f t="shared" si="8"/>
        <v/>
      </c>
      <c r="AP22" s="537" t="str">
        <f t="shared" si="9"/>
        <v/>
      </c>
      <c r="AQ22" s="368">
        <f t="shared" si="10"/>
        <v>0</v>
      </c>
      <c r="AR22" s="368">
        <f t="shared" si="11"/>
        <v>0</v>
      </c>
      <c r="AS22" s="368">
        <f t="shared" si="12"/>
        <v>0</v>
      </c>
      <c r="AT22" s="368">
        <f t="shared" si="13"/>
        <v>0</v>
      </c>
      <c r="AU22" s="368">
        <f t="shared" si="14"/>
        <v>0</v>
      </c>
      <c r="AV22" s="368">
        <f t="shared" si="15"/>
        <v>0</v>
      </c>
      <c r="AW22" s="368">
        <f t="shared" si="16"/>
        <v>0</v>
      </c>
      <c r="AX22" s="368">
        <f t="shared" si="17"/>
        <v>0</v>
      </c>
      <c r="AY22" s="368">
        <f t="shared" si="18"/>
        <v>0</v>
      </c>
      <c r="AZ22" s="368">
        <f t="shared" si="19"/>
        <v>0</v>
      </c>
      <c r="BA22" s="368">
        <f t="shared" si="20"/>
        <v>0</v>
      </c>
      <c r="BB22" s="368">
        <f t="shared" si="21"/>
        <v>0</v>
      </c>
    </row>
    <row r="23" spans="1:54" ht="17.399999999999999">
      <c r="A23" s="729"/>
      <c r="B23" s="409"/>
      <c r="C23" s="592"/>
      <c r="D23" s="592"/>
      <c r="E23" s="592"/>
      <c r="F23" s="592"/>
      <c r="G23" s="409"/>
      <c r="H23" s="763"/>
      <c r="I23" s="531"/>
      <c r="K23" s="1208"/>
      <c r="L23" s="733"/>
      <c r="M23" s="733"/>
      <c r="N23" s="733"/>
      <c r="O23" s="733"/>
      <c r="P23" s="733"/>
      <c r="Q23" s="733"/>
      <c r="R23" s="733"/>
      <c r="S23" s="733"/>
      <c r="T23" s="733"/>
      <c r="U23" s="733"/>
      <c r="V23" s="733"/>
      <c r="W23" s="605"/>
      <c r="X23" s="368"/>
      <c r="Y23" s="368"/>
      <c r="Z23" s="368"/>
      <c r="AA23" s="368"/>
      <c r="AB23" s="368"/>
      <c r="AC23" s="368"/>
      <c r="AD23" s="210"/>
      <c r="AE23" s="191"/>
      <c r="AF23" s="545" t="str">
        <f t="shared" si="2"/>
        <v/>
      </c>
      <c r="AG23" s="546"/>
      <c r="AH23" s="537" t="str">
        <f t="shared" si="3"/>
        <v/>
      </c>
      <c r="AI23" s="670"/>
      <c r="AJ23" s="671"/>
      <c r="AK23" s="538" t="str">
        <f t="shared" si="4"/>
        <v/>
      </c>
      <c r="AL23" s="539" t="str">
        <f t="shared" si="5"/>
        <v/>
      </c>
      <c r="AM23" s="537" t="str">
        <f t="shared" si="6"/>
        <v/>
      </c>
      <c r="AN23" s="537">
        <f t="shared" si="7"/>
        <v>0</v>
      </c>
      <c r="AO23" s="540" t="str">
        <f t="shared" si="8"/>
        <v/>
      </c>
      <c r="AP23" s="537" t="str">
        <f t="shared" si="9"/>
        <v/>
      </c>
      <c r="AQ23" s="368">
        <f t="shared" si="10"/>
        <v>0</v>
      </c>
      <c r="AR23" s="368">
        <f t="shared" si="11"/>
        <v>0</v>
      </c>
      <c r="AS23" s="368">
        <f t="shared" si="12"/>
        <v>0</v>
      </c>
      <c r="AT23" s="368">
        <f t="shared" si="13"/>
        <v>0</v>
      </c>
      <c r="AU23" s="368">
        <f t="shared" si="14"/>
        <v>0</v>
      </c>
      <c r="AV23" s="368">
        <f t="shared" si="15"/>
        <v>0</v>
      </c>
      <c r="AW23" s="368">
        <f t="shared" si="16"/>
        <v>0</v>
      </c>
      <c r="AX23" s="368">
        <f t="shared" si="17"/>
        <v>0</v>
      </c>
      <c r="AY23" s="368">
        <f t="shared" si="18"/>
        <v>0</v>
      </c>
      <c r="AZ23" s="368">
        <f t="shared" si="19"/>
        <v>0</v>
      </c>
      <c r="BA23" s="368">
        <f t="shared" si="20"/>
        <v>0</v>
      </c>
      <c r="BB23" s="368">
        <f t="shared" si="21"/>
        <v>0</v>
      </c>
    </row>
    <row r="24" spans="1:54" ht="17.399999999999999">
      <c r="A24" s="31"/>
      <c r="B24" s="80"/>
      <c r="C24" s="209"/>
      <c r="D24" s="209"/>
      <c r="E24" s="374"/>
      <c r="F24" s="374"/>
      <c r="G24" s="15"/>
      <c r="H24" s="15"/>
      <c r="I24" s="15"/>
      <c r="K24" s="191"/>
      <c r="L24" s="191"/>
      <c r="M24" s="191"/>
      <c r="N24" s="191"/>
      <c r="O24" s="191"/>
      <c r="P24" s="191"/>
      <c r="Q24" s="191"/>
      <c r="R24" s="191"/>
      <c r="S24" s="191"/>
      <c r="T24" s="191"/>
      <c r="U24" s="191"/>
      <c r="V24" s="191"/>
      <c r="W24" s="191"/>
      <c r="X24" s="191"/>
      <c r="Y24" s="191"/>
      <c r="Z24" s="191"/>
      <c r="AA24" s="191"/>
      <c r="AB24" s="191"/>
      <c r="AC24" s="191"/>
      <c r="AD24" s="211"/>
      <c r="AE24" s="191"/>
      <c r="AF24" s="542"/>
      <c r="AG24" s="543"/>
      <c r="AH24" s="58"/>
      <c r="AI24" s="544"/>
      <c r="AJ24" s="544"/>
      <c r="AK24" s="80"/>
      <c r="AL24" s="80"/>
    </row>
    <row r="25" spans="1:54">
      <c r="J25" s="3"/>
      <c r="K25" s="3"/>
      <c r="L25" s="3"/>
      <c r="M25" s="3"/>
      <c r="N25" s="3"/>
      <c r="O25" s="3"/>
      <c r="AM25" s="3"/>
      <c r="AN25" s="3"/>
      <c r="AO25" s="3"/>
      <c r="AP25" s="3"/>
      <c r="AQ25" s="3"/>
      <c r="AR25" s="3"/>
      <c r="AS25" s="3"/>
      <c r="AT25" s="3"/>
      <c r="AU25" s="3"/>
      <c r="AV25" s="3"/>
    </row>
    <row r="26" spans="1:54">
      <c r="J26" s="3"/>
      <c r="K26" s="3"/>
      <c r="L26" s="3"/>
      <c r="M26" s="3"/>
      <c r="N26" s="3"/>
      <c r="O26" s="3"/>
      <c r="AM26" s="3"/>
      <c r="AN26" s="3"/>
      <c r="AO26" s="3"/>
      <c r="AP26" s="3"/>
      <c r="AQ26" s="3"/>
      <c r="AR26" s="3"/>
      <c r="AS26" s="3"/>
      <c r="AT26" s="3"/>
      <c r="AU26" s="3"/>
      <c r="AV26" s="3"/>
    </row>
    <row r="27" spans="1:54">
      <c r="J27" s="3"/>
      <c r="K27" s="3"/>
      <c r="L27" s="3"/>
      <c r="M27" s="3"/>
      <c r="N27" s="3"/>
      <c r="O27" s="3"/>
      <c r="AM27" s="3"/>
      <c r="AN27" s="3"/>
      <c r="AO27" s="3"/>
      <c r="AP27" s="3"/>
      <c r="AQ27" s="3"/>
      <c r="AR27" s="3"/>
      <c r="AS27" s="3"/>
      <c r="AT27" s="3"/>
      <c r="AU27" s="3"/>
      <c r="AV27" s="3"/>
    </row>
    <row r="28" spans="1:54">
      <c r="J28" s="3"/>
      <c r="K28" s="3"/>
      <c r="L28" s="3"/>
      <c r="M28" s="3"/>
      <c r="N28" s="3"/>
      <c r="O28" s="3"/>
      <c r="AM28" s="3"/>
      <c r="AN28" s="3"/>
      <c r="AO28" s="3"/>
      <c r="AP28" s="3"/>
      <c r="AQ28" s="3"/>
      <c r="AR28" s="3"/>
      <c r="AS28" s="3"/>
      <c r="AT28" s="3"/>
      <c r="AU28" s="3"/>
      <c r="AV28" s="3"/>
    </row>
    <row r="29" spans="1:54">
      <c r="J29" s="3"/>
      <c r="K29" s="3"/>
      <c r="L29" s="3"/>
      <c r="M29" s="3"/>
      <c r="N29" s="3"/>
      <c r="O29" s="3"/>
      <c r="AM29" s="3"/>
      <c r="AN29" s="3"/>
      <c r="AO29" s="3"/>
      <c r="AP29" s="3"/>
      <c r="AQ29" s="3"/>
      <c r="AR29" s="3"/>
      <c r="AS29" s="3"/>
      <c r="AT29" s="3"/>
      <c r="AU29" s="3"/>
      <c r="AV29" s="3"/>
    </row>
    <row r="30" spans="1:54">
      <c r="J30" s="3"/>
      <c r="K30" s="3"/>
      <c r="L30" s="3"/>
      <c r="M30" s="3"/>
      <c r="N30" s="3"/>
      <c r="O30" s="3"/>
      <c r="AM30" s="3"/>
      <c r="AN30" s="3"/>
      <c r="AO30" s="3"/>
      <c r="AP30" s="3"/>
      <c r="AQ30" s="3"/>
      <c r="AR30" s="3"/>
      <c r="AS30" s="3"/>
      <c r="AT30" s="3"/>
      <c r="AU30" s="3"/>
      <c r="AV30" s="3"/>
    </row>
    <row r="31" spans="1:54">
      <c r="J31" s="3"/>
      <c r="K31" s="3"/>
      <c r="L31" s="3"/>
      <c r="M31" s="3"/>
      <c r="N31" s="3"/>
      <c r="O31" s="3"/>
      <c r="AM31" s="3"/>
      <c r="AN31" s="3"/>
      <c r="AO31" s="3"/>
      <c r="AP31" s="3"/>
      <c r="AQ31" s="3"/>
      <c r="AR31" s="3"/>
      <c r="AS31" s="3"/>
      <c r="AT31" s="3"/>
      <c r="AU31" s="3"/>
      <c r="AV31" s="3"/>
    </row>
    <row r="32" spans="1:54">
      <c r="J32" s="3"/>
      <c r="K32" s="3"/>
      <c r="L32" s="3"/>
      <c r="M32" s="3"/>
      <c r="N32" s="3"/>
      <c r="O32" s="3"/>
      <c r="AM32" s="3"/>
      <c r="AN32" s="3"/>
      <c r="AO32" s="3"/>
      <c r="AP32" s="3"/>
      <c r="AQ32" s="3"/>
      <c r="AR32" s="3"/>
      <c r="AS32" s="3"/>
      <c r="AT32" s="3"/>
      <c r="AU32" s="3"/>
      <c r="AV32" s="3"/>
    </row>
    <row r="33" spans="1:48">
      <c r="J33" s="3"/>
      <c r="K33" s="3"/>
      <c r="L33" s="3"/>
      <c r="M33" s="3"/>
      <c r="N33" s="3"/>
      <c r="O33" s="3"/>
      <c r="AM33" s="3"/>
      <c r="AN33" s="3"/>
      <c r="AO33" s="3"/>
      <c r="AP33" s="3"/>
      <c r="AQ33" s="3"/>
      <c r="AR33" s="3"/>
      <c r="AS33" s="3"/>
      <c r="AT33" s="3"/>
      <c r="AU33" s="3"/>
      <c r="AV33" s="3"/>
    </row>
    <row r="34" spans="1:48">
      <c r="A34"/>
      <c r="B34"/>
      <c r="C34"/>
      <c r="D34"/>
      <c r="E34"/>
      <c r="F34"/>
      <c r="G34"/>
      <c r="H34"/>
      <c r="I34"/>
      <c r="J34" s="3"/>
      <c r="K34" s="3"/>
      <c r="L34" s="3"/>
      <c r="M34" s="3"/>
      <c r="N34" s="3"/>
      <c r="O34" s="3"/>
      <c r="AM34" s="3"/>
      <c r="AN34" s="3"/>
      <c r="AO34" s="3"/>
      <c r="AP34" s="3"/>
      <c r="AQ34" s="3"/>
      <c r="AR34" s="3"/>
      <c r="AS34" s="3"/>
      <c r="AT34" s="3"/>
      <c r="AU34" s="3"/>
      <c r="AV34" s="3"/>
    </row>
    <row r="35" spans="1:48">
      <c r="A35"/>
      <c r="B35"/>
      <c r="C35"/>
      <c r="D35"/>
      <c r="E35"/>
      <c r="F35"/>
      <c r="G35"/>
      <c r="H35"/>
      <c r="I35"/>
      <c r="J35" s="3"/>
      <c r="K35" s="3"/>
      <c r="L35" s="3"/>
      <c r="M35" s="3"/>
      <c r="N35" s="3"/>
      <c r="O35" s="3"/>
      <c r="AM35" s="3"/>
      <c r="AN35" s="3"/>
      <c r="AO35" s="3"/>
      <c r="AP35" s="3"/>
      <c r="AQ35" s="3"/>
      <c r="AR35" s="3"/>
      <c r="AS35" s="3"/>
      <c r="AT35" s="3"/>
      <c r="AU35" s="3"/>
      <c r="AV35" s="3"/>
    </row>
    <row r="36" spans="1:48">
      <c r="A36"/>
      <c r="B36"/>
      <c r="C36"/>
      <c r="D36"/>
      <c r="E36"/>
      <c r="F36"/>
      <c r="G36"/>
      <c r="H36"/>
      <c r="I36"/>
      <c r="J36" s="3"/>
      <c r="K36" s="3"/>
      <c r="L36" s="3"/>
      <c r="M36" s="3"/>
      <c r="N36" s="3"/>
      <c r="O36" s="3"/>
      <c r="AM36" s="3"/>
      <c r="AN36" s="3"/>
      <c r="AO36" s="3"/>
      <c r="AP36" s="3"/>
      <c r="AQ36" s="3"/>
      <c r="AR36" s="3"/>
      <c r="AS36" s="3"/>
      <c r="AT36" s="3"/>
      <c r="AU36" s="3"/>
      <c r="AV36" s="3"/>
    </row>
    <row r="37" spans="1:48">
      <c r="A37"/>
      <c r="B37"/>
      <c r="C37"/>
      <c r="D37"/>
      <c r="E37"/>
      <c r="F37"/>
      <c r="G37"/>
      <c r="H37"/>
      <c r="I37"/>
      <c r="J37" s="3"/>
      <c r="K37" s="3"/>
      <c r="L37" s="3"/>
      <c r="M37" s="3"/>
      <c r="N37" s="3"/>
      <c r="O37" s="3"/>
      <c r="AM37" s="3"/>
      <c r="AN37" s="3"/>
      <c r="AO37" s="3"/>
      <c r="AP37" s="3"/>
      <c r="AQ37" s="3"/>
      <c r="AR37" s="3"/>
      <c r="AS37" s="3"/>
      <c r="AT37" s="3"/>
      <c r="AU37" s="3"/>
      <c r="AV37" s="3"/>
    </row>
    <row r="38" spans="1:48">
      <c r="A38"/>
      <c r="B38"/>
      <c r="C38"/>
      <c r="D38"/>
      <c r="E38"/>
      <c r="F38"/>
      <c r="G38"/>
      <c r="H38"/>
      <c r="I38"/>
      <c r="J38" s="3"/>
      <c r="K38" s="3"/>
      <c r="L38" s="3"/>
      <c r="M38" s="3"/>
      <c r="N38" s="3"/>
      <c r="O38" s="3"/>
      <c r="AM38" s="3"/>
      <c r="AN38" s="3"/>
      <c r="AO38" s="3"/>
      <c r="AP38" s="3"/>
      <c r="AQ38" s="3"/>
      <c r="AR38" s="3"/>
      <c r="AS38" s="3"/>
      <c r="AT38" s="3"/>
      <c r="AU38" s="3"/>
      <c r="AV38" s="3"/>
    </row>
    <row r="39" spans="1:48">
      <c r="A39"/>
      <c r="B39"/>
      <c r="C39"/>
      <c r="D39"/>
      <c r="E39"/>
      <c r="F39"/>
      <c r="G39"/>
      <c r="H39"/>
      <c r="I39"/>
      <c r="J39" s="3"/>
      <c r="K39" s="3"/>
      <c r="L39" s="3"/>
      <c r="M39" s="3"/>
      <c r="N39" s="3"/>
      <c r="O39" s="3"/>
      <c r="AM39" s="3"/>
      <c r="AN39" s="3"/>
      <c r="AO39" s="3"/>
      <c r="AP39" s="3"/>
      <c r="AQ39" s="3"/>
      <c r="AR39" s="3"/>
      <c r="AS39" s="3"/>
      <c r="AT39" s="3"/>
      <c r="AU39" s="3"/>
      <c r="AV39" s="3"/>
    </row>
    <row r="40" spans="1:48">
      <c r="A40"/>
      <c r="B40"/>
      <c r="C40"/>
      <c r="D40"/>
      <c r="E40"/>
      <c r="F40"/>
      <c r="G40"/>
      <c r="H40"/>
      <c r="I40"/>
      <c r="J40" s="3"/>
      <c r="K40" s="3"/>
      <c r="L40" s="3"/>
      <c r="M40" s="3"/>
      <c r="N40" s="3"/>
      <c r="O40" s="3"/>
      <c r="AM40" s="3"/>
      <c r="AN40" s="3"/>
      <c r="AO40" s="3"/>
      <c r="AP40" s="3"/>
      <c r="AQ40" s="3"/>
      <c r="AR40" s="3"/>
      <c r="AS40" s="3"/>
      <c r="AT40" s="3"/>
      <c r="AU40" s="3"/>
      <c r="AV40" s="3"/>
    </row>
    <row r="41" spans="1:48">
      <c r="A41"/>
      <c r="B41"/>
      <c r="C41"/>
      <c r="D41"/>
      <c r="E41"/>
      <c r="F41"/>
      <c r="G41"/>
      <c r="H41"/>
      <c r="I41"/>
      <c r="J41" s="3"/>
      <c r="K41" s="3"/>
      <c r="L41" s="3"/>
      <c r="M41" s="3"/>
      <c r="N41" s="3"/>
      <c r="O41" s="3"/>
      <c r="AM41" s="3"/>
      <c r="AN41" s="3"/>
      <c r="AO41" s="3"/>
      <c r="AP41" s="3"/>
      <c r="AQ41" s="3"/>
      <c r="AR41" s="3"/>
      <c r="AS41" s="3"/>
      <c r="AT41" s="3"/>
      <c r="AU41" s="3"/>
      <c r="AV41" s="3"/>
    </row>
    <row r="42" spans="1:48">
      <c r="A42"/>
      <c r="B42"/>
      <c r="C42"/>
      <c r="D42"/>
      <c r="E42"/>
      <c r="F42"/>
      <c r="G42"/>
      <c r="H42"/>
      <c r="I42"/>
      <c r="J42" s="3"/>
      <c r="K42" s="3"/>
      <c r="L42" s="3"/>
      <c r="M42" s="3"/>
      <c r="N42" s="3"/>
      <c r="O42" s="3"/>
      <c r="AM42" s="3"/>
      <c r="AN42" s="3"/>
      <c r="AO42" s="3"/>
      <c r="AP42" s="3"/>
      <c r="AQ42" s="3"/>
      <c r="AR42" s="3"/>
      <c r="AS42" s="3"/>
      <c r="AT42" s="3"/>
      <c r="AU42" s="3"/>
      <c r="AV42" s="3"/>
    </row>
    <row r="43" spans="1:48">
      <c r="A43"/>
      <c r="B43"/>
      <c r="C43"/>
      <c r="D43"/>
      <c r="E43"/>
      <c r="F43"/>
      <c r="G43"/>
      <c r="H43"/>
      <c r="I43"/>
      <c r="J43" s="3"/>
      <c r="K43" s="3"/>
      <c r="L43" s="3"/>
      <c r="M43" s="3"/>
      <c r="N43" s="3"/>
      <c r="O43" s="3"/>
      <c r="AM43" s="3"/>
      <c r="AN43" s="3"/>
      <c r="AO43" s="3"/>
      <c r="AP43" s="3"/>
      <c r="AQ43" s="3"/>
      <c r="AR43" s="3"/>
      <c r="AS43" s="3"/>
      <c r="AT43" s="3"/>
      <c r="AU43" s="3"/>
      <c r="AV43" s="3"/>
    </row>
    <row r="44" spans="1:48">
      <c r="A44"/>
      <c r="B44"/>
      <c r="C44"/>
      <c r="D44"/>
      <c r="E44"/>
      <c r="F44"/>
      <c r="G44"/>
      <c r="H44"/>
      <c r="I44"/>
      <c r="J44" s="3"/>
      <c r="K44" s="3"/>
      <c r="L44" s="3"/>
      <c r="M44" s="3"/>
      <c r="N44" s="3"/>
      <c r="O44" s="3"/>
      <c r="AM44" s="3"/>
      <c r="AN44" s="3"/>
      <c r="AO44" s="3"/>
      <c r="AP44" s="3"/>
      <c r="AQ44" s="3"/>
      <c r="AR44" s="3"/>
      <c r="AS44" s="3"/>
      <c r="AT44" s="3"/>
      <c r="AU44" s="3"/>
      <c r="AV44" s="3"/>
    </row>
    <row r="45" spans="1:48">
      <c r="A45"/>
      <c r="B45"/>
      <c r="C45"/>
      <c r="D45"/>
      <c r="E45"/>
      <c r="F45"/>
      <c r="G45"/>
      <c r="H45"/>
      <c r="I45"/>
      <c r="J45" s="3"/>
      <c r="K45" s="3"/>
      <c r="L45" s="3"/>
      <c r="M45" s="3"/>
      <c r="N45" s="3"/>
      <c r="O45" s="3"/>
      <c r="AM45" s="3"/>
      <c r="AN45" s="3"/>
      <c r="AO45" s="3"/>
      <c r="AP45" s="3"/>
      <c r="AQ45" s="3"/>
      <c r="AR45" s="3"/>
      <c r="AS45" s="3"/>
      <c r="AT45" s="3"/>
      <c r="AU45" s="3"/>
      <c r="AV45" s="3"/>
    </row>
    <row r="46" spans="1:48">
      <c r="A46"/>
      <c r="B46"/>
      <c r="C46"/>
      <c r="D46"/>
      <c r="E46"/>
      <c r="F46"/>
      <c r="G46"/>
      <c r="H46"/>
      <c r="I46"/>
      <c r="J46" s="3"/>
      <c r="K46" s="3"/>
      <c r="L46" s="3"/>
      <c r="M46" s="3"/>
      <c r="N46" s="3"/>
      <c r="O46" s="3"/>
      <c r="AM46" s="3"/>
      <c r="AN46" s="3"/>
      <c r="AO46" s="3"/>
      <c r="AP46" s="3"/>
      <c r="AQ46" s="3"/>
      <c r="AR46" s="3"/>
      <c r="AS46" s="3"/>
      <c r="AT46" s="3"/>
      <c r="AU46" s="3"/>
      <c r="AV46" s="3"/>
    </row>
    <row r="47" spans="1:48">
      <c r="A47"/>
      <c r="B47"/>
      <c r="C47"/>
      <c r="D47"/>
      <c r="E47"/>
      <c r="F47"/>
      <c r="G47"/>
      <c r="H47"/>
      <c r="I47"/>
      <c r="J47" s="3"/>
      <c r="K47" s="3"/>
      <c r="L47" s="3"/>
      <c r="M47" s="3"/>
      <c r="N47" s="3"/>
      <c r="O47" s="3"/>
      <c r="AM47" s="3"/>
      <c r="AN47" s="3"/>
      <c r="AO47" s="3"/>
      <c r="AP47" s="3"/>
      <c r="AQ47" s="3"/>
      <c r="AR47" s="3"/>
      <c r="AS47" s="3"/>
      <c r="AT47" s="3"/>
      <c r="AU47" s="3"/>
      <c r="AV47" s="3"/>
    </row>
    <row r="48" spans="1:48">
      <c r="A48"/>
      <c r="B48"/>
      <c r="C48"/>
      <c r="D48"/>
      <c r="E48"/>
      <c r="F48"/>
      <c r="G48"/>
      <c r="H48"/>
      <c r="I48"/>
      <c r="J48" s="3"/>
      <c r="K48" s="3"/>
      <c r="L48" s="3"/>
      <c r="M48" s="3"/>
      <c r="N48" s="3"/>
      <c r="O48" s="3"/>
      <c r="AM48" s="3"/>
      <c r="AN48" s="3"/>
      <c r="AO48" s="3"/>
      <c r="AP48" s="3"/>
      <c r="AQ48" s="3"/>
      <c r="AR48" s="3"/>
      <c r="AS48" s="3"/>
      <c r="AT48" s="3"/>
      <c r="AU48" s="3"/>
      <c r="AV48" s="3"/>
    </row>
    <row r="49" spans="1:48">
      <c r="A49"/>
      <c r="B49"/>
      <c r="C49"/>
      <c r="D49"/>
      <c r="E49"/>
      <c r="F49"/>
      <c r="G49"/>
      <c r="H49"/>
      <c r="I49"/>
      <c r="J49" s="3"/>
      <c r="K49" s="3"/>
      <c r="L49" s="3"/>
      <c r="M49" s="3"/>
      <c r="N49" s="3"/>
      <c r="O49" s="3"/>
      <c r="AM49" s="3"/>
      <c r="AN49" s="3"/>
      <c r="AO49" s="3"/>
      <c r="AP49" s="3"/>
      <c r="AQ49" s="3"/>
      <c r="AR49" s="3"/>
      <c r="AS49" s="3"/>
      <c r="AT49" s="3"/>
      <c r="AU49" s="3"/>
      <c r="AV49" s="3"/>
    </row>
    <row r="50" spans="1:48">
      <c r="A50"/>
      <c r="B50"/>
      <c r="C50"/>
      <c r="D50"/>
      <c r="E50"/>
      <c r="F50"/>
      <c r="G50"/>
      <c r="H50"/>
      <c r="I50"/>
      <c r="J50" s="3"/>
      <c r="K50" s="3"/>
      <c r="L50" s="3"/>
      <c r="M50" s="3"/>
      <c r="N50" s="3"/>
      <c r="O50" s="3"/>
      <c r="AM50" s="3"/>
      <c r="AN50" s="3"/>
      <c r="AO50" s="3"/>
      <c r="AP50" s="3"/>
      <c r="AQ50" s="3"/>
      <c r="AR50" s="3"/>
      <c r="AS50" s="3"/>
      <c r="AT50" s="3"/>
      <c r="AU50" s="3"/>
      <c r="AV50" s="3"/>
    </row>
    <row r="51" spans="1:48">
      <c r="A51"/>
      <c r="B51"/>
      <c r="C51"/>
      <c r="D51"/>
      <c r="E51"/>
      <c r="F51"/>
      <c r="G51"/>
      <c r="H51"/>
      <c r="I51"/>
      <c r="J51" s="3"/>
      <c r="K51" s="3"/>
      <c r="L51" s="3"/>
      <c r="M51" s="3"/>
      <c r="N51" s="3"/>
      <c r="O51" s="3"/>
      <c r="AM51" s="3"/>
      <c r="AN51" s="3"/>
      <c r="AO51" s="3"/>
      <c r="AP51" s="3"/>
      <c r="AQ51" s="3"/>
      <c r="AR51" s="3"/>
      <c r="AS51" s="3"/>
      <c r="AT51" s="3"/>
      <c r="AU51" s="3"/>
      <c r="AV51" s="3"/>
    </row>
    <row r="52" spans="1:48">
      <c r="A52"/>
      <c r="B52"/>
      <c r="C52"/>
      <c r="D52"/>
      <c r="E52"/>
      <c r="F52"/>
      <c r="G52"/>
      <c r="H52"/>
      <c r="I52"/>
      <c r="J52" s="3"/>
      <c r="K52" s="3"/>
      <c r="L52" s="3"/>
      <c r="M52" s="3"/>
      <c r="N52" s="3"/>
      <c r="O52" s="3"/>
      <c r="AM52" s="3"/>
      <c r="AN52" s="3"/>
      <c r="AO52" s="3"/>
      <c r="AP52" s="3"/>
      <c r="AQ52" s="3"/>
      <c r="AR52" s="3"/>
      <c r="AS52" s="3"/>
      <c r="AT52" s="3"/>
      <c r="AU52" s="3"/>
      <c r="AV52" s="3"/>
    </row>
    <row r="53" spans="1:48">
      <c r="A53"/>
      <c r="B53"/>
      <c r="C53"/>
      <c r="D53"/>
      <c r="E53"/>
      <c r="F53"/>
      <c r="G53"/>
      <c r="H53"/>
      <c r="I53"/>
      <c r="J53" s="3"/>
      <c r="K53" s="3"/>
      <c r="L53" s="3"/>
      <c r="M53" s="3"/>
      <c r="N53" s="3"/>
      <c r="O53" s="3"/>
      <c r="AM53" s="3"/>
      <c r="AN53" s="3"/>
      <c r="AO53" s="3"/>
      <c r="AP53" s="3"/>
      <c r="AQ53" s="3"/>
      <c r="AR53" s="3"/>
      <c r="AS53" s="3"/>
      <c r="AT53" s="3"/>
      <c r="AU53" s="3"/>
      <c r="AV53" s="3"/>
    </row>
    <row r="54" spans="1:48">
      <c r="A54"/>
      <c r="B54"/>
      <c r="C54"/>
      <c r="D54"/>
      <c r="E54"/>
      <c r="F54"/>
      <c r="G54"/>
      <c r="H54"/>
      <c r="I54"/>
      <c r="J54" s="3"/>
      <c r="K54" s="3"/>
      <c r="L54" s="3"/>
      <c r="M54" s="3"/>
      <c r="N54" s="3"/>
      <c r="O54" s="3"/>
      <c r="AM54" s="3"/>
      <c r="AN54" s="3"/>
      <c r="AO54" s="3"/>
      <c r="AP54" s="3"/>
      <c r="AQ54" s="3"/>
      <c r="AR54" s="3"/>
      <c r="AS54" s="3"/>
      <c r="AT54" s="3"/>
      <c r="AU54" s="3"/>
      <c r="AV54" s="3"/>
    </row>
    <row r="55" spans="1:48">
      <c r="A55"/>
      <c r="B55"/>
      <c r="C55"/>
      <c r="D55"/>
      <c r="E55"/>
      <c r="F55"/>
      <c r="G55"/>
      <c r="H55"/>
      <c r="I55"/>
      <c r="J55" s="3"/>
      <c r="K55" s="3"/>
      <c r="L55" s="3"/>
      <c r="M55" s="3"/>
      <c r="N55" s="3"/>
      <c r="O55" s="3"/>
      <c r="AM55" s="3"/>
      <c r="AN55" s="3"/>
      <c r="AO55" s="3"/>
      <c r="AP55" s="3"/>
      <c r="AQ55" s="3"/>
      <c r="AR55" s="3"/>
      <c r="AS55" s="3"/>
      <c r="AT55" s="3"/>
      <c r="AU55" s="3"/>
      <c r="AV55" s="3"/>
    </row>
    <row r="56" spans="1:48">
      <c r="A56"/>
      <c r="B56"/>
      <c r="C56"/>
      <c r="D56"/>
      <c r="E56"/>
      <c r="F56"/>
      <c r="G56"/>
      <c r="H56"/>
      <c r="I56"/>
      <c r="J56" s="3"/>
      <c r="K56" s="3"/>
      <c r="L56" s="3"/>
      <c r="M56" s="3"/>
      <c r="N56" s="3"/>
      <c r="O56" s="3"/>
      <c r="AM56" s="3"/>
      <c r="AN56" s="3"/>
      <c r="AO56" s="3"/>
      <c r="AP56" s="3"/>
      <c r="AQ56" s="3"/>
      <c r="AR56" s="3"/>
      <c r="AS56" s="3"/>
      <c r="AT56" s="3"/>
      <c r="AU56" s="3"/>
      <c r="AV56" s="3"/>
    </row>
    <row r="57" spans="1:48">
      <c r="A57"/>
      <c r="B57"/>
      <c r="C57"/>
      <c r="D57"/>
      <c r="E57"/>
      <c r="F57"/>
      <c r="G57"/>
      <c r="H57"/>
      <c r="I57"/>
      <c r="J57" s="3"/>
      <c r="K57" s="3"/>
      <c r="L57" s="3"/>
      <c r="M57" s="3"/>
      <c r="N57" s="3"/>
      <c r="O57" s="3"/>
      <c r="AM57" s="3"/>
      <c r="AN57" s="3"/>
      <c r="AO57" s="3"/>
      <c r="AP57" s="3"/>
      <c r="AQ57" s="3"/>
      <c r="AR57" s="3"/>
      <c r="AS57" s="3"/>
      <c r="AT57" s="3"/>
      <c r="AU57" s="3"/>
      <c r="AV57" s="3"/>
    </row>
    <row r="58" spans="1:48">
      <c r="A58"/>
      <c r="B58"/>
      <c r="C58"/>
      <c r="D58"/>
      <c r="E58"/>
      <c r="F58"/>
      <c r="G58"/>
      <c r="H58"/>
      <c r="I58"/>
      <c r="J58" s="3"/>
      <c r="K58" s="3"/>
      <c r="L58" s="3"/>
      <c r="M58" s="3"/>
      <c r="N58" s="3"/>
      <c r="O58" s="3"/>
      <c r="AM58" s="3"/>
      <c r="AN58" s="3"/>
      <c r="AO58" s="3"/>
      <c r="AP58" s="3"/>
      <c r="AQ58" s="3"/>
      <c r="AR58" s="3"/>
      <c r="AS58" s="3"/>
      <c r="AT58" s="3"/>
      <c r="AU58" s="3"/>
      <c r="AV58" s="3"/>
    </row>
    <row r="59" spans="1:48">
      <c r="A59"/>
      <c r="B59"/>
      <c r="C59"/>
      <c r="D59"/>
      <c r="E59"/>
      <c r="F59"/>
      <c r="G59"/>
      <c r="H59"/>
      <c r="I59"/>
      <c r="J59" s="3"/>
      <c r="K59" s="3"/>
      <c r="L59" s="3"/>
      <c r="M59" s="3"/>
      <c r="N59" s="3"/>
      <c r="O59" s="3"/>
      <c r="AM59" s="3"/>
      <c r="AN59" s="3"/>
      <c r="AO59" s="3"/>
      <c r="AP59" s="3"/>
      <c r="AQ59" s="3"/>
      <c r="AR59" s="3"/>
      <c r="AS59" s="3"/>
      <c r="AT59" s="3"/>
      <c r="AU59" s="3"/>
      <c r="AV59" s="3"/>
    </row>
    <row r="60" spans="1:48">
      <c r="A60"/>
      <c r="B60"/>
      <c r="C60"/>
      <c r="D60"/>
      <c r="E60"/>
      <c r="F60"/>
      <c r="G60"/>
      <c r="H60"/>
      <c r="I60"/>
      <c r="J60" s="3"/>
      <c r="K60" s="3"/>
      <c r="L60" s="3"/>
      <c r="M60" s="3"/>
      <c r="N60" s="3"/>
      <c r="O60" s="3"/>
      <c r="AM60" s="3"/>
      <c r="AN60" s="3"/>
      <c r="AO60" s="3"/>
      <c r="AP60" s="3"/>
      <c r="AQ60" s="3"/>
      <c r="AR60" s="3"/>
      <c r="AS60" s="3"/>
      <c r="AT60" s="3"/>
      <c r="AU60" s="3"/>
      <c r="AV60" s="3"/>
    </row>
    <row r="61" spans="1:48">
      <c r="A61"/>
      <c r="B61"/>
      <c r="C61"/>
      <c r="D61"/>
      <c r="E61"/>
      <c r="F61"/>
      <c r="G61"/>
      <c r="H61"/>
      <c r="I61"/>
      <c r="J61" s="3"/>
      <c r="K61" s="3"/>
      <c r="L61" s="3"/>
      <c r="M61" s="3"/>
      <c r="N61" s="3"/>
      <c r="O61" s="3"/>
      <c r="AM61" s="3"/>
      <c r="AN61" s="3"/>
      <c r="AO61" s="3"/>
      <c r="AP61" s="3"/>
      <c r="AQ61" s="3"/>
      <c r="AR61" s="3"/>
      <c r="AS61" s="3"/>
      <c r="AT61" s="3"/>
      <c r="AU61" s="3"/>
      <c r="AV61" s="3"/>
    </row>
    <row r="62" spans="1:48">
      <c r="A62"/>
      <c r="B62"/>
      <c r="C62"/>
      <c r="D62"/>
      <c r="E62"/>
      <c r="F62"/>
      <c r="G62"/>
      <c r="H62"/>
      <c r="I62"/>
      <c r="J62" s="3"/>
      <c r="K62" s="3"/>
      <c r="L62" s="3"/>
      <c r="M62" s="3"/>
      <c r="N62" s="3"/>
      <c r="O62" s="3"/>
      <c r="AM62" s="3"/>
      <c r="AN62" s="3"/>
      <c r="AO62" s="3"/>
      <c r="AP62" s="3"/>
      <c r="AQ62" s="3"/>
      <c r="AR62" s="3"/>
      <c r="AS62" s="3"/>
      <c r="AT62" s="3"/>
      <c r="AU62" s="3"/>
      <c r="AV62" s="3"/>
    </row>
    <row r="63" spans="1:48">
      <c r="A63"/>
      <c r="B63"/>
      <c r="C63"/>
      <c r="D63"/>
      <c r="E63"/>
      <c r="F63"/>
      <c r="G63"/>
      <c r="H63"/>
      <c r="I63"/>
      <c r="J63" s="3"/>
      <c r="K63" s="3"/>
      <c r="L63" s="3"/>
      <c r="M63" s="3"/>
      <c r="N63" s="3"/>
      <c r="O63" s="3"/>
      <c r="AM63" s="3"/>
      <c r="AN63" s="3"/>
      <c r="AO63" s="3"/>
      <c r="AP63" s="3"/>
      <c r="AQ63" s="3"/>
      <c r="AR63" s="3"/>
      <c r="AS63" s="3"/>
      <c r="AT63" s="3"/>
      <c r="AU63" s="3"/>
      <c r="AV63" s="3"/>
    </row>
    <row r="64" spans="1:48">
      <c r="A64"/>
      <c r="B64"/>
      <c r="C64"/>
      <c r="D64"/>
      <c r="E64"/>
      <c r="F64"/>
      <c r="G64"/>
      <c r="H64"/>
      <c r="I64"/>
      <c r="J64" s="3"/>
      <c r="K64" s="3"/>
      <c r="L64" s="3"/>
      <c r="M64" s="3"/>
      <c r="N64" s="3"/>
      <c r="O64" s="3"/>
      <c r="AM64" s="3"/>
      <c r="AN64" s="3"/>
      <c r="AO64" s="3"/>
      <c r="AP64" s="3"/>
      <c r="AQ64" s="3"/>
      <c r="AR64" s="3"/>
      <c r="AS64" s="3"/>
      <c r="AT64" s="3"/>
      <c r="AU64" s="3"/>
      <c r="AV64" s="3"/>
    </row>
    <row r="65" spans="1:48">
      <c r="A65"/>
      <c r="B65"/>
      <c r="C65"/>
      <c r="D65"/>
      <c r="E65"/>
      <c r="F65"/>
      <c r="G65"/>
      <c r="H65"/>
      <c r="I65"/>
      <c r="J65" s="3"/>
      <c r="K65" s="3"/>
      <c r="L65" s="3"/>
      <c r="M65" s="3"/>
      <c r="N65" s="3"/>
      <c r="O65" s="3"/>
      <c r="AM65" s="3"/>
      <c r="AN65" s="3"/>
      <c r="AO65" s="3"/>
      <c r="AP65" s="3"/>
      <c r="AQ65" s="3"/>
      <c r="AR65" s="3"/>
      <c r="AS65" s="3"/>
      <c r="AT65" s="3"/>
      <c r="AU65" s="3"/>
      <c r="AV65" s="3"/>
    </row>
    <row r="66" spans="1:48">
      <c r="A66"/>
      <c r="B66"/>
      <c r="C66"/>
      <c r="D66"/>
      <c r="E66"/>
      <c r="F66"/>
      <c r="G66"/>
      <c r="H66"/>
      <c r="I66"/>
      <c r="J66" s="3"/>
      <c r="K66" s="3"/>
      <c r="L66" s="3"/>
      <c r="M66" s="3"/>
      <c r="N66" s="3"/>
      <c r="O66" s="3"/>
      <c r="AM66" s="3"/>
      <c r="AN66" s="3"/>
      <c r="AO66" s="3"/>
      <c r="AP66" s="3"/>
      <c r="AQ66" s="3"/>
      <c r="AR66" s="3"/>
      <c r="AS66" s="3"/>
      <c r="AT66" s="3"/>
      <c r="AU66" s="3"/>
      <c r="AV66" s="3"/>
    </row>
    <row r="67" spans="1:48">
      <c r="A67"/>
      <c r="B67"/>
      <c r="C67"/>
      <c r="D67"/>
      <c r="E67"/>
      <c r="F67"/>
      <c r="G67"/>
      <c r="H67"/>
      <c r="I67"/>
      <c r="J67" s="3"/>
      <c r="K67" s="3"/>
      <c r="L67" s="3"/>
      <c r="M67" s="3"/>
      <c r="N67" s="3"/>
      <c r="O67" s="3"/>
      <c r="AM67" s="3"/>
      <c r="AN67" s="3"/>
      <c r="AO67" s="3"/>
      <c r="AP67" s="3"/>
      <c r="AQ67" s="3"/>
      <c r="AR67" s="3"/>
      <c r="AS67" s="3"/>
      <c r="AT67" s="3"/>
      <c r="AU67" s="3"/>
      <c r="AV67" s="3"/>
    </row>
    <row r="68" spans="1:48">
      <c r="A68"/>
      <c r="B68"/>
      <c r="C68"/>
      <c r="D68"/>
      <c r="E68"/>
      <c r="F68"/>
      <c r="G68"/>
      <c r="H68"/>
      <c r="I68"/>
      <c r="J68" s="3"/>
      <c r="K68" s="3"/>
      <c r="L68" s="3"/>
      <c r="M68" s="3"/>
      <c r="N68" s="3"/>
      <c r="O68" s="3"/>
      <c r="AM68" s="3"/>
      <c r="AN68" s="3"/>
      <c r="AO68" s="3"/>
      <c r="AP68" s="3"/>
      <c r="AQ68" s="3"/>
      <c r="AR68" s="3"/>
      <c r="AS68" s="3"/>
      <c r="AT68" s="3"/>
      <c r="AU68" s="3"/>
      <c r="AV68" s="3"/>
    </row>
    <row r="69" spans="1:48">
      <c r="A69"/>
      <c r="B69"/>
      <c r="C69"/>
      <c r="D69"/>
      <c r="E69"/>
      <c r="F69"/>
      <c r="G69"/>
      <c r="H69"/>
      <c r="I69"/>
      <c r="J69" s="3"/>
      <c r="K69" s="3"/>
      <c r="L69" s="3"/>
      <c r="M69" s="3"/>
      <c r="N69" s="3"/>
      <c r="O69" s="3"/>
      <c r="AM69" s="3"/>
      <c r="AN69" s="3"/>
      <c r="AO69" s="3"/>
      <c r="AP69" s="3"/>
      <c r="AQ69" s="3"/>
      <c r="AR69" s="3"/>
      <c r="AS69" s="3"/>
      <c r="AT69" s="3"/>
      <c r="AU69" s="3"/>
      <c r="AV69" s="3"/>
    </row>
    <row r="70" spans="1:48">
      <c r="A70"/>
      <c r="B70"/>
      <c r="C70"/>
      <c r="D70"/>
      <c r="E70"/>
      <c r="F70"/>
      <c r="G70"/>
      <c r="H70"/>
      <c r="I70"/>
      <c r="J70" s="3"/>
      <c r="K70" s="3"/>
      <c r="L70" s="3"/>
      <c r="M70" s="3"/>
      <c r="N70" s="3"/>
      <c r="O70" s="3"/>
      <c r="AM70" s="3"/>
      <c r="AN70" s="3"/>
      <c r="AO70" s="3"/>
      <c r="AP70" s="3"/>
      <c r="AQ70" s="3"/>
      <c r="AR70" s="3"/>
      <c r="AS70" s="3"/>
      <c r="AT70" s="3"/>
      <c r="AU70" s="3"/>
      <c r="AV70" s="3"/>
    </row>
    <row r="71" spans="1:48">
      <c r="A71"/>
      <c r="B71"/>
      <c r="C71"/>
      <c r="D71"/>
      <c r="E71"/>
      <c r="F71"/>
      <c r="G71"/>
      <c r="H71"/>
      <c r="I71"/>
      <c r="J71" s="3"/>
      <c r="K71" s="3"/>
      <c r="L71" s="3"/>
      <c r="M71" s="3"/>
      <c r="N71" s="3"/>
      <c r="O71" s="3"/>
      <c r="AM71" s="3"/>
      <c r="AN71" s="3"/>
      <c r="AO71" s="3"/>
      <c r="AP71" s="3"/>
      <c r="AQ71" s="3"/>
      <c r="AR71" s="3"/>
      <c r="AS71" s="3"/>
      <c r="AT71" s="3"/>
      <c r="AU71" s="3"/>
      <c r="AV71" s="3"/>
    </row>
    <row r="72" spans="1:48">
      <c r="A72"/>
      <c r="B72"/>
      <c r="C72"/>
      <c r="D72"/>
      <c r="E72"/>
      <c r="F72"/>
      <c r="G72"/>
      <c r="H72"/>
      <c r="I72"/>
      <c r="J72" s="3"/>
      <c r="K72" s="3"/>
      <c r="L72" s="3"/>
      <c r="M72" s="3"/>
      <c r="N72" s="3"/>
      <c r="O72" s="3"/>
      <c r="AM72" s="3"/>
      <c r="AN72" s="3"/>
      <c r="AO72" s="3"/>
      <c r="AP72" s="3"/>
      <c r="AQ72" s="3"/>
      <c r="AR72" s="3"/>
      <c r="AS72" s="3"/>
      <c r="AT72" s="3"/>
      <c r="AU72" s="3"/>
      <c r="AV72" s="3"/>
    </row>
    <row r="73" spans="1:48">
      <c r="A73"/>
      <c r="B73"/>
      <c r="C73"/>
      <c r="D73"/>
      <c r="E73"/>
      <c r="F73"/>
      <c r="G73"/>
      <c r="H73"/>
      <c r="I73"/>
      <c r="J73" s="3"/>
      <c r="K73" s="3"/>
      <c r="L73" s="3"/>
      <c r="M73" s="3"/>
      <c r="N73" s="3"/>
      <c r="O73" s="3"/>
      <c r="AM73" s="3"/>
      <c r="AN73" s="3"/>
      <c r="AO73" s="3"/>
      <c r="AP73" s="3"/>
      <c r="AQ73" s="3"/>
      <c r="AR73" s="3"/>
      <c r="AS73" s="3"/>
      <c r="AT73" s="3"/>
      <c r="AU73" s="3"/>
      <c r="AV73" s="3"/>
    </row>
    <row r="74" spans="1:48">
      <c r="A74"/>
      <c r="B74"/>
      <c r="C74"/>
      <c r="D74"/>
      <c r="E74"/>
      <c r="F74"/>
      <c r="G74"/>
      <c r="H74"/>
      <c r="I74"/>
      <c r="J74" s="3"/>
      <c r="K74" s="3"/>
      <c r="L74" s="3"/>
      <c r="M74" s="3"/>
      <c r="N74" s="3"/>
      <c r="O74" s="3"/>
      <c r="AM74" s="3"/>
      <c r="AN74" s="3"/>
      <c r="AO74" s="3"/>
      <c r="AP74" s="3"/>
      <c r="AQ74" s="3"/>
      <c r="AR74" s="3"/>
      <c r="AS74" s="3"/>
      <c r="AT74" s="3"/>
      <c r="AU74" s="3"/>
      <c r="AV74" s="3"/>
    </row>
    <row r="75" spans="1:48">
      <c r="A75"/>
      <c r="B75"/>
      <c r="C75"/>
      <c r="D75"/>
      <c r="E75"/>
      <c r="F75"/>
      <c r="G75"/>
      <c r="H75"/>
      <c r="I75"/>
      <c r="J75" s="3"/>
      <c r="K75" s="3"/>
      <c r="L75" s="3"/>
      <c r="M75" s="3"/>
      <c r="N75" s="3"/>
      <c r="O75" s="3"/>
      <c r="AM75" s="3"/>
      <c r="AN75" s="3"/>
      <c r="AO75" s="3"/>
      <c r="AP75" s="3"/>
      <c r="AQ75" s="3"/>
      <c r="AR75" s="3"/>
      <c r="AS75" s="3"/>
      <c r="AT75" s="3"/>
      <c r="AU75" s="3"/>
      <c r="AV75" s="3"/>
    </row>
    <row r="76" spans="1:48">
      <c r="A76"/>
      <c r="B76"/>
      <c r="C76"/>
      <c r="D76"/>
      <c r="E76"/>
      <c r="F76"/>
      <c r="G76"/>
      <c r="H76"/>
      <c r="I76"/>
      <c r="J76" s="3"/>
      <c r="K76" s="3"/>
      <c r="L76" s="3"/>
      <c r="M76" s="3"/>
      <c r="N76" s="3"/>
      <c r="O76" s="3"/>
      <c r="AM76" s="3"/>
      <c r="AN76" s="3"/>
      <c r="AO76" s="3"/>
      <c r="AP76" s="3"/>
      <c r="AQ76" s="3"/>
      <c r="AR76" s="3"/>
      <c r="AS76" s="3"/>
      <c r="AT76" s="3"/>
      <c r="AU76" s="3"/>
      <c r="AV76" s="3"/>
    </row>
    <row r="77" spans="1:48">
      <c r="A77"/>
      <c r="B77"/>
      <c r="C77"/>
      <c r="D77"/>
      <c r="E77"/>
      <c r="F77"/>
      <c r="G77"/>
      <c r="H77"/>
      <c r="I77"/>
      <c r="J77" s="3"/>
      <c r="K77" s="3"/>
      <c r="L77" s="3"/>
      <c r="M77" s="3"/>
      <c r="N77" s="3"/>
      <c r="O77" s="3"/>
      <c r="AM77" s="3"/>
      <c r="AN77" s="3"/>
      <c r="AO77" s="3"/>
      <c r="AP77" s="3"/>
      <c r="AQ77" s="3"/>
      <c r="AR77" s="3"/>
      <c r="AS77" s="3"/>
      <c r="AT77" s="3"/>
      <c r="AU77" s="3"/>
      <c r="AV77" s="3"/>
    </row>
    <row r="78" spans="1:48">
      <c r="A78"/>
      <c r="B78"/>
      <c r="C78"/>
      <c r="D78"/>
      <c r="E78"/>
      <c r="F78"/>
      <c r="G78"/>
      <c r="H78"/>
      <c r="I78"/>
      <c r="J78" s="3"/>
      <c r="K78" s="3"/>
      <c r="L78" s="3"/>
      <c r="M78" s="3"/>
      <c r="N78" s="3"/>
      <c r="O78" s="3"/>
      <c r="AM78" s="3"/>
      <c r="AN78" s="3"/>
      <c r="AO78" s="3"/>
      <c r="AP78" s="3"/>
      <c r="AQ78" s="3"/>
      <c r="AR78" s="3"/>
      <c r="AS78" s="3"/>
      <c r="AT78" s="3"/>
      <c r="AU78" s="3"/>
      <c r="AV78" s="3"/>
    </row>
    <row r="79" spans="1:48">
      <c r="A79"/>
      <c r="B79"/>
      <c r="C79"/>
      <c r="D79"/>
      <c r="E79"/>
      <c r="F79"/>
      <c r="G79"/>
      <c r="H79"/>
      <c r="I79"/>
      <c r="J79" s="3"/>
      <c r="K79" s="3"/>
      <c r="L79" s="3"/>
      <c r="M79" s="3"/>
      <c r="N79" s="3"/>
      <c r="O79" s="3"/>
      <c r="AM79" s="3"/>
      <c r="AN79" s="3"/>
      <c r="AO79" s="3"/>
      <c r="AP79" s="3"/>
      <c r="AQ79" s="3"/>
      <c r="AR79" s="3"/>
      <c r="AS79" s="3"/>
      <c r="AT79" s="3"/>
      <c r="AU79" s="3"/>
      <c r="AV79" s="3"/>
    </row>
    <row r="80" spans="1:48">
      <c r="A80"/>
      <c r="B80"/>
      <c r="C80"/>
      <c r="D80"/>
      <c r="E80"/>
      <c r="F80"/>
      <c r="G80"/>
      <c r="H80"/>
      <c r="I80"/>
      <c r="J80" s="3"/>
      <c r="K80" s="3"/>
      <c r="L80" s="3"/>
      <c r="M80" s="3"/>
      <c r="N80" s="3"/>
      <c r="O80" s="3"/>
      <c r="AM80" s="3"/>
      <c r="AN80" s="3"/>
      <c r="AO80" s="3"/>
      <c r="AP80" s="3"/>
      <c r="AQ80" s="3"/>
      <c r="AR80" s="3"/>
      <c r="AS80" s="3"/>
      <c r="AT80" s="3"/>
      <c r="AU80" s="3"/>
      <c r="AV80" s="3"/>
    </row>
    <row r="81" spans="1:48">
      <c r="A81"/>
      <c r="B81"/>
      <c r="C81"/>
      <c r="D81"/>
      <c r="E81"/>
      <c r="F81"/>
      <c r="G81"/>
      <c r="H81"/>
      <c r="I81"/>
      <c r="J81" s="3"/>
      <c r="K81" s="3"/>
      <c r="L81" s="3"/>
      <c r="M81" s="3"/>
      <c r="N81" s="3"/>
      <c r="O81" s="3"/>
      <c r="AM81" s="3"/>
      <c r="AN81" s="3"/>
      <c r="AO81" s="3"/>
      <c r="AP81" s="3"/>
      <c r="AQ81" s="3"/>
      <c r="AR81" s="3"/>
      <c r="AS81" s="3"/>
      <c r="AT81" s="3"/>
      <c r="AU81" s="3"/>
      <c r="AV81" s="3"/>
    </row>
    <row r="82" spans="1:48">
      <c r="A82"/>
      <c r="B82"/>
      <c r="C82"/>
      <c r="D82"/>
      <c r="E82"/>
      <c r="F82"/>
      <c r="G82"/>
      <c r="H82"/>
      <c r="I82"/>
      <c r="J82" s="3"/>
      <c r="K82" s="3"/>
      <c r="L82" s="3"/>
      <c r="M82" s="3"/>
      <c r="N82" s="3"/>
      <c r="O82" s="3"/>
      <c r="AM82" s="3"/>
      <c r="AN82" s="3"/>
      <c r="AO82" s="3"/>
      <c r="AP82" s="3"/>
      <c r="AQ82" s="3"/>
      <c r="AR82" s="3"/>
      <c r="AS82" s="3"/>
      <c r="AT82" s="3"/>
      <c r="AU82" s="3"/>
      <c r="AV82" s="3"/>
    </row>
    <row r="83" spans="1:48">
      <c r="A83"/>
      <c r="B83"/>
      <c r="C83"/>
      <c r="D83"/>
      <c r="E83"/>
      <c r="F83"/>
      <c r="G83"/>
      <c r="H83"/>
      <c r="I83"/>
      <c r="J83" s="3"/>
      <c r="K83" s="3"/>
      <c r="L83" s="3"/>
      <c r="M83" s="3"/>
      <c r="N83" s="3"/>
      <c r="O83" s="3"/>
      <c r="AM83" s="3"/>
      <c r="AN83" s="3"/>
      <c r="AO83" s="3"/>
      <c r="AP83" s="3"/>
      <c r="AQ83" s="3"/>
      <c r="AR83" s="3"/>
      <c r="AS83" s="3"/>
      <c r="AT83" s="3"/>
      <c r="AU83" s="3"/>
      <c r="AV83" s="3"/>
    </row>
    <row r="84" spans="1:48">
      <c r="A84"/>
      <c r="B84"/>
      <c r="C84"/>
      <c r="D84"/>
      <c r="E84"/>
      <c r="F84"/>
      <c r="G84"/>
      <c r="H84"/>
      <c r="I84"/>
      <c r="J84" s="3"/>
      <c r="K84" s="3"/>
      <c r="L84" s="3"/>
      <c r="M84" s="3"/>
      <c r="N84" s="3"/>
      <c r="O84" s="3"/>
      <c r="AM84" s="3"/>
      <c r="AN84" s="3"/>
      <c r="AO84" s="3"/>
      <c r="AP84" s="3"/>
      <c r="AQ84" s="3"/>
      <c r="AR84" s="3"/>
      <c r="AS84" s="3"/>
      <c r="AT84" s="3"/>
      <c r="AU84" s="3"/>
      <c r="AV84" s="3"/>
    </row>
    <row r="85" spans="1:48">
      <c r="A85"/>
      <c r="B85"/>
      <c r="C85"/>
      <c r="D85"/>
      <c r="E85"/>
      <c r="F85"/>
      <c r="G85"/>
      <c r="H85"/>
      <c r="I85"/>
      <c r="J85" s="3"/>
      <c r="K85" s="3"/>
      <c r="L85" s="3"/>
      <c r="M85" s="3"/>
      <c r="N85" s="3"/>
      <c r="O85" s="3"/>
      <c r="AM85" s="3"/>
      <c r="AN85" s="3"/>
      <c r="AO85" s="3"/>
      <c r="AP85" s="3"/>
      <c r="AQ85" s="3"/>
      <c r="AR85" s="3"/>
      <c r="AS85" s="3"/>
      <c r="AT85" s="3"/>
      <c r="AU85" s="3"/>
      <c r="AV85" s="3"/>
    </row>
    <row r="86" spans="1:48">
      <c r="A86"/>
      <c r="B86"/>
      <c r="C86"/>
      <c r="D86"/>
      <c r="E86"/>
      <c r="F86"/>
      <c r="G86"/>
      <c r="H86"/>
      <c r="I86"/>
      <c r="J86" s="3"/>
      <c r="K86" s="3"/>
      <c r="L86" s="3"/>
      <c r="M86" s="3"/>
      <c r="N86" s="3"/>
      <c r="O86" s="3"/>
      <c r="AM86" s="3"/>
      <c r="AN86" s="3"/>
      <c r="AO86" s="3"/>
      <c r="AP86" s="3"/>
      <c r="AQ86" s="3"/>
      <c r="AR86" s="3"/>
      <c r="AS86" s="3"/>
      <c r="AT86" s="3"/>
      <c r="AU86" s="3"/>
      <c r="AV86" s="3"/>
    </row>
    <row r="87" spans="1:48">
      <c r="A87"/>
      <c r="B87"/>
      <c r="C87"/>
      <c r="D87"/>
      <c r="E87"/>
      <c r="F87"/>
      <c r="G87"/>
      <c r="H87"/>
      <c r="I87"/>
      <c r="J87" s="3"/>
      <c r="K87" s="3"/>
      <c r="L87" s="3"/>
      <c r="M87" s="3"/>
      <c r="N87" s="3"/>
      <c r="O87" s="3"/>
      <c r="AM87" s="3"/>
      <c r="AN87" s="3"/>
      <c r="AO87" s="3"/>
      <c r="AP87" s="3"/>
      <c r="AQ87" s="3"/>
      <c r="AR87" s="3"/>
      <c r="AS87" s="3"/>
      <c r="AT87" s="3"/>
      <c r="AU87" s="3"/>
      <c r="AV87" s="3"/>
    </row>
    <row r="88" spans="1:48">
      <c r="A88"/>
      <c r="B88"/>
      <c r="C88"/>
      <c r="D88"/>
      <c r="E88"/>
      <c r="F88"/>
      <c r="G88"/>
      <c r="H88"/>
      <c r="I88"/>
      <c r="J88" s="3"/>
      <c r="K88" s="3"/>
      <c r="L88" s="3"/>
      <c r="M88" s="3"/>
      <c r="N88" s="3"/>
      <c r="O88" s="3"/>
      <c r="AM88" s="3"/>
      <c r="AN88" s="3"/>
      <c r="AO88" s="3"/>
      <c r="AP88" s="3"/>
      <c r="AQ88" s="3"/>
      <c r="AR88" s="3"/>
      <c r="AS88" s="3"/>
      <c r="AT88" s="3"/>
      <c r="AU88" s="3"/>
      <c r="AV88" s="3"/>
    </row>
    <row r="89" spans="1:48">
      <c r="A89"/>
      <c r="B89"/>
      <c r="C89"/>
      <c r="D89"/>
      <c r="E89"/>
      <c r="F89"/>
      <c r="G89"/>
      <c r="H89"/>
      <c r="I89"/>
      <c r="J89" s="3"/>
      <c r="K89" s="3"/>
      <c r="L89" s="3"/>
      <c r="M89" s="3"/>
      <c r="N89" s="3"/>
      <c r="O89" s="3"/>
      <c r="AM89" s="3"/>
      <c r="AN89" s="3"/>
      <c r="AO89" s="3"/>
      <c r="AP89" s="3"/>
      <c r="AQ89" s="3"/>
      <c r="AR89" s="3"/>
      <c r="AS89" s="3"/>
      <c r="AT89" s="3"/>
      <c r="AU89" s="3"/>
      <c r="AV89" s="3"/>
    </row>
    <row r="90" spans="1:48">
      <c r="A90"/>
      <c r="B90"/>
      <c r="C90"/>
      <c r="D90"/>
      <c r="E90"/>
      <c r="F90"/>
      <c r="G90"/>
      <c r="H90"/>
      <c r="I90"/>
      <c r="J90" s="3"/>
      <c r="K90" s="3"/>
      <c r="L90" s="3"/>
      <c r="M90" s="3"/>
      <c r="N90" s="3"/>
      <c r="O90" s="3"/>
      <c r="AM90" s="3"/>
      <c r="AN90" s="3"/>
      <c r="AO90" s="3"/>
      <c r="AP90" s="3"/>
      <c r="AQ90" s="3"/>
      <c r="AR90" s="3"/>
      <c r="AS90" s="3"/>
      <c r="AT90" s="3"/>
      <c r="AU90" s="3"/>
      <c r="AV90" s="3"/>
    </row>
    <row r="91" spans="1:48">
      <c r="A91"/>
      <c r="B91"/>
      <c r="C91"/>
      <c r="D91"/>
      <c r="E91"/>
      <c r="F91"/>
      <c r="G91"/>
      <c r="H91"/>
      <c r="I91"/>
      <c r="J91" s="3"/>
      <c r="K91" s="3"/>
      <c r="L91" s="3"/>
      <c r="M91" s="3"/>
      <c r="N91" s="3"/>
      <c r="O91" s="3"/>
      <c r="AM91" s="3"/>
      <c r="AN91" s="3"/>
      <c r="AO91" s="3"/>
      <c r="AP91" s="3"/>
      <c r="AQ91" s="3"/>
      <c r="AR91" s="3"/>
      <c r="AS91" s="3"/>
      <c r="AT91" s="3"/>
      <c r="AU91" s="3"/>
      <c r="AV91" s="3"/>
    </row>
    <row r="92" spans="1:48">
      <c r="A92"/>
      <c r="B92"/>
      <c r="C92"/>
      <c r="D92"/>
      <c r="E92"/>
      <c r="F92"/>
      <c r="G92"/>
      <c r="H92"/>
      <c r="I92"/>
      <c r="J92" s="3"/>
      <c r="K92" s="3"/>
      <c r="L92" s="3"/>
      <c r="M92" s="3"/>
      <c r="N92" s="3"/>
      <c r="O92" s="3"/>
      <c r="AM92" s="3"/>
      <c r="AN92" s="3"/>
      <c r="AO92" s="3"/>
      <c r="AP92" s="3"/>
      <c r="AQ92" s="3"/>
      <c r="AR92" s="3"/>
      <c r="AS92" s="3"/>
      <c r="AT92" s="3"/>
      <c r="AU92" s="3"/>
      <c r="AV92" s="3"/>
    </row>
    <row r="93" spans="1:48">
      <c r="A93"/>
      <c r="B93"/>
      <c r="C93"/>
      <c r="D93"/>
      <c r="E93"/>
      <c r="F93"/>
      <c r="G93"/>
      <c r="H93"/>
      <c r="I93"/>
      <c r="J93" s="3"/>
      <c r="K93" s="3"/>
      <c r="L93" s="3"/>
      <c r="M93" s="3"/>
      <c r="N93" s="3"/>
      <c r="O93" s="3"/>
      <c r="AM93" s="3"/>
      <c r="AN93" s="3"/>
      <c r="AO93" s="3"/>
      <c r="AP93" s="3"/>
      <c r="AQ93" s="3"/>
      <c r="AR93" s="3"/>
      <c r="AS93" s="3"/>
      <c r="AT93" s="3"/>
      <c r="AU93" s="3"/>
      <c r="AV93" s="3"/>
    </row>
    <row r="94" spans="1:48">
      <c r="A94"/>
      <c r="B94"/>
      <c r="C94"/>
      <c r="D94"/>
      <c r="E94"/>
      <c r="F94"/>
      <c r="G94"/>
      <c r="H94"/>
      <c r="I94"/>
      <c r="J94" s="3"/>
      <c r="K94" s="3"/>
      <c r="L94" s="3"/>
      <c r="M94" s="3"/>
      <c r="N94" s="3"/>
      <c r="O94" s="3"/>
      <c r="AM94" s="3"/>
      <c r="AN94" s="3"/>
      <c r="AO94" s="3"/>
      <c r="AP94" s="3"/>
      <c r="AQ94" s="3"/>
      <c r="AR94" s="3"/>
      <c r="AS94" s="3"/>
      <c r="AT94" s="3"/>
      <c r="AU94" s="3"/>
      <c r="AV94" s="3"/>
    </row>
    <row r="95" spans="1:48">
      <c r="A95"/>
      <c r="B95"/>
      <c r="C95"/>
      <c r="D95"/>
      <c r="E95"/>
      <c r="F95"/>
      <c r="G95"/>
      <c r="H95"/>
      <c r="I95"/>
      <c r="J95" s="3"/>
      <c r="K95" s="3"/>
      <c r="L95" s="3"/>
      <c r="M95" s="3"/>
      <c r="N95" s="3"/>
      <c r="O95" s="3"/>
      <c r="AM95" s="3"/>
      <c r="AN95" s="3"/>
      <c r="AO95" s="3"/>
      <c r="AP95" s="3"/>
      <c r="AQ95" s="3"/>
      <c r="AR95" s="3"/>
      <c r="AS95" s="3"/>
      <c r="AT95" s="3"/>
      <c r="AU95" s="3"/>
      <c r="AV95" s="3"/>
    </row>
    <row r="96" spans="1:48">
      <c r="A96"/>
      <c r="B96"/>
      <c r="C96"/>
      <c r="D96"/>
      <c r="E96"/>
      <c r="F96"/>
      <c r="G96"/>
      <c r="H96"/>
      <c r="I96"/>
      <c r="J96" s="3"/>
      <c r="K96" s="3"/>
      <c r="L96" s="3"/>
      <c r="M96" s="3"/>
      <c r="N96" s="3"/>
      <c r="O96" s="3"/>
      <c r="AM96" s="3"/>
      <c r="AN96" s="3"/>
      <c r="AO96" s="3"/>
      <c r="AP96" s="3"/>
      <c r="AQ96" s="3"/>
      <c r="AR96" s="3"/>
      <c r="AS96" s="3"/>
      <c r="AT96" s="3"/>
      <c r="AU96" s="3"/>
      <c r="AV96" s="3"/>
    </row>
  </sheetData>
  <sheetProtection algorithmName="SHA-512" hashValue="c0otCcssIiIgVYezIdSae3DCiFvIsEp7qjfe48bX+qN3jbvSQ7kHc+3UG+ltUi51toH8tDilnkuO82tfLz8ebw==" saltValue="Xk5RlMSPZKLiJ/64sDxELw==" spinCount="100000" sheet="1" objects="1" scenarios="1"/>
  <customSheetViews>
    <customSheetView guid="{91EE9386-9500-473B-B86C-27DB8DF0BA46}" showGridLines="0">
      <selection sqref="A1:F1"/>
      <pageMargins left="0.7" right="0.7" top="0.78740157499999996" bottom="0.78740157499999996" header="0.3" footer="0.3"/>
    </customSheetView>
    <customSheetView guid="{B8019777-F14C-4393-8CE3-CE0081D0CD28}" showGridLines="0">
      <selection activeCell="E12" sqref="E12"/>
      <pageMargins left="0.7" right="0.7" top="0.78740157499999996" bottom="0.78740157499999996" header="0.3" footer="0.3"/>
    </customSheetView>
  </customSheetViews>
  <mergeCells count="25">
    <mergeCell ref="AM5:AM6"/>
    <mergeCell ref="X5:Z5"/>
    <mergeCell ref="AF5:AF6"/>
    <mergeCell ref="K4:V4"/>
    <mergeCell ref="AN5:AN6"/>
    <mergeCell ref="AA3:AC5"/>
    <mergeCell ref="J3:M3"/>
    <mergeCell ref="O3:X3"/>
    <mergeCell ref="AK5:AK6"/>
    <mergeCell ref="N5:T5"/>
    <mergeCell ref="P1:V1"/>
    <mergeCell ref="W1:AD2"/>
    <mergeCell ref="AL5:AL6"/>
    <mergeCell ref="E5:E6"/>
    <mergeCell ref="AI5:AI6"/>
    <mergeCell ref="AH5:AH6"/>
    <mergeCell ref="A2:G2"/>
    <mergeCell ref="K2:V2"/>
    <mergeCell ref="A4:B4"/>
    <mergeCell ref="D4:E4"/>
    <mergeCell ref="A5:A6"/>
    <mergeCell ref="A3:C3"/>
    <mergeCell ref="D3:H3"/>
    <mergeCell ref="F5:F6"/>
    <mergeCell ref="G5:G6"/>
  </mergeCells>
  <pageMargins left="0.7" right="0.7" top="0.78740157499999996" bottom="0.78740157499999996" header="0.3" footer="0.3"/>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143"/>
  <sheetViews>
    <sheetView showGridLines="0" topLeftCell="A2" zoomScaleNormal="100" workbookViewId="0">
      <selection activeCell="L17" sqref="L17"/>
    </sheetView>
  </sheetViews>
  <sheetFormatPr baseColWidth="10" defaultColWidth="11.44140625" defaultRowHeight="13.2"/>
  <cols>
    <col min="1" max="1" width="12.5546875" style="76" customWidth="1"/>
    <col min="2" max="2" width="13.44140625" style="76" customWidth="1"/>
    <col min="3" max="5" width="12.44140625" style="76" customWidth="1"/>
    <col min="6" max="17" width="8.44140625" style="76" customWidth="1"/>
    <col min="18" max="18" width="10" style="76" customWidth="1"/>
    <col min="19" max="19" width="11.44140625" style="76"/>
    <col min="20" max="20" width="12.44140625" style="76" bestFit="1" customWidth="1"/>
    <col min="21" max="23" width="11.44140625" style="76"/>
    <col min="24" max="24" width="18.44140625" style="76" customWidth="1"/>
    <col min="25" max="16384" width="11.44140625" style="76"/>
  </cols>
  <sheetData>
    <row r="1" spans="1:44" ht="35.549999999999997" customHeight="1">
      <c r="A1" s="229" t="s">
        <v>948</v>
      </c>
      <c r="B1" s="3724" t="s">
        <v>957</v>
      </c>
      <c r="C1" s="3724"/>
      <c r="D1" s="3724"/>
      <c r="E1" s="3724"/>
      <c r="F1" s="3724"/>
      <c r="G1" s="3724"/>
      <c r="H1" s="3724"/>
      <c r="I1" s="3724"/>
      <c r="J1" s="3724"/>
      <c r="K1" s="3724"/>
      <c r="L1" s="3724"/>
      <c r="M1" s="3724"/>
      <c r="N1" s="1584" t="s">
        <v>957</v>
      </c>
      <c r="O1" s="3707" t="s">
        <v>1002</v>
      </c>
      <c r="P1" s="3708"/>
      <c r="Q1" s="3687"/>
      <c r="R1" s="3688"/>
      <c r="S1" s="3688"/>
      <c r="T1" s="3688"/>
      <c r="U1" s="3689"/>
      <c r="V1" s="888"/>
      <c r="W1" s="888"/>
      <c r="X1" s="888"/>
      <c r="Y1" s="888"/>
      <c r="Z1" s="229" t="s">
        <v>958</v>
      </c>
      <c r="AA1" s="229"/>
      <c r="AB1" s="229"/>
      <c r="AC1" s="229"/>
      <c r="AD1" s="229"/>
      <c r="AE1" s="229"/>
      <c r="AF1" s="229"/>
      <c r="AG1" s="229"/>
      <c r="AH1" s="229"/>
      <c r="AI1" s="229"/>
      <c r="AJ1" s="229"/>
      <c r="AK1" s="229"/>
      <c r="AL1" s="229"/>
      <c r="AM1" s="920"/>
      <c r="AN1" s="920"/>
      <c r="AO1" s="920"/>
      <c r="AP1" s="920"/>
      <c r="AQ1" s="920"/>
      <c r="AR1" s="920"/>
    </row>
    <row r="2" spans="1:44" ht="21.6" customHeight="1">
      <c r="A2" s="229" t="s">
        <v>672</v>
      </c>
      <c r="B2" s="3725" t="str">
        <f>IF(F3="","Sie zahlen keine Einmalzahlungen, die Sie verteilen könnten.","Tragen Sie die Einmalzahlungen in den Monat ein, in denen sie gezahlt werden.")</f>
        <v>Sie zahlen keine Einmalzahlungen, die Sie verteilen könnten.</v>
      </c>
      <c r="C2" s="3725"/>
      <c r="D2" s="3725"/>
      <c r="E2" s="3725"/>
      <c r="F2" s="3725"/>
      <c r="G2" s="3725"/>
      <c r="H2" s="3725"/>
      <c r="I2" s="3725"/>
      <c r="J2" s="3725"/>
      <c r="K2" s="3725"/>
      <c r="L2" s="3725"/>
      <c r="M2" s="3725"/>
      <c r="N2" s="1583"/>
      <c r="O2" s="3709"/>
      <c r="P2" s="3710"/>
      <c r="Q2" s="3690"/>
      <c r="R2" s="3691"/>
      <c r="S2" s="3691"/>
      <c r="T2" s="3691"/>
      <c r="U2" s="3692"/>
      <c r="V2" s="888"/>
      <c r="W2" s="888"/>
      <c r="X2" s="888"/>
      <c r="Y2" s="888"/>
      <c r="Z2" s="229"/>
      <c r="AA2" s="229"/>
      <c r="AB2" s="229"/>
      <c r="AC2" s="229"/>
      <c r="AD2" s="229"/>
      <c r="AE2" s="229"/>
      <c r="AF2" s="229"/>
      <c r="AG2" s="229"/>
      <c r="AH2" s="229"/>
      <c r="AI2" s="229"/>
      <c r="AJ2" s="229"/>
      <c r="AK2" s="229"/>
      <c r="AL2" s="229"/>
      <c r="AM2" s="920"/>
      <c r="AN2" s="920"/>
      <c r="AO2" s="920"/>
      <c r="AP2" s="920"/>
      <c r="AQ2" s="920"/>
      <c r="AR2" s="920"/>
    </row>
    <row r="3" spans="1:44" ht="37.5" customHeight="1">
      <c r="A3" s="253" t="s">
        <v>202</v>
      </c>
      <c r="B3" s="3717" t="s">
        <v>674</v>
      </c>
      <c r="C3" s="3718"/>
      <c r="D3" s="3722" t="s">
        <v>661</v>
      </c>
      <c r="E3" s="943"/>
      <c r="F3" s="3719" t="str">
        <f>IF(SUM(J3,K3)=0,"","Einmalzahlungen wie z.B. Weihnachts-und Urlaubsgeld in:")</f>
        <v/>
      </c>
      <c r="G3" s="3719"/>
      <c r="H3" s="3719"/>
      <c r="I3" s="3719"/>
      <c r="J3" s="523" t="str">
        <f>'4 Eingabe Friseure'!F6</f>
        <v/>
      </c>
      <c r="K3" s="523" t="str">
        <f>'4 Eingabe Friseure'!G6</f>
        <v/>
      </c>
      <c r="L3" s="230"/>
      <c r="M3" s="3726" t="str">
        <f>IF(F3="","","In die grauen Felder können Sie die zusätzlichen Einmalzahlungen eintragen.")</f>
        <v/>
      </c>
      <c r="N3" s="3726"/>
      <c r="O3" s="3726"/>
      <c r="P3" s="3726"/>
      <c r="Q3" s="3726"/>
      <c r="R3" s="3726"/>
      <c r="S3" s="3233" t="str">
        <f>IF(Y4=0,"","Werte vorhanden")</f>
        <v>Werte vorhanden</v>
      </c>
      <c r="T3" s="229"/>
      <c r="U3" s="229"/>
      <c r="V3" s="229" t="s">
        <v>1044</v>
      </c>
      <c r="W3" s="229" t="e">
        <f>'2a Chefeingaben'!#REF!</f>
        <v>#REF!</v>
      </c>
      <c r="X3" s="229"/>
      <c r="Y3" s="2497"/>
      <c r="Z3" s="229"/>
      <c r="AA3" s="229"/>
      <c r="AB3" s="229"/>
      <c r="AC3" s="229"/>
      <c r="AD3" s="1585">
        <f>SUM(AD5:AD103)</f>
        <v>11315.610350000001</v>
      </c>
      <c r="AE3" s="229"/>
      <c r="AF3" s="229"/>
      <c r="AG3" s="229"/>
      <c r="AH3" s="229"/>
      <c r="AI3" s="229"/>
      <c r="AJ3" s="229"/>
      <c r="AK3" s="229"/>
      <c r="AL3" s="229"/>
      <c r="AM3" s="920"/>
      <c r="AN3" s="920"/>
      <c r="AO3" s="920"/>
      <c r="AP3" s="920"/>
      <c r="AQ3" s="920"/>
      <c r="AR3" s="920"/>
    </row>
    <row r="4" spans="1:44" ht="26.25" customHeight="1" thickBot="1">
      <c r="A4" s="229" t="s">
        <v>683</v>
      </c>
      <c r="B4" s="3720" t="s">
        <v>673</v>
      </c>
      <c r="C4" s="3721"/>
      <c r="D4" s="3723"/>
      <c r="E4" s="890"/>
      <c r="F4" s="3237">
        <f>'4 Eingabe Friseure'!N6</f>
        <v>44927</v>
      </c>
      <c r="G4" s="891">
        <f>'4 Eingabe Friseure'!O6</f>
        <v>44959</v>
      </c>
      <c r="H4" s="891">
        <f>'4 Eingabe Friseure'!P6</f>
        <v>44991</v>
      </c>
      <c r="I4" s="891">
        <f>'4 Eingabe Friseure'!Q6</f>
        <v>45023</v>
      </c>
      <c r="J4" s="891">
        <f>'4 Eingabe Friseure'!R6</f>
        <v>45055</v>
      </c>
      <c r="K4" s="891">
        <f>'4 Eingabe Friseure'!S6</f>
        <v>45087</v>
      </c>
      <c r="L4" s="891">
        <f>'4 Eingabe Friseure'!T6</f>
        <v>45119</v>
      </c>
      <c r="M4" s="891">
        <f>'4 Eingabe Friseure'!U6</f>
        <v>45151</v>
      </c>
      <c r="N4" s="891">
        <f>'4 Eingabe Friseure'!V6</f>
        <v>45183</v>
      </c>
      <c r="O4" s="891">
        <f>'4 Eingabe Friseure'!W6</f>
        <v>45215</v>
      </c>
      <c r="P4" s="891">
        <f>'4 Eingabe Friseure'!X6</f>
        <v>45247</v>
      </c>
      <c r="Q4" s="891">
        <f>'4 Eingabe Friseure'!Y6</f>
        <v>45279</v>
      </c>
      <c r="R4" s="2497"/>
      <c r="S4" s="229"/>
      <c r="T4" s="229"/>
      <c r="U4" s="229"/>
      <c r="V4" s="1820">
        <f>IF('2 Unternehmensdaten'!F10="x",'2 Unternehmensdaten'!D14,'2 Unternehmensdaten'!D15)</f>
        <v>0.25</v>
      </c>
      <c r="W4" s="1821">
        <f>IF('2 Unternehmensdaten'!F10="x",'2 Unternehmensdaten'!G14,'2 Unternehmensdaten'!G15)</f>
        <v>0.3</v>
      </c>
      <c r="X4" s="1822">
        <f>IF('2 Unternehmensdaten'!F10="x",'2 Unternehmensdaten'!F14,'2 Unternehmensdaten'!F15+1)</f>
        <v>521</v>
      </c>
      <c r="Y4" s="229">
        <f>SUM(Y6:Y103)</f>
        <v>250</v>
      </c>
      <c r="Z4" s="1586">
        <f>F4</f>
        <v>44927</v>
      </c>
      <c r="AA4" s="1586">
        <f t="shared" ref="AA4:AK4" si="0">G4</f>
        <v>44959</v>
      </c>
      <c r="AB4" s="1586">
        <f t="shared" si="0"/>
        <v>44991</v>
      </c>
      <c r="AC4" s="1586">
        <f t="shared" si="0"/>
        <v>45023</v>
      </c>
      <c r="AD4" s="1586">
        <f t="shared" si="0"/>
        <v>45055</v>
      </c>
      <c r="AE4" s="1586">
        <f t="shared" si="0"/>
        <v>45087</v>
      </c>
      <c r="AF4" s="1586">
        <f t="shared" si="0"/>
        <v>45119</v>
      </c>
      <c r="AG4" s="1586">
        <f t="shared" si="0"/>
        <v>45151</v>
      </c>
      <c r="AH4" s="1586">
        <f t="shared" si="0"/>
        <v>45183</v>
      </c>
      <c r="AI4" s="1586">
        <f t="shared" si="0"/>
        <v>45215</v>
      </c>
      <c r="AJ4" s="1586">
        <f t="shared" si="0"/>
        <v>45247</v>
      </c>
      <c r="AK4" s="1586">
        <f t="shared" si="0"/>
        <v>45279</v>
      </c>
      <c r="AL4" s="229"/>
      <c r="AM4" s="920"/>
      <c r="AN4" s="920" t="s">
        <v>247</v>
      </c>
      <c r="AO4" s="920" t="s">
        <v>248</v>
      </c>
      <c r="AP4" s="920"/>
      <c r="AQ4" s="920"/>
      <c r="AR4" s="920"/>
    </row>
    <row r="5" spans="1:44" ht="24" customHeight="1">
      <c r="A5" s="892" t="str">
        <f>IF('4 Eingabe Friseure'!A10="","",'4 Eingabe Friseure'!A10)</f>
        <v>Maria</v>
      </c>
      <c r="B5" s="936" t="str">
        <f>IF(B6="","",AA$7)</f>
        <v/>
      </c>
      <c r="C5" s="936" t="str">
        <f>IF(C6="","",AB$7)</f>
        <v/>
      </c>
      <c r="D5" s="893">
        <f ca="1">IF('1 Erklärung'!AA2="","",'4 Eingabe Friseure'!CD10)</f>
        <v>2765.6359500000003</v>
      </c>
      <c r="E5" s="893"/>
      <c r="F5" s="3235">
        <f t="shared" ref="F5:Q5" si="1">IF(SUM(F6,F7)=0,Z5,SUM(F6,F7,Z5))</f>
        <v>2765.6359500000003</v>
      </c>
      <c r="G5" s="3235">
        <f t="shared" si="1"/>
        <v>2765.6359500000003</v>
      </c>
      <c r="H5" s="3235">
        <f t="shared" si="1"/>
        <v>2765.6359500000003</v>
      </c>
      <c r="I5" s="3235">
        <f t="shared" si="1"/>
        <v>2765.6359500000003</v>
      </c>
      <c r="J5" s="3235">
        <f t="shared" si="1"/>
        <v>2765.6359500000003</v>
      </c>
      <c r="K5" s="3235">
        <f t="shared" si="1"/>
        <v>2765.6359500000003</v>
      </c>
      <c r="L5" s="3235">
        <f t="shared" si="1"/>
        <v>2890.6359500000003</v>
      </c>
      <c r="M5" s="3235">
        <f t="shared" si="1"/>
        <v>2765.6359500000003</v>
      </c>
      <c r="N5" s="3235">
        <f t="shared" si="1"/>
        <v>2765.6359500000003</v>
      </c>
      <c r="O5" s="3235">
        <f t="shared" si="1"/>
        <v>2765.6359500000003</v>
      </c>
      <c r="P5" s="3235">
        <f t="shared" si="1"/>
        <v>2765.6359500000003</v>
      </c>
      <c r="Q5" s="3235">
        <f t="shared" si="1"/>
        <v>2765.6359500000003</v>
      </c>
      <c r="R5" s="894">
        <f ca="1">IF('1 Erklärung'!AA$2="","",IF(A5="","",SUM(F5:Q5)))</f>
        <v>33312.631400000006</v>
      </c>
      <c r="S5" s="895"/>
      <c r="T5" s="1269">
        <f ca="1">IF(A5="","",SUM(R5,-R7,-R6))</f>
        <v>33187.631400000006</v>
      </c>
      <c r="U5" s="1270" t="s">
        <v>801</v>
      </c>
      <c r="V5" s="1227">
        <f ca="1">IF(A5="","",SUM(T5,R6,T6))</f>
        <v>33187.631400000006</v>
      </c>
      <c r="W5" s="1228" t="s">
        <v>166</v>
      </c>
      <c r="X5" s="896">
        <f ca="1">IF(A5="","",R5/AL5)</f>
        <v>2776.0526166666673</v>
      </c>
      <c r="Y5" s="920"/>
      <c r="Z5" s="1587">
        <f>IF('4 Eingabe Friseure'!CE10&gt;0.4,'4 Eingabe Friseure'!$CD10*'4 Eingabe Friseure'!CE10,"")</f>
        <v>2765.6359500000003</v>
      </c>
      <c r="AA5" s="1587">
        <f>IF('4 Eingabe Friseure'!CF10&gt;0.4,'4 Eingabe Friseure'!$CD10*'4 Eingabe Friseure'!CF10,"")</f>
        <v>2765.6359500000003</v>
      </c>
      <c r="AB5" s="1587">
        <f>IF('4 Eingabe Friseure'!CG10&gt;0.4,'4 Eingabe Friseure'!$CD10*'4 Eingabe Friseure'!CG10,"")</f>
        <v>2765.6359500000003</v>
      </c>
      <c r="AC5" s="1587">
        <f>IF('4 Eingabe Friseure'!CH10&gt;0.4,'4 Eingabe Friseure'!$CD10*'4 Eingabe Friseure'!CH10,"")</f>
        <v>2765.6359500000003</v>
      </c>
      <c r="AD5" s="1587">
        <f>IF('4 Eingabe Friseure'!CI10&gt;0.4,'4 Eingabe Friseure'!$CD10*'4 Eingabe Friseure'!CI10,"")</f>
        <v>2765.6359500000003</v>
      </c>
      <c r="AE5" s="1587">
        <f>IF('4 Eingabe Friseure'!CJ10&gt;0.4,'4 Eingabe Friseure'!$CD10*'4 Eingabe Friseure'!CJ10,"")</f>
        <v>2765.6359500000003</v>
      </c>
      <c r="AF5" s="1587">
        <f>IF('4 Eingabe Friseure'!CK10&gt;0.4,'4 Eingabe Friseure'!$CD10*'4 Eingabe Friseure'!CK10,"")</f>
        <v>2765.6359500000003</v>
      </c>
      <c r="AG5" s="1587">
        <f>IF('4 Eingabe Friseure'!CL10&gt;0.4,'4 Eingabe Friseure'!$CD10*'4 Eingabe Friseure'!CL10,"")</f>
        <v>2765.6359500000003</v>
      </c>
      <c r="AH5" s="1587">
        <f>IF('4 Eingabe Friseure'!CM10&gt;0.4,'4 Eingabe Friseure'!$CD10*'4 Eingabe Friseure'!CM10,"")</f>
        <v>2765.6359500000003</v>
      </c>
      <c r="AI5" s="1587">
        <f>IF('4 Eingabe Friseure'!CN10&gt;0.4,'4 Eingabe Friseure'!$CD10*'4 Eingabe Friseure'!CN10,"")</f>
        <v>2765.6359500000003</v>
      </c>
      <c r="AJ5" s="1587">
        <f>IF('4 Eingabe Friseure'!CO10&gt;0.4,'4 Eingabe Friseure'!$CD10*'4 Eingabe Friseure'!CO10,"")</f>
        <v>2765.6359500000003</v>
      </c>
      <c r="AK5" s="1587">
        <f>IF('4 Eingabe Friseure'!CP10&gt;0.4,'4 Eingabe Friseure'!$CD10*'4 Eingabe Friseure'!CP10,"")</f>
        <v>2765.6359500000003</v>
      </c>
      <c r="AL5" s="920">
        <f>'4 Eingabe Friseure'!BG10</f>
        <v>12</v>
      </c>
      <c r="AM5" s="1588" t="str">
        <f>A5</f>
        <v>Maria</v>
      </c>
      <c r="AN5" s="1587">
        <f ca="1">IF(D5="","",MAX(F5:Q5))</f>
        <v>2890.6359500000003</v>
      </c>
      <c r="AO5" s="1587">
        <f ca="1">X5</f>
        <v>2776.0526166666673</v>
      </c>
      <c r="AP5" s="1589">
        <f ca="1">D5</f>
        <v>2765.6359500000003</v>
      </c>
      <c r="AQ5" s="920"/>
      <c r="AR5" s="920"/>
    </row>
    <row r="6" spans="1:44" ht="24" customHeight="1">
      <c r="A6" s="934" t="str">
        <f>IF(SUM(AA6:AB6)=0,"",A$4)</f>
        <v/>
      </c>
      <c r="B6" s="1687" t="str">
        <f>IF(AA6=0,"",AA6)</f>
        <v/>
      </c>
      <c r="C6" s="1688" t="str">
        <f>IF(AB6=0,"",AB6)</f>
        <v/>
      </c>
      <c r="D6" s="3711" t="str">
        <f>IF(A5="","",$A$1)</f>
        <v>Weihnachts- + Urlaubsgeld ==&gt;</v>
      </c>
      <c r="E6" s="3712"/>
      <c r="F6" s="2578"/>
      <c r="G6" s="2578"/>
      <c r="H6" s="2578"/>
      <c r="I6" s="2578"/>
      <c r="J6" s="2578"/>
      <c r="K6" s="2578"/>
      <c r="L6" s="2578"/>
      <c r="M6" s="2578"/>
      <c r="N6" s="2578"/>
      <c r="O6" s="2578"/>
      <c r="P6" s="2578"/>
      <c r="Q6" s="2578"/>
      <c r="R6" s="1221">
        <f>IF(A5="","",SUM(F6:Q6))</f>
        <v>0</v>
      </c>
      <c r="S6" s="1222" t="s">
        <v>799</v>
      </c>
      <c r="T6" s="1221">
        <f>IF(A5="","",(AL5*AC6))</f>
        <v>0</v>
      </c>
      <c r="U6" s="1223" t="s">
        <v>707</v>
      </c>
      <c r="V6" s="203">
        <f ca="1">IF(A5="","",SUM(V5)*IF(T5/COUNTIF(F5:Q5,"&gt;0")&lt;$X$4,$W$4,$V$4))</f>
        <v>8296.9078500000014</v>
      </c>
      <c r="W6" s="204" t="s">
        <v>158</v>
      </c>
      <c r="X6" s="3715" t="s">
        <v>215</v>
      </c>
      <c r="Y6" s="920">
        <f>SUM(F6:Q6)</f>
        <v>0</v>
      </c>
      <c r="Z6" s="920"/>
      <c r="AA6" s="1587">
        <f>'4 Eingabe Friseure'!F10</f>
        <v>0</v>
      </c>
      <c r="AB6" s="1587">
        <f>'4 Eingabe Friseure'!G10</f>
        <v>0</v>
      </c>
      <c r="AC6" s="1587">
        <f>'4 Eingabe Friseure'!H10</f>
        <v>0</v>
      </c>
      <c r="AD6" s="1587">
        <f>'4 Eingabe Friseure'!I10</f>
        <v>125</v>
      </c>
      <c r="AE6" s="1587">
        <f>'4 Eingabe Friseure'!J10</f>
        <v>0</v>
      </c>
      <c r="AF6" s="1587"/>
      <c r="AG6" s="1587"/>
      <c r="AH6" s="1587"/>
      <c r="AI6" s="1587"/>
      <c r="AJ6" s="1587"/>
      <c r="AK6" s="1587"/>
      <c r="AL6" s="920"/>
      <c r="AM6" s="1588" t="str">
        <f>A8</f>
        <v>Jutta</v>
      </c>
      <c r="AN6" s="1587">
        <f ca="1">IF(D8="","",MAX(F8:Q8))</f>
        <v>1782.53</v>
      </c>
      <c r="AO6" s="1587">
        <f ca="1">X8</f>
        <v>1782.53</v>
      </c>
      <c r="AP6" s="1589">
        <f ca="1">D8</f>
        <v>1782.53</v>
      </c>
      <c r="AQ6" s="920"/>
      <c r="AR6" s="920"/>
    </row>
    <row r="7" spans="1:44" ht="24" customHeight="1" thickBot="1">
      <c r="A7" s="935" t="str">
        <f>IF(SUM(AD6)=0,"",A$4)</f>
        <v>in diese Zeile eingeben</v>
      </c>
      <c r="B7" s="1689"/>
      <c r="C7" s="1690">
        <f>IF(AD6=0,"",AD6)</f>
        <v>125</v>
      </c>
      <c r="D7" s="3713" t="str">
        <f>IF(C7="","",$A$2)</f>
        <v>veränderte Zusatzzahlung St-frei  ==&gt;</v>
      </c>
      <c r="E7" s="3714"/>
      <c r="F7" s="2579"/>
      <c r="G7" s="2579"/>
      <c r="H7" s="2579"/>
      <c r="I7" s="2579"/>
      <c r="J7" s="2579"/>
      <c r="K7" s="2579"/>
      <c r="L7" s="2579">
        <v>125</v>
      </c>
      <c r="M7" s="2579"/>
      <c r="N7" s="2579"/>
      <c r="O7" s="2579"/>
      <c r="P7" s="2579"/>
      <c r="Q7" s="2580"/>
      <c r="R7" s="1224">
        <f>IF(A5="","",SUM(F7:Q7))</f>
        <v>125</v>
      </c>
      <c r="S7" s="1225" t="s">
        <v>800</v>
      </c>
      <c r="T7" s="1226">
        <f>IF(A5="","",(AE6*AL5))</f>
        <v>0</v>
      </c>
      <c r="U7" s="1225" t="s">
        <v>708</v>
      </c>
      <c r="V7" s="201">
        <f ca="1">IF(A5="","",SUM(V5:V6,R7,T7))</f>
        <v>41609.539250000009</v>
      </c>
      <c r="W7" s="959" t="s">
        <v>167</v>
      </c>
      <c r="X7" s="3716"/>
      <c r="Y7" s="920">
        <f>SUM(F7:Q7)</f>
        <v>125</v>
      </c>
      <c r="Z7" s="1587"/>
      <c r="AA7" s="1590" t="s">
        <v>709</v>
      </c>
      <c r="AB7" s="1590" t="s">
        <v>710</v>
      </c>
      <c r="AC7" s="1590" t="s">
        <v>491</v>
      </c>
      <c r="AD7" s="1590" t="s">
        <v>947</v>
      </c>
      <c r="AE7" s="1590" t="s">
        <v>490</v>
      </c>
      <c r="AF7" s="1587"/>
      <c r="AG7" s="1587"/>
      <c r="AH7" s="1587"/>
      <c r="AI7" s="1587"/>
      <c r="AJ7" s="1587"/>
      <c r="AK7" s="1587"/>
      <c r="AL7" s="920"/>
      <c r="AM7" s="1588" t="str">
        <f>A11</f>
        <v>Karina</v>
      </c>
      <c r="AN7" s="1587">
        <f ca="1">IF(D11="","",MAX(F11:Q11))</f>
        <v>1490.5592000000001</v>
      </c>
      <c r="AO7" s="1587">
        <f ca="1">X11</f>
        <v>1490.5591999999999</v>
      </c>
      <c r="AP7" s="1589">
        <f ca="1">D11</f>
        <v>1490.5592000000001</v>
      </c>
      <c r="AQ7" s="920"/>
      <c r="AR7" s="920"/>
    </row>
    <row r="8" spans="1:44" ht="24" customHeight="1">
      <c r="A8" s="892" t="str">
        <f>IF('4 Eingabe Friseure'!A11="","",'4 Eingabe Friseure'!A11)</f>
        <v>Jutta</v>
      </c>
      <c r="B8" s="936" t="str">
        <f>IF(B9="","",AA$7)</f>
        <v/>
      </c>
      <c r="C8" s="936" t="str">
        <f>IF(C9="","",AB$7)</f>
        <v/>
      </c>
      <c r="D8" s="893">
        <f ca="1">IF('1 Erklärung'!AA2="","",'4 Eingabe Friseure'!CD11)</f>
        <v>1782.53</v>
      </c>
      <c r="E8" s="893"/>
      <c r="F8" s="3234">
        <f t="shared" ref="F8:Q8" si="2">IF(SUM(F9,F10)=0,Z8,SUM(F9,F10,Z8))</f>
        <v>1782.53</v>
      </c>
      <c r="G8" s="3234">
        <f t="shared" si="2"/>
        <v>1782.53</v>
      </c>
      <c r="H8" s="3234">
        <f t="shared" si="2"/>
        <v>1782.53</v>
      </c>
      <c r="I8" s="3234">
        <f t="shared" si="2"/>
        <v>1782.53</v>
      </c>
      <c r="J8" s="3234">
        <f t="shared" si="2"/>
        <v>1782.53</v>
      </c>
      <c r="K8" s="3234">
        <f t="shared" si="2"/>
        <v>1782.53</v>
      </c>
      <c r="L8" s="3234">
        <f t="shared" si="2"/>
        <v>1782.53</v>
      </c>
      <c r="M8" s="3234">
        <f t="shared" si="2"/>
        <v>1782.53</v>
      </c>
      <c r="N8" s="3234">
        <f t="shared" si="2"/>
        <v>1782.53</v>
      </c>
      <c r="O8" s="3234">
        <f t="shared" si="2"/>
        <v>1782.53</v>
      </c>
      <c r="P8" s="3234">
        <f t="shared" si="2"/>
        <v>1782.53</v>
      </c>
      <c r="Q8" s="3234">
        <f t="shared" si="2"/>
        <v>1782.53</v>
      </c>
      <c r="R8" s="894">
        <f ca="1">IF('1 Erklärung'!AA$2="","",IF(A8="","",SUM(F8:Q8)))</f>
        <v>21390.36</v>
      </c>
      <c r="S8" s="205"/>
      <c r="T8" s="1269">
        <f ca="1">IF(A8="","",SUM(R8,-R10,-R9))</f>
        <v>21390.36</v>
      </c>
      <c r="U8" s="1228" t="str">
        <f ca="1">IF(A8="","",IF(T8="","",U$5))</f>
        <v>Bruttolohn ohne Zusatzzahlung</v>
      </c>
      <c r="V8" s="1227">
        <f ca="1">IF(A8="","",SUM(T8,R9,T9))</f>
        <v>21390.36</v>
      </c>
      <c r="W8" s="1229" t="str">
        <f ca="1">IF(A8="","",IF(V8="","",W$5))</f>
        <v>St.-pfl. Bruttolohn mit st-pfl. Zusatzz.</v>
      </c>
      <c r="X8" s="206">
        <f ca="1">IF(A8="","",R8/AL8)</f>
        <v>1782.53</v>
      </c>
      <c r="Y8" s="920"/>
      <c r="Z8" s="1587">
        <f>IF('4 Eingabe Friseure'!CE11&gt;0.4,'4 Eingabe Friseure'!$CD11*'4 Eingabe Friseure'!CE11,"")</f>
        <v>1782.53</v>
      </c>
      <c r="AA8" s="1587">
        <f>IF('4 Eingabe Friseure'!CF11&gt;0.4,'4 Eingabe Friseure'!$CD11*'4 Eingabe Friseure'!CF11,"")</f>
        <v>1782.53</v>
      </c>
      <c r="AB8" s="1587">
        <f>IF('4 Eingabe Friseure'!CG11&gt;0.4,'4 Eingabe Friseure'!$CD11*'4 Eingabe Friseure'!CG11,"")</f>
        <v>1782.53</v>
      </c>
      <c r="AC8" s="1587">
        <f>IF('4 Eingabe Friseure'!CH11&gt;0.4,'4 Eingabe Friseure'!$CD11*'4 Eingabe Friseure'!CH11,"")</f>
        <v>1782.53</v>
      </c>
      <c r="AD8" s="1587">
        <f>IF('4 Eingabe Friseure'!CI11&gt;0.4,'4 Eingabe Friseure'!$CD11*'4 Eingabe Friseure'!CI11,"")</f>
        <v>1782.53</v>
      </c>
      <c r="AE8" s="1587">
        <f>IF('4 Eingabe Friseure'!CJ11&gt;0.4,'4 Eingabe Friseure'!$CD11*'4 Eingabe Friseure'!CJ11,"")</f>
        <v>1782.53</v>
      </c>
      <c r="AF8" s="1587">
        <f>IF('4 Eingabe Friseure'!CK11&gt;0.4,'4 Eingabe Friseure'!$CD11*'4 Eingabe Friseure'!CK11,"")</f>
        <v>1782.53</v>
      </c>
      <c r="AG8" s="1587">
        <f>IF('4 Eingabe Friseure'!CL11&gt;0.4,'4 Eingabe Friseure'!$CD11*'4 Eingabe Friseure'!CL11,"")</f>
        <v>1782.53</v>
      </c>
      <c r="AH8" s="1587">
        <f>IF('4 Eingabe Friseure'!CM11&gt;0.4,'4 Eingabe Friseure'!$CD11*'4 Eingabe Friseure'!CM11,"")</f>
        <v>1782.53</v>
      </c>
      <c r="AI8" s="1587">
        <f>IF('4 Eingabe Friseure'!CN11&gt;0.4,'4 Eingabe Friseure'!$CD11*'4 Eingabe Friseure'!CN11,"")</f>
        <v>1782.53</v>
      </c>
      <c r="AJ8" s="1587">
        <f>IF('4 Eingabe Friseure'!CO11&gt;0.4,'4 Eingabe Friseure'!$CD11*'4 Eingabe Friseure'!CO11,"")</f>
        <v>1782.53</v>
      </c>
      <c r="AK8" s="1587">
        <f>IF('4 Eingabe Friseure'!CP11&gt;0.4,'4 Eingabe Friseure'!$CD11*'4 Eingabe Friseure'!CP11,"")</f>
        <v>1782.53</v>
      </c>
      <c r="AL8" s="920">
        <f>'4 Eingabe Friseure'!BG11</f>
        <v>12</v>
      </c>
      <c r="AM8" s="1588" t="str">
        <f>A14</f>
        <v>Cordula</v>
      </c>
      <c r="AN8" s="1587">
        <f ca="1">IF(D14="","",MAX(F14:Q14))</f>
        <v>1435</v>
      </c>
      <c r="AO8" s="1587">
        <f ca="1">X14</f>
        <v>1320.4166666666667</v>
      </c>
      <c r="AP8" s="1589">
        <f ca="1">D14</f>
        <v>1310</v>
      </c>
      <c r="AQ8" s="920"/>
      <c r="AR8" s="920"/>
    </row>
    <row r="9" spans="1:44" ht="24" customHeight="1">
      <c r="A9" s="934" t="str">
        <f>IF(SUM(AA9:AB9)=0,"",A$4)</f>
        <v/>
      </c>
      <c r="B9" s="1687" t="str">
        <f>IF(AA9=0,"",AA9)</f>
        <v/>
      </c>
      <c r="C9" s="1688" t="str">
        <f>IF(AB9=0,"",AB9)</f>
        <v/>
      </c>
      <c r="D9" s="3711" t="str">
        <f>IF(A8="","",$A$1)</f>
        <v>Weihnachts- + Urlaubsgeld ==&gt;</v>
      </c>
      <c r="E9" s="3712"/>
      <c r="F9" s="2578"/>
      <c r="G9" s="2578"/>
      <c r="H9" s="2578"/>
      <c r="I9" s="2578"/>
      <c r="J9" s="2578"/>
      <c r="K9" s="2578"/>
      <c r="L9" s="2578"/>
      <c r="M9" s="2578"/>
      <c r="N9" s="2578"/>
      <c r="O9" s="2578"/>
      <c r="P9" s="2578"/>
      <c r="Q9" s="2578"/>
      <c r="R9" s="1221">
        <f>IF(A8="","",SUM(F9:Q9))</f>
        <v>0</v>
      </c>
      <c r="S9" s="1222" t="str">
        <f>IF(A8="","",IF(R9="","",S$6))</f>
        <v>Erhöhung steuerpfl. Nicht regelmäßig</v>
      </c>
      <c r="T9" s="1221">
        <f>IF(A8="","",(AL8*AC9))</f>
        <v>0</v>
      </c>
      <c r="U9" s="1223" t="str">
        <f>IF(A8="","",IF(T9="","",U$6))</f>
        <v>Monatl. steuerpfl.
Sonderzahl.</v>
      </c>
      <c r="V9" s="203">
        <f ca="1">IF(A8="","",SUM(V8)*IF(T8/COUNTIF(F8:Q8,"&gt;0")&lt;$X$4,$W$4,$V$4))</f>
        <v>5347.59</v>
      </c>
      <c r="W9" s="204" t="str">
        <f ca="1">IF(A8="","",IF(V9="","",W$6))</f>
        <v>AG-anteil</v>
      </c>
      <c r="X9" s="3715" t="str">
        <f ca="1">IF(A8="","",IF(X8="","",X$6))</f>
        <v>Bruttolohn p. Mon. incl. st-freien und st-pfl. Monats-sonderzahlungen und jährl. Einmalzahlungen</v>
      </c>
      <c r="Y9" s="920">
        <f t="shared" ref="Y9:Y10" si="3">SUM(F9:Q9)</f>
        <v>0</v>
      </c>
      <c r="Z9" s="1587"/>
      <c r="AA9" s="1587">
        <f>'4 Eingabe Friseure'!F11</f>
        <v>0</v>
      </c>
      <c r="AB9" s="1587">
        <f>'4 Eingabe Friseure'!G11</f>
        <v>0</v>
      </c>
      <c r="AC9" s="1587">
        <f>'4 Eingabe Friseure'!H11</f>
        <v>0</v>
      </c>
      <c r="AD9" s="1587">
        <f>'4 Eingabe Friseure'!I11</f>
        <v>0</v>
      </c>
      <c r="AE9" s="1587">
        <f>'4 Eingabe Friseure'!J11</f>
        <v>0</v>
      </c>
      <c r="AF9" s="1587"/>
      <c r="AG9" s="1587"/>
      <c r="AH9" s="1587"/>
      <c r="AI9" s="1587"/>
      <c r="AJ9" s="1587"/>
      <c r="AK9" s="1587"/>
      <c r="AL9" s="920"/>
      <c r="AM9" s="1588" t="str">
        <f>A17</f>
        <v>Christa</v>
      </c>
      <c r="AN9" s="1587">
        <f ca="1">IF(D17="","",MAX(F17:Q17))</f>
        <v>1040</v>
      </c>
      <c r="AO9" s="1587">
        <f ca="1">X17</f>
        <v>1040</v>
      </c>
      <c r="AP9" s="1589">
        <f ca="1">D17</f>
        <v>1040</v>
      </c>
      <c r="AQ9" s="920"/>
      <c r="AR9" s="920"/>
    </row>
    <row r="10" spans="1:44" ht="24" customHeight="1" thickBot="1">
      <c r="A10" s="935" t="str">
        <f>IF(SUM(AD9)=0,"",A$4)</f>
        <v/>
      </c>
      <c r="B10" s="1689"/>
      <c r="C10" s="1690" t="str">
        <f>IF(AD9=0,"",AD9)</f>
        <v/>
      </c>
      <c r="D10" s="3713" t="str">
        <f>IF(C10="","",$A$2)</f>
        <v/>
      </c>
      <c r="E10" s="3714"/>
      <c r="F10" s="2579"/>
      <c r="G10" s="2579"/>
      <c r="H10" s="2579"/>
      <c r="I10" s="2579"/>
      <c r="J10" s="2579"/>
      <c r="K10" s="2579"/>
      <c r="L10" s="2579"/>
      <c r="M10" s="2579"/>
      <c r="N10" s="2579"/>
      <c r="O10" s="2579"/>
      <c r="P10" s="2579"/>
      <c r="Q10" s="2580"/>
      <c r="R10" s="1224">
        <f>IF(A8="","",SUM(F10:Q10))</f>
        <v>0</v>
      </c>
      <c r="S10" s="1225" t="str">
        <f>IF(A8="","",IF(R10="","",S$7))</f>
        <v>Erhöhung steuerfrei nicht regelmäßig</v>
      </c>
      <c r="T10" s="1226">
        <f>IF(A8="","",(AE9*AL8))</f>
        <v>0</v>
      </c>
      <c r="U10" s="1225" t="str">
        <f>IF(A8="","",IF(T10="","",U$7))</f>
        <v>Monatl. steuerfreie
Sonderzahl.</v>
      </c>
      <c r="V10" s="201">
        <f ca="1">IF(A8="","",SUM(V8:V9,R10,T10))</f>
        <v>26737.95</v>
      </c>
      <c r="W10" s="959" t="str">
        <f ca="1">IF(D9="","",IF(V10="","",W$7))</f>
        <v>Summe PK incl. 
st-freien Zusatzz.</v>
      </c>
      <c r="X10" s="3716"/>
      <c r="Y10" s="920">
        <f t="shared" si="3"/>
        <v>0</v>
      </c>
      <c r="Z10" s="1587"/>
      <c r="AA10" s="1591" t="s">
        <v>665</v>
      </c>
      <c r="AB10" s="1591" t="s">
        <v>666</v>
      </c>
      <c r="AC10" s="1591" t="s">
        <v>667</v>
      </c>
      <c r="AD10" s="1591" t="s">
        <v>668</v>
      </c>
      <c r="AE10" s="1591" t="s">
        <v>669</v>
      </c>
      <c r="AF10" s="1587"/>
      <c r="AG10" s="1587"/>
      <c r="AH10" s="1587"/>
      <c r="AI10" s="1587"/>
      <c r="AJ10" s="1587"/>
      <c r="AK10" s="1587"/>
      <c r="AL10" s="920"/>
      <c r="AM10" s="1588" t="str">
        <f>A20</f>
        <v>Horst</v>
      </c>
      <c r="AN10" s="1587">
        <f ca="1">IF(D20="","",MAX(F20:Q20))</f>
        <v>1350</v>
      </c>
      <c r="AO10" s="1587">
        <f ca="1">X20</f>
        <v>1350</v>
      </c>
      <c r="AP10" s="1589">
        <f ca="1">D20</f>
        <v>1350</v>
      </c>
      <c r="AQ10" s="920"/>
      <c r="AR10" s="920"/>
    </row>
    <row r="11" spans="1:44" ht="24" customHeight="1">
      <c r="A11" s="892" t="str">
        <f>IF('4 Eingabe Friseure'!A12="","",'4 Eingabe Friseure'!A12)</f>
        <v>Karina</v>
      </c>
      <c r="B11" s="936" t="str">
        <f>IF(B12="","",AA$7)</f>
        <v/>
      </c>
      <c r="C11" s="936" t="str">
        <f>IF(C12="","",AB$7)</f>
        <v/>
      </c>
      <c r="D11" s="893">
        <f ca="1">IF('1 Erklärung'!AA2="","",'4 Eingabe Friseure'!CD12)</f>
        <v>1490.5592000000001</v>
      </c>
      <c r="E11" s="893"/>
      <c r="F11" s="3234">
        <f t="shared" ref="F11:Q11" si="4">IF(SUM(F12,F13)=0,Z11,SUM(F12,F13,Z11))</f>
        <v>1490.5592000000001</v>
      </c>
      <c r="G11" s="3234">
        <f t="shared" si="4"/>
        <v>1490.5592000000001</v>
      </c>
      <c r="H11" s="3234">
        <f t="shared" si="4"/>
        <v>1490.5592000000001</v>
      </c>
      <c r="I11" s="3234">
        <f t="shared" si="4"/>
        <v>1490.5592000000001</v>
      </c>
      <c r="J11" s="3234">
        <f t="shared" si="4"/>
        <v>1490.5592000000001</v>
      </c>
      <c r="K11" s="3234">
        <f t="shared" si="4"/>
        <v>1490.5592000000001</v>
      </c>
      <c r="L11" s="3234">
        <f t="shared" si="4"/>
        <v>1490.5592000000001</v>
      </c>
      <c r="M11" s="3234">
        <f t="shared" si="4"/>
        <v>1490.5592000000001</v>
      </c>
      <c r="N11" s="3234">
        <f t="shared" si="4"/>
        <v>1490.5592000000001</v>
      </c>
      <c r="O11" s="3234">
        <f t="shared" si="4"/>
        <v>1490.5592000000001</v>
      </c>
      <c r="P11" s="3234">
        <f t="shared" si="4"/>
        <v>1490.5592000000001</v>
      </c>
      <c r="Q11" s="3234">
        <f t="shared" si="4"/>
        <v>1490.5592000000001</v>
      </c>
      <c r="R11" s="894">
        <f ca="1">IF('1 Erklärung'!AA$2="","",IF(A11="","",SUM(F11:Q11)))</f>
        <v>17886.7104</v>
      </c>
      <c r="S11" s="205"/>
      <c r="T11" s="1269">
        <f ca="1">IF(A11="","",SUM(R11,-R13,-R12))</f>
        <v>17886.7104</v>
      </c>
      <c r="U11" s="1228" t="str">
        <f ca="1">IF(A11="","",IF(T11="","",U$5))</f>
        <v>Bruttolohn ohne Zusatzzahlung</v>
      </c>
      <c r="V11" s="1227">
        <f ca="1">IF(A11="","",SUM(T11,R12,T12))</f>
        <v>17886.7104</v>
      </c>
      <c r="W11" s="1229" t="str">
        <f ca="1">IF(A11="","",IF(V11="","",W$5))</f>
        <v>St.-pfl. Bruttolohn mit st-pfl. Zusatzz.</v>
      </c>
      <c r="X11" s="206">
        <f ca="1">IF(A11="","",R11/AL11)</f>
        <v>1490.5591999999999</v>
      </c>
      <c r="Y11" s="920"/>
      <c r="Z11" s="1587">
        <f>IF('4 Eingabe Friseure'!CE12&gt;0.4,'4 Eingabe Friseure'!$CD12*'4 Eingabe Friseure'!CE12,"")</f>
        <v>1490.5592000000001</v>
      </c>
      <c r="AA11" s="1587">
        <f>IF('4 Eingabe Friseure'!CF12&gt;0.4,'4 Eingabe Friseure'!$CD12*'4 Eingabe Friseure'!CF12,"")</f>
        <v>1490.5592000000001</v>
      </c>
      <c r="AB11" s="1587">
        <f>IF('4 Eingabe Friseure'!CG12&gt;0.4,'4 Eingabe Friseure'!$CD12*'4 Eingabe Friseure'!CG12,"")</f>
        <v>1490.5592000000001</v>
      </c>
      <c r="AC11" s="1587">
        <f>IF('4 Eingabe Friseure'!CH12&gt;0.4,'4 Eingabe Friseure'!$CD12*'4 Eingabe Friseure'!CH12,"")</f>
        <v>1490.5592000000001</v>
      </c>
      <c r="AD11" s="1587">
        <f>IF('4 Eingabe Friseure'!CI12&gt;0.4,'4 Eingabe Friseure'!$CD12*'4 Eingabe Friseure'!CI12,"")</f>
        <v>1490.5592000000001</v>
      </c>
      <c r="AE11" s="1587">
        <f>IF('4 Eingabe Friseure'!CJ12&gt;0.4,'4 Eingabe Friseure'!$CD12*'4 Eingabe Friseure'!CJ12,"")</f>
        <v>1490.5592000000001</v>
      </c>
      <c r="AF11" s="1587">
        <f>IF('4 Eingabe Friseure'!CK12&gt;0.4,'4 Eingabe Friseure'!$CD12*'4 Eingabe Friseure'!CK12,"")</f>
        <v>1490.5592000000001</v>
      </c>
      <c r="AG11" s="1587">
        <f>IF('4 Eingabe Friseure'!CL12&gt;0.4,'4 Eingabe Friseure'!$CD12*'4 Eingabe Friseure'!CL12,"")</f>
        <v>1490.5592000000001</v>
      </c>
      <c r="AH11" s="1587">
        <f>IF('4 Eingabe Friseure'!CM12&gt;0.4,'4 Eingabe Friseure'!$CD12*'4 Eingabe Friseure'!CM12,"")</f>
        <v>1490.5592000000001</v>
      </c>
      <c r="AI11" s="1587">
        <f>IF('4 Eingabe Friseure'!CN12&gt;0.4,'4 Eingabe Friseure'!$CD12*'4 Eingabe Friseure'!CN12,"")</f>
        <v>1490.5592000000001</v>
      </c>
      <c r="AJ11" s="1587">
        <f>IF('4 Eingabe Friseure'!CO12&gt;0.4,'4 Eingabe Friseure'!$CD12*'4 Eingabe Friseure'!CO12,"")</f>
        <v>1490.5592000000001</v>
      </c>
      <c r="AK11" s="1587">
        <f>IF('4 Eingabe Friseure'!CP12&gt;0.4,'4 Eingabe Friseure'!$CD12*'4 Eingabe Friseure'!CP12,"")</f>
        <v>1490.5592000000001</v>
      </c>
      <c r="AL11" s="920">
        <f>'4 Eingabe Friseure'!BG12</f>
        <v>12</v>
      </c>
      <c r="AM11" s="1588" t="str">
        <f>A23</f>
        <v/>
      </c>
      <c r="AN11" s="1587" t="str">
        <f ca="1">IF(D23="","",MAX(F23:Q23))</f>
        <v/>
      </c>
      <c r="AO11" s="1587" t="str">
        <f>X23</f>
        <v/>
      </c>
      <c r="AP11" s="1589" t="str">
        <f ca="1">D23</f>
        <v/>
      </c>
      <c r="AQ11" s="920"/>
      <c r="AR11" s="920"/>
    </row>
    <row r="12" spans="1:44" ht="24" customHeight="1">
      <c r="A12" s="934" t="str">
        <f>IF(SUM(AA12:AB12)=0,"",A$4)</f>
        <v/>
      </c>
      <c r="B12" s="1687" t="str">
        <f>IF(AA12=0,"",AA12)</f>
        <v/>
      </c>
      <c r="C12" s="1688" t="str">
        <f>IF(AB12=0,"",AB12)</f>
        <v/>
      </c>
      <c r="D12" s="3711" t="str">
        <f>IF(A11="","",$A$1)</f>
        <v>Weihnachts- + Urlaubsgeld ==&gt;</v>
      </c>
      <c r="E12" s="3712"/>
      <c r="F12" s="2578"/>
      <c r="G12" s="2578"/>
      <c r="H12" s="2578"/>
      <c r="I12" s="2578"/>
      <c r="J12" s="2578"/>
      <c r="K12" s="2578"/>
      <c r="L12" s="2578"/>
      <c r="M12" s="2578"/>
      <c r="N12" s="2578"/>
      <c r="O12" s="2578"/>
      <c r="P12" s="2578"/>
      <c r="Q12" s="2578"/>
      <c r="R12" s="1221">
        <f>IF(A11="","",SUM(F12:Q12))</f>
        <v>0</v>
      </c>
      <c r="S12" s="1222" t="str">
        <f>IF(A11="","",IF(R12="","",S$6))</f>
        <v>Erhöhung steuerpfl. Nicht regelmäßig</v>
      </c>
      <c r="T12" s="1221">
        <f>IF(A11="","",(AL11*AC12))</f>
        <v>0</v>
      </c>
      <c r="U12" s="1223" t="str">
        <f>IF(A11="","",IF(T12="","",U$6))</f>
        <v>Monatl. steuerpfl.
Sonderzahl.</v>
      </c>
      <c r="V12" s="203">
        <f ca="1">IF(A11="","",SUM(V11)*IF(T11/COUNTIF(F11:Q11,"&gt;0")&lt;$X$4,$W$4,$V$4))</f>
        <v>4471.6776</v>
      </c>
      <c r="W12" s="204" t="str">
        <f ca="1">IF(A11="","",IF(V12="","",W$6))</f>
        <v>AG-anteil</v>
      </c>
      <c r="X12" s="3715" t="str">
        <f ca="1">IF(A11="","",IF(X11="","",X$6))</f>
        <v>Bruttolohn p. Mon. incl. st-freien und st-pfl. Monats-sonderzahlungen und jährl. Einmalzahlungen</v>
      </c>
      <c r="Y12" s="920">
        <f t="shared" ref="Y12:Y13" si="5">SUM(F12:Q12)</f>
        <v>0</v>
      </c>
      <c r="Z12" s="1587"/>
      <c r="AA12" s="1587">
        <f>'4 Eingabe Friseure'!F12</f>
        <v>0</v>
      </c>
      <c r="AB12" s="1587">
        <f>'4 Eingabe Friseure'!G12</f>
        <v>0</v>
      </c>
      <c r="AC12" s="1587">
        <f>'4 Eingabe Friseure'!H12</f>
        <v>0</v>
      </c>
      <c r="AD12" s="1587">
        <f>'4 Eingabe Friseure'!I12</f>
        <v>0</v>
      </c>
      <c r="AE12" s="1587">
        <f>'4 Eingabe Friseure'!J12</f>
        <v>0</v>
      </c>
      <c r="AF12" s="1587"/>
      <c r="AG12" s="1587"/>
      <c r="AH12" s="1587"/>
      <c r="AI12" s="1587"/>
      <c r="AJ12" s="1587"/>
      <c r="AK12" s="1587"/>
      <c r="AL12" s="920"/>
      <c r="AM12" s="1588" t="str">
        <f>A26</f>
        <v>Salli</v>
      </c>
      <c r="AN12" s="1587">
        <f ca="1">IF(D26="","",MAX(F26:Q26))</f>
        <v>1326.8851999999999</v>
      </c>
      <c r="AO12" s="1587">
        <f ca="1">X26</f>
        <v>1326.8851999999999</v>
      </c>
      <c r="AP12" s="1589">
        <f ca="1">D26</f>
        <v>1326.8851999999999</v>
      </c>
      <c r="AQ12" s="920"/>
      <c r="AR12" s="920"/>
    </row>
    <row r="13" spans="1:44" ht="24" customHeight="1" thickBot="1">
      <c r="A13" s="935" t="str">
        <f>IF(SUM(AD12)=0,"",A$4)</f>
        <v/>
      </c>
      <c r="B13" s="1689"/>
      <c r="C13" s="1690" t="str">
        <f>IF(AD12=0,"",AD12)</f>
        <v/>
      </c>
      <c r="D13" s="3713" t="str">
        <f>IF(C13="","",$A$2)</f>
        <v/>
      </c>
      <c r="E13" s="3714"/>
      <c r="F13" s="2579"/>
      <c r="G13" s="2579"/>
      <c r="H13" s="2579"/>
      <c r="I13" s="2579"/>
      <c r="J13" s="2579"/>
      <c r="K13" s="2579"/>
      <c r="L13" s="2579"/>
      <c r="M13" s="2579"/>
      <c r="N13" s="2579"/>
      <c r="O13" s="2579"/>
      <c r="P13" s="2579"/>
      <c r="Q13" s="2580"/>
      <c r="R13" s="1224">
        <f>IF(A11="","",SUM(F13:Q13))</f>
        <v>0</v>
      </c>
      <c r="S13" s="1225" t="str">
        <f>IF(A11="","",IF(R13="","",S$7))</f>
        <v>Erhöhung steuerfrei nicht regelmäßig</v>
      </c>
      <c r="T13" s="1226">
        <f>IF(A11="","",(AE12*AL11))</f>
        <v>0</v>
      </c>
      <c r="U13" s="1225" t="str">
        <f>IF(A11="","",IF(T13="","",U$7))</f>
        <v>Monatl. steuerfreie
Sonderzahl.</v>
      </c>
      <c r="V13" s="201">
        <f ca="1">IF(A11="","",SUM(V11:V12,R13,T13))</f>
        <v>22358.387999999999</v>
      </c>
      <c r="W13" s="959" t="str">
        <f ca="1">IF(D12="","",IF(V13="","",W$7))</f>
        <v>Summe PK incl. 
st-freien Zusatzz.</v>
      </c>
      <c r="X13" s="3716"/>
      <c r="Y13" s="920">
        <f t="shared" si="5"/>
        <v>0</v>
      </c>
      <c r="Z13" s="1587"/>
      <c r="AA13" s="1591" t="s">
        <v>665</v>
      </c>
      <c r="AB13" s="1591" t="s">
        <v>666</v>
      </c>
      <c r="AC13" s="1591" t="s">
        <v>667</v>
      </c>
      <c r="AD13" s="1591" t="s">
        <v>668</v>
      </c>
      <c r="AE13" s="1591" t="s">
        <v>669</v>
      </c>
      <c r="AF13" s="1587"/>
      <c r="AG13" s="1587"/>
      <c r="AH13" s="1587"/>
      <c r="AI13" s="1587"/>
      <c r="AJ13" s="1587"/>
      <c r="AK13" s="1587"/>
      <c r="AL13" s="920"/>
      <c r="AM13" s="1588" t="str">
        <f>A29</f>
        <v>Salli</v>
      </c>
      <c r="AN13" s="1587">
        <f ca="1">IF(D29="","",MAX(F29:Q29))</f>
        <v>1600</v>
      </c>
      <c r="AO13" s="1587">
        <f ca="1">X29</f>
        <v>1600</v>
      </c>
      <c r="AP13" s="1589">
        <f ca="1">D29</f>
        <v>1600</v>
      </c>
      <c r="AQ13" s="920"/>
      <c r="AR13" s="920"/>
    </row>
    <row r="14" spans="1:44" ht="24" customHeight="1">
      <c r="A14" s="892" t="str">
        <f>IF('4 Eingabe Friseure'!A13="","",'4 Eingabe Friseure'!A13)</f>
        <v>Cordula</v>
      </c>
      <c r="B14" s="936" t="str">
        <f>IF(B15="","",AA$7)</f>
        <v/>
      </c>
      <c r="C14" s="936" t="str">
        <f>IF(C15="","",AB$7)</f>
        <v/>
      </c>
      <c r="D14" s="893">
        <f ca="1">IF('1 Erklärung'!AA2="","",'4 Eingabe Friseure'!CD13)</f>
        <v>1310</v>
      </c>
      <c r="E14" s="893"/>
      <c r="F14" s="3234">
        <f t="shared" ref="F14:Q14" si="6">IF(SUM(F15,F16)=0,Z14,SUM(F15,F16,Z14))</f>
        <v>1310</v>
      </c>
      <c r="G14" s="3234">
        <f t="shared" si="6"/>
        <v>1310</v>
      </c>
      <c r="H14" s="3234">
        <f t="shared" si="6"/>
        <v>1310</v>
      </c>
      <c r="I14" s="3234">
        <f t="shared" si="6"/>
        <v>1310</v>
      </c>
      <c r="J14" s="3234">
        <f t="shared" si="6"/>
        <v>1310</v>
      </c>
      <c r="K14" s="3234">
        <f t="shared" si="6"/>
        <v>1310</v>
      </c>
      <c r="L14" s="3234">
        <f t="shared" si="6"/>
        <v>1435</v>
      </c>
      <c r="M14" s="3234">
        <f t="shared" si="6"/>
        <v>1310</v>
      </c>
      <c r="N14" s="3234">
        <f t="shared" si="6"/>
        <v>1310</v>
      </c>
      <c r="O14" s="3234">
        <f t="shared" si="6"/>
        <v>1310</v>
      </c>
      <c r="P14" s="3234">
        <f t="shared" si="6"/>
        <v>1310</v>
      </c>
      <c r="Q14" s="3234">
        <f t="shared" si="6"/>
        <v>1310</v>
      </c>
      <c r="R14" s="894">
        <f ca="1">IF('1 Erklärung'!AA$2="","",IF(A14="","",SUM(F14:Q14)))</f>
        <v>15845</v>
      </c>
      <c r="S14" s="205"/>
      <c r="T14" s="1269">
        <f ca="1">IF(A14="","",SUM(R14,-R16,-R15))</f>
        <v>15720</v>
      </c>
      <c r="U14" s="1228" t="str">
        <f ca="1">IF(A14="","",IF(T14="","",U$5))</f>
        <v>Bruttolohn ohne Zusatzzahlung</v>
      </c>
      <c r="V14" s="1227">
        <f ca="1">IF(A14="","",SUM(T14,R15,T15))</f>
        <v>15720</v>
      </c>
      <c r="W14" s="1229" t="str">
        <f ca="1">IF(A14="","",IF(V14="","",W$5))</f>
        <v>St.-pfl. Bruttolohn mit st-pfl. Zusatzz.</v>
      </c>
      <c r="X14" s="206">
        <f ca="1">IF(A14="","",R14/AL14)</f>
        <v>1320.4166666666667</v>
      </c>
      <c r="Y14" s="920"/>
      <c r="Z14" s="1587">
        <f>IF('4 Eingabe Friseure'!CE13&gt;0.4,'4 Eingabe Friseure'!$CD13*'4 Eingabe Friseure'!CE13,"")</f>
        <v>1310</v>
      </c>
      <c r="AA14" s="1587">
        <f>IF('4 Eingabe Friseure'!CF13&gt;0.4,'4 Eingabe Friseure'!$CD13*'4 Eingabe Friseure'!CF13,"")</f>
        <v>1310</v>
      </c>
      <c r="AB14" s="1587">
        <f>IF('4 Eingabe Friseure'!CG13&gt;0.4,'4 Eingabe Friseure'!$CD13*'4 Eingabe Friseure'!CG13,"")</f>
        <v>1310</v>
      </c>
      <c r="AC14" s="1587">
        <f>IF('4 Eingabe Friseure'!CH13&gt;0.4,'4 Eingabe Friseure'!$CD13*'4 Eingabe Friseure'!CH13,"")</f>
        <v>1310</v>
      </c>
      <c r="AD14" s="1587">
        <f>IF('4 Eingabe Friseure'!CI13&gt;0.4,'4 Eingabe Friseure'!$CD13*'4 Eingabe Friseure'!CI13,"")</f>
        <v>1310</v>
      </c>
      <c r="AE14" s="1587">
        <f>IF('4 Eingabe Friseure'!CJ13&gt;0.4,'4 Eingabe Friseure'!$CD13*'4 Eingabe Friseure'!CJ13,"")</f>
        <v>1310</v>
      </c>
      <c r="AF14" s="1587">
        <f>IF('4 Eingabe Friseure'!CK13&gt;0.4,'4 Eingabe Friseure'!$CD13*'4 Eingabe Friseure'!CK13,"")</f>
        <v>1310</v>
      </c>
      <c r="AG14" s="1587">
        <f>IF('4 Eingabe Friseure'!CL13&gt;0.4,'4 Eingabe Friseure'!$CD13*'4 Eingabe Friseure'!CL13,"")</f>
        <v>1310</v>
      </c>
      <c r="AH14" s="1587">
        <f>IF('4 Eingabe Friseure'!CM13&gt;0.4,'4 Eingabe Friseure'!$CD13*'4 Eingabe Friseure'!CM13,"")</f>
        <v>1310</v>
      </c>
      <c r="AI14" s="1587">
        <f>IF('4 Eingabe Friseure'!CN13&gt;0.4,'4 Eingabe Friseure'!$CD13*'4 Eingabe Friseure'!CN13,"")</f>
        <v>1310</v>
      </c>
      <c r="AJ14" s="1587">
        <f>IF('4 Eingabe Friseure'!CO13&gt;0.4,'4 Eingabe Friseure'!$CD13*'4 Eingabe Friseure'!CO13,"")</f>
        <v>1310</v>
      </c>
      <c r="AK14" s="1587">
        <f>IF('4 Eingabe Friseure'!CP13&gt;0.4,'4 Eingabe Friseure'!$CD13*'4 Eingabe Friseure'!CP13,"")</f>
        <v>1310</v>
      </c>
      <c r="AL14" s="920">
        <f>'4 Eingabe Friseure'!BG13</f>
        <v>12</v>
      </c>
      <c r="AM14" s="1588" t="str">
        <f>A32</f>
        <v/>
      </c>
      <c r="AN14" s="1587" t="str">
        <f ca="1">IF(D32="","",MAX(F32:Q32))</f>
        <v/>
      </c>
      <c r="AO14" s="1587" t="str">
        <f>X32</f>
        <v/>
      </c>
      <c r="AP14" s="1589" t="str">
        <f ca="1">D32</f>
        <v/>
      </c>
      <c r="AQ14" s="920"/>
      <c r="AR14" s="920"/>
    </row>
    <row r="15" spans="1:44" ht="24" customHeight="1">
      <c r="A15" s="934" t="str">
        <f>IF(SUM(AA15:AB15)=0,"",A$4)</f>
        <v/>
      </c>
      <c r="B15" s="1687" t="str">
        <f>IF(AA15=0,"",AA15)</f>
        <v/>
      </c>
      <c r="C15" s="1688" t="str">
        <f>IF(AB15=0,"",AB15)</f>
        <v/>
      </c>
      <c r="D15" s="3711" t="str">
        <f>IF(A14="","",$A$1)</f>
        <v>Weihnachts- + Urlaubsgeld ==&gt;</v>
      </c>
      <c r="E15" s="3712"/>
      <c r="F15" s="2578"/>
      <c r="G15" s="2578"/>
      <c r="H15" s="2578"/>
      <c r="I15" s="2578"/>
      <c r="J15" s="2578"/>
      <c r="K15" s="2578"/>
      <c r="L15" s="2578"/>
      <c r="M15" s="2578"/>
      <c r="N15" s="2578"/>
      <c r="O15" s="2578"/>
      <c r="P15" s="2578"/>
      <c r="Q15" s="2578"/>
      <c r="R15" s="1221">
        <f>IF(A14="","",SUM(F15:Q15))</f>
        <v>0</v>
      </c>
      <c r="S15" s="1222" t="str">
        <f>IF(A14="","",IF(R15="","",S$6))</f>
        <v>Erhöhung steuerpfl. Nicht regelmäßig</v>
      </c>
      <c r="T15" s="1221">
        <f>IF(A14="","",(AL14*AC15))</f>
        <v>0</v>
      </c>
      <c r="U15" s="1223" t="str">
        <f>IF(A14="","",IF(T15="","",U$6))</f>
        <v>Monatl. steuerpfl.
Sonderzahl.</v>
      </c>
      <c r="V15" s="203">
        <f ca="1">IF(A14="","",SUM(V14)*IF(T14/COUNTIF(F14:Q14,"&gt;0")&lt;$X$4,$W$4,$V$4))</f>
        <v>3930</v>
      </c>
      <c r="W15" s="204" t="str">
        <f ca="1">IF(A14="","",IF(V15="","",W$6))</f>
        <v>AG-anteil</v>
      </c>
      <c r="X15" s="3715" t="str">
        <f ca="1">IF(A14="","",IF(X14="","",X$6))</f>
        <v>Bruttolohn p. Mon. incl. st-freien und st-pfl. Monats-sonderzahlungen und jährl. Einmalzahlungen</v>
      </c>
      <c r="Y15" s="920">
        <f t="shared" ref="Y15:Y16" si="7">SUM(F15:Q15)</f>
        <v>0</v>
      </c>
      <c r="Z15" s="1587"/>
      <c r="AA15" s="1587">
        <f>'4 Eingabe Friseure'!F13</f>
        <v>0</v>
      </c>
      <c r="AB15" s="1587">
        <f>'4 Eingabe Friseure'!G13</f>
        <v>0</v>
      </c>
      <c r="AC15" s="1587">
        <f>'4 Eingabe Friseure'!H13</f>
        <v>0</v>
      </c>
      <c r="AD15" s="1587">
        <f>'4 Eingabe Friseure'!I13</f>
        <v>125</v>
      </c>
      <c r="AE15" s="1587">
        <f>'4 Eingabe Friseure'!J13</f>
        <v>0</v>
      </c>
      <c r="AF15" s="1587"/>
      <c r="AG15" s="1587"/>
      <c r="AH15" s="1587"/>
      <c r="AI15" s="1587"/>
      <c r="AJ15" s="1587"/>
      <c r="AK15" s="1587"/>
      <c r="AL15" s="920"/>
      <c r="AM15" s="1588" t="str">
        <f>A35</f>
        <v/>
      </c>
      <c r="AN15" s="1587" t="str">
        <f ca="1">IF(D35="","",MAX(F35:Q35))</f>
        <v/>
      </c>
      <c r="AO15" s="1587" t="str">
        <f>X35</f>
        <v/>
      </c>
      <c r="AP15" s="1589" t="str">
        <f ca="1">D35</f>
        <v/>
      </c>
      <c r="AQ15" s="920"/>
      <c r="AR15" s="920"/>
    </row>
    <row r="16" spans="1:44" ht="24" customHeight="1" thickBot="1">
      <c r="A16" s="935" t="str">
        <f>IF(SUM(AD15)=0,"",A$4)</f>
        <v>in diese Zeile eingeben</v>
      </c>
      <c r="B16" s="1689"/>
      <c r="C16" s="1690">
        <f>IF(AD15=0,"",AD15)</f>
        <v>125</v>
      </c>
      <c r="D16" s="3713" t="str">
        <f>IF(C16="","",$A$2)</f>
        <v>veränderte Zusatzzahlung St-frei  ==&gt;</v>
      </c>
      <c r="E16" s="3714"/>
      <c r="F16" s="2579"/>
      <c r="G16" s="2579"/>
      <c r="H16" s="2579"/>
      <c r="I16" s="2579"/>
      <c r="J16" s="2579"/>
      <c r="K16" s="2579"/>
      <c r="L16" s="2579">
        <v>125</v>
      </c>
      <c r="M16" s="2579"/>
      <c r="N16" s="2579"/>
      <c r="O16" s="2579"/>
      <c r="P16" s="2579"/>
      <c r="Q16" s="2580"/>
      <c r="R16" s="1224">
        <f>IF(A14="","",SUM(F16:Q16))</f>
        <v>125</v>
      </c>
      <c r="S16" s="1225" t="str">
        <f>IF(A14="","",IF(R16="","",S$7))</f>
        <v>Erhöhung steuerfrei nicht regelmäßig</v>
      </c>
      <c r="T16" s="1226">
        <f>IF(A14="","",(AE15*AL14))</f>
        <v>0</v>
      </c>
      <c r="U16" s="1225" t="str">
        <f>IF(A14="","",IF(T16="","",U$7))</f>
        <v>Monatl. steuerfreie
Sonderzahl.</v>
      </c>
      <c r="V16" s="201">
        <f ca="1">IF(A14="","",SUM(V14:V15,R16,T16))</f>
        <v>19775</v>
      </c>
      <c r="W16" s="959" t="str">
        <f ca="1">IF(D15="","",IF(V16="","",W$7))</f>
        <v>Summe PK incl. 
st-freien Zusatzz.</v>
      </c>
      <c r="X16" s="3716"/>
      <c r="Y16" s="920">
        <f t="shared" si="7"/>
        <v>125</v>
      </c>
      <c r="Z16" s="1587"/>
      <c r="AA16" s="1591" t="s">
        <v>665</v>
      </c>
      <c r="AB16" s="1591" t="s">
        <v>666</v>
      </c>
      <c r="AC16" s="1591" t="s">
        <v>667</v>
      </c>
      <c r="AD16" s="1591" t="s">
        <v>668</v>
      </c>
      <c r="AE16" s="1591" t="s">
        <v>669</v>
      </c>
      <c r="AF16" s="1587"/>
      <c r="AG16" s="1587"/>
      <c r="AH16" s="1587"/>
      <c r="AI16" s="1587"/>
      <c r="AJ16" s="1587"/>
      <c r="AK16" s="1587"/>
      <c r="AL16" s="920"/>
      <c r="AM16" s="1588" t="str">
        <f>A38</f>
        <v/>
      </c>
      <c r="AN16" s="1587" t="str">
        <f ca="1">IF(D38="","",MAX(F38:Q38))</f>
        <v/>
      </c>
      <c r="AO16" s="1587" t="str">
        <f>X38</f>
        <v/>
      </c>
      <c r="AP16" s="1589" t="str">
        <f ca="1">D38</f>
        <v/>
      </c>
      <c r="AQ16" s="920"/>
      <c r="AR16" s="920"/>
    </row>
    <row r="17" spans="1:44" ht="24" customHeight="1">
      <c r="A17" s="892" t="str">
        <f>IF('4 Eingabe Friseure'!A14="","",'4 Eingabe Friseure'!A14)</f>
        <v>Christa</v>
      </c>
      <c r="B17" s="936" t="str">
        <f>IF(B18="","",AA$7)</f>
        <v/>
      </c>
      <c r="C17" s="936" t="str">
        <f>IF(C18="","",AB$7)</f>
        <v/>
      </c>
      <c r="D17" s="893">
        <f ca="1">IF('1 Erklärung'!AA2="","",'4 Eingabe Friseure'!CD14)</f>
        <v>1040</v>
      </c>
      <c r="E17" s="893"/>
      <c r="F17" s="3234">
        <f t="shared" ref="F17:Q17" si="8">IF(SUM(F18,F19)=0,Z17,SUM(F18,F19,Z17))</f>
        <v>1040</v>
      </c>
      <c r="G17" s="3234">
        <f t="shared" si="8"/>
        <v>1040</v>
      </c>
      <c r="H17" s="3234">
        <f t="shared" si="8"/>
        <v>1040</v>
      </c>
      <c r="I17" s="3234">
        <f t="shared" si="8"/>
        <v>1040</v>
      </c>
      <c r="J17" s="3234">
        <f t="shared" si="8"/>
        <v>1040</v>
      </c>
      <c r="K17" s="3234">
        <f t="shared" si="8"/>
        <v>1040</v>
      </c>
      <c r="L17" s="3234">
        <f t="shared" si="8"/>
        <v>1040</v>
      </c>
      <c r="M17" s="3234">
        <f t="shared" si="8"/>
        <v>1040</v>
      </c>
      <c r="N17" s="3234">
        <f t="shared" si="8"/>
        <v>1040</v>
      </c>
      <c r="O17" s="3234">
        <f t="shared" si="8"/>
        <v>1040</v>
      </c>
      <c r="P17" s="3234">
        <f t="shared" si="8"/>
        <v>1040</v>
      </c>
      <c r="Q17" s="3234">
        <f t="shared" si="8"/>
        <v>1040</v>
      </c>
      <c r="R17" s="894">
        <f ca="1">IF('1 Erklärung'!AA$2="","",IF(A17="","",SUM(F17:Q17)))</f>
        <v>12480</v>
      </c>
      <c r="S17" s="205"/>
      <c r="T17" s="1269">
        <f ca="1">IF(A17="","",SUM(R17,-R19,-R18))</f>
        <v>12480</v>
      </c>
      <c r="U17" s="1228" t="str">
        <f ca="1">IF(A17="","",IF(T17="","",U$5))</f>
        <v>Bruttolohn ohne Zusatzzahlung</v>
      </c>
      <c r="V17" s="1227">
        <f ca="1">IF(A17="","",SUM(T17,R18,T18))</f>
        <v>12480</v>
      </c>
      <c r="W17" s="1229" t="str">
        <f ca="1">IF(A17="","",IF(V17="","",W$5))</f>
        <v>St.-pfl. Bruttolohn mit st-pfl. Zusatzz.</v>
      </c>
      <c r="X17" s="206">
        <f ca="1">IF(A17="","",R17/AL17)</f>
        <v>1040</v>
      </c>
      <c r="Y17" s="920"/>
      <c r="Z17" s="1587">
        <f>IF('4 Eingabe Friseure'!CE14&gt;0.4,'4 Eingabe Friseure'!$CD14*'4 Eingabe Friseure'!CE14,"")</f>
        <v>1040</v>
      </c>
      <c r="AA17" s="1587">
        <f>IF('4 Eingabe Friseure'!CF14&gt;0.4,'4 Eingabe Friseure'!$CD14*'4 Eingabe Friseure'!CF14,"")</f>
        <v>1040</v>
      </c>
      <c r="AB17" s="1587">
        <f>IF('4 Eingabe Friseure'!CG14&gt;0.4,'4 Eingabe Friseure'!$CD14*'4 Eingabe Friseure'!CG14,"")</f>
        <v>1040</v>
      </c>
      <c r="AC17" s="1587">
        <f>IF('4 Eingabe Friseure'!CH14&gt;0.4,'4 Eingabe Friseure'!$CD14*'4 Eingabe Friseure'!CH14,"")</f>
        <v>1040</v>
      </c>
      <c r="AD17" s="1587">
        <f>IF('4 Eingabe Friseure'!CI14&gt;0.4,'4 Eingabe Friseure'!$CD14*'4 Eingabe Friseure'!CI14,"")</f>
        <v>1040</v>
      </c>
      <c r="AE17" s="1587">
        <f>IF('4 Eingabe Friseure'!CJ14&gt;0.4,'4 Eingabe Friseure'!$CD14*'4 Eingabe Friseure'!CJ14,"")</f>
        <v>1040</v>
      </c>
      <c r="AF17" s="1587">
        <f>IF('4 Eingabe Friseure'!CK14&gt;0.4,'4 Eingabe Friseure'!$CD14*'4 Eingabe Friseure'!CK14,"")</f>
        <v>1040</v>
      </c>
      <c r="AG17" s="1587">
        <f>IF('4 Eingabe Friseure'!CL14&gt;0.4,'4 Eingabe Friseure'!$CD14*'4 Eingabe Friseure'!CL14,"")</f>
        <v>1040</v>
      </c>
      <c r="AH17" s="1587">
        <f>IF('4 Eingabe Friseure'!CM14&gt;0.4,'4 Eingabe Friseure'!$CD14*'4 Eingabe Friseure'!CM14,"")</f>
        <v>1040</v>
      </c>
      <c r="AI17" s="1587">
        <f>IF('4 Eingabe Friseure'!CN14&gt;0.4,'4 Eingabe Friseure'!$CD14*'4 Eingabe Friseure'!CN14,"")</f>
        <v>1040</v>
      </c>
      <c r="AJ17" s="1587">
        <f>IF('4 Eingabe Friseure'!CO14&gt;0.4,'4 Eingabe Friseure'!$CD14*'4 Eingabe Friseure'!CO14,"")</f>
        <v>1040</v>
      </c>
      <c r="AK17" s="1587">
        <f>IF('4 Eingabe Friseure'!CP14&gt;0.4,'4 Eingabe Friseure'!$CD14*'4 Eingabe Friseure'!CP14,"")</f>
        <v>1040</v>
      </c>
      <c r="AL17" s="920">
        <f>'4 Eingabe Friseure'!BG14</f>
        <v>12</v>
      </c>
      <c r="AM17" s="1588" t="str">
        <f>A41</f>
        <v/>
      </c>
      <c r="AN17" s="1587" t="str">
        <f ca="1">IF(D41="","",MAX(F41:Q41))</f>
        <v/>
      </c>
      <c r="AO17" s="1587" t="str">
        <f>X41</f>
        <v/>
      </c>
      <c r="AP17" s="1589" t="str">
        <f ca="1">D41</f>
        <v/>
      </c>
      <c r="AQ17" s="920"/>
      <c r="AR17" s="920"/>
    </row>
    <row r="18" spans="1:44" ht="24" customHeight="1">
      <c r="A18" s="934" t="str">
        <f>IF(SUM(AA18:AB18)=0,"",A$4)</f>
        <v/>
      </c>
      <c r="B18" s="1687" t="str">
        <f>IF(AA18=0,"",AA18)</f>
        <v/>
      </c>
      <c r="C18" s="1688" t="str">
        <f>IF(AB18=0,"",AB18)</f>
        <v/>
      </c>
      <c r="D18" s="3711" t="str">
        <f>IF(A17="","",$A$1)</f>
        <v>Weihnachts- + Urlaubsgeld ==&gt;</v>
      </c>
      <c r="E18" s="3712"/>
      <c r="F18" s="2578"/>
      <c r="G18" s="2578"/>
      <c r="H18" s="2578"/>
      <c r="I18" s="2578"/>
      <c r="J18" s="2578"/>
      <c r="K18" s="2578"/>
      <c r="L18" s="2578"/>
      <c r="M18" s="2578"/>
      <c r="N18" s="2578"/>
      <c r="O18" s="2578"/>
      <c r="P18" s="2578"/>
      <c r="Q18" s="2578"/>
      <c r="R18" s="1221">
        <f>IF(A17="","",SUM(F18:Q18))</f>
        <v>0</v>
      </c>
      <c r="S18" s="1222" t="str">
        <f>IF(A17="","",IF(R18="","",S$6))</f>
        <v>Erhöhung steuerpfl. Nicht regelmäßig</v>
      </c>
      <c r="T18" s="1221">
        <f>IF(A17="","",(AL17*AC18))</f>
        <v>0</v>
      </c>
      <c r="U18" s="1223" t="str">
        <f>IF(A17="","",IF(T18="","",U$6))</f>
        <v>Monatl. steuerpfl.
Sonderzahl.</v>
      </c>
      <c r="V18" s="203">
        <f ca="1">IF(A17="","",SUM(V17)*IF(T17/COUNTIF(F17:Q17,"&gt;0")&lt;$X$4,$W$4,$V$4))</f>
        <v>3120</v>
      </c>
      <c r="W18" s="204" t="str">
        <f ca="1">IF(A17="","",IF(V18="","",W$6))</f>
        <v>AG-anteil</v>
      </c>
      <c r="X18" s="3715" t="str">
        <f ca="1">IF(A17="","",IF(X17="","",X$6))</f>
        <v>Bruttolohn p. Mon. incl. st-freien und st-pfl. Monats-sonderzahlungen und jährl. Einmalzahlungen</v>
      </c>
      <c r="Y18" s="920">
        <f t="shared" ref="Y18:Y19" si="9">SUM(F18:Q18)</f>
        <v>0</v>
      </c>
      <c r="Z18" s="1587"/>
      <c r="AA18" s="1587">
        <f>'4 Eingabe Friseure'!F14</f>
        <v>0</v>
      </c>
      <c r="AB18" s="1587">
        <f>'4 Eingabe Friseure'!G14</f>
        <v>0</v>
      </c>
      <c r="AC18" s="1587">
        <f>'4 Eingabe Friseure'!H14</f>
        <v>0</v>
      </c>
      <c r="AD18" s="1587">
        <f>'4 Eingabe Friseure'!I14</f>
        <v>0</v>
      </c>
      <c r="AE18" s="1587">
        <f>'4 Eingabe Friseure'!J14</f>
        <v>0</v>
      </c>
      <c r="AF18" s="1587"/>
      <c r="AG18" s="1587"/>
      <c r="AH18" s="1587"/>
      <c r="AI18" s="1587"/>
      <c r="AJ18" s="1587"/>
      <c r="AK18" s="1587"/>
      <c r="AL18" s="920"/>
      <c r="AM18" s="1588" t="str">
        <f>A44</f>
        <v/>
      </c>
      <c r="AN18" s="1587" t="str">
        <f ca="1">IF(D44="","",MAX(F44:Q44))</f>
        <v/>
      </c>
      <c r="AO18" s="1587" t="str">
        <f>X44</f>
        <v/>
      </c>
      <c r="AP18" s="1589" t="str">
        <f ca="1">D44</f>
        <v/>
      </c>
      <c r="AQ18" s="920"/>
      <c r="AR18" s="920"/>
    </row>
    <row r="19" spans="1:44" ht="24" customHeight="1" thickBot="1">
      <c r="A19" s="935" t="str">
        <f>IF(SUM(AD18)=0,"",A$4)</f>
        <v/>
      </c>
      <c r="B19" s="1689"/>
      <c r="C19" s="1690" t="str">
        <f>IF(AD18=0,"",AD18)</f>
        <v/>
      </c>
      <c r="D19" s="3713" t="str">
        <f>IF(C19="","",$A$2)</f>
        <v/>
      </c>
      <c r="E19" s="3714"/>
      <c r="F19" s="2579"/>
      <c r="G19" s="2579"/>
      <c r="H19" s="2579"/>
      <c r="I19" s="2579"/>
      <c r="J19" s="2579"/>
      <c r="K19" s="2579"/>
      <c r="L19" s="2579"/>
      <c r="M19" s="2579"/>
      <c r="N19" s="2579"/>
      <c r="O19" s="2579"/>
      <c r="P19" s="2579"/>
      <c r="Q19" s="2580"/>
      <c r="R19" s="1224">
        <f>IF(A17="","",SUM(F19:Q19))</f>
        <v>0</v>
      </c>
      <c r="S19" s="1225" t="str">
        <f>IF(A17="","",IF(R19="","",S$7))</f>
        <v>Erhöhung steuerfrei nicht regelmäßig</v>
      </c>
      <c r="T19" s="1226">
        <f>IF(A17="","",(AE18*AL17))</f>
        <v>0</v>
      </c>
      <c r="U19" s="1225" t="str">
        <f>IF(A17="","",IF(T19="","",U$7))</f>
        <v>Monatl. steuerfreie
Sonderzahl.</v>
      </c>
      <c r="V19" s="201">
        <f ca="1">IF(A17="","",SUM(V17:V18,R19,T19))</f>
        <v>15600</v>
      </c>
      <c r="W19" s="959" t="str">
        <f ca="1">IF(D18="","",IF(V19="","",W$7))</f>
        <v>Summe PK incl. 
st-freien Zusatzz.</v>
      </c>
      <c r="X19" s="3716"/>
      <c r="Y19" s="920">
        <f t="shared" si="9"/>
        <v>0</v>
      </c>
      <c r="Z19" s="1587"/>
      <c r="AA19" s="1587"/>
      <c r="AB19" s="1587"/>
      <c r="AC19" s="1587"/>
      <c r="AD19" s="1587"/>
      <c r="AE19" s="1587"/>
      <c r="AF19" s="1587"/>
      <c r="AG19" s="1587"/>
      <c r="AH19" s="1587"/>
      <c r="AI19" s="1587"/>
      <c r="AJ19" s="1587"/>
      <c r="AK19" s="1587"/>
      <c r="AL19" s="920"/>
      <c r="AM19" s="1588" t="str">
        <f>A47</f>
        <v/>
      </c>
      <c r="AN19" s="1587" t="str">
        <f ca="1">IF(D47="","",MAX(F47:Q47))</f>
        <v/>
      </c>
      <c r="AO19" s="1587" t="str">
        <f>X47</f>
        <v/>
      </c>
      <c r="AP19" s="1589" t="str">
        <f ca="1">D47</f>
        <v/>
      </c>
      <c r="AQ19" s="920"/>
      <c r="AR19" s="920"/>
    </row>
    <row r="20" spans="1:44" ht="24" customHeight="1">
      <c r="A20" s="892" t="str">
        <f>IF('4 Eingabe Friseure'!A15="","",'4 Eingabe Friseure'!A15)</f>
        <v>Horst</v>
      </c>
      <c r="B20" s="936" t="str">
        <f>IF(B21="","",AA$7)</f>
        <v/>
      </c>
      <c r="C20" s="936" t="str">
        <f>IF(C21="","",AB$7)</f>
        <v/>
      </c>
      <c r="D20" s="893">
        <f ca="1">IF('1 Erklärung'!AA2="","",'4 Eingabe Friseure'!CD15)</f>
        <v>1350</v>
      </c>
      <c r="E20" s="893"/>
      <c r="F20" s="3234">
        <f t="shared" ref="F20:Q20" si="10">IF(SUM(F21,F22)=0,Z20,SUM(F21,F22,Z20))</f>
        <v>1350</v>
      </c>
      <c r="G20" s="3234">
        <f t="shared" si="10"/>
        <v>1350</v>
      </c>
      <c r="H20" s="3234">
        <f t="shared" si="10"/>
        <v>1350</v>
      </c>
      <c r="I20" s="3234">
        <f t="shared" si="10"/>
        <v>1350</v>
      </c>
      <c r="J20" s="3234">
        <f t="shared" si="10"/>
        <v>1350</v>
      </c>
      <c r="K20" s="3234">
        <f t="shared" si="10"/>
        <v>1350</v>
      </c>
      <c r="L20" s="3234">
        <f t="shared" si="10"/>
        <v>1350</v>
      </c>
      <c r="M20" s="3234">
        <f t="shared" si="10"/>
        <v>1350</v>
      </c>
      <c r="N20" s="3234">
        <f t="shared" si="10"/>
        <v>1350</v>
      </c>
      <c r="O20" s="3234">
        <f t="shared" si="10"/>
        <v>1350</v>
      </c>
      <c r="P20" s="3234">
        <f t="shared" si="10"/>
        <v>1350</v>
      </c>
      <c r="Q20" s="3234">
        <f t="shared" si="10"/>
        <v>1350</v>
      </c>
      <c r="R20" s="894">
        <f ca="1">IF('1 Erklärung'!AA$2="","",IF(A20="","",SUM(F20:Q20)))</f>
        <v>16200</v>
      </c>
      <c r="S20" s="205"/>
      <c r="T20" s="1269">
        <f ca="1">IF(A20="","",SUM(R20,-R22,-R21))</f>
        <v>16200</v>
      </c>
      <c r="U20" s="1228" t="str">
        <f ca="1">IF(A20="","",IF(T20="","",U$5))</f>
        <v>Bruttolohn ohne Zusatzzahlung</v>
      </c>
      <c r="V20" s="1227">
        <f ca="1">IF(A20="","",SUM(T20,R21,T21))</f>
        <v>16200</v>
      </c>
      <c r="W20" s="1229" t="str">
        <f ca="1">IF(A20="","",IF(V20="","",W$5))</f>
        <v>St.-pfl. Bruttolohn mit st-pfl. Zusatzz.</v>
      </c>
      <c r="X20" s="206">
        <f ca="1">IF(A20="","",R20/AL20)</f>
        <v>1350</v>
      </c>
      <c r="Y20" s="920"/>
      <c r="Z20" s="2951">
        <f>IF('4 Eingabe Friseure'!CE15&gt;0.4,'4 Eingabe Friseure'!$CD15*'4 Eingabe Friseure'!CE15,"")</f>
        <v>1350</v>
      </c>
      <c r="AA20" s="1587">
        <f>IF('4 Eingabe Friseure'!CF15&gt;0.4,'4 Eingabe Friseure'!$CD15*'4 Eingabe Friseure'!CF15,"")</f>
        <v>1350</v>
      </c>
      <c r="AB20" s="1587">
        <f>IF('4 Eingabe Friseure'!CG15&gt;0.4,'4 Eingabe Friseure'!$CD15*'4 Eingabe Friseure'!CG15,"")</f>
        <v>1350</v>
      </c>
      <c r="AC20" s="1587">
        <f>IF('4 Eingabe Friseure'!CH15&gt;0.4,'4 Eingabe Friseure'!$CD15*'4 Eingabe Friseure'!CH15,"")</f>
        <v>1350</v>
      </c>
      <c r="AD20" s="1587">
        <f>IF('4 Eingabe Friseure'!CI15&gt;0.4,'4 Eingabe Friseure'!$CD15*'4 Eingabe Friseure'!CI15,"")</f>
        <v>1350</v>
      </c>
      <c r="AE20" s="1587">
        <f>IF('4 Eingabe Friseure'!CJ15&gt;0.4,'4 Eingabe Friseure'!$CD15*'4 Eingabe Friseure'!CJ15,"")</f>
        <v>1350</v>
      </c>
      <c r="AF20" s="1587">
        <f>IF('4 Eingabe Friseure'!CK15&gt;0.4,'4 Eingabe Friseure'!$CD15*'4 Eingabe Friseure'!CK15,"")</f>
        <v>1350</v>
      </c>
      <c r="AG20" s="1587">
        <f>IF('4 Eingabe Friseure'!CL15&gt;0.4,'4 Eingabe Friseure'!$CD15*'4 Eingabe Friseure'!CL15,"")</f>
        <v>1350</v>
      </c>
      <c r="AH20" s="1587">
        <f>IF('4 Eingabe Friseure'!CM15&gt;0.4,'4 Eingabe Friseure'!$CD15*'4 Eingabe Friseure'!CM15,"")</f>
        <v>1350</v>
      </c>
      <c r="AI20" s="1587">
        <f>IF('4 Eingabe Friseure'!CN15&gt;0.4,'4 Eingabe Friseure'!$CD15*'4 Eingabe Friseure'!CN15,"")</f>
        <v>1350</v>
      </c>
      <c r="AJ20" s="1587">
        <f>IF('4 Eingabe Friseure'!CO15&gt;0.4,'4 Eingabe Friseure'!$CD15*'4 Eingabe Friseure'!CO15,"")</f>
        <v>1350</v>
      </c>
      <c r="AK20" s="1587">
        <f>IF('4 Eingabe Friseure'!CP15&gt;0.4,'4 Eingabe Friseure'!$CD15*'4 Eingabe Friseure'!CP15,"")</f>
        <v>1350</v>
      </c>
      <c r="AL20" s="920">
        <f>'4 Eingabe Friseure'!BG15</f>
        <v>12</v>
      </c>
      <c r="AM20" s="1588" t="str">
        <f>A50</f>
        <v/>
      </c>
      <c r="AN20" s="1587" t="str">
        <f ca="1">IF(D50="","",MAX(F50:Q50))</f>
        <v/>
      </c>
      <c r="AO20" s="1587" t="str">
        <f>X50</f>
        <v/>
      </c>
      <c r="AP20" s="1589" t="str">
        <f ca="1">D50</f>
        <v/>
      </c>
      <c r="AQ20" s="920"/>
      <c r="AR20" s="920"/>
    </row>
    <row r="21" spans="1:44" ht="24" customHeight="1">
      <c r="A21" s="934" t="str">
        <f>IF(SUM(AA21:AB21)=0,"",A$4)</f>
        <v/>
      </c>
      <c r="B21" s="1687" t="str">
        <f>IF(AA21=0,"",AA21)</f>
        <v/>
      </c>
      <c r="C21" s="1688" t="str">
        <f>IF(AB21=0,"",AB21)</f>
        <v/>
      </c>
      <c r="D21" s="3711" t="str">
        <f>IF(A20="","",$A$1)</f>
        <v>Weihnachts- + Urlaubsgeld ==&gt;</v>
      </c>
      <c r="E21" s="3712"/>
      <c r="F21" s="2578"/>
      <c r="G21" s="2578"/>
      <c r="H21" s="2578"/>
      <c r="I21" s="2578"/>
      <c r="J21" s="2578"/>
      <c r="K21" s="2578"/>
      <c r="L21" s="2578"/>
      <c r="M21" s="2578"/>
      <c r="N21" s="2578"/>
      <c r="O21" s="2578"/>
      <c r="P21" s="2578"/>
      <c r="Q21" s="2578"/>
      <c r="R21" s="1221">
        <f>IF(A20="","",SUM(F21:Q21))</f>
        <v>0</v>
      </c>
      <c r="S21" s="1222" t="str">
        <f>IF(A20="","",IF(R21="","",S$6))</f>
        <v>Erhöhung steuerpfl. Nicht regelmäßig</v>
      </c>
      <c r="T21" s="1221">
        <f>IF(A20="","",(AL20*AC21))</f>
        <v>0</v>
      </c>
      <c r="U21" s="1223" t="str">
        <f>IF(A20="","",IF(T21="","",U$6))</f>
        <v>Monatl. steuerpfl.
Sonderzahl.</v>
      </c>
      <c r="V21" s="203">
        <f ca="1">IF(A20="","",SUM(V20)*IF(T20/COUNTIF(F20:Q20,"&gt;0")&lt;$X$4,$W$4,$V$4))</f>
        <v>4050</v>
      </c>
      <c r="W21" s="204" t="str">
        <f ca="1">IF(A20="","",IF(V21="","",W$6))</f>
        <v>AG-anteil</v>
      </c>
      <c r="X21" s="3715" t="str">
        <f ca="1">IF(A20="","",IF(X20="","",X$6))</f>
        <v>Bruttolohn p. Mon. incl. st-freien und st-pfl. Monats-sonderzahlungen und jährl. Einmalzahlungen</v>
      </c>
      <c r="Y21" s="920">
        <f t="shared" ref="Y21:Y22" si="11">SUM(F21:Q21)</f>
        <v>0</v>
      </c>
      <c r="Z21" s="1587"/>
      <c r="AA21" s="1587">
        <f>'4 Eingabe Friseure'!F15</f>
        <v>0</v>
      </c>
      <c r="AB21" s="1587">
        <f>'4 Eingabe Friseure'!G15</f>
        <v>0</v>
      </c>
      <c r="AC21" s="1587">
        <f>'4 Eingabe Friseure'!H15</f>
        <v>0</v>
      </c>
      <c r="AD21" s="1587">
        <f>'4 Eingabe Friseure'!I15</f>
        <v>0</v>
      </c>
      <c r="AE21" s="1587">
        <f>'4 Eingabe Friseure'!J15</f>
        <v>0</v>
      </c>
      <c r="AF21" s="1587"/>
      <c r="AG21" s="1587"/>
      <c r="AH21" s="1587"/>
      <c r="AI21" s="1587"/>
      <c r="AJ21" s="1587"/>
      <c r="AK21" s="1587"/>
      <c r="AL21" s="920"/>
      <c r="AM21" s="920"/>
      <c r="AN21" s="920"/>
      <c r="AO21" s="920"/>
      <c r="AP21" s="920"/>
      <c r="AQ21" s="920"/>
      <c r="AR21" s="920"/>
    </row>
    <row r="22" spans="1:44" ht="24" customHeight="1" thickBot="1">
      <c r="A22" s="935" t="str">
        <f>IF(SUM(AD21)=0,"",A$4)</f>
        <v/>
      </c>
      <c r="B22" s="1689"/>
      <c r="C22" s="1690" t="str">
        <f>IF(AD21=0,"",AD21)</f>
        <v/>
      </c>
      <c r="D22" s="3713" t="str">
        <f>IF(C22="","",$A$2)</f>
        <v/>
      </c>
      <c r="E22" s="3714"/>
      <c r="F22" s="2579"/>
      <c r="G22" s="2579"/>
      <c r="H22" s="2579"/>
      <c r="I22" s="2579"/>
      <c r="J22" s="2579"/>
      <c r="K22" s="2579"/>
      <c r="L22" s="2579"/>
      <c r="M22" s="2579"/>
      <c r="N22" s="2579"/>
      <c r="O22" s="2579"/>
      <c r="P22" s="2579"/>
      <c r="Q22" s="2580"/>
      <c r="R22" s="1224">
        <f>IF(A20="","",SUM(F22:Q22))</f>
        <v>0</v>
      </c>
      <c r="S22" s="1225" t="str">
        <f>IF(A20="","",IF(R22="","",S$7))</f>
        <v>Erhöhung steuerfrei nicht regelmäßig</v>
      </c>
      <c r="T22" s="1226">
        <f>IF(A20="","",(AE21*AL20))</f>
        <v>0</v>
      </c>
      <c r="U22" s="1225" t="str">
        <f>IF(A20="","",IF(T22="","",U$7))</f>
        <v>Monatl. steuerfreie
Sonderzahl.</v>
      </c>
      <c r="V22" s="201">
        <f ca="1">IF(A20="","",SUM(V20:V21,R22,T22))</f>
        <v>20250</v>
      </c>
      <c r="W22" s="959" t="str">
        <f ca="1">IF(D21="","",IF(V22="","",W$7))</f>
        <v>Summe PK incl. 
st-freien Zusatzz.</v>
      </c>
      <c r="X22" s="3716"/>
      <c r="Y22" s="920">
        <f t="shared" si="11"/>
        <v>0</v>
      </c>
      <c r="Z22" s="1587"/>
      <c r="AA22" s="1587"/>
      <c r="AB22" s="1587"/>
      <c r="AC22" s="1587"/>
      <c r="AD22" s="1587"/>
      <c r="AE22" s="1587"/>
      <c r="AF22" s="1587"/>
      <c r="AG22" s="1587"/>
      <c r="AH22" s="1587"/>
      <c r="AI22" s="1587"/>
      <c r="AJ22" s="1587"/>
      <c r="AK22" s="1587"/>
      <c r="AL22" s="920"/>
      <c r="AM22" s="920"/>
      <c r="AN22" s="920"/>
      <c r="AO22" s="920"/>
      <c r="AP22" s="920"/>
      <c r="AQ22" s="920"/>
      <c r="AR22" s="920"/>
    </row>
    <row r="23" spans="1:44" ht="24" customHeight="1">
      <c r="A23" s="892" t="str">
        <f>IF('4 Eingabe Friseure'!A16="","",'4 Eingabe Friseure'!A16)</f>
        <v/>
      </c>
      <c r="B23" s="936" t="str">
        <f>IF(B24="","",AA$7)</f>
        <v/>
      </c>
      <c r="C23" s="936" t="str">
        <f>IF(C24="","",AB$7)</f>
        <v/>
      </c>
      <c r="D23" s="893" t="str">
        <f ca="1">IF('1 Erklärung'!AA2="","",'4 Eingabe Friseure'!CD16)</f>
        <v/>
      </c>
      <c r="E23" s="893"/>
      <c r="F23" s="3234" t="str">
        <f t="shared" ref="F23:Q23" si="12">IF(SUM(F24,F25)=0,Z23,SUM(F24,F25,Z23))</f>
        <v/>
      </c>
      <c r="G23" s="3234" t="str">
        <f t="shared" si="12"/>
        <v/>
      </c>
      <c r="H23" s="3234" t="str">
        <f t="shared" si="12"/>
        <v/>
      </c>
      <c r="I23" s="3234" t="str">
        <f t="shared" si="12"/>
        <v/>
      </c>
      <c r="J23" s="3234" t="str">
        <f t="shared" si="12"/>
        <v/>
      </c>
      <c r="K23" s="3234" t="str">
        <f t="shared" si="12"/>
        <v/>
      </c>
      <c r="L23" s="3234" t="str">
        <f t="shared" si="12"/>
        <v/>
      </c>
      <c r="M23" s="3234" t="str">
        <f t="shared" si="12"/>
        <v/>
      </c>
      <c r="N23" s="3234" t="str">
        <f t="shared" si="12"/>
        <v/>
      </c>
      <c r="O23" s="3234" t="str">
        <f t="shared" si="12"/>
        <v/>
      </c>
      <c r="P23" s="3234" t="str">
        <f t="shared" si="12"/>
        <v/>
      </c>
      <c r="Q23" s="3234" t="str">
        <f t="shared" si="12"/>
        <v/>
      </c>
      <c r="R23" s="894" t="str">
        <f ca="1">IF('1 Erklärung'!AA$2="","",IF(A23="","",SUM(F23:Q23)))</f>
        <v/>
      </c>
      <c r="S23" s="205"/>
      <c r="T23" s="1269" t="str">
        <f>IF(A23="","",SUM(R23,-R25,-R24))</f>
        <v/>
      </c>
      <c r="U23" s="1228" t="str">
        <f>IF(A23="","",IF(T23="","",U$5))</f>
        <v/>
      </c>
      <c r="V23" s="1227" t="str">
        <f>IF(A23="","",SUM(T23,R24,T24))</f>
        <v/>
      </c>
      <c r="W23" s="1229" t="str">
        <f>IF(A23="","",IF(V23="","",W$5))</f>
        <v/>
      </c>
      <c r="X23" s="206" t="str">
        <f>IF(A23="","",R23/AL23)</f>
        <v/>
      </c>
      <c r="Y23" s="920"/>
      <c r="Z23" s="1587" t="str">
        <f>IF('4 Eingabe Friseure'!CE16&gt;0.4,'4 Eingabe Friseure'!$CD16*'4 Eingabe Friseure'!CE16,"")</f>
        <v/>
      </c>
      <c r="AA23" s="1587" t="str">
        <f>IF('4 Eingabe Friseure'!CF16&gt;0.4,'4 Eingabe Friseure'!$CD16*'4 Eingabe Friseure'!CF16,"")</f>
        <v/>
      </c>
      <c r="AB23" s="1587" t="str">
        <f>IF('4 Eingabe Friseure'!CG16&gt;0.4,'4 Eingabe Friseure'!$CD16*'4 Eingabe Friseure'!CG16,"")</f>
        <v/>
      </c>
      <c r="AC23" s="1587" t="str">
        <f>IF('4 Eingabe Friseure'!CH16&gt;0.4,'4 Eingabe Friseure'!$CD16*'4 Eingabe Friseure'!CH16,"")</f>
        <v/>
      </c>
      <c r="AD23" s="1587" t="str">
        <f>IF('4 Eingabe Friseure'!CI16&gt;0.4,'4 Eingabe Friseure'!$CD16*'4 Eingabe Friseure'!CI16,"")</f>
        <v/>
      </c>
      <c r="AE23" s="1587" t="str">
        <f>IF('4 Eingabe Friseure'!CJ16&gt;0.4,'4 Eingabe Friseure'!$CD16*'4 Eingabe Friseure'!CJ16,"")</f>
        <v/>
      </c>
      <c r="AF23" s="1587" t="str">
        <f>IF('4 Eingabe Friseure'!CK16&gt;0.4,'4 Eingabe Friseure'!$CD16*'4 Eingabe Friseure'!CK16,"")</f>
        <v/>
      </c>
      <c r="AG23" s="1587" t="str">
        <f>IF('4 Eingabe Friseure'!CL16&gt;0.4,'4 Eingabe Friseure'!$CD16*'4 Eingabe Friseure'!CL16,"")</f>
        <v/>
      </c>
      <c r="AH23" s="1587" t="str">
        <f>IF('4 Eingabe Friseure'!CM16&gt;0.4,'4 Eingabe Friseure'!$CD16*'4 Eingabe Friseure'!CM16,"")</f>
        <v/>
      </c>
      <c r="AI23" s="1587" t="str">
        <f>IF('4 Eingabe Friseure'!CN16&gt;0.4,'4 Eingabe Friseure'!$CD16*'4 Eingabe Friseure'!CN16,"")</f>
        <v/>
      </c>
      <c r="AJ23" s="1587" t="str">
        <f>IF('4 Eingabe Friseure'!CO16&gt;0.4,'4 Eingabe Friseure'!$CD16*'4 Eingabe Friseure'!CO16,"")</f>
        <v/>
      </c>
      <c r="AK23" s="1587" t="str">
        <f>IF('4 Eingabe Friseure'!CP16&gt;0.4,'4 Eingabe Friseure'!$CD16*'4 Eingabe Friseure'!CP16,"")</f>
        <v/>
      </c>
      <c r="AL23" s="920" t="str">
        <f>'4 Eingabe Friseure'!BG16</f>
        <v/>
      </c>
      <c r="AM23" s="920"/>
      <c r="AN23" s="920"/>
      <c r="AO23" s="920"/>
      <c r="AP23" s="920"/>
      <c r="AQ23" s="920"/>
      <c r="AR23" s="920"/>
    </row>
    <row r="24" spans="1:44" ht="24" customHeight="1">
      <c r="A24" s="934" t="str">
        <f>IF(SUM(AA24:AB24)=0,"",A$4)</f>
        <v/>
      </c>
      <c r="B24" s="1687" t="str">
        <f>IF(AA24=0,"",AA24)</f>
        <v/>
      </c>
      <c r="C24" s="1688" t="str">
        <f>IF(AB24=0,"",AB24)</f>
        <v/>
      </c>
      <c r="D24" s="3711" t="str">
        <f>IF(A23="","",$A$1)</f>
        <v/>
      </c>
      <c r="E24" s="3712"/>
      <c r="F24" s="2578"/>
      <c r="G24" s="2578"/>
      <c r="H24" s="2578"/>
      <c r="I24" s="2578"/>
      <c r="J24" s="2578"/>
      <c r="K24" s="2578"/>
      <c r="L24" s="2578"/>
      <c r="M24" s="2578"/>
      <c r="N24" s="2578"/>
      <c r="O24" s="2578"/>
      <c r="P24" s="2578"/>
      <c r="Q24" s="2578"/>
      <c r="R24" s="1221" t="str">
        <f>IF(A23="","",SUM(F24:Q24))</f>
        <v/>
      </c>
      <c r="S24" s="1222" t="str">
        <f>IF(A23="","",IF(R24="","",S$6))</f>
        <v/>
      </c>
      <c r="T24" s="1221" t="str">
        <f>IF(A23="","",(AL23*AC24))</f>
        <v/>
      </c>
      <c r="U24" s="1223" t="str">
        <f>IF(A23="","",IF(T24="","",U$6))</f>
        <v/>
      </c>
      <c r="V24" s="203" t="str">
        <f>IF(A23="","",SUM(V23)*IF(T23/COUNTIF(F23:Q23,"&gt;0")&lt;$X$4,$W$4,$V$4))</f>
        <v/>
      </c>
      <c r="W24" s="204" t="str">
        <f>IF(A23="","",IF(V24="","",W$6))</f>
        <v/>
      </c>
      <c r="X24" s="3715" t="str">
        <f>IF(A23="","",IF(X23="","",X$6))</f>
        <v/>
      </c>
      <c r="Y24" s="920">
        <f t="shared" ref="Y24:Y25" si="13">SUM(F24:Q24)</f>
        <v>0</v>
      </c>
      <c r="Z24" s="1587"/>
      <c r="AA24" s="1587">
        <f>'4 Eingabe Friseure'!F16</f>
        <v>0</v>
      </c>
      <c r="AB24" s="1587">
        <f>'4 Eingabe Friseure'!G16</f>
        <v>0</v>
      </c>
      <c r="AC24" s="1587">
        <f>'4 Eingabe Friseure'!H16</f>
        <v>0</v>
      </c>
      <c r="AD24" s="1587">
        <f>'4 Eingabe Friseure'!I16</f>
        <v>0</v>
      </c>
      <c r="AE24" s="1587">
        <f>'4 Eingabe Friseure'!J16</f>
        <v>0</v>
      </c>
      <c r="AF24" s="1587"/>
      <c r="AG24" s="1587"/>
      <c r="AH24" s="1587"/>
      <c r="AI24" s="1587"/>
      <c r="AJ24" s="1587"/>
      <c r="AK24" s="1587"/>
      <c r="AL24" s="920"/>
      <c r="AM24" s="920"/>
      <c r="AN24" s="920"/>
      <c r="AO24" s="920"/>
      <c r="AP24" s="920"/>
      <c r="AQ24" s="920"/>
      <c r="AR24" s="920"/>
    </row>
    <row r="25" spans="1:44" ht="24" customHeight="1" thickBot="1">
      <c r="A25" s="935" t="str">
        <f>IF(SUM(AD24)=0,"",A$4)</f>
        <v/>
      </c>
      <c r="B25" s="1689"/>
      <c r="C25" s="1690" t="str">
        <f>IF(AD24=0,"",AD24)</f>
        <v/>
      </c>
      <c r="D25" s="3713" t="str">
        <f>IF(C25="","",$A$2)</f>
        <v/>
      </c>
      <c r="E25" s="3714"/>
      <c r="F25" s="2579"/>
      <c r="G25" s="2579"/>
      <c r="H25" s="2579"/>
      <c r="I25" s="2579"/>
      <c r="J25" s="2579"/>
      <c r="K25" s="2579"/>
      <c r="L25" s="2579"/>
      <c r="M25" s="2579"/>
      <c r="N25" s="2579"/>
      <c r="O25" s="2579"/>
      <c r="P25" s="2579"/>
      <c r="Q25" s="2580"/>
      <c r="R25" s="1224" t="str">
        <f>IF(A23="","",SUM(F25:Q25))</f>
        <v/>
      </c>
      <c r="S25" s="1225" t="str">
        <f>IF(A23="","",IF(R25="","",S$7))</f>
        <v/>
      </c>
      <c r="T25" s="1226" t="str">
        <f>IF(A23="","",(AE24*AL23))</f>
        <v/>
      </c>
      <c r="U25" s="1225" t="str">
        <f>IF(A23="","",IF(T25="","",U$7))</f>
        <v/>
      </c>
      <c r="V25" s="201" t="str">
        <f>IF(A23="","",SUM(V23:V24,R25,T25))</f>
        <v/>
      </c>
      <c r="W25" s="959" t="str">
        <f>IF(D24="","",IF(V25="","",W$7))</f>
        <v/>
      </c>
      <c r="X25" s="3716"/>
      <c r="Y25" s="920">
        <f t="shared" si="13"/>
        <v>0</v>
      </c>
      <c r="Z25" s="1587"/>
      <c r="AA25" s="1587"/>
      <c r="AB25" s="1587"/>
      <c r="AC25" s="1587"/>
      <c r="AD25" s="1587"/>
      <c r="AE25" s="1587"/>
      <c r="AF25" s="1587"/>
      <c r="AG25" s="1587"/>
      <c r="AH25" s="1587"/>
      <c r="AI25" s="1587"/>
      <c r="AJ25" s="1587"/>
      <c r="AK25" s="1587"/>
      <c r="AL25" s="920"/>
      <c r="AM25" s="920"/>
      <c r="AN25" s="920"/>
      <c r="AO25" s="920"/>
      <c r="AP25" s="920"/>
      <c r="AQ25" s="920"/>
      <c r="AR25" s="920"/>
    </row>
    <row r="26" spans="1:44" ht="24" customHeight="1">
      <c r="A26" s="892" t="str">
        <f>IF('4 Eingabe Friseure'!A17="","",'4 Eingabe Friseure'!A17)</f>
        <v>Salli</v>
      </c>
      <c r="B26" s="936" t="str">
        <f>IF(B27="","",AA$7)</f>
        <v/>
      </c>
      <c r="C26" s="936" t="str">
        <f>IF(C27="","",AB$7)</f>
        <v/>
      </c>
      <c r="D26" s="893">
        <f ca="1">IF('1 Erklärung'!AA2="","",'4 Eingabe Friseure'!CD17)</f>
        <v>1326.8851999999999</v>
      </c>
      <c r="E26" s="893"/>
      <c r="F26" s="3234">
        <f t="shared" ref="F26:Q26" si="14">IF(SUM(F27,F28)=0,Z26,SUM(F27,F28,Z26))</f>
        <v>1326.8851999999999</v>
      </c>
      <c r="G26" s="3234">
        <f t="shared" si="14"/>
        <v>1326.8851999999999</v>
      </c>
      <c r="H26" s="3234">
        <f t="shared" si="14"/>
        <v>1326.8851999999999</v>
      </c>
      <c r="I26" s="3234">
        <f t="shared" si="14"/>
        <v>1326.8851999999999</v>
      </c>
      <c r="J26" s="3234">
        <f t="shared" si="14"/>
        <v>1326.8851999999999</v>
      </c>
      <c r="K26" s="3234">
        <f t="shared" si="14"/>
        <v>1326.8851999999999</v>
      </c>
      <c r="L26" s="3234">
        <f t="shared" si="14"/>
        <v>1326.8851999999999</v>
      </c>
      <c r="M26" s="3234" t="str">
        <f t="shared" si="14"/>
        <v/>
      </c>
      <c r="N26" s="3234" t="str">
        <f t="shared" si="14"/>
        <v/>
      </c>
      <c r="O26" s="3234" t="str">
        <f t="shared" si="14"/>
        <v/>
      </c>
      <c r="P26" s="3234" t="str">
        <f t="shared" si="14"/>
        <v/>
      </c>
      <c r="Q26" s="3234" t="str">
        <f t="shared" si="14"/>
        <v/>
      </c>
      <c r="R26" s="894">
        <f ca="1">IF('1 Erklärung'!AA$2="","",IF(A26="","",SUM(F26:Q26)))</f>
        <v>9288.1963999999989</v>
      </c>
      <c r="S26" s="205"/>
      <c r="T26" s="1269">
        <f ca="1">IF(A26="","",SUM(R26,-R28,-R27))</f>
        <v>9288.1963999999989</v>
      </c>
      <c r="U26" s="1228" t="str">
        <f ca="1">IF(A26="","",IF(T26="","",U$5))</f>
        <v>Bruttolohn ohne Zusatzzahlung</v>
      </c>
      <c r="V26" s="1227">
        <f ca="1">IF(A26="","",SUM(T26,R27,T27))</f>
        <v>9288.1963999999989</v>
      </c>
      <c r="W26" s="1229" t="str">
        <f ca="1">IF(A26="","",IF(V26="","",W$5))</f>
        <v>St.-pfl. Bruttolohn mit st-pfl. Zusatzz.</v>
      </c>
      <c r="X26" s="206">
        <f ca="1">IF(A26="","",R26/AL26)</f>
        <v>1326.8851999999999</v>
      </c>
      <c r="Y26" s="920"/>
      <c r="Z26" s="1587">
        <f>IF('4 Eingabe Friseure'!CE17&gt;0.4,'4 Eingabe Friseure'!$CD17*'4 Eingabe Friseure'!CE17,"")</f>
        <v>1326.8851999999999</v>
      </c>
      <c r="AA26" s="1587">
        <f>IF('4 Eingabe Friseure'!CF17&gt;0.4,'4 Eingabe Friseure'!$CD17*'4 Eingabe Friseure'!CF17,"")</f>
        <v>1326.8851999999999</v>
      </c>
      <c r="AB26" s="1587">
        <f>IF('4 Eingabe Friseure'!CG17&gt;0.4,'4 Eingabe Friseure'!$CD17*'4 Eingabe Friseure'!CG17,"")</f>
        <v>1326.8851999999999</v>
      </c>
      <c r="AC26" s="1587">
        <f>IF('4 Eingabe Friseure'!CH17&gt;0.4,'4 Eingabe Friseure'!$CD17*'4 Eingabe Friseure'!CH17,"")</f>
        <v>1326.8851999999999</v>
      </c>
      <c r="AD26" s="1587">
        <f>IF('4 Eingabe Friseure'!CI17&gt;0.4,'4 Eingabe Friseure'!$CD17*'4 Eingabe Friseure'!CI17,"")</f>
        <v>1326.8851999999999</v>
      </c>
      <c r="AE26" s="1587">
        <f>IF('4 Eingabe Friseure'!CJ17&gt;0.4,'4 Eingabe Friseure'!$CD17*'4 Eingabe Friseure'!CJ17,"")</f>
        <v>1326.8851999999999</v>
      </c>
      <c r="AF26" s="1587">
        <f>IF('4 Eingabe Friseure'!CK17&gt;0.4,'4 Eingabe Friseure'!$CD17*'4 Eingabe Friseure'!CK17,"")</f>
        <v>1326.8851999999999</v>
      </c>
      <c r="AG26" s="1587" t="str">
        <f>IF('4 Eingabe Friseure'!CL17&gt;0.4,'4 Eingabe Friseure'!$CD17*'4 Eingabe Friseure'!CL17,"")</f>
        <v/>
      </c>
      <c r="AH26" s="1587" t="str">
        <f>IF('4 Eingabe Friseure'!CM17&gt;0.4,'4 Eingabe Friseure'!$CD17*'4 Eingabe Friseure'!CM17,"")</f>
        <v/>
      </c>
      <c r="AI26" s="1587" t="str">
        <f>IF('4 Eingabe Friseure'!CN17&gt;0.4,'4 Eingabe Friseure'!$CD17*'4 Eingabe Friseure'!CN17,"")</f>
        <v/>
      </c>
      <c r="AJ26" s="1587" t="str">
        <f>IF('4 Eingabe Friseure'!CO17&gt;0.4,'4 Eingabe Friseure'!$CD17*'4 Eingabe Friseure'!CO17,"")</f>
        <v/>
      </c>
      <c r="AK26" s="1587" t="str">
        <f>IF('4 Eingabe Friseure'!CP17&gt;0.4,'4 Eingabe Friseure'!$CD17*'4 Eingabe Friseure'!CP17,"")</f>
        <v/>
      </c>
      <c r="AL26" s="920">
        <f>'4 Eingabe Friseure'!BG17</f>
        <v>7</v>
      </c>
      <c r="AM26" s="920"/>
      <c r="AN26" s="920"/>
      <c r="AO26" s="920"/>
      <c r="AP26" s="920"/>
      <c r="AQ26" s="920"/>
      <c r="AR26" s="920"/>
    </row>
    <row r="27" spans="1:44" ht="24" customHeight="1">
      <c r="A27" s="934" t="str">
        <f>IF(SUM(AA27:AB27)=0,"",A$4)</f>
        <v/>
      </c>
      <c r="B27" s="1687" t="str">
        <f>IF(AA27=0,"",AA27)</f>
        <v/>
      </c>
      <c r="C27" s="1688" t="str">
        <f>IF(AB27=0,"",AB27)</f>
        <v/>
      </c>
      <c r="D27" s="3711" t="str">
        <f>IF(A26="","",$A$1)</f>
        <v>Weihnachts- + Urlaubsgeld ==&gt;</v>
      </c>
      <c r="E27" s="3712"/>
      <c r="F27" s="2578"/>
      <c r="G27" s="2578"/>
      <c r="H27" s="2578"/>
      <c r="I27" s="2578"/>
      <c r="J27" s="2578"/>
      <c r="K27" s="2578"/>
      <c r="L27" s="2578"/>
      <c r="M27" s="2578"/>
      <c r="N27" s="2578"/>
      <c r="O27" s="2578"/>
      <c r="P27" s="2578"/>
      <c r="Q27" s="2578"/>
      <c r="R27" s="1221">
        <f>IF(A26="","",SUM(F27:Q27))</f>
        <v>0</v>
      </c>
      <c r="S27" s="1222" t="str">
        <f>IF(A26="","",IF(R27="","",S$6))</f>
        <v>Erhöhung steuerpfl. Nicht regelmäßig</v>
      </c>
      <c r="T27" s="1221">
        <f>IF(A26="","",(AL26*AC27))</f>
        <v>0</v>
      </c>
      <c r="U27" s="1223" t="str">
        <f>IF(A26="","",IF(T27="","",U$6))</f>
        <v>Monatl. steuerpfl.
Sonderzahl.</v>
      </c>
      <c r="V27" s="203">
        <f ca="1">IF(A26="","",SUM(V26)*IF(T26/COUNTIF(F26:Q26,"&gt;0")&lt;$X$4,$W$4,$V$4))</f>
        <v>2322.0490999999997</v>
      </c>
      <c r="W27" s="204" t="str">
        <f ca="1">IF(A26="","",IF(V27="","",W$6))</f>
        <v>AG-anteil</v>
      </c>
      <c r="X27" s="3715" t="str">
        <f ca="1">IF(A26="","",IF(X26="","",X$6))</f>
        <v>Bruttolohn p. Mon. incl. st-freien und st-pfl. Monats-sonderzahlungen und jährl. Einmalzahlungen</v>
      </c>
      <c r="Y27" s="920">
        <f t="shared" ref="Y27:Y28" si="15">SUM(F27:Q27)</f>
        <v>0</v>
      </c>
      <c r="Z27" s="1587"/>
      <c r="AA27" s="1587">
        <f>'4 Eingabe Friseure'!F17</f>
        <v>0</v>
      </c>
      <c r="AB27" s="1587">
        <f>'4 Eingabe Friseure'!G17</f>
        <v>0</v>
      </c>
      <c r="AC27" s="1587">
        <f>'4 Eingabe Friseure'!H17</f>
        <v>0</v>
      </c>
      <c r="AD27" s="1587">
        <f>'4 Eingabe Friseure'!I17</f>
        <v>0</v>
      </c>
      <c r="AE27" s="1587">
        <f>'4 Eingabe Friseure'!J17</f>
        <v>0</v>
      </c>
      <c r="AF27" s="1587"/>
      <c r="AG27" s="1587"/>
      <c r="AH27" s="1587"/>
      <c r="AI27" s="1587"/>
      <c r="AJ27" s="1587"/>
      <c r="AK27" s="1587"/>
      <c r="AL27" s="920"/>
      <c r="AM27" s="920"/>
      <c r="AN27" s="920"/>
      <c r="AO27" s="920"/>
      <c r="AP27" s="920"/>
      <c r="AQ27" s="920"/>
      <c r="AR27" s="920"/>
    </row>
    <row r="28" spans="1:44" ht="24" customHeight="1" thickBot="1">
      <c r="A28" s="935" t="str">
        <f>IF(SUM(AD27)=0,"",A$4)</f>
        <v/>
      </c>
      <c r="B28" s="1689"/>
      <c r="C28" s="1690" t="str">
        <f>IF(AD27=0,"",AD27)</f>
        <v/>
      </c>
      <c r="D28" s="3713" t="str">
        <f>IF(C28="","",$A$2)</f>
        <v/>
      </c>
      <c r="E28" s="3714"/>
      <c r="F28" s="2579"/>
      <c r="G28" s="2579"/>
      <c r="H28" s="2579"/>
      <c r="I28" s="2579"/>
      <c r="J28" s="2579"/>
      <c r="K28" s="2579"/>
      <c r="L28" s="2579"/>
      <c r="M28" s="2579"/>
      <c r="N28" s="2579"/>
      <c r="O28" s="2579"/>
      <c r="P28" s="2579"/>
      <c r="Q28" s="2580"/>
      <c r="R28" s="1224">
        <f>IF(A26="","",SUM(F28:Q28))</f>
        <v>0</v>
      </c>
      <c r="S28" s="1225" t="str">
        <f>IF(A26="","",IF(R28="","",S$7))</f>
        <v>Erhöhung steuerfrei nicht regelmäßig</v>
      </c>
      <c r="T28" s="1226">
        <f>IF(A26="","",(AE27*AL26))</f>
        <v>0</v>
      </c>
      <c r="U28" s="1225" t="str">
        <f>IF(A26="","",IF(T28="","",U$7))</f>
        <v>Monatl. steuerfreie
Sonderzahl.</v>
      </c>
      <c r="V28" s="201">
        <f ca="1">IF(A26="","",SUM(V26:V27,R28,T28))</f>
        <v>11610.245499999999</v>
      </c>
      <c r="W28" s="959" t="str">
        <f ca="1">IF(D27="","",IF(V28="","",W$7))</f>
        <v>Summe PK incl. 
st-freien Zusatzz.</v>
      </c>
      <c r="X28" s="3716"/>
      <c r="Y28" s="920">
        <f t="shared" si="15"/>
        <v>0</v>
      </c>
      <c r="Z28" s="1587"/>
      <c r="AA28" s="1587"/>
      <c r="AB28" s="1587"/>
      <c r="AC28" s="1587"/>
      <c r="AD28" s="1587"/>
      <c r="AE28" s="1587"/>
      <c r="AF28" s="1587"/>
      <c r="AG28" s="1587"/>
      <c r="AH28" s="1587"/>
      <c r="AI28" s="1587"/>
      <c r="AJ28" s="1587"/>
      <c r="AK28" s="1587"/>
      <c r="AL28" s="920"/>
      <c r="AM28" s="920"/>
      <c r="AN28" s="920"/>
      <c r="AO28" s="920"/>
      <c r="AP28" s="920"/>
      <c r="AQ28" s="920"/>
      <c r="AR28" s="920"/>
    </row>
    <row r="29" spans="1:44" ht="24" customHeight="1">
      <c r="A29" s="892" t="str">
        <f>IF('4 Eingabe Friseure'!A18="","",'4 Eingabe Friseure'!A18)</f>
        <v>Salli</v>
      </c>
      <c r="B29" s="936" t="str">
        <f>IF(B30="","",AA$7)</f>
        <v/>
      </c>
      <c r="C29" s="936" t="str">
        <f>IF(C30="","",AB$7)</f>
        <v/>
      </c>
      <c r="D29" s="893">
        <f ca="1">IF('1 Erklärung'!AA2="","",'4 Eingabe Friseure'!CD18)</f>
        <v>1600</v>
      </c>
      <c r="E29" s="893"/>
      <c r="F29" s="3234" t="str">
        <f t="shared" ref="F29:Q29" si="16">IF(SUM(F30,F31)=0,Z29,SUM(F30,F31,Z29))</f>
        <v/>
      </c>
      <c r="G29" s="3234" t="str">
        <f t="shared" si="16"/>
        <v/>
      </c>
      <c r="H29" s="3234" t="str">
        <f t="shared" si="16"/>
        <v/>
      </c>
      <c r="I29" s="3234" t="str">
        <f t="shared" si="16"/>
        <v/>
      </c>
      <c r="J29" s="3234" t="str">
        <f t="shared" si="16"/>
        <v/>
      </c>
      <c r="K29" s="3234" t="str">
        <f t="shared" si="16"/>
        <v/>
      </c>
      <c r="L29" s="3234" t="str">
        <f t="shared" si="16"/>
        <v/>
      </c>
      <c r="M29" s="3234">
        <f t="shared" si="16"/>
        <v>1600</v>
      </c>
      <c r="N29" s="3234">
        <f t="shared" si="16"/>
        <v>1600</v>
      </c>
      <c r="O29" s="3234">
        <f t="shared" si="16"/>
        <v>1600</v>
      </c>
      <c r="P29" s="3234">
        <f t="shared" si="16"/>
        <v>1600</v>
      </c>
      <c r="Q29" s="3234">
        <f t="shared" si="16"/>
        <v>1600</v>
      </c>
      <c r="R29" s="894">
        <f ca="1">IF('1 Erklärung'!AA$2="","",IF(A29="","",SUM(F29:Q29)))</f>
        <v>8000</v>
      </c>
      <c r="S29" s="205"/>
      <c r="T29" s="1269">
        <f ca="1">IF(A29="","",SUM(R29,-R31,-R30))</f>
        <v>8000</v>
      </c>
      <c r="U29" s="1228" t="str">
        <f ca="1">IF(A29="","",IF(T29="","",U$5))</f>
        <v>Bruttolohn ohne Zusatzzahlung</v>
      </c>
      <c r="V29" s="1227">
        <f ca="1">IF(A29="","",SUM(T29,R30,T30))</f>
        <v>8000</v>
      </c>
      <c r="W29" s="1229" t="str">
        <f ca="1">IF(A29="","",IF(V29="","",W$5))</f>
        <v>St.-pfl. Bruttolohn mit st-pfl. Zusatzz.</v>
      </c>
      <c r="X29" s="206">
        <f ca="1">IF(A29="","",R29/AL29)</f>
        <v>1600</v>
      </c>
      <c r="Y29" s="920"/>
      <c r="Z29" s="1587" t="str">
        <f>IF('4 Eingabe Friseure'!CE18&gt;0.4,'4 Eingabe Friseure'!$CD18*'4 Eingabe Friseure'!CE18,"")</f>
        <v/>
      </c>
      <c r="AA29" s="1587" t="str">
        <f>IF('4 Eingabe Friseure'!CF18&gt;0.4,'4 Eingabe Friseure'!$CD18*'4 Eingabe Friseure'!CF18,"")</f>
        <v/>
      </c>
      <c r="AB29" s="1587" t="str">
        <f>IF('4 Eingabe Friseure'!CG18&gt;0.4,'4 Eingabe Friseure'!$CD18*'4 Eingabe Friseure'!CG18,"")</f>
        <v/>
      </c>
      <c r="AC29" s="1587" t="str">
        <f>IF('4 Eingabe Friseure'!CH18&gt;0.4,'4 Eingabe Friseure'!$CD18*'4 Eingabe Friseure'!CH18,"")</f>
        <v/>
      </c>
      <c r="AD29" s="1587" t="str">
        <f>IF('4 Eingabe Friseure'!CI18&gt;0.4,'4 Eingabe Friseure'!$CD18*'4 Eingabe Friseure'!CI18,"")</f>
        <v/>
      </c>
      <c r="AE29" s="1587" t="str">
        <f>IF('4 Eingabe Friseure'!CJ18&gt;0.4,'4 Eingabe Friseure'!$CD18*'4 Eingabe Friseure'!CJ18,"")</f>
        <v/>
      </c>
      <c r="AF29" s="1587" t="str">
        <f>IF('4 Eingabe Friseure'!CK18&gt;0.4,'4 Eingabe Friseure'!$CD18*'4 Eingabe Friseure'!CK18,"")</f>
        <v/>
      </c>
      <c r="AG29" s="1587">
        <f>IF('4 Eingabe Friseure'!CL18&gt;0.4,'4 Eingabe Friseure'!$CD18*'4 Eingabe Friseure'!CL18,"")</f>
        <v>1600</v>
      </c>
      <c r="AH29" s="1587">
        <f>IF('4 Eingabe Friseure'!CM18&gt;0.4,'4 Eingabe Friseure'!$CD18*'4 Eingabe Friseure'!CM18,"")</f>
        <v>1600</v>
      </c>
      <c r="AI29" s="1587">
        <f>IF('4 Eingabe Friseure'!CN18&gt;0.4,'4 Eingabe Friseure'!$CD18*'4 Eingabe Friseure'!CN18,"")</f>
        <v>1600</v>
      </c>
      <c r="AJ29" s="1587">
        <f>IF('4 Eingabe Friseure'!CO18&gt;0.4,'4 Eingabe Friseure'!$CD18*'4 Eingabe Friseure'!CO18,"")</f>
        <v>1600</v>
      </c>
      <c r="AK29" s="1587">
        <f>IF('4 Eingabe Friseure'!CP18&gt;0.4,'4 Eingabe Friseure'!$CD18*'4 Eingabe Friseure'!CP18,"")</f>
        <v>1600</v>
      </c>
      <c r="AL29" s="920">
        <f>'4 Eingabe Friseure'!BG18</f>
        <v>5</v>
      </c>
      <c r="AM29" s="920"/>
      <c r="AN29" s="920"/>
      <c r="AO29" s="920"/>
      <c r="AP29" s="920"/>
      <c r="AQ29" s="920"/>
      <c r="AR29" s="920"/>
    </row>
    <row r="30" spans="1:44" ht="24" customHeight="1">
      <c r="A30" s="934" t="str">
        <f>IF(SUM(AA30:AB30)=0,"",A$4)</f>
        <v/>
      </c>
      <c r="B30" s="1687" t="str">
        <f>IF(AA30=0,"",AA30)</f>
        <v/>
      </c>
      <c r="C30" s="1688" t="str">
        <f>IF(AB30=0,"",AB30)</f>
        <v/>
      </c>
      <c r="D30" s="3711" t="str">
        <f>IF(A29="","",$A$1)</f>
        <v>Weihnachts- + Urlaubsgeld ==&gt;</v>
      </c>
      <c r="E30" s="3712"/>
      <c r="F30" s="2578"/>
      <c r="G30" s="2578"/>
      <c r="H30" s="2578"/>
      <c r="I30" s="2578"/>
      <c r="J30" s="2578"/>
      <c r="K30" s="2578"/>
      <c r="L30" s="2578"/>
      <c r="M30" s="2578"/>
      <c r="N30" s="2578"/>
      <c r="O30" s="2578"/>
      <c r="P30" s="2578"/>
      <c r="Q30" s="2578"/>
      <c r="R30" s="1221">
        <f>IF(A29="","",SUM(F30:Q30))</f>
        <v>0</v>
      </c>
      <c r="S30" s="1222" t="str">
        <f>IF(A29="","",IF(R30="","",S$6))</f>
        <v>Erhöhung steuerpfl. Nicht regelmäßig</v>
      </c>
      <c r="T30" s="1221">
        <f>IF(A29="","",(AL29*AC30))</f>
        <v>0</v>
      </c>
      <c r="U30" s="1223" t="str">
        <f>IF(A29="","",IF(T30="","",U$6))</f>
        <v>Monatl. steuerpfl.
Sonderzahl.</v>
      </c>
      <c r="V30" s="203">
        <f ca="1">IF(A29="","",SUM(V29)*IF(T29/COUNTIF(F29:Q29,"&gt;0")&lt;$X$4,$W$4,$V$4))</f>
        <v>2000</v>
      </c>
      <c r="W30" s="204" t="str">
        <f ca="1">IF(A29="","",IF(V30="","",W$6))</f>
        <v>AG-anteil</v>
      </c>
      <c r="X30" s="3715" t="str">
        <f ca="1">IF(A29="","",IF(X29="","",X$6))</f>
        <v>Bruttolohn p. Mon. incl. st-freien und st-pfl. Monats-sonderzahlungen und jährl. Einmalzahlungen</v>
      </c>
      <c r="Y30" s="920">
        <f t="shared" ref="Y30:Y31" si="17">SUM(F30:Q30)</f>
        <v>0</v>
      </c>
      <c r="Z30" s="1587"/>
      <c r="AA30" s="1587">
        <f>'4 Eingabe Friseure'!F18</f>
        <v>0</v>
      </c>
      <c r="AB30" s="1587">
        <f>'4 Eingabe Friseure'!G18</f>
        <v>0</v>
      </c>
      <c r="AC30" s="1587">
        <f>'4 Eingabe Friseure'!H18</f>
        <v>0</v>
      </c>
      <c r="AD30" s="1587">
        <f>'4 Eingabe Friseure'!I18</f>
        <v>0</v>
      </c>
      <c r="AE30" s="1587">
        <f>'4 Eingabe Friseure'!J18</f>
        <v>0</v>
      </c>
      <c r="AF30" s="1587"/>
      <c r="AG30" s="1587"/>
      <c r="AH30" s="1587"/>
      <c r="AI30" s="1587"/>
      <c r="AJ30" s="1587"/>
      <c r="AK30" s="1587"/>
      <c r="AL30" s="920"/>
      <c r="AM30" s="920"/>
      <c r="AN30" s="920"/>
      <c r="AO30" s="920"/>
      <c r="AP30" s="920"/>
      <c r="AQ30" s="920"/>
      <c r="AR30" s="920"/>
    </row>
    <row r="31" spans="1:44" ht="24" customHeight="1" thickBot="1">
      <c r="A31" s="935" t="str">
        <f>IF(SUM(AD30)=0,"",A$4)</f>
        <v/>
      </c>
      <c r="B31" s="1689"/>
      <c r="C31" s="1690" t="str">
        <f>IF(AD30=0,"",AD30)</f>
        <v/>
      </c>
      <c r="D31" s="3713" t="str">
        <f>IF(C31="","",$A$2)</f>
        <v/>
      </c>
      <c r="E31" s="3714"/>
      <c r="F31" s="2579"/>
      <c r="G31" s="2579"/>
      <c r="H31" s="2579"/>
      <c r="I31" s="2579"/>
      <c r="J31" s="2579"/>
      <c r="K31" s="2579"/>
      <c r="L31" s="2579"/>
      <c r="M31" s="2579"/>
      <c r="N31" s="2579"/>
      <c r="O31" s="2579"/>
      <c r="P31" s="2579"/>
      <c r="Q31" s="2580"/>
      <c r="R31" s="1224">
        <f>IF(A29="","",SUM(F31:Q31))</f>
        <v>0</v>
      </c>
      <c r="S31" s="1225" t="str">
        <f>IF(A29="","",IF(R31="","",S$7))</f>
        <v>Erhöhung steuerfrei nicht regelmäßig</v>
      </c>
      <c r="T31" s="1226">
        <f>IF(A29="","",(AE30*AL29))</f>
        <v>0</v>
      </c>
      <c r="U31" s="1225" t="str">
        <f>IF(A29="","",IF(T31="","",U$7))</f>
        <v>Monatl. steuerfreie
Sonderzahl.</v>
      </c>
      <c r="V31" s="201">
        <f ca="1">IF(A29="","",SUM(V29:V30,R31,T31))</f>
        <v>10000</v>
      </c>
      <c r="W31" s="959" t="str">
        <f ca="1">IF(D30="","",IF(V31="","",W$7))</f>
        <v>Summe PK incl. 
st-freien Zusatzz.</v>
      </c>
      <c r="X31" s="3716"/>
      <c r="Y31" s="920">
        <f t="shared" si="17"/>
        <v>0</v>
      </c>
      <c r="Z31" s="1587"/>
      <c r="AA31" s="1587"/>
      <c r="AB31" s="1587"/>
      <c r="AC31" s="1587"/>
      <c r="AD31" s="1587"/>
      <c r="AE31" s="1587"/>
      <c r="AF31" s="1587"/>
      <c r="AG31" s="1587"/>
      <c r="AH31" s="1587"/>
      <c r="AI31" s="1587"/>
      <c r="AJ31" s="1587"/>
      <c r="AK31" s="1587"/>
      <c r="AL31" s="920"/>
      <c r="AM31" s="920"/>
      <c r="AN31" s="920"/>
      <c r="AO31" s="920"/>
      <c r="AP31" s="920"/>
      <c r="AQ31" s="920"/>
      <c r="AR31" s="920"/>
    </row>
    <row r="32" spans="1:44" ht="24" customHeight="1">
      <c r="A32" s="892" t="str">
        <f>IF('4 Eingabe Friseure'!A19="","",'4 Eingabe Friseure'!A19)</f>
        <v/>
      </c>
      <c r="B32" s="936" t="str">
        <f>IF(B33="","",AA$7)</f>
        <v/>
      </c>
      <c r="C32" s="936" t="str">
        <f>IF(C33="","",AB$7)</f>
        <v/>
      </c>
      <c r="D32" s="893" t="str">
        <f ca="1">IF('1 Erklärung'!AA2="","",'4 Eingabe Friseure'!CD19)</f>
        <v/>
      </c>
      <c r="E32" s="893"/>
      <c r="F32" s="3234" t="str">
        <f t="shared" ref="F32:Q32" si="18">IF(SUM(F33,F34)=0,Z32,SUM(F33,F34,Z32))</f>
        <v/>
      </c>
      <c r="G32" s="3234" t="str">
        <f t="shared" si="18"/>
        <v/>
      </c>
      <c r="H32" s="3234" t="str">
        <f t="shared" si="18"/>
        <v/>
      </c>
      <c r="I32" s="3234" t="str">
        <f t="shared" si="18"/>
        <v/>
      </c>
      <c r="J32" s="3234" t="str">
        <f t="shared" si="18"/>
        <v/>
      </c>
      <c r="K32" s="3234" t="str">
        <f t="shared" si="18"/>
        <v/>
      </c>
      <c r="L32" s="3234" t="str">
        <f t="shared" si="18"/>
        <v/>
      </c>
      <c r="M32" s="3234" t="str">
        <f t="shared" si="18"/>
        <v/>
      </c>
      <c r="N32" s="3234" t="str">
        <f t="shared" si="18"/>
        <v/>
      </c>
      <c r="O32" s="3234" t="str">
        <f t="shared" si="18"/>
        <v/>
      </c>
      <c r="P32" s="3234" t="str">
        <f t="shared" si="18"/>
        <v/>
      </c>
      <c r="Q32" s="3234" t="str">
        <f t="shared" si="18"/>
        <v/>
      </c>
      <c r="R32" s="894" t="str">
        <f ca="1">IF('1 Erklärung'!AA$2="","",IF(A32="","",SUM(F32:Q32)))</f>
        <v/>
      </c>
      <c r="S32" s="205"/>
      <c r="T32" s="1269" t="str">
        <f>IF(A32="","",SUM(R32,-R34,-R33))</f>
        <v/>
      </c>
      <c r="U32" s="1228" t="str">
        <f>IF(A32="","",IF(T32="","",U$5))</f>
        <v/>
      </c>
      <c r="V32" s="1227" t="str">
        <f>IF(A32="","",SUM(T32,R33,T33))</f>
        <v/>
      </c>
      <c r="W32" s="1229" t="str">
        <f>IF(A32="","",IF(V32="","",W$5))</f>
        <v/>
      </c>
      <c r="X32" s="206" t="str">
        <f>IF(A32="","",R32/AL32)</f>
        <v/>
      </c>
      <c r="Y32" s="920"/>
      <c r="Z32" s="1587" t="str">
        <f>IF('4 Eingabe Friseure'!CE19&gt;0.4,'4 Eingabe Friseure'!$CD19*'4 Eingabe Friseure'!CE19,"")</f>
        <v/>
      </c>
      <c r="AA32" s="1587" t="str">
        <f>IF('4 Eingabe Friseure'!CF19&gt;0.4,'4 Eingabe Friseure'!$CD19*'4 Eingabe Friseure'!CF19,"")</f>
        <v/>
      </c>
      <c r="AB32" s="1587" t="str">
        <f>IF('4 Eingabe Friseure'!CG19&gt;0.4,'4 Eingabe Friseure'!$CD19*'4 Eingabe Friseure'!CG19,"")</f>
        <v/>
      </c>
      <c r="AC32" s="1587" t="str">
        <f>IF('4 Eingabe Friseure'!CH19&gt;0.4,'4 Eingabe Friseure'!$CD19*'4 Eingabe Friseure'!CH19,"")</f>
        <v/>
      </c>
      <c r="AD32" s="1587" t="str">
        <f>IF('4 Eingabe Friseure'!CI19&gt;0.4,'4 Eingabe Friseure'!$CD19*'4 Eingabe Friseure'!CI19,"")</f>
        <v/>
      </c>
      <c r="AE32" s="1587" t="str">
        <f>IF('4 Eingabe Friseure'!CJ19&gt;0.4,'4 Eingabe Friseure'!$CD19*'4 Eingabe Friseure'!CJ19,"")</f>
        <v/>
      </c>
      <c r="AF32" s="1587" t="str">
        <f>IF('4 Eingabe Friseure'!CK19&gt;0.4,'4 Eingabe Friseure'!$CD19*'4 Eingabe Friseure'!CK19,"")</f>
        <v/>
      </c>
      <c r="AG32" s="1587" t="str">
        <f>IF('4 Eingabe Friseure'!CL19&gt;0.4,'4 Eingabe Friseure'!$CD19*'4 Eingabe Friseure'!CL19,"")</f>
        <v/>
      </c>
      <c r="AH32" s="1587" t="str">
        <f>IF('4 Eingabe Friseure'!CM19&gt;0.4,'4 Eingabe Friseure'!$CD19*'4 Eingabe Friseure'!CM19,"")</f>
        <v/>
      </c>
      <c r="AI32" s="1587" t="str">
        <f>IF('4 Eingabe Friseure'!CN19&gt;0.4,'4 Eingabe Friseure'!$CD19*'4 Eingabe Friseure'!CN19,"")</f>
        <v/>
      </c>
      <c r="AJ32" s="1587" t="str">
        <f>IF('4 Eingabe Friseure'!CO19&gt;0.4,'4 Eingabe Friseure'!$CD19*'4 Eingabe Friseure'!CO19,"")</f>
        <v/>
      </c>
      <c r="AK32" s="1587" t="str">
        <f>IF('4 Eingabe Friseure'!CP19&gt;0.4,'4 Eingabe Friseure'!$CD19*'4 Eingabe Friseure'!CP19,"")</f>
        <v/>
      </c>
      <c r="AL32" s="920" t="str">
        <f>'4 Eingabe Friseure'!BG19</f>
        <v/>
      </c>
      <c r="AM32" s="920"/>
      <c r="AN32" s="920"/>
      <c r="AO32" s="920"/>
      <c r="AP32" s="920"/>
      <c r="AQ32" s="920"/>
      <c r="AR32" s="920"/>
    </row>
    <row r="33" spans="1:44" ht="24" customHeight="1">
      <c r="A33" s="934" t="str">
        <f>IF(SUM(AA33:AB33)=0,"",A$4)</f>
        <v/>
      </c>
      <c r="B33" s="1687" t="str">
        <f>IF(AA33=0,"",AA33)</f>
        <v/>
      </c>
      <c r="C33" s="1688" t="str">
        <f>IF(AB33=0,"",AB33)</f>
        <v/>
      </c>
      <c r="D33" s="3711" t="str">
        <f>IF(A32="","",$A$1)</f>
        <v/>
      </c>
      <c r="E33" s="3712"/>
      <c r="F33" s="2578"/>
      <c r="G33" s="2578"/>
      <c r="H33" s="2578"/>
      <c r="I33" s="2578"/>
      <c r="J33" s="2578"/>
      <c r="K33" s="2578" t="str">
        <f>C33</f>
        <v/>
      </c>
      <c r="L33" s="2578"/>
      <c r="M33" s="2578"/>
      <c r="N33" s="2578"/>
      <c r="O33" s="2578"/>
      <c r="P33" s="2578"/>
      <c r="Q33" s="2578"/>
      <c r="R33" s="1221" t="str">
        <f>IF(A32="","",SUM(F33:Q33))</f>
        <v/>
      </c>
      <c r="S33" s="1222" t="str">
        <f>IF(A32="","",IF(R33="","",S$6))</f>
        <v/>
      </c>
      <c r="T33" s="1221" t="str">
        <f>IF(A32="","",(AL32*AC33))</f>
        <v/>
      </c>
      <c r="U33" s="1223" t="str">
        <f>IF(A32="","",IF(T33="","",U$6))</f>
        <v/>
      </c>
      <c r="V33" s="203" t="str">
        <f>IF(A32="","",SUM(V32)*IF(T32/COUNTIF(F32:Q32,"&gt;0")&lt;$X$4,$W$4,$V$4))</f>
        <v/>
      </c>
      <c r="W33" s="204" t="str">
        <f>IF(A32="","",IF(V33="","",W$6))</f>
        <v/>
      </c>
      <c r="X33" s="3715" t="str">
        <f>IF(A32="","",IF(X32="","",X$6))</f>
        <v/>
      </c>
      <c r="Y33" s="920">
        <f t="shared" ref="Y33:Y34" si="19">SUM(F33:Q33)</f>
        <v>0</v>
      </c>
      <c r="Z33" s="1587"/>
      <c r="AA33" s="1587">
        <f>'4 Eingabe Friseure'!F19</f>
        <v>0</v>
      </c>
      <c r="AB33" s="1587">
        <f>'4 Eingabe Friseure'!G19</f>
        <v>0</v>
      </c>
      <c r="AC33" s="1587">
        <f>'4 Eingabe Friseure'!H19</f>
        <v>0</v>
      </c>
      <c r="AD33" s="1587">
        <f>'4 Eingabe Friseure'!I19</f>
        <v>0</v>
      </c>
      <c r="AE33" s="1587">
        <f>'4 Eingabe Friseure'!J19</f>
        <v>0</v>
      </c>
      <c r="AF33" s="1587"/>
      <c r="AG33" s="1587"/>
      <c r="AH33" s="1587"/>
      <c r="AI33" s="1587"/>
      <c r="AJ33" s="1587"/>
      <c r="AK33" s="1587"/>
      <c r="AL33" s="920"/>
      <c r="AM33" s="920"/>
      <c r="AN33" s="920"/>
      <c r="AO33" s="920"/>
      <c r="AP33" s="920"/>
      <c r="AQ33" s="920"/>
      <c r="AR33" s="920"/>
    </row>
    <row r="34" spans="1:44" ht="24" customHeight="1" thickBot="1">
      <c r="A34" s="935" t="str">
        <f>IF(SUM(AD33)=0,"",A$4)</f>
        <v/>
      </c>
      <c r="B34" s="1689"/>
      <c r="C34" s="1690" t="str">
        <f>IF(AD33=0,"",AD33)</f>
        <v/>
      </c>
      <c r="D34" s="3713" t="str">
        <f>IF(C34="","",$A$2)</f>
        <v/>
      </c>
      <c r="E34" s="3714"/>
      <c r="F34" s="2579"/>
      <c r="G34" s="2579"/>
      <c r="H34" s="2579"/>
      <c r="I34" s="2579"/>
      <c r="J34" s="2579"/>
      <c r="K34" s="2579" t="str">
        <f>C34</f>
        <v/>
      </c>
      <c r="L34" s="2579"/>
      <c r="M34" s="2579"/>
      <c r="N34" s="2579"/>
      <c r="O34" s="2579"/>
      <c r="P34" s="2579"/>
      <c r="Q34" s="2580"/>
      <c r="R34" s="1224" t="str">
        <f>IF(A32="","",SUM(F34:Q34))</f>
        <v/>
      </c>
      <c r="S34" s="1225" t="str">
        <f>IF(A32="","",IF(R34="","",S$7))</f>
        <v/>
      </c>
      <c r="T34" s="1226" t="str">
        <f>IF(A32="","",(AE33*AL32))</f>
        <v/>
      </c>
      <c r="U34" s="1225" t="str">
        <f>IF(A32="","",IF(T34="","",U$7))</f>
        <v/>
      </c>
      <c r="V34" s="201" t="str">
        <f>IF(A32="","",SUM(V32:V33,R34,T34))</f>
        <v/>
      </c>
      <c r="W34" s="959" t="str">
        <f>IF(D33="","",IF(V34="","",W$7))</f>
        <v/>
      </c>
      <c r="X34" s="3716"/>
      <c r="Y34" s="920">
        <f t="shared" si="19"/>
        <v>0</v>
      </c>
      <c r="Z34" s="1587"/>
      <c r="AA34" s="1587"/>
      <c r="AB34" s="1587"/>
      <c r="AC34" s="1587"/>
      <c r="AD34" s="1587"/>
      <c r="AE34" s="1587"/>
      <c r="AF34" s="1587"/>
      <c r="AG34" s="1587"/>
      <c r="AH34" s="1587"/>
      <c r="AI34" s="1587"/>
      <c r="AJ34" s="1587"/>
      <c r="AK34" s="1587"/>
      <c r="AL34" s="920"/>
      <c r="AM34" s="920"/>
      <c r="AN34" s="920"/>
      <c r="AO34" s="920"/>
      <c r="AP34" s="920"/>
      <c r="AQ34" s="920"/>
      <c r="AR34" s="920"/>
    </row>
    <row r="35" spans="1:44" ht="24" customHeight="1">
      <c r="A35" s="892" t="str">
        <f>IF('4 Eingabe Friseure'!A20="","",'4 Eingabe Friseure'!A20)</f>
        <v/>
      </c>
      <c r="B35" s="936" t="str">
        <f>IF(B36="","",AA$7)</f>
        <v/>
      </c>
      <c r="C35" s="936" t="str">
        <f>IF(C36="","",AB$7)</f>
        <v/>
      </c>
      <c r="D35" s="893" t="str">
        <f ca="1">IF('1 Erklärung'!AA2="","",'4 Eingabe Friseure'!CD20)</f>
        <v/>
      </c>
      <c r="E35" s="893"/>
      <c r="F35" s="3234" t="str">
        <f t="shared" ref="F35:Q35" si="20">IF(SUM(F36,F37)=0,Z35,SUM(F36,F37,Z35))</f>
        <v/>
      </c>
      <c r="G35" s="3234" t="str">
        <f t="shared" si="20"/>
        <v/>
      </c>
      <c r="H35" s="3234" t="str">
        <f t="shared" si="20"/>
        <v/>
      </c>
      <c r="I35" s="3234" t="str">
        <f t="shared" si="20"/>
        <v/>
      </c>
      <c r="J35" s="3234" t="str">
        <f t="shared" si="20"/>
        <v/>
      </c>
      <c r="K35" s="3234" t="str">
        <f t="shared" si="20"/>
        <v/>
      </c>
      <c r="L35" s="3234" t="str">
        <f t="shared" si="20"/>
        <v/>
      </c>
      <c r="M35" s="3234" t="str">
        <f t="shared" si="20"/>
        <v/>
      </c>
      <c r="N35" s="3234" t="str">
        <f t="shared" si="20"/>
        <v/>
      </c>
      <c r="O35" s="3234" t="str">
        <f t="shared" si="20"/>
        <v/>
      </c>
      <c r="P35" s="3234" t="str">
        <f t="shared" si="20"/>
        <v/>
      </c>
      <c r="Q35" s="3234" t="str">
        <f t="shared" si="20"/>
        <v/>
      </c>
      <c r="R35" s="894" t="str">
        <f ca="1">IF('1 Erklärung'!AA$2="","",IF(A35="","",SUM(F35:Q35)))</f>
        <v/>
      </c>
      <c r="S35" s="205"/>
      <c r="T35" s="1269" t="str">
        <f>IF(A35="","",SUM(R35,-R37,-R36))</f>
        <v/>
      </c>
      <c r="U35" s="1228" t="str">
        <f>IF(A35="","",IF(T35="","",U$5))</f>
        <v/>
      </c>
      <c r="V35" s="1227" t="str">
        <f>IF(A35="","",SUM(T35,R36,T36))</f>
        <v/>
      </c>
      <c r="W35" s="1229" t="str">
        <f>IF(A35="","",IF(V35="","",W$5))</f>
        <v/>
      </c>
      <c r="X35" s="206" t="str">
        <f>IF(A35="","",R35/AL35)</f>
        <v/>
      </c>
      <c r="Y35" s="920"/>
      <c r="Z35" s="1587" t="str">
        <f>IF('4 Eingabe Friseure'!CE20&gt;0.4,'4 Eingabe Friseure'!$CD20*'4 Eingabe Friseure'!CE20,"")</f>
        <v/>
      </c>
      <c r="AA35" s="1587" t="str">
        <f>IF('4 Eingabe Friseure'!CF20&gt;0.4,'4 Eingabe Friseure'!$CD20*'4 Eingabe Friseure'!CF20,"")</f>
        <v/>
      </c>
      <c r="AB35" s="1587" t="str">
        <f>IF('4 Eingabe Friseure'!CG20&gt;0.4,'4 Eingabe Friseure'!$CD20*'4 Eingabe Friseure'!CG20,"")</f>
        <v/>
      </c>
      <c r="AC35" s="1587" t="str">
        <f>IF('4 Eingabe Friseure'!CH20&gt;0.4,'4 Eingabe Friseure'!$CD20*'4 Eingabe Friseure'!CH20,"")</f>
        <v/>
      </c>
      <c r="AD35" s="1587" t="str">
        <f>IF('4 Eingabe Friseure'!CI20&gt;0.4,'4 Eingabe Friseure'!$CD20*'4 Eingabe Friseure'!CI20,"")</f>
        <v/>
      </c>
      <c r="AE35" s="1587" t="str">
        <f>IF('4 Eingabe Friseure'!CJ20&gt;0.4,'4 Eingabe Friseure'!$CD20*'4 Eingabe Friseure'!CJ20,"")</f>
        <v/>
      </c>
      <c r="AF35" s="1587" t="str">
        <f>IF('4 Eingabe Friseure'!CK20&gt;0.4,'4 Eingabe Friseure'!$CD20*'4 Eingabe Friseure'!CK20,"")</f>
        <v/>
      </c>
      <c r="AG35" s="1587" t="str">
        <f>IF('4 Eingabe Friseure'!CL20&gt;0.4,'4 Eingabe Friseure'!$CD20*'4 Eingabe Friseure'!CL20,"")</f>
        <v/>
      </c>
      <c r="AH35" s="1587" t="str">
        <f>IF('4 Eingabe Friseure'!CM20&gt;0.4,'4 Eingabe Friseure'!$CD20*'4 Eingabe Friseure'!CM20,"")</f>
        <v/>
      </c>
      <c r="AI35" s="1587" t="str">
        <f>IF('4 Eingabe Friseure'!CN20&gt;0.4,'4 Eingabe Friseure'!$CD20*'4 Eingabe Friseure'!CN20,"")</f>
        <v/>
      </c>
      <c r="AJ35" s="1587" t="str">
        <f>IF('4 Eingabe Friseure'!CO20&gt;0.4,'4 Eingabe Friseure'!$CD20*'4 Eingabe Friseure'!CO20,"")</f>
        <v/>
      </c>
      <c r="AK35" s="1587" t="str">
        <f>IF('4 Eingabe Friseure'!CP20&gt;0.4,'4 Eingabe Friseure'!$CD20*'4 Eingabe Friseure'!CP20,"")</f>
        <v/>
      </c>
      <c r="AL35" s="920" t="str">
        <f>'4 Eingabe Friseure'!BG20</f>
        <v/>
      </c>
      <c r="AM35" s="920"/>
      <c r="AN35" s="920"/>
      <c r="AO35" s="920"/>
      <c r="AP35" s="920"/>
      <c r="AQ35" s="920"/>
      <c r="AR35" s="920"/>
    </row>
    <row r="36" spans="1:44" ht="24" customHeight="1">
      <c r="A36" s="934" t="str">
        <f>IF(SUM(AA36:AB36)=0,"",A$6)</f>
        <v/>
      </c>
      <c r="B36" s="1687" t="str">
        <f>IF(AA36=0,"",AA36)</f>
        <v/>
      </c>
      <c r="C36" s="1688" t="str">
        <f>IF(AB36=0,"",AB36)</f>
        <v/>
      </c>
      <c r="D36" s="3711" t="str">
        <f>IF(A35="","",$A$1)</f>
        <v/>
      </c>
      <c r="E36" s="3712"/>
      <c r="F36" s="2578"/>
      <c r="G36" s="2578"/>
      <c r="H36" s="2578"/>
      <c r="I36" s="2578"/>
      <c r="J36" s="2578"/>
      <c r="K36" s="2578"/>
      <c r="L36" s="2578"/>
      <c r="M36" s="2578"/>
      <c r="N36" s="2578"/>
      <c r="O36" s="2578"/>
      <c r="P36" s="2578"/>
      <c r="Q36" s="2578"/>
      <c r="R36" s="1221" t="str">
        <f>IF(A35="","",SUM(F36:Q36))</f>
        <v/>
      </c>
      <c r="S36" s="1222" t="str">
        <f>IF(A35="","",IF(R36="","",S$6))</f>
        <v/>
      </c>
      <c r="T36" s="1221" t="str">
        <f>IF(A35="","",(AL35*AC36))</f>
        <v/>
      </c>
      <c r="U36" s="1223" t="str">
        <f>IF(A35="","",IF(T36="","",U$6))</f>
        <v/>
      </c>
      <c r="V36" s="203" t="str">
        <f>IF(A35="","",SUM(V35)*IF(T35/COUNTIF(F35:Q35,"&gt;0")&lt;$X$4,$W$4,$V$4))</f>
        <v/>
      </c>
      <c r="W36" s="204" t="str">
        <f>IF(A35="","",IF(V36="","",W$6))</f>
        <v/>
      </c>
      <c r="X36" s="3715" t="str">
        <f>IF(A35="","",IF(X35="","",X$6))</f>
        <v/>
      </c>
      <c r="Y36" s="920">
        <f t="shared" ref="Y36:Y37" si="21">SUM(F36:Q36)</f>
        <v>0</v>
      </c>
      <c r="Z36" s="1587"/>
      <c r="AA36" s="1587">
        <f>'4 Eingabe Friseure'!F20</f>
        <v>0</v>
      </c>
      <c r="AB36" s="1587">
        <f>'4 Eingabe Friseure'!G20</f>
        <v>0</v>
      </c>
      <c r="AC36" s="1587">
        <f>'4 Eingabe Friseure'!H20</f>
        <v>0</v>
      </c>
      <c r="AD36" s="1587">
        <f>'4 Eingabe Friseure'!I20</f>
        <v>0</v>
      </c>
      <c r="AE36" s="1587">
        <f>'4 Eingabe Friseure'!J20</f>
        <v>0</v>
      </c>
      <c r="AF36" s="1587"/>
      <c r="AG36" s="1587"/>
      <c r="AH36" s="1587"/>
      <c r="AI36" s="1587"/>
      <c r="AJ36" s="1587"/>
      <c r="AK36" s="1587"/>
      <c r="AL36" s="920"/>
      <c r="AM36" s="920"/>
      <c r="AN36" s="920"/>
      <c r="AO36" s="920"/>
      <c r="AP36" s="920"/>
      <c r="AQ36" s="920"/>
      <c r="AR36" s="920"/>
    </row>
    <row r="37" spans="1:44" ht="24" customHeight="1" thickBot="1">
      <c r="A37" s="935" t="str">
        <f>IF(SUM(AD36)=0,"",A$7)</f>
        <v/>
      </c>
      <c r="B37" s="1689"/>
      <c r="C37" s="1690" t="str">
        <f>IF(AD36=0,"",AD36)</f>
        <v/>
      </c>
      <c r="D37" s="3713" t="str">
        <f>IF(C37="","",$A$2)</f>
        <v/>
      </c>
      <c r="E37" s="3714"/>
      <c r="F37" s="2579"/>
      <c r="G37" s="2579"/>
      <c r="H37" s="2579"/>
      <c r="I37" s="2579"/>
      <c r="J37" s="2579"/>
      <c r="K37" s="2579"/>
      <c r="L37" s="2579"/>
      <c r="M37" s="2579"/>
      <c r="N37" s="2579" t="str">
        <f>C37</f>
        <v/>
      </c>
      <c r="O37" s="2579"/>
      <c r="P37" s="2579"/>
      <c r="Q37" s="2580"/>
      <c r="R37" s="1224" t="str">
        <f>IF(A35="","",SUM(F37:Q37))</f>
        <v/>
      </c>
      <c r="S37" s="1225" t="str">
        <f>IF(A35="","",IF(R37="","",S$7))</f>
        <v/>
      </c>
      <c r="T37" s="1226" t="str">
        <f>IF(A35="","",(AE36*AL35))</f>
        <v/>
      </c>
      <c r="U37" s="1225" t="str">
        <f>IF(A35="","",IF(T37="","",U$7))</f>
        <v/>
      </c>
      <c r="V37" s="201" t="str">
        <f>IF(A35="","",SUM(V35:V36,R37,T37))</f>
        <v/>
      </c>
      <c r="W37" s="959" t="str">
        <f>IF(D36="","",IF(V37="","",W$7))</f>
        <v/>
      </c>
      <c r="X37" s="3716"/>
      <c r="Y37" s="920">
        <f t="shared" si="21"/>
        <v>0</v>
      </c>
      <c r="Z37" s="1587"/>
      <c r="AA37" s="1587"/>
      <c r="AB37" s="1587"/>
      <c r="AC37" s="1587"/>
      <c r="AD37" s="1587"/>
      <c r="AE37" s="1587"/>
      <c r="AF37" s="1587"/>
      <c r="AG37" s="1587"/>
      <c r="AH37" s="1587"/>
      <c r="AI37" s="1587"/>
      <c r="AJ37" s="1587"/>
      <c r="AK37" s="1587"/>
      <c r="AL37" s="920"/>
      <c r="AM37" s="920"/>
      <c r="AN37" s="920"/>
      <c r="AO37" s="920"/>
      <c r="AP37" s="920"/>
      <c r="AQ37" s="920"/>
      <c r="AR37" s="920"/>
    </row>
    <row r="38" spans="1:44" ht="24" customHeight="1">
      <c r="A38" s="892" t="str">
        <f>IF('4 Eingabe Friseure'!A21="","",'4 Eingabe Friseure'!A21)</f>
        <v/>
      </c>
      <c r="B38" s="936" t="str">
        <f>IF(B39="","",AA$7)</f>
        <v/>
      </c>
      <c r="C38" s="936" t="str">
        <f>IF(C39="","",AB$7)</f>
        <v/>
      </c>
      <c r="D38" s="893" t="str">
        <f ca="1">IF('1 Erklärung'!AA2="","",'4 Eingabe Friseure'!CD21)</f>
        <v/>
      </c>
      <c r="E38" s="893"/>
      <c r="F38" s="3234" t="str">
        <f t="shared" ref="F38:Q38" si="22">IF(SUM(F39,F40)=0,Z38,SUM(F39,F40,Z38))</f>
        <v/>
      </c>
      <c r="G38" s="3234" t="str">
        <f t="shared" si="22"/>
        <v/>
      </c>
      <c r="H38" s="3234" t="str">
        <f t="shared" si="22"/>
        <v/>
      </c>
      <c r="I38" s="3234" t="str">
        <f t="shared" si="22"/>
        <v/>
      </c>
      <c r="J38" s="3234" t="str">
        <f t="shared" si="22"/>
        <v/>
      </c>
      <c r="K38" s="3234" t="str">
        <f t="shared" si="22"/>
        <v/>
      </c>
      <c r="L38" s="3234" t="str">
        <f t="shared" si="22"/>
        <v/>
      </c>
      <c r="M38" s="3234" t="str">
        <f t="shared" si="22"/>
        <v/>
      </c>
      <c r="N38" s="3234" t="str">
        <f t="shared" si="22"/>
        <v/>
      </c>
      <c r="O38" s="3234" t="str">
        <f t="shared" si="22"/>
        <v/>
      </c>
      <c r="P38" s="3234" t="str">
        <f t="shared" si="22"/>
        <v/>
      </c>
      <c r="Q38" s="3234" t="str">
        <f t="shared" si="22"/>
        <v/>
      </c>
      <c r="R38" s="894" t="str">
        <f ca="1">IF('1 Erklärung'!AA$2="","",IF(A38="","",SUM(F38:Q38)))</f>
        <v/>
      </c>
      <c r="S38" s="205"/>
      <c r="T38" s="1269" t="str">
        <f>IF(A38="","",SUM(R38,-R40,-R39))</f>
        <v/>
      </c>
      <c r="U38" s="1228" t="str">
        <f>IF(A38="","",IF(T38="","",U$5))</f>
        <v/>
      </c>
      <c r="V38" s="1227" t="str">
        <f>IF(A38="","",SUM(T38,R39,T39))</f>
        <v/>
      </c>
      <c r="W38" s="1229" t="str">
        <f>IF(A38="","",IF(V38="","",W$5))</f>
        <v/>
      </c>
      <c r="X38" s="206" t="str">
        <f>IF(A38="","",R38/AL38)</f>
        <v/>
      </c>
      <c r="Y38" s="920"/>
      <c r="Z38" s="1587" t="str">
        <f>IF('4 Eingabe Friseure'!CE21&gt;0.4,'4 Eingabe Friseure'!$CD21*'4 Eingabe Friseure'!CE21,"")</f>
        <v/>
      </c>
      <c r="AA38" s="1587" t="str">
        <f>IF('4 Eingabe Friseure'!CF21&gt;0.4,'4 Eingabe Friseure'!$CD21*'4 Eingabe Friseure'!CF21,"")</f>
        <v/>
      </c>
      <c r="AB38" s="1587" t="str">
        <f>IF('4 Eingabe Friseure'!CG21&gt;0.4,'4 Eingabe Friseure'!$CD21*'4 Eingabe Friseure'!CG21,"")</f>
        <v/>
      </c>
      <c r="AC38" s="1587" t="str">
        <f>IF('4 Eingabe Friseure'!CH21&gt;0.4,'4 Eingabe Friseure'!$CD21*'4 Eingabe Friseure'!CH21,"")</f>
        <v/>
      </c>
      <c r="AD38" s="1587" t="str">
        <f>IF('4 Eingabe Friseure'!CI21&gt;0.4,'4 Eingabe Friseure'!$CD21*'4 Eingabe Friseure'!CI21,"")</f>
        <v/>
      </c>
      <c r="AE38" s="1587" t="str">
        <f>IF('4 Eingabe Friseure'!CJ21&gt;0.4,'4 Eingabe Friseure'!$CD21*'4 Eingabe Friseure'!CJ21,"")</f>
        <v/>
      </c>
      <c r="AF38" s="1587" t="str">
        <f>IF('4 Eingabe Friseure'!CK21&gt;0.4,'4 Eingabe Friseure'!$CD21*'4 Eingabe Friseure'!CK21,"")</f>
        <v/>
      </c>
      <c r="AG38" s="1587" t="str">
        <f>IF('4 Eingabe Friseure'!CL21&gt;0.4,'4 Eingabe Friseure'!$CD21*'4 Eingabe Friseure'!CL21,"")</f>
        <v/>
      </c>
      <c r="AH38" s="1587" t="str">
        <f>IF('4 Eingabe Friseure'!CM21&gt;0.4,'4 Eingabe Friseure'!$CD21*'4 Eingabe Friseure'!CM21,"")</f>
        <v/>
      </c>
      <c r="AI38" s="1587" t="str">
        <f>IF('4 Eingabe Friseure'!CN21&gt;0.4,'4 Eingabe Friseure'!$CD21*'4 Eingabe Friseure'!CN21,"")</f>
        <v/>
      </c>
      <c r="AJ38" s="1587" t="str">
        <f>IF('4 Eingabe Friseure'!CO21&gt;0.4,'4 Eingabe Friseure'!$CD21*'4 Eingabe Friseure'!CO21,"")</f>
        <v/>
      </c>
      <c r="AK38" s="1587" t="str">
        <f>IF('4 Eingabe Friseure'!CP21&gt;0.4,'4 Eingabe Friseure'!$CD21*'4 Eingabe Friseure'!CP21,"")</f>
        <v/>
      </c>
      <c r="AL38" s="920" t="str">
        <f>'4 Eingabe Friseure'!BG21</f>
        <v/>
      </c>
      <c r="AM38" s="920"/>
      <c r="AN38" s="920"/>
      <c r="AO38" s="920"/>
      <c r="AP38" s="920"/>
      <c r="AQ38" s="920"/>
      <c r="AR38" s="920"/>
    </row>
    <row r="39" spans="1:44" ht="24" customHeight="1">
      <c r="A39" s="934" t="str">
        <f>IF(SUM(AA39:AB39)=0,"",A$6)</f>
        <v/>
      </c>
      <c r="B39" s="1687" t="str">
        <f>IF(AA39=0,"",AA39)</f>
        <v/>
      </c>
      <c r="C39" s="1688" t="str">
        <f>IF(AB39=0,"",AB39)</f>
        <v/>
      </c>
      <c r="D39" s="3711" t="str">
        <f>IF(A38="","",$A$1)</f>
        <v/>
      </c>
      <c r="E39" s="3712"/>
      <c r="F39" s="2578"/>
      <c r="G39" s="2578"/>
      <c r="H39" s="2578"/>
      <c r="I39" s="2578"/>
      <c r="J39" s="2578"/>
      <c r="K39" s="2578" t="str">
        <f>C39</f>
        <v/>
      </c>
      <c r="L39" s="2578"/>
      <c r="M39" s="2578"/>
      <c r="N39" s="2578"/>
      <c r="O39" s="2578"/>
      <c r="P39" s="2578"/>
      <c r="Q39" s="2578"/>
      <c r="R39" s="1221" t="str">
        <f>IF(A38="","",SUM(F39:Q39))</f>
        <v/>
      </c>
      <c r="S39" s="1222" t="str">
        <f>IF(A38="","",IF(R39="","",S$6))</f>
        <v/>
      </c>
      <c r="T39" s="1221" t="str">
        <f>IF(A38="","",(AL38*AC39))</f>
        <v/>
      </c>
      <c r="U39" s="1223" t="str">
        <f>IF(A38="","",IF(T39="","",U$6))</f>
        <v/>
      </c>
      <c r="V39" s="203" t="str">
        <f>IF(A38="","",SUM(V38)*IF(T38/COUNTIF(F38:Q38,"&gt;0")&lt;$X$4,$W$4,$V$4))</f>
        <v/>
      </c>
      <c r="W39" s="204" t="str">
        <f>IF(A38="","",IF(V39="","",W$6))</f>
        <v/>
      </c>
      <c r="X39" s="3715" t="str">
        <f>IF(A38="","",IF(X38="","",X$6))</f>
        <v/>
      </c>
      <c r="Y39" s="920">
        <f t="shared" ref="Y39:Y40" si="23">SUM(F39:Q39)</f>
        <v>0</v>
      </c>
      <c r="Z39" s="1587"/>
      <c r="AA39" s="1587">
        <f>'4 Eingabe Friseure'!F21</f>
        <v>0</v>
      </c>
      <c r="AB39" s="1587">
        <f>'4 Eingabe Friseure'!G21</f>
        <v>0</v>
      </c>
      <c r="AC39" s="1587">
        <f>'4 Eingabe Friseure'!H21</f>
        <v>0</v>
      </c>
      <c r="AD39" s="1587">
        <f>'4 Eingabe Friseure'!I21</f>
        <v>0</v>
      </c>
      <c r="AE39" s="1587">
        <f>'4 Eingabe Friseure'!J21</f>
        <v>0</v>
      </c>
      <c r="AF39" s="1587"/>
      <c r="AG39" s="1587"/>
      <c r="AH39" s="1587"/>
      <c r="AI39" s="1587"/>
      <c r="AJ39" s="1587"/>
      <c r="AK39" s="1587"/>
      <c r="AL39" s="920"/>
      <c r="AM39" s="920"/>
      <c r="AN39" s="920"/>
      <c r="AO39" s="920"/>
      <c r="AP39" s="920"/>
      <c r="AQ39" s="920"/>
      <c r="AR39" s="920"/>
    </row>
    <row r="40" spans="1:44" ht="24" customHeight="1" thickBot="1">
      <c r="A40" s="935" t="str">
        <f>IF(SUM(AD39)=0,"",A$7)</f>
        <v/>
      </c>
      <c r="B40" s="1689"/>
      <c r="C40" s="1690" t="str">
        <f>IF(AD39=0,"",AD39)</f>
        <v/>
      </c>
      <c r="D40" s="3713" t="str">
        <f>IF(C40="","",$A$2)</f>
        <v/>
      </c>
      <c r="E40" s="3714"/>
      <c r="F40" s="2579"/>
      <c r="G40" s="2579"/>
      <c r="H40" s="2579"/>
      <c r="I40" s="2579"/>
      <c r="J40" s="2579"/>
      <c r="K40" s="2579"/>
      <c r="L40" s="2579"/>
      <c r="M40" s="2579"/>
      <c r="N40" s="2579" t="str">
        <f>C40</f>
        <v/>
      </c>
      <c r="O40" s="2579"/>
      <c r="P40" s="2579"/>
      <c r="Q40" s="2580"/>
      <c r="R40" s="1224" t="str">
        <f>IF(A38="","",SUM(F40:Q40))</f>
        <v/>
      </c>
      <c r="S40" s="1225" t="str">
        <f>IF(A38="","",IF(R40="","",S$7))</f>
        <v/>
      </c>
      <c r="T40" s="1226" t="str">
        <f>IF(A38="","",(AE39*AL38))</f>
        <v/>
      </c>
      <c r="U40" s="1225" t="str">
        <f>IF(A38="","",IF(T40="","",U$7))</f>
        <v/>
      </c>
      <c r="V40" s="201" t="str">
        <f>IF(A38="","",SUM(V38:V39,R40,T40))</f>
        <v/>
      </c>
      <c r="W40" s="959" t="str">
        <f>IF(D39="","",IF(V40="","",W$7))</f>
        <v/>
      </c>
      <c r="X40" s="3716"/>
      <c r="Y40" s="920">
        <f t="shared" si="23"/>
        <v>0</v>
      </c>
      <c r="Z40" s="1587"/>
      <c r="AA40" s="1587"/>
      <c r="AB40" s="1587"/>
      <c r="AC40" s="1587"/>
      <c r="AD40" s="1587"/>
      <c r="AE40" s="1587"/>
      <c r="AF40" s="1587"/>
      <c r="AG40" s="1587"/>
      <c r="AH40" s="1587"/>
      <c r="AI40" s="1587"/>
      <c r="AJ40" s="1587"/>
      <c r="AK40" s="1587"/>
      <c r="AL40" s="920"/>
      <c r="AM40" s="920"/>
      <c r="AN40" s="920"/>
      <c r="AO40" s="920"/>
      <c r="AP40" s="920"/>
      <c r="AQ40" s="920"/>
      <c r="AR40" s="920"/>
    </row>
    <row r="41" spans="1:44" ht="24" customHeight="1">
      <c r="A41" s="892" t="str">
        <f>IF('4 Eingabe Friseure'!A22="","",'4 Eingabe Friseure'!A22)</f>
        <v/>
      </c>
      <c r="B41" s="936" t="str">
        <f>IF(B42="","",AA$7)</f>
        <v/>
      </c>
      <c r="C41" s="936" t="str">
        <f>IF(C42="","",AB$7)</f>
        <v/>
      </c>
      <c r="D41" s="893" t="str">
        <f ca="1">IF('1 Erklärung'!AA2="","",'4 Eingabe Friseure'!CD22)</f>
        <v/>
      </c>
      <c r="E41" s="893"/>
      <c r="F41" s="3234" t="str">
        <f t="shared" ref="F41:Q41" si="24">IF(SUM(F42,F43)=0,Z41,SUM(F42,F43,Z41))</f>
        <v/>
      </c>
      <c r="G41" s="3234" t="str">
        <f t="shared" si="24"/>
        <v/>
      </c>
      <c r="H41" s="3234" t="str">
        <f t="shared" si="24"/>
        <v/>
      </c>
      <c r="I41" s="3234" t="str">
        <f t="shared" si="24"/>
        <v/>
      </c>
      <c r="J41" s="3234" t="str">
        <f t="shared" si="24"/>
        <v/>
      </c>
      <c r="K41" s="3234" t="str">
        <f t="shared" si="24"/>
        <v/>
      </c>
      <c r="L41" s="3234" t="str">
        <f t="shared" si="24"/>
        <v/>
      </c>
      <c r="M41" s="3234" t="str">
        <f t="shared" si="24"/>
        <v/>
      </c>
      <c r="N41" s="3234" t="str">
        <f t="shared" si="24"/>
        <v/>
      </c>
      <c r="O41" s="3234" t="str">
        <f t="shared" si="24"/>
        <v/>
      </c>
      <c r="P41" s="3234" t="str">
        <f t="shared" si="24"/>
        <v/>
      </c>
      <c r="Q41" s="3234" t="str">
        <f t="shared" si="24"/>
        <v/>
      </c>
      <c r="R41" s="894" t="str">
        <f ca="1">IF('1 Erklärung'!AA$2="","",IF(A41="","",SUM(F41:Q41)))</f>
        <v/>
      </c>
      <c r="S41" s="205"/>
      <c r="T41" s="1269" t="str">
        <f>IF(A41="","",SUM(R41,-R43,-R42))</f>
        <v/>
      </c>
      <c r="U41" s="1228" t="str">
        <f>IF(A41="","",IF(T41="","",U$5))</f>
        <v/>
      </c>
      <c r="V41" s="1227" t="str">
        <f>IF(A41="","",SUM(T41,R42,T42))</f>
        <v/>
      </c>
      <c r="W41" s="1229" t="str">
        <f>IF(A41="","",IF(V41="","",W$5))</f>
        <v/>
      </c>
      <c r="X41" s="206" t="str">
        <f>IF(A41="","",R41/AL41)</f>
        <v/>
      </c>
      <c r="Y41" s="920"/>
      <c r="Z41" s="1587" t="str">
        <f>IF('4 Eingabe Friseure'!CE22&gt;0.4,'4 Eingabe Friseure'!$CD22*'4 Eingabe Friseure'!CE22,"")</f>
        <v/>
      </c>
      <c r="AA41" s="1587" t="str">
        <f>IF('4 Eingabe Friseure'!CF22&gt;0.4,'4 Eingabe Friseure'!$CD22*'4 Eingabe Friseure'!CF22,"")</f>
        <v/>
      </c>
      <c r="AB41" s="1587" t="str">
        <f>IF('4 Eingabe Friseure'!CG22&gt;0.4,'4 Eingabe Friseure'!$CD22*'4 Eingabe Friseure'!CG22,"")</f>
        <v/>
      </c>
      <c r="AC41" s="1587" t="str">
        <f>IF('4 Eingabe Friseure'!CH22&gt;0.4,'4 Eingabe Friseure'!$CD22*'4 Eingabe Friseure'!CH22,"")</f>
        <v/>
      </c>
      <c r="AD41" s="1587" t="str">
        <f>IF('4 Eingabe Friseure'!CI22&gt;0.4,'4 Eingabe Friseure'!$CD22*'4 Eingabe Friseure'!CI22,"")</f>
        <v/>
      </c>
      <c r="AE41" s="1587" t="str">
        <f>IF('4 Eingabe Friseure'!CJ22&gt;0.4,'4 Eingabe Friseure'!$CD22*'4 Eingabe Friseure'!CJ22,"")</f>
        <v/>
      </c>
      <c r="AF41" s="1587" t="str">
        <f>IF('4 Eingabe Friseure'!CK22&gt;0.4,'4 Eingabe Friseure'!$CD22*'4 Eingabe Friseure'!CK22,"")</f>
        <v/>
      </c>
      <c r="AG41" s="1587" t="str">
        <f>IF('4 Eingabe Friseure'!CL22&gt;0.4,'4 Eingabe Friseure'!$CD22*'4 Eingabe Friseure'!CL22,"")</f>
        <v/>
      </c>
      <c r="AH41" s="1587" t="str">
        <f>IF('4 Eingabe Friseure'!CM22&gt;0.4,'4 Eingabe Friseure'!$CD22*'4 Eingabe Friseure'!CM22,"")</f>
        <v/>
      </c>
      <c r="AI41" s="1587" t="str">
        <f>IF('4 Eingabe Friseure'!CN22&gt;0.4,'4 Eingabe Friseure'!$CD22*'4 Eingabe Friseure'!CN22,"")</f>
        <v/>
      </c>
      <c r="AJ41" s="1587" t="str">
        <f>IF('4 Eingabe Friseure'!CO22&gt;0.4,'4 Eingabe Friseure'!$CD22*'4 Eingabe Friseure'!CO22,"")</f>
        <v/>
      </c>
      <c r="AK41" s="1587" t="str">
        <f>IF('4 Eingabe Friseure'!CP22&gt;0.4,'4 Eingabe Friseure'!$CD22*'4 Eingabe Friseure'!CP22,"")</f>
        <v/>
      </c>
      <c r="AL41" s="920" t="str">
        <f>'4 Eingabe Friseure'!BG22</f>
        <v/>
      </c>
      <c r="AM41" s="920"/>
      <c r="AN41" s="920"/>
      <c r="AO41" s="920"/>
      <c r="AP41" s="920"/>
      <c r="AQ41" s="920"/>
      <c r="AR41" s="920"/>
    </row>
    <row r="42" spans="1:44" ht="24" customHeight="1">
      <c r="A42" s="934" t="str">
        <f>IF(SUM(AA42:AB42)=0,"",A$6)</f>
        <v/>
      </c>
      <c r="B42" s="1687" t="str">
        <f>IF(AA42=0,"",AA42)</f>
        <v/>
      </c>
      <c r="C42" s="1688" t="str">
        <f>IF(AB42=0,"",AB42)</f>
        <v/>
      </c>
      <c r="D42" s="3711" t="str">
        <f>IF(A41="","",$A$1)</f>
        <v/>
      </c>
      <c r="E42" s="3712"/>
      <c r="F42" s="2578"/>
      <c r="G42" s="2578"/>
      <c r="H42" s="2578"/>
      <c r="I42" s="2578"/>
      <c r="J42" s="2578"/>
      <c r="K42" s="2578" t="str">
        <f>C42</f>
        <v/>
      </c>
      <c r="L42" s="2578"/>
      <c r="M42" s="2578"/>
      <c r="N42" s="2578"/>
      <c r="O42" s="2578"/>
      <c r="P42" s="2578"/>
      <c r="Q42" s="2578"/>
      <c r="R42" s="1221" t="str">
        <f>IF(A41="","",SUM(F42:Q42))</f>
        <v/>
      </c>
      <c r="S42" s="1222" t="str">
        <f>IF(A41="","",IF(R42="","",S$6))</f>
        <v/>
      </c>
      <c r="T42" s="1221" t="str">
        <f>IF(A41="","",(AL41*AC42))</f>
        <v/>
      </c>
      <c r="U42" s="1223" t="str">
        <f>IF(A41="","",IF(T42="","",U$6))</f>
        <v/>
      </c>
      <c r="V42" s="203" t="str">
        <f>IF(A41="","",SUM(V41)*IF(T41/COUNTIF(F41:Q41,"&gt;0")&lt;$X$4,$W$4,$V$4))</f>
        <v/>
      </c>
      <c r="W42" s="204" t="str">
        <f>IF(A41="","",IF(V42="","",W$6))</f>
        <v/>
      </c>
      <c r="X42" s="3715" t="str">
        <f>IF(A41="","",IF(X41="","",X$6))</f>
        <v/>
      </c>
      <c r="Y42" s="920">
        <f t="shared" ref="Y42:Y43" si="25">SUM(F42:Q42)</f>
        <v>0</v>
      </c>
      <c r="Z42" s="1587"/>
      <c r="AA42" s="1587">
        <f>'4 Eingabe Friseure'!F22</f>
        <v>0</v>
      </c>
      <c r="AB42" s="1587">
        <f>'4 Eingabe Friseure'!G22</f>
        <v>0</v>
      </c>
      <c r="AC42" s="1587">
        <f>'4 Eingabe Friseure'!H22</f>
        <v>0</v>
      </c>
      <c r="AD42" s="1587">
        <f>'4 Eingabe Friseure'!I22</f>
        <v>0</v>
      </c>
      <c r="AE42" s="1587">
        <f>'4 Eingabe Friseure'!J22</f>
        <v>0</v>
      </c>
      <c r="AF42" s="1587"/>
      <c r="AG42" s="1587"/>
      <c r="AH42" s="1587"/>
      <c r="AI42" s="1587"/>
      <c r="AJ42" s="1587"/>
      <c r="AK42" s="1587"/>
      <c r="AL42" s="920"/>
      <c r="AM42" s="920"/>
      <c r="AN42" s="920"/>
      <c r="AO42" s="920"/>
      <c r="AP42" s="920"/>
      <c r="AQ42" s="920"/>
      <c r="AR42" s="920"/>
    </row>
    <row r="43" spans="1:44" ht="24" customHeight="1" thickBot="1">
      <c r="A43" s="935" t="str">
        <f>IF(SUM(AD42)=0,"",A$7)</f>
        <v/>
      </c>
      <c r="B43" s="1689"/>
      <c r="C43" s="1690" t="str">
        <f>IF(AD42=0,"",AD42)</f>
        <v/>
      </c>
      <c r="D43" s="3713" t="str">
        <f>IF(C43="","",$A$2)</f>
        <v/>
      </c>
      <c r="E43" s="3714"/>
      <c r="F43" s="2579"/>
      <c r="G43" s="2579"/>
      <c r="H43" s="2579"/>
      <c r="I43" s="2579"/>
      <c r="J43" s="2579"/>
      <c r="K43" s="2579"/>
      <c r="L43" s="2579"/>
      <c r="M43" s="2579"/>
      <c r="N43" s="2579" t="str">
        <f>C43</f>
        <v/>
      </c>
      <c r="O43" s="2579"/>
      <c r="P43" s="2579"/>
      <c r="Q43" s="2580"/>
      <c r="R43" s="1224" t="str">
        <f>IF(A41="","",SUM(F43:Q43))</f>
        <v/>
      </c>
      <c r="S43" s="1225" t="str">
        <f>IF(A41="","",IF(R43="","",S$7))</f>
        <v/>
      </c>
      <c r="T43" s="1226" t="str">
        <f>IF(A41="","",(AE42*AL41))</f>
        <v/>
      </c>
      <c r="U43" s="1225" t="str">
        <f>IF(A41="","",IF(T43="","",U$7))</f>
        <v/>
      </c>
      <c r="V43" s="201" t="str">
        <f>IF(A41="","",SUM(V41:V42,R43,T43))</f>
        <v/>
      </c>
      <c r="W43" s="959" t="str">
        <f>IF(D42="","",IF(V43="","",W$7))</f>
        <v/>
      </c>
      <c r="X43" s="3716"/>
      <c r="Y43" s="920">
        <f t="shared" si="25"/>
        <v>0</v>
      </c>
      <c r="Z43" s="1587"/>
      <c r="AA43" s="1587"/>
      <c r="AB43" s="1587"/>
      <c r="AC43" s="1587"/>
      <c r="AD43" s="1587"/>
      <c r="AE43" s="1587"/>
      <c r="AF43" s="1587"/>
      <c r="AG43" s="1587"/>
      <c r="AH43" s="1587"/>
      <c r="AI43" s="1587"/>
      <c r="AJ43" s="1587"/>
      <c r="AK43" s="1587"/>
      <c r="AL43" s="920"/>
      <c r="AM43" s="920"/>
      <c r="AN43" s="920"/>
      <c r="AO43" s="920"/>
      <c r="AP43" s="920"/>
      <c r="AQ43" s="920"/>
      <c r="AR43" s="920"/>
    </row>
    <row r="44" spans="1:44" ht="24" customHeight="1">
      <c r="A44" s="892" t="str">
        <f>IF('4 Eingabe Friseure'!A23="","",'4 Eingabe Friseure'!A23)</f>
        <v/>
      </c>
      <c r="B44" s="936" t="str">
        <f>IF(B45="","",AA$7)</f>
        <v/>
      </c>
      <c r="C44" s="936" t="str">
        <f>IF(C45="","",AB$7)</f>
        <v/>
      </c>
      <c r="D44" s="893" t="str">
        <f ca="1">IF('1 Erklärung'!AA2="","",'4 Eingabe Friseure'!CD23)</f>
        <v/>
      </c>
      <c r="E44" s="893"/>
      <c r="F44" s="3234" t="str">
        <f t="shared" ref="F44:Q44" si="26">IF(SUM(F45,F46)=0,Z44,SUM(F45,F46,Z44))</f>
        <v/>
      </c>
      <c r="G44" s="3234" t="str">
        <f t="shared" si="26"/>
        <v/>
      </c>
      <c r="H44" s="3234" t="str">
        <f t="shared" si="26"/>
        <v/>
      </c>
      <c r="I44" s="3234" t="str">
        <f t="shared" si="26"/>
        <v/>
      </c>
      <c r="J44" s="3234" t="str">
        <f t="shared" si="26"/>
        <v/>
      </c>
      <c r="K44" s="3234" t="str">
        <f t="shared" si="26"/>
        <v/>
      </c>
      <c r="L44" s="3234" t="str">
        <f t="shared" si="26"/>
        <v/>
      </c>
      <c r="M44" s="3234" t="str">
        <f t="shared" si="26"/>
        <v/>
      </c>
      <c r="N44" s="3234" t="str">
        <f t="shared" si="26"/>
        <v/>
      </c>
      <c r="O44" s="3234" t="str">
        <f t="shared" si="26"/>
        <v/>
      </c>
      <c r="P44" s="3234" t="str">
        <f t="shared" si="26"/>
        <v/>
      </c>
      <c r="Q44" s="3234" t="str">
        <f t="shared" si="26"/>
        <v/>
      </c>
      <c r="R44" s="894" t="str">
        <f ca="1">IF('1 Erklärung'!AA$2="","",IF(A44="","",SUM(F44:Q44)))</f>
        <v/>
      </c>
      <c r="S44" s="205"/>
      <c r="T44" s="1269" t="str">
        <f>IF(A44="","",SUM(R44,-R46,-R45))</f>
        <v/>
      </c>
      <c r="U44" s="1228" t="str">
        <f>IF(A44="","",IF(T44="","",U$5))</f>
        <v/>
      </c>
      <c r="V44" s="1227" t="str">
        <f>IF(A44="","",SUM(T44,R45,T45))</f>
        <v/>
      </c>
      <c r="W44" s="1229" t="str">
        <f>IF(A44="","",IF(V44="","",W$5))</f>
        <v/>
      </c>
      <c r="X44" s="206" t="str">
        <f>IF(A44="","",R44/AL44)</f>
        <v/>
      </c>
      <c r="Y44" s="920"/>
      <c r="Z44" s="1587" t="str">
        <f>IF('4 Eingabe Friseure'!CE23&gt;0.4,'4 Eingabe Friseure'!$CD23*'4 Eingabe Friseure'!CE23,"")</f>
        <v/>
      </c>
      <c r="AA44" s="1587" t="str">
        <f>IF('4 Eingabe Friseure'!CF23&gt;0.4,'4 Eingabe Friseure'!$CD23*'4 Eingabe Friseure'!CF23,"")</f>
        <v/>
      </c>
      <c r="AB44" s="1587" t="str">
        <f>IF('4 Eingabe Friseure'!CG23&gt;0.4,'4 Eingabe Friseure'!$CD23*'4 Eingabe Friseure'!CG23,"")</f>
        <v/>
      </c>
      <c r="AC44" s="1587" t="str">
        <f>IF('4 Eingabe Friseure'!CH23&gt;0.4,'4 Eingabe Friseure'!$CD23*'4 Eingabe Friseure'!CH23,"")</f>
        <v/>
      </c>
      <c r="AD44" s="1587" t="str">
        <f>IF('4 Eingabe Friseure'!CI23&gt;0.4,'4 Eingabe Friseure'!$CD23*'4 Eingabe Friseure'!CI23,"")</f>
        <v/>
      </c>
      <c r="AE44" s="1587" t="str">
        <f>IF('4 Eingabe Friseure'!CJ23&gt;0.4,'4 Eingabe Friseure'!$CD23*'4 Eingabe Friseure'!CJ23,"")</f>
        <v/>
      </c>
      <c r="AF44" s="1587" t="str">
        <f>IF('4 Eingabe Friseure'!CK23&gt;0.4,'4 Eingabe Friseure'!$CD23*'4 Eingabe Friseure'!CK23,"")</f>
        <v/>
      </c>
      <c r="AG44" s="1587" t="str">
        <f>IF('4 Eingabe Friseure'!CL23&gt;0.4,'4 Eingabe Friseure'!$CD23*'4 Eingabe Friseure'!CL23,"")</f>
        <v/>
      </c>
      <c r="AH44" s="1587" t="str">
        <f>IF('4 Eingabe Friseure'!CM23&gt;0.4,'4 Eingabe Friseure'!$CD23*'4 Eingabe Friseure'!CM23,"")</f>
        <v/>
      </c>
      <c r="AI44" s="1587" t="str">
        <f>IF('4 Eingabe Friseure'!CN23&gt;0.4,'4 Eingabe Friseure'!$CD23*'4 Eingabe Friseure'!CN23,"")</f>
        <v/>
      </c>
      <c r="AJ44" s="1587" t="str">
        <f>IF('4 Eingabe Friseure'!CO23&gt;0.4,'4 Eingabe Friseure'!$CD23*'4 Eingabe Friseure'!CO23,"")</f>
        <v/>
      </c>
      <c r="AK44" s="1587" t="str">
        <f>IF('4 Eingabe Friseure'!CP23&gt;0.4,'4 Eingabe Friseure'!$CD23*'4 Eingabe Friseure'!CP23,"")</f>
        <v/>
      </c>
      <c r="AL44" s="920" t="str">
        <f>'4 Eingabe Friseure'!BG23</f>
        <v/>
      </c>
      <c r="AM44" s="920"/>
      <c r="AN44" s="920"/>
      <c r="AO44" s="920"/>
      <c r="AP44" s="920"/>
      <c r="AQ44" s="920"/>
      <c r="AR44" s="920"/>
    </row>
    <row r="45" spans="1:44" ht="24" customHeight="1">
      <c r="A45" s="934" t="str">
        <f>IF(SUM(AA45:AB45)=0,"",A$6)</f>
        <v/>
      </c>
      <c r="B45" s="1687" t="str">
        <f>IF(AA45=0,"",AA45)</f>
        <v/>
      </c>
      <c r="C45" s="1688" t="str">
        <f>IF(AB45=0,"",AB45)</f>
        <v/>
      </c>
      <c r="D45" s="3711" t="str">
        <f>IF(A44="","",$A$1)</f>
        <v/>
      </c>
      <c r="E45" s="3712"/>
      <c r="F45" s="2578"/>
      <c r="G45" s="2578"/>
      <c r="H45" s="2578"/>
      <c r="I45" s="2578"/>
      <c r="J45" s="2578"/>
      <c r="K45" s="2578"/>
      <c r="L45" s="2578"/>
      <c r="M45" s="2578"/>
      <c r="N45" s="2578"/>
      <c r="O45" s="2578"/>
      <c r="P45" s="2578"/>
      <c r="Q45" s="2578"/>
      <c r="R45" s="1221" t="str">
        <f>IF(A44="","",SUM(F45:Q45))</f>
        <v/>
      </c>
      <c r="S45" s="1222" t="str">
        <f>IF(A44="","",IF(R45="","",S$6))</f>
        <v/>
      </c>
      <c r="T45" s="1221" t="str">
        <f>IF(A44="","",(AL44*AC45))</f>
        <v/>
      </c>
      <c r="U45" s="1223" t="str">
        <f>IF(A44="","",IF(T45="","",U$6))</f>
        <v/>
      </c>
      <c r="V45" s="203" t="str">
        <f>IF(A44="","",SUM(V44)*IF(T44/COUNTIF(F44:Q44,"&gt;0")&lt;$X$4,$W$4,$V$4))</f>
        <v/>
      </c>
      <c r="W45" s="204" t="str">
        <f>IF(A44="","",IF(V45="","",W$6))</f>
        <v/>
      </c>
      <c r="X45" s="3715" t="str">
        <f>IF(A44="","",IF(X44="","",X$6))</f>
        <v/>
      </c>
      <c r="Y45" s="920">
        <f t="shared" ref="Y45:Y46" si="27">SUM(F45:Q45)</f>
        <v>0</v>
      </c>
      <c r="Z45" s="1587"/>
      <c r="AA45" s="1587">
        <f>'4 Eingabe Friseure'!F23</f>
        <v>0</v>
      </c>
      <c r="AB45" s="1587">
        <f>'4 Eingabe Friseure'!G23</f>
        <v>0</v>
      </c>
      <c r="AC45" s="1587">
        <f>'4 Eingabe Friseure'!H23</f>
        <v>0</v>
      </c>
      <c r="AD45" s="1587">
        <f>'4 Eingabe Friseure'!I23</f>
        <v>0</v>
      </c>
      <c r="AE45" s="1587">
        <f>'4 Eingabe Friseure'!J23</f>
        <v>0</v>
      </c>
      <c r="AF45" s="1587"/>
      <c r="AG45" s="1587"/>
      <c r="AH45" s="1587"/>
      <c r="AI45" s="1587"/>
      <c r="AJ45" s="1587"/>
      <c r="AK45" s="1587"/>
      <c r="AL45" s="920"/>
      <c r="AM45" s="920"/>
      <c r="AN45" s="920"/>
      <c r="AO45" s="920"/>
      <c r="AP45" s="920"/>
      <c r="AQ45" s="920"/>
      <c r="AR45" s="920"/>
    </row>
    <row r="46" spans="1:44" ht="24" customHeight="1" thickBot="1">
      <c r="A46" s="935" t="str">
        <f>IF(SUM(AD45)=0,"",A$7)</f>
        <v/>
      </c>
      <c r="B46" s="1689"/>
      <c r="C46" s="1690" t="str">
        <f>IF(AD45=0,"",AD45)</f>
        <v/>
      </c>
      <c r="D46" s="3713" t="str">
        <f>IF(C46="","",$A$2)</f>
        <v/>
      </c>
      <c r="E46" s="3714"/>
      <c r="F46" s="2579"/>
      <c r="G46" s="2579"/>
      <c r="H46" s="2579"/>
      <c r="I46" s="2579"/>
      <c r="J46" s="2579"/>
      <c r="K46" s="2579"/>
      <c r="L46" s="2579"/>
      <c r="M46" s="2579"/>
      <c r="N46" s="2579"/>
      <c r="O46" s="2579"/>
      <c r="P46" s="2579"/>
      <c r="Q46" s="2580"/>
      <c r="R46" s="1224" t="str">
        <f>IF(A44="","",SUM(F46:Q46))</f>
        <v/>
      </c>
      <c r="S46" s="1225" t="str">
        <f>IF(A44="","",IF(R46="","",S$7))</f>
        <v/>
      </c>
      <c r="T46" s="1226" t="str">
        <f>IF(A44="","",(AE45*AL44))</f>
        <v/>
      </c>
      <c r="U46" s="1225" t="str">
        <f>IF(A44="","",IF(T46="","",U$7))</f>
        <v/>
      </c>
      <c r="V46" s="201" t="str">
        <f>IF(A44="","",SUM(V44:V45,R46,T46))</f>
        <v/>
      </c>
      <c r="W46" s="959" t="str">
        <f>IF(D45="","",IF(V46="","",W$7))</f>
        <v/>
      </c>
      <c r="X46" s="3716"/>
      <c r="Y46" s="920">
        <f t="shared" si="27"/>
        <v>0</v>
      </c>
      <c r="Z46" s="1587"/>
      <c r="AA46" s="1587"/>
      <c r="AB46" s="1587"/>
      <c r="AC46" s="1587"/>
      <c r="AD46" s="1587"/>
      <c r="AE46" s="1587"/>
      <c r="AF46" s="1587"/>
      <c r="AG46" s="1587"/>
      <c r="AH46" s="1587"/>
      <c r="AI46" s="1587"/>
      <c r="AJ46" s="1587"/>
      <c r="AK46" s="1587"/>
      <c r="AL46" s="920"/>
      <c r="AM46" s="920"/>
      <c r="AN46" s="920"/>
      <c r="AO46" s="920"/>
      <c r="AP46" s="920"/>
      <c r="AQ46" s="920"/>
      <c r="AR46" s="920"/>
    </row>
    <row r="47" spans="1:44" ht="24" customHeight="1">
      <c r="A47" s="892" t="str">
        <f>IF('4 Eingabe Friseure'!A24="","",'4 Eingabe Friseure'!A24)</f>
        <v/>
      </c>
      <c r="B47" s="936" t="str">
        <f>IF(B48="","",AA$7)</f>
        <v/>
      </c>
      <c r="C47" s="936" t="str">
        <f>IF(C48="","",AB$7)</f>
        <v/>
      </c>
      <c r="D47" s="893" t="str">
        <f ca="1">IF('1 Erklärung'!AA2="","",'4 Eingabe Friseure'!CD24)</f>
        <v/>
      </c>
      <c r="E47" s="893"/>
      <c r="F47" s="3234" t="str">
        <f t="shared" ref="F47:Q47" si="28">IF(SUM(F48,F49)=0,Z47,SUM(F48,F49,Z47))</f>
        <v/>
      </c>
      <c r="G47" s="3234" t="str">
        <f t="shared" si="28"/>
        <v/>
      </c>
      <c r="H47" s="3234" t="str">
        <f t="shared" si="28"/>
        <v/>
      </c>
      <c r="I47" s="3234" t="str">
        <f t="shared" si="28"/>
        <v/>
      </c>
      <c r="J47" s="3234" t="str">
        <f t="shared" si="28"/>
        <v/>
      </c>
      <c r="K47" s="3234" t="str">
        <f t="shared" si="28"/>
        <v/>
      </c>
      <c r="L47" s="3234" t="str">
        <f t="shared" si="28"/>
        <v/>
      </c>
      <c r="M47" s="3234" t="str">
        <f t="shared" si="28"/>
        <v/>
      </c>
      <c r="N47" s="3234" t="str">
        <f t="shared" si="28"/>
        <v/>
      </c>
      <c r="O47" s="3234" t="str">
        <f t="shared" si="28"/>
        <v/>
      </c>
      <c r="P47" s="3234" t="str">
        <f t="shared" si="28"/>
        <v/>
      </c>
      <c r="Q47" s="3234" t="str">
        <f t="shared" si="28"/>
        <v/>
      </c>
      <c r="R47" s="894" t="str">
        <f ca="1">IF('1 Erklärung'!AA$2="","",IF(A47="","",SUM(F47:Q47)))</f>
        <v/>
      </c>
      <c r="S47" s="205"/>
      <c r="T47" s="1269" t="str">
        <f>IF(A47="","",SUM(R47,-R49,-R48))</f>
        <v/>
      </c>
      <c r="U47" s="1228" t="str">
        <f>IF(A47="","",IF(T47="","",U$5))</f>
        <v/>
      </c>
      <c r="V47" s="1227" t="str">
        <f>IF(A47="","",SUM(T47,R48,T48))</f>
        <v/>
      </c>
      <c r="W47" s="1229" t="str">
        <f>IF(A47="","",IF(V47="","",W$5))</f>
        <v/>
      </c>
      <c r="X47" s="206" t="str">
        <f>IF(A47="","",R47/AL47)</f>
        <v/>
      </c>
      <c r="Y47" s="920"/>
      <c r="Z47" s="1587" t="str">
        <f>IF('4 Eingabe Friseure'!CE24&gt;0.4,'4 Eingabe Friseure'!$CD24*'4 Eingabe Friseure'!CE24,"")</f>
        <v/>
      </c>
      <c r="AA47" s="1587" t="str">
        <f>IF('4 Eingabe Friseure'!CF24&gt;0.4,'4 Eingabe Friseure'!$CD24*'4 Eingabe Friseure'!CF24,"")</f>
        <v/>
      </c>
      <c r="AB47" s="1587" t="str">
        <f>IF('4 Eingabe Friseure'!CG24&gt;0.4,'4 Eingabe Friseure'!$CD24*'4 Eingabe Friseure'!CG24,"")</f>
        <v/>
      </c>
      <c r="AC47" s="1587" t="str">
        <f>IF('4 Eingabe Friseure'!CH24&gt;0.4,'4 Eingabe Friseure'!$CD24*'4 Eingabe Friseure'!CH24,"")</f>
        <v/>
      </c>
      <c r="AD47" s="1587" t="str">
        <f>IF('4 Eingabe Friseure'!CI24&gt;0.4,'4 Eingabe Friseure'!$CD24*'4 Eingabe Friseure'!CI24,"")</f>
        <v/>
      </c>
      <c r="AE47" s="1587" t="str">
        <f>IF('4 Eingabe Friseure'!CJ24&gt;0.4,'4 Eingabe Friseure'!$CD24*'4 Eingabe Friseure'!CJ24,"")</f>
        <v/>
      </c>
      <c r="AF47" s="1587" t="str">
        <f>IF('4 Eingabe Friseure'!CK24&gt;0.4,'4 Eingabe Friseure'!$CD24*'4 Eingabe Friseure'!CK24,"")</f>
        <v/>
      </c>
      <c r="AG47" s="1587" t="str">
        <f>IF('4 Eingabe Friseure'!CL24&gt;0.4,'4 Eingabe Friseure'!$CD24*'4 Eingabe Friseure'!CL24,"")</f>
        <v/>
      </c>
      <c r="AH47" s="1587" t="str">
        <f>IF('4 Eingabe Friseure'!CM24&gt;0.4,'4 Eingabe Friseure'!$CD24*'4 Eingabe Friseure'!CM24,"")</f>
        <v/>
      </c>
      <c r="AI47" s="1587" t="str">
        <f>IF('4 Eingabe Friseure'!CN24&gt;0.4,'4 Eingabe Friseure'!$CD24*'4 Eingabe Friseure'!CN24,"")</f>
        <v/>
      </c>
      <c r="AJ47" s="1587" t="str">
        <f>IF('4 Eingabe Friseure'!CO24&gt;0.4,'4 Eingabe Friseure'!$CD24*'4 Eingabe Friseure'!CO24,"")</f>
        <v/>
      </c>
      <c r="AK47" s="1587" t="str">
        <f>IF('4 Eingabe Friseure'!CP24&gt;0.4,'4 Eingabe Friseure'!$CD24*'4 Eingabe Friseure'!CP24,"")</f>
        <v/>
      </c>
      <c r="AL47" s="920" t="str">
        <f>'4 Eingabe Friseure'!BG24</f>
        <v/>
      </c>
      <c r="AM47" s="920"/>
      <c r="AN47" s="920"/>
      <c r="AO47" s="920"/>
      <c r="AP47" s="920"/>
      <c r="AQ47" s="920"/>
      <c r="AR47" s="920"/>
    </row>
    <row r="48" spans="1:44" ht="24" customHeight="1">
      <c r="A48" s="934" t="str">
        <f>IF(SUM(AA48:AB48)=0,"",A$6)</f>
        <v/>
      </c>
      <c r="B48" s="1687" t="str">
        <f>IF(AA48=0,"",AA48)</f>
        <v/>
      </c>
      <c r="C48" s="1688" t="str">
        <f>IF(AB48=0,"",AB48)</f>
        <v/>
      </c>
      <c r="D48" s="3711" t="str">
        <f>IF(A47="","",$A$1)</f>
        <v/>
      </c>
      <c r="E48" s="3712"/>
      <c r="F48" s="2578"/>
      <c r="G48" s="2578"/>
      <c r="H48" s="2578"/>
      <c r="I48" s="2578"/>
      <c r="J48" s="2578"/>
      <c r="K48" s="2578" t="str">
        <f>C48</f>
        <v/>
      </c>
      <c r="L48" s="2578"/>
      <c r="M48" s="2578"/>
      <c r="N48" s="2578"/>
      <c r="O48" s="2578"/>
      <c r="P48" s="2578"/>
      <c r="Q48" s="2578"/>
      <c r="R48" s="1221" t="str">
        <f>IF(A47="","",SUM(F48:Q48))</f>
        <v/>
      </c>
      <c r="S48" s="1222" t="str">
        <f>IF(A47="","",IF(R48="","",S$6))</f>
        <v/>
      </c>
      <c r="T48" s="1221" t="str">
        <f>IF(A47="","",(AL47*AC48))</f>
        <v/>
      </c>
      <c r="U48" s="1223" t="str">
        <f>IF(A47="","",IF(T48="","",U$6))</f>
        <v/>
      </c>
      <c r="V48" s="203" t="str">
        <f>IF(A47="","",SUM(V47)*IF(T47/COUNTIF(F47:Q47,"&gt;0")&lt;$X$4,$W$4,$V$4))</f>
        <v/>
      </c>
      <c r="W48" s="204" t="str">
        <f>IF(A47="","",IF(V48="","",W$6))</f>
        <v/>
      </c>
      <c r="X48" s="3715" t="str">
        <f>IF(A47="","",IF(X47="","",X$6))</f>
        <v/>
      </c>
      <c r="Y48" s="920">
        <f t="shared" ref="Y48:Y49" si="29">SUM(F48:Q48)</f>
        <v>0</v>
      </c>
      <c r="Z48" s="1587"/>
      <c r="AA48" s="1587">
        <f>'4 Eingabe Friseure'!F24</f>
        <v>0</v>
      </c>
      <c r="AB48" s="1587">
        <f>'4 Eingabe Friseure'!G24</f>
        <v>0</v>
      </c>
      <c r="AC48" s="1587">
        <f>'4 Eingabe Friseure'!H24</f>
        <v>0</v>
      </c>
      <c r="AD48" s="1587">
        <f>'4 Eingabe Friseure'!I24</f>
        <v>0</v>
      </c>
      <c r="AE48" s="1587">
        <f>'4 Eingabe Friseure'!J24</f>
        <v>0</v>
      </c>
      <c r="AF48" s="1587"/>
      <c r="AG48" s="1587"/>
      <c r="AH48" s="1587"/>
      <c r="AI48" s="1587"/>
      <c r="AJ48" s="1587"/>
      <c r="AK48" s="1587"/>
      <c r="AL48" s="920"/>
      <c r="AM48" s="920"/>
      <c r="AN48" s="920"/>
      <c r="AO48" s="920"/>
      <c r="AP48" s="920"/>
      <c r="AQ48" s="920"/>
      <c r="AR48" s="920"/>
    </row>
    <row r="49" spans="1:51" ht="24" customHeight="1" thickBot="1">
      <c r="A49" s="935" t="str">
        <f>IF(SUM(AD48)=0,"",A$7)</f>
        <v/>
      </c>
      <c r="B49" s="1689"/>
      <c r="C49" s="1690" t="str">
        <f>IF(AD48=0,"",AD48)</f>
        <v/>
      </c>
      <c r="D49" s="3713" t="str">
        <f>IF(C49="","",$A$2)</f>
        <v/>
      </c>
      <c r="E49" s="3714"/>
      <c r="F49" s="2579"/>
      <c r="G49" s="2579"/>
      <c r="H49" s="2579"/>
      <c r="I49" s="2579"/>
      <c r="J49" s="2579"/>
      <c r="K49" s="2579"/>
      <c r="L49" s="2579"/>
      <c r="M49" s="2579"/>
      <c r="N49" s="2579" t="str">
        <f>C49</f>
        <v/>
      </c>
      <c r="O49" s="2579"/>
      <c r="P49" s="2579"/>
      <c r="Q49" s="2580"/>
      <c r="R49" s="1224" t="str">
        <f>IF(A47="","",SUM(F49:Q49))</f>
        <v/>
      </c>
      <c r="S49" s="1225" t="str">
        <f>IF(A47="","",IF(R49="","",S$7))</f>
        <v/>
      </c>
      <c r="T49" s="1226" t="str">
        <f>IF(A47="","",(AE48*AL47))</f>
        <v/>
      </c>
      <c r="U49" s="1225" t="str">
        <f>IF(A47="","",IF(T49="","",U$7))</f>
        <v/>
      </c>
      <c r="V49" s="201" t="str">
        <f>IF(A47="","",SUM(V47:V48,R49,T49))</f>
        <v/>
      </c>
      <c r="W49" s="959" t="str">
        <f>IF(D48="","",IF(V49="","",W$7))</f>
        <v/>
      </c>
      <c r="X49" s="3716"/>
      <c r="Y49" s="920">
        <f t="shared" si="29"/>
        <v>0</v>
      </c>
      <c r="Z49" s="1587"/>
      <c r="AA49" s="1587"/>
      <c r="AB49" s="1587"/>
      <c r="AC49" s="1587"/>
      <c r="AD49" s="1587"/>
      <c r="AE49" s="1587"/>
      <c r="AF49" s="1587"/>
      <c r="AG49" s="1587"/>
      <c r="AH49" s="1587"/>
      <c r="AI49" s="1587"/>
      <c r="AJ49" s="1587"/>
      <c r="AK49" s="1587"/>
      <c r="AL49" s="920"/>
      <c r="AM49" s="920"/>
      <c r="AN49" s="920"/>
      <c r="AO49" s="920"/>
      <c r="AP49" s="920"/>
      <c r="AQ49" s="920"/>
      <c r="AR49" s="920"/>
    </row>
    <row r="50" spans="1:51" ht="24" customHeight="1">
      <c r="A50" s="892" t="str">
        <f>IF('4 Eingabe Friseure'!A25="","",IF('4 Eingabe Friseure'!A25="Chef/in","",'4 Eingabe Friseure'!A25))</f>
        <v/>
      </c>
      <c r="B50" s="936" t="str">
        <f>IF(B51="","",AA$7)</f>
        <v/>
      </c>
      <c r="C50" s="936" t="str">
        <f>IF(C51="","",AB$7)</f>
        <v/>
      </c>
      <c r="D50" s="893" t="str">
        <f ca="1">IF('1 Erklärung'!AA2="","",'4 Eingabe Friseure'!CD25)</f>
        <v/>
      </c>
      <c r="E50" s="893"/>
      <c r="F50" s="3234" t="str">
        <f t="shared" ref="F50:Q50" si="30">IF(SUM(F51,F52)=0,Z50,SUM(F51,F52,Z50))</f>
        <v/>
      </c>
      <c r="G50" s="3234" t="str">
        <f t="shared" si="30"/>
        <v/>
      </c>
      <c r="H50" s="3234" t="str">
        <f t="shared" si="30"/>
        <v/>
      </c>
      <c r="I50" s="3234" t="str">
        <f t="shared" si="30"/>
        <v/>
      </c>
      <c r="J50" s="3234" t="str">
        <f t="shared" si="30"/>
        <v/>
      </c>
      <c r="K50" s="3234" t="str">
        <f t="shared" si="30"/>
        <v/>
      </c>
      <c r="L50" s="3234" t="str">
        <f t="shared" si="30"/>
        <v/>
      </c>
      <c r="M50" s="3234" t="str">
        <f t="shared" si="30"/>
        <v/>
      </c>
      <c r="N50" s="3234" t="str">
        <f t="shared" si="30"/>
        <v/>
      </c>
      <c r="O50" s="3234" t="str">
        <f t="shared" si="30"/>
        <v/>
      </c>
      <c r="P50" s="3234" t="str">
        <f t="shared" si="30"/>
        <v/>
      </c>
      <c r="Q50" s="3234" t="str">
        <f t="shared" si="30"/>
        <v/>
      </c>
      <c r="R50" s="894" t="str">
        <f ca="1">IF('1 Erklärung'!AA$2="","",IF(A50="","",SUM(F50:Q50)))</f>
        <v/>
      </c>
      <c r="S50" s="205"/>
      <c r="T50" s="1269" t="str">
        <f>IF(A50="","",SUM(R50,-R52,-R51))</f>
        <v/>
      </c>
      <c r="U50" s="1228" t="str">
        <f>IF(A50="","",IF(T50="","",U$5))</f>
        <v/>
      </c>
      <c r="V50" s="1227" t="str">
        <f>IF(A50="","",SUM(T50,R51,T51))</f>
        <v/>
      </c>
      <c r="W50" s="1229" t="str">
        <f>IF(A50="","",IF(V50="","",W$5))</f>
        <v/>
      </c>
      <c r="X50" s="206" t="str">
        <f>IF(A50="","",R50/AL50)</f>
        <v/>
      </c>
      <c r="Y50" s="920"/>
      <c r="Z50" s="1587" t="str">
        <f>IF('4 Eingabe Friseure'!$A25="Chef/in","",IF('4 Eingabe Friseure'!CE25&gt;0.4,'4 Eingabe Friseure'!$CD25*'4 Eingabe Friseure'!CE25,""))</f>
        <v/>
      </c>
      <c r="AA50" s="1587" t="str">
        <f>IF('4 Eingabe Friseure'!$A25="Chef/in","",IF('4 Eingabe Friseure'!CF25&gt;0.4,'4 Eingabe Friseure'!$CD25*'4 Eingabe Friseure'!CF25,""))</f>
        <v/>
      </c>
      <c r="AB50" s="1587" t="str">
        <f>IF('4 Eingabe Friseure'!$A25="Chef/in","",IF('4 Eingabe Friseure'!CG25&gt;0.4,'4 Eingabe Friseure'!$CD25*'4 Eingabe Friseure'!CG25,""))</f>
        <v/>
      </c>
      <c r="AC50" s="1587" t="str">
        <f>IF('4 Eingabe Friseure'!$A25="Chef/in","",IF('4 Eingabe Friseure'!CH25&gt;0.4,'4 Eingabe Friseure'!$CD25*'4 Eingabe Friseure'!CH25,""))</f>
        <v/>
      </c>
      <c r="AD50" s="1587" t="str">
        <f>IF('4 Eingabe Friseure'!$A25="Chef/in","",IF('4 Eingabe Friseure'!CI25&gt;0.4,'4 Eingabe Friseure'!$CD25*'4 Eingabe Friseure'!CI25,""))</f>
        <v/>
      </c>
      <c r="AE50" s="1587" t="str">
        <f>IF('4 Eingabe Friseure'!$A25="Chef/in","",IF('4 Eingabe Friseure'!CJ25&gt;0.4,'4 Eingabe Friseure'!$CD25*'4 Eingabe Friseure'!CJ25,""))</f>
        <v/>
      </c>
      <c r="AF50" s="1587" t="str">
        <f>IF('4 Eingabe Friseure'!$A25="Chef/in","",IF('4 Eingabe Friseure'!CK25&gt;0.4,'4 Eingabe Friseure'!$CD25*'4 Eingabe Friseure'!CK25,""))</f>
        <v/>
      </c>
      <c r="AG50" s="1587" t="str">
        <f>IF('4 Eingabe Friseure'!$A25="Chef/in","",IF('4 Eingabe Friseure'!CL25&gt;0.4,'4 Eingabe Friseure'!$CD25*'4 Eingabe Friseure'!CL25,""))</f>
        <v/>
      </c>
      <c r="AH50" s="1587" t="str">
        <f>IF('4 Eingabe Friseure'!$A25="Chef/in","",IF('4 Eingabe Friseure'!CM25&gt;0.4,'4 Eingabe Friseure'!$CD25*'4 Eingabe Friseure'!CM25,""))</f>
        <v/>
      </c>
      <c r="AI50" s="1587" t="str">
        <f>IF('4 Eingabe Friseure'!$A25="Chef/in","",IF('4 Eingabe Friseure'!CN25&gt;0.4,'4 Eingabe Friseure'!$CD25*'4 Eingabe Friseure'!CN25,""))</f>
        <v/>
      </c>
      <c r="AJ50" s="1587" t="str">
        <f>IF('4 Eingabe Friseure'!$A25="Chef/in","",IF('4 Eingabe Friseure'!CO25&gt;0.4,'4 Eingabe Friseure'!$CD25*'4 Eingabe Friseure'!CO25,""))</f>
        <v/>
      </c>
      <c r="AK50" s="1587" t="str">
        <f>IF('4 Eingabe Friseure'!$A25="Chef/in","",IF('4 Eingabe Friseure'!CP25&gt;0.4,'4 Eingabe Friseure'!$CD25*'4 Eingabe Friseure'!CP25,""))</f>
        <v/>
      </c>
      <c r="AL50" s="921" t="str">
        <f>'4 Eingabe Friseure'!BG25</f>
        <v/>
      </c>
      <c r="AM50" s="920"/>
      <c r="AN50" s="920"/>
      <c r="AO50" s="920"/>
      <c r="AP50" s="920"/>
      <c r="AQ50" s="920"/>
      <c r="AR50" s="920"/>
    </row>
    <row r="51" spans="1:51" ht="24" customHeight="1">
      <c r="A51" s="934" t="str">
        <f>IF(SUM(AA51:AB51)=0,"",A$6)</f>
        <v/>
      </c>
      <c r="B51" s="1687" t="str">
        <f>IF(AA51=0,"",AA51)</f>
        <v/>
      </c>
      <c r="C51" s="1688" t="str">
        <f>IF(AB51=0,"",AB51)</f>
        <v/>
      </c>
      <c r="D51" s="3711" t="str">
        <f>IF(A50="","",$A$1)</f>
        <v/>
      </c>
      <c r="E51" s="3712"/>
      <c r="F51" s="2578"/>
      <c r="G51" s="2578"/>
      <c r="H51" s="2578"/>
      <c r="I51" s="2578"/>
      <c r="J51" s="2578"/>
      <c r="K51" s="2578"/>
      <c r="L51" s="2578"/>
      <c r="M51" s="2578"/>
      <c r="N51" s="2578"/>
      <c r="O51" s="2578"/>
      <c r="P51" s="2578"/>
      <c r="Q51" s="2578"/>
      <c r="R51" s="1221" t="str">
        <f>IF(A50="","",SUM(F51:Q51))</f>
        <v/>
      </c>
      <c r="S51" s="1222" t="str">
        <f>IF(A50="","",IF(R51="","",S$6))</f>
        <v/>
      </c>
      <c r="T51" s="1221" t="str">
        <f>IF(A50="","",(AL50*AC51))</f>
        <v/>
      </c>
      <c r="U51" s="1223" t="str">
        <f>IF(A50="","",IF(T51="","",U$6))</f>
        <v/>
      </c>
      <c r="V51" s="203" t="str">
        <f>IF(A50="","",SUM(V50)*IF(T50/COUNTIF(F50:Q50,"&gt;0")&lt;$X$4,$W$4,$V$4))</f>
        <v/>
      </c>
      <c r="W51" s="204" t="str">
        <f>IF(A50="","",IF(V51="","",W$6))</f>
        <v/>
      </c>
      <c r="X51" s="3715" t="str">
        <f>IF(A50="","",IF(X50="","",X$6))</f>
        <v/>
      </c>
      <c r="Y51" s="920">
        <f t="shared" ref="Y51:Y52" si="31">SUM(F51:Q51)</f>
        <v>0</v>
      </c>
      <c r="Z51" s="1587"/>
      <c r="AA51" s="1587">
        <f>'4 Eingabe Friseure'!F25</f>
        <v>0</v>
      </c>
      <c r="AB51" s="1587">
        <f>'4 Eingabe Friseure'!G25</f>
        <v>0</v>
      </c>
      <c r="AC51" s="1587">
        <f>'4 Eingabe Friseure'!H25</f>
        <v>0</v>
      </c>
      <c r="AD51" s="1587">
        <f>'4 Eingabe Friseure'!I25</f>
        <v>0</v>
      </c>
      <c r="AE51" s="1587">
        <f>'4 Eingabe Friseure'!J25</f>
        <v>0</v>
      </c>
      <c r="AF51" s="1587"/>
      <c r="AG51" s="1587"/>
      <c r="AH51" s="1587"/>
      <c r="AI51" s="1587"/>
      <c r="AJ51" s="1587"/>
      <c r="AK51" s="1587"/>
      <c r="AL51" s="920"/>
      <c r="AM51" s="920"/>
      <c r="AN51" s="920"/>
      <c r="AO51" s="920"/>
      <c r="AP51" s="920"/>
      <c r="AQ51" s="920"/>
      <c r="AR51" s="920"/>
    </row>
    <row r="52" spans="1:51" ht="24" customHeight="1" thickBot="1">
      <c r="A52" s="935" t="str">
        <f>IF(SUM(AD51)=0,"",A$7)</f>
        <v/>
      </c>
      <c r="B52" s="1689"/>
      <c r="C52" s="1690" t="str">
        <f>IF(AD51=0,"",AD51)</f>
        <v/>
      </c>
      <c r="D52" s="3713" t="str">
        <f>IF(C52="","",$A$2)</f>
        <v/>
      </c>
      <c r="E52" s="3714"/>
      <c r="F52" s="2579"/>
      <c r="G52" s="2579"/>
      <c r="H52" s="2579"/>
      <c r="I52" s="2579"/>
      <c r="J52" s="2579"/>
      <c r="K52" s="2579"/>
      <c r="L52" s="2579"/>
      <c r="M52" s="2579"/>
      <c r="N52" s="2579"/>
      <c r="O52" s="2579"/>
      <c r="P52" s="2579"/>
      <c r="Q52" s="2580"/>
      <c r="R52" s="1224" t="str">
        <f>IF(A50="","",SUM(F52:Q52))</f>
        <v/>
      </c>
      <c r="S52" s="1225" t="str">
        <f>IF(A50="","",IF(R52="","",S$7))</f>
        <v/>
      </c>
      <c r="T52" s="1226" t="str">
        <f>IF(A50="","",(AE51*AL50))</f>
        <v/>
      </c>
      <c r="U52" s="1225" t="str">
        <f>IF(A50="","",IF(T52="","",U$7))</f>
        <v/>
      </c>
      <c r="V52" s="201" t="str">
        <f>IF(A50="","",SUM(V50:V51,R52,T52))</f>
        <v/>
      </c>
      <c r="W52" s="959" t="str">
        <f>IF(D51="","",IF(V52="","",W$7))</f>
        <v/>
      </c>
      <c r="X52" s="3716"/>
      <c r="Y52" s="920">
        <f t="shared" si="31"/>
        <v>0</v>
      </c>
      <c r="Z52" s="1587"/>
      <c r="AA52" s="1587"/>
      <c r="AB52" s="1587"/>
      <c r="AC52" s="1587"/>
      <c r="AD52" s="1587"/>
      <c r="AE52" s="1587"/>
      <c r="AF52" s="1587"/>
      <c r="AG52" s="1587"/>
      <c r="AH52" s="1587"/>
      <c r="AI52" s="1587"/>
      <c r="AJ52" s="1587"/>
      <c r="AK52" s="1587"/>
      <c r="AL52" s="920"/>
      <c r="AM52" s="920"/>
      <c r="AN52" s="920"/>
      <c r="AO52" s="920"/>
      <c r="AP52" s="920"/>
      <c r="AQ52" s="920"/>
      <c r="AR52" s="920"/>
    </row>
    <row r="53" spans="1:51" ht="16.5" customHeight="1">
      <c r="C53" s="897"/>
      <c r="D53" s="64"/>
      <c r="F53" s="3236"/>
      <c r="G53" s="3236"/>
      <c r="H53" s="3236"/>
      <c r="I53" s="3236"/>
      <c r="J53" s="3236"/>
      <c r="K53" s="3236"/>
      <c r="L53" s="3236"/>
      <c r="M53" s="3236"/>
      <c r="N53" s="3236"/>
      <c r="O53" s="3236"/>
      <c r="P53" s="3236"/>
      <c r="Q53" s="3236"/>
      <c r="R53" s="203" t="str">
        <f ca="1">IF('1 Erklärung'!AA$2="","",IF(A53="","",SUM(F53:Q53)))</f>
        <v/>
      </c>
      <c r="S53" s="204" t="str">
        <f>IF(A53="","",IF(R53="","",S$5))</f>
        <v/>
      </c>
      <c r="T53" s="203" t="str">
        <f>IF(A53="","",SUM(R53,-R55,-T54,-R54,-T55))</f>
        <v/>
      </c>
      <c r="U53" s="204" t="str">
        <f>IF(A53="","",IF(T53="","",U$5))</f>
        <v/>
      </c>
      <c r="V53" s="203" t="str">
        <f>IF(A53="","",SUM(T53,T54,T55,))</f>
        <v/>
      </c>
      <c r="Y53" s="920"/>
      <c r="Z53" s="1587"/>
      <c r="AA53" s="1587"/>
      <c r="AB53" s="1587"/>
      <c r="AC53" s="1587"/>
      <c r="AD53" s="1587"/>
      <c r="AE53" s="1587"/>
      <c r="AF53" s="1587"/>
      <c r="AG53" s="1587"/>
      <c r="AH53" s="1587"/>
      <c r="AI53" s="1587"/>
      <c r="AJ53" s="1587"/>
      <c r="AK53" s="1587"/>
      <c r="AL53" s="920"/>
      <c r="AM53" s="920"/>
      <c r="AN53" s="920"/>
      <c r="AO53" s="920"/>
      <c r="AP53" s="920"/>
      <c r="AQ53" s="920"/>
      <c r="AR53" s="920"/>
    </row>
    <row r="54" spans="1:51">
      <c r="C54" s="897"/>
      <c r="D54" s="64"/>
      <c r="F54" s="3236"/>
      <c r="G54" s="3236"/>
      <c r="H54" s="3236"/>
      <c r="I54" s="3236"/>
      <c r="J54" s="3236"/>
      <c r="K54" s="3236"/>
      <c r="L54" s="3236"/>
      <c r="M54" s="3236"/>
      <c r="N54" s="3236"/>
      <c r="O54" s="3236"/>
      <c r="P54" s="3236"/>
      <c r="Q54" s="3236"/>
      <c r="R54" s="203" t="str">
        <f>IF(A53="","",(SUM(AE54,(AD54/AL53)*AL53)))</f>
        <v/>
      </c>
      <c r="S54" s="204" t="str">
        <f>IF(A53="","",IF(R54="","",S$6))</f>
        <v/>
      </c>
      <c r="T54" s="203" t="str">
        <f>IF(A53="","",(AL53*AC54))</f>
        <v/>
      </c>
      <c r="U54" s="205" t="str">
        <f>IF(A53="","",IF(T54="","",U$6))</f>
        <v/>
      </c>
      <c r="V54" s="203" t="str">
        <f>IF(A53="","",SUM(T54,T53,T55)*IF(T53/COUNTIF(F53:Q53,"&gt;0")&lt;$X$4,$W$4,$V$4))</f>
        <v/>
      </c>
      <c r="Y54" s="920"/>
      <c r="Z54" s="920"/>
      <c r="AA54" s="920"/>
      <c r="AB54" s="920"/>
      <c r="AC54" s="920"/>
      <c r="AD54" s="920"/>
      <c r="AE54" s="920"/>
      <c r="AF54" s="920"/>
      <c r="AG54" s="920"/>
      <c r="AH54" s="920"/>
      <c r="AI54" s="920"/>
      <c r="AJ54" s="920"/>
      <c r="AK54" s="920"/>
      <c r="AL54" s="920"/>
      <c r="AM54" s="920"/>
      <c r="AN54" s="920"/>
      <c r="AO54" s="920"/>
      <c r="AP54" s="920"/>
      <c r="AQ54" s="920"/>
      <c r="AR54" s="920"/>
    </row>
    <row r="55" spans="1:51" ht="13.8" thickBot="1">
      <c r="C55" s="897"/>
      <c r="D55" s="64"/>
      <c r="F55" s="3236"/>
      <c r="G55" s="3236"/>
      <c r="H55" s="3236"/>
      <c r="I55" s="3236"/>
      <c r="J55" s="3236"/>
      <c r="K55" s="3236"/>
      <c r="L55" s="3236"/>
      <c r="M55" s="3236"/>
      <c r="N55" s="3236"/>
      <c r="O55" s="3236"/>
      <c r="P55" s="3236"/>
      <c r="Q55" s="3236"/>
      <c r="R55" s="201" t="str">
        <f>IF(A53="","",SUM(F55:Q55)-AD54)</f>
        <v/>
      </c>
      <c r="S55" s="202" t="str">
        <f>IF(A53="","",IF(R55="","",S$7))</f>
        <v/>
      </c>
      <c r="T55" s="201" t="str">
        <f>IF(A54="","",SUM(AA54,AB54))</f>
        <v/>
      </c>
      <c r="U55" s="202" t="str">
        <f>IF(A53="","",IF(T55="","",U$7))</f>
        <v/>
      </c>
      <c r="V55" s="201" t="str">
        <f>IF(A53="","",SUM(V53:V54,R54:R55))</f>
        <v/>
      </c>
      <c r="Y55" s="920"/>
      <c r="Z55" s="920"/>
      <c r="AA55" s="920"/>
      <c r="AB55" s="920"/>
      <c r="AC55" s="920"/>
      <c r="AD55" s="920"/>
      <c r="AE55" s="920"/>
      <c r="AF55" s="920"/>
      <c r="AG55" s="920"/>
      <c r="AH55" s="920"/>
      <c r="AI55" s="920"/>
      <c r="AJ55" s="920"/>
      <c r="AK55" s="920"/>
      <c r="AL55" s="920"/>
      <c r="AM55" s="920"/>
      <c r="AN55" s="920"/>
      <c r="AO55" s="920"/>
      <c r="AP55" s="920"/>
      <c r="AQ55" s="920"/>
      <c r="AR55" s="920"/>
    </row>
    <row r="56" spans="1:51" ht="30" customHeight="1">
      <c r="A56" s="892" t="str">
        <f>IF('4 Eingabe Friseure'!A30="","",'4 Eingabe Friseure'!A30)</f>
        <v/>
      </c>
      <c r="B56" s="936" t="str">
        <f>IF(B57="","",AA$7)</f>
        <v/>
      </c>
      <c r="C56" s="936" t="str">
        <f>IF(C57="","",AB$7)</f>
        <v/>
      </c>
      <c r="D56" s="893" t="str">
        <f ca="1">IF('1 Erklärung'!AA2="","",'4 Eingabe Friseure'!CD30)</f>
        <v/>
      </c>
      <c r="E56" s="893"/>
      <c r="F56" s="3234" t="str">
        <f t="shared" ref="F56:Q56" si="32">IF(SUM(F57,F58)=0,Z56,SUM(F57,F58,Z56))</f>
        <v/>
      </c>
      <c r="G56" s="3234" t="str">
        <f t="shared" si="32"/>
        <v/>
      </c>
      <c r="H56" s="3234" t="str">
        <f t="shared" si="32"/>
        <v/>
      </c>
      <c r="I56" s="3234" t="str">
        <f t="shared" si="32"/>
        <v/>
      </c>
      <c r="J56" s="3234" t="str">
        <f t="shared" si="32"/>
        <v/>
      </c>
      <c r="K56" s="3234" t="str">
        <f t="shared" si="32"/>
        <v/>
      </c>
      <c r="L56" s="3234" t="str">
        <f t="shared" si="32"/>
        <v/>
      </c>
      <c r="M56" s="3234" t="str">
        <f t="shared" si="32"/>
        <v/>
      </c>
      <c r="N56" s="3234" t="str">
        <f t="shared" si="32"/>
        <v/>
      </c>
      <c r="O56" s="3234" t="str">
        <f t="shared" si="32"/>
        <v/>
      </c>
      <c r="P56" s="3234" t="str">
        <f t="shared" si="32"/>
        <v/>
      </c>
      <c r="Q56" s="3234" t="str">
        <f t="shared" si="32"/>
        <v/>
      </c>
      <c r="R56" s="894" t="str">
        <f ca="1">IF('1 Erklärung'!AA$2="","",IF(A56="","",SUM(F56:Q56)))</f>
        <v/>
      </c>
      <c r="S56" s="205"/>
      <c r="T56" s="1269" t="str">
        <f>IF(A56="","",SUM(R56,-R58,-R57))</f>
        <v/>
      </c>
      <c r="U56" s="1228" t="str">
        <f>IF(A56="","",IF(T56="","",U$5))</f>
        <v/>
      </c>
      <c r="V56" s="1227" t="str">
        <f>IF(A56="","",SUM(T56,R57,T57))</f>
        <v/>
      </c>
      <c r="W56" s="1229" t="str">
        <f>IF(A56="","",IF(V56="","",W$5))</f>
        <v/>
      </c>
      <c r="X56" s="206" t="str">
        <f>IF(A56="","",R56/AL56)</f>
        <v/>
      </c>
      <c r="Y56" s="920"/>
      <c r="Z56" s="1587" t="str">
        <f>IF('4 Eingabe Friseure'!CE30&gt;0.4,'4 Eingabe Friseure'!$CD30*'4 Eingabe Friseure'!CE30,"")</f>
        <v/>
      </c>
      <c r="AA56" s="1587" t="str">
        <f>IF('4 Eingabe Friseure'!CF30&gt;0.4,'4 Eingabe Friseure'!$CD30*'4 Eingabe Friseure'!CF30,"")</f>
        <v/>
      </c>
      <c r="AB56" s="1587" t="str">
        <f>IF('4 Eingabe Friseure'!CG30&gt;0.4,'4 Eingabe Friseure'!$CD30*'4 Eingabe Friseure'!CG30,"")</f>
        <v/>
      </c>
      <c r="AC56" s="1587" t="str">
        <f>IF('4 Eingabe Friseure'!CH30&gt;0.4,'4 Eingabe Friseure'!$CD30*'4 Eingabe Friseure'!CH30,"")</f>
        <v/>
      </c>
      <c r="AD56" s="1587" t="str">
        <f>IF('4 Eingabe Friseure'!CI30&gt;0.4,'4 Eingabe Friseure'!$CD30*'4 Eingabe Friseure'!CI30,"")</f>
        <v/>
      </c>
      <c r="AE56" s="1587" t="str">
        <f>IF('4 Eingabe Friseure'!CJ30&gt;0.4,'4 Eingabe Friseure'!$CD30*'4 Eingabe Friseure'!CJ30,"")</f>
        <v/>
      </c>
      <c r="AF56" s="1587" t="str">
        <f>IF('4 Eingabe Friseure'!CK30&gt;0.4,'4 Eingabe Friseure'!$CD30*'4 Eingabe Friseure'!CK30,"")</f>
        <v/>
      </c>
      <c r="AG56" s="1587" t="str">
        <f>IF('4 Eingabe Friseure'!CL30&gt;0.4,'4 Eingabe Friseure'!$CD30*'4 Eingabe Friseure'!CL30,"")</f>
        <v/>
      </c>
      <c r="AH56" s="1587" t="str">
        <f>IF('4 Eingabe Friseure'!CM30&gt;0.4,'4 Eingabe Friseure'!$CD30*'4 Eingabe Friseure'!CM30,"")</f>
        <v/>
      </c>
      <c r="AI56" s="1587" t="str">
        <f>IF('4 Eingabe Friseure'!CN30&gt;0.4,'4 Eingabe Friseure'!$CD30*'4 Eingabe Friseure'!CN30,"")</f>
        <v/>
      </c>
      <c r="AJ56" s="1587" t="str">
        <f>IF('4 Eingabe Friseure'!CO30&gt;0.4,'4 Eingabe Friseure'!$CD30*'4 Eingabe Friseure'!CO30,"")</f>
        <v/>
      </c>
      <c r="AK56" s="1587" t="str">
        <f>IF('4 Eingabe Friseure'!CP30&gt;0.4,'4 Eingabe Friseure'!$CD30*'4 Eingabe Friseure'!CP30,"")</f>
        <v/>
      </c>
      <c r="AL56" s="920" t="str">
        <f>'4 Eingabe Friseure'!BG30</f>
        <v/>
      </c>
      <c r="AM56" s="1588" t="str">
        <f>A56</f>
        <v/>
      </c>
      <c r="AN56" s="1587" t="str">
        <f ca="1">IF(D56="","",MAX(F56:Q56))</f>
        <v/>
      </c>
      <c r="AO56" s="1587" t="str">
        <f>X56</f>
        <v/>
      </c>
      <c r="AP56" s="1589" t="str">
        <f ca="1">D56</f>
        <v/>
      </c>
      <c r="AQ56" s="920"/>
      <c r="AR56" s="1592"/>
      <c r="AS56"/>
      <c r="AT56"/>
      <c r="AU56"/>
      <c r="AV56"/>
      <c r="AW56"/>
      <c r="AX56"/>
      <c r="AY56"/>
    </row>
    <row r="57" spans="1:51" ht="30" customHeight="1">
      <c r="A57" s="934" t="str">
        <f>IF(SUM(AA57:AB57)=0,"",A$4)</f>
        <v/>
      </c>
      <c r="B57" s="1687" t="str">
        <f>IF(AA57=0,"",AA57)</f>
        <v/>
      </c>
      <c r="C57" s="1688" t="str">
        <f>IF(AB57=0,"",AB57)</f>
        <v/>
      </c>
      <c r="D57" s="3711" t="str">
        <f>IF(A56="","",$A$1)</f>
        <v/>
      </c>
      <c r="E57" s="3712"/>
      <c r="F57" s="2578"/>
      <c r="G57" s="2578"/>
      <c r="H57" s="2578"/>
      <c r="I57" s="2578"/>
      <c r="J57" s="2578"/>
      <c r="K57" s="2578"/>
      <c r="L57" s="2578"/>
      <c r="M57" s="2578"/>
      <c r="N57" s="2578"/>
      <c r="O57" s="2578"/>
      <c r="P57" s="2578"/>
      <c r="Q57" s="2578"/>
      <c r="R57" s="1221" t="str">
        <f>IF(A56="","",SUM(F57:Q57))</f>
        <v/>
      </c>
      <c r="S57" s="1222" t="str">
        <f>IF(A56="","",IF(R57="","",S$6))</f>
        <v/>
      </c>
      <c r="T57" s="1221" t="str">
        <f>IF(A56="","",(AL56*AC57))</f>
        <v/>
      </c>
      <c r="U57" s="1223" t="str">
        <f>IF(A56="","",IF(T57="","",U$6))</f>
        <v/>
      </c>
      <c r="V57" s="203" t="str">
        <f>IF(A56="","",SUM(V56)*IF(T56/COUNTIF(F56:Q56,"&gt;0")&lt;$X$4,$W$4,$V$4))</f>
        <v/>
      </c>
      <c r="W57" s="204" t="str">
        <f>IF(A56="","",IF(V57="","",W$6))</f>
        <v/>
      </c>
      <c r="X57" s="3715" t="str">
        <f>IF(A56="","",IF(X56="","",X$6))</f>
        <v/>
      </c>
      <c r="Y57" s="920">
        <f t="shared" ref="Y57:Y103" si="33">SUM(F57:Q57)</f>
        <v>0</v>
      </c>
      <c r="Z57" s="1587"/>
      <c r="AA57" s="1587">
        <f>'4 Eingabe Friseure'!F30</f>
        <v>0</v>
      </c>
      <c r="AB57" s="1587">
        <f>'4 Eingabe Friseure'!G30</f>
        <v>0</v>
      </c>
      <c r="AC57" s="1587">
        <f>'4 Eingabe Friseure'!H30</f>
        <v>0</v>
      </c>
      <c r="AD57" s="1587">
        <f>'4 Eingabe Friseure'!I30</f>
        <v>0</v>
      </c>
      <c r="AE57" s="1587">
        <f>'4 Eingabe Friseure'!J30</f>
        <v>0</v>
      </c>
      <c r="AF57" s="1587"/>
      <c r="AG57" s="1587"/>
      <c r="AH57" s="1587"/>
      <c r="AI57" s="1587"/>
      <c r="AJ57" s="1587"/>
      <c r="AK57" s="1587"/>
      <c r="AL57" s="920"/>
      <c r="AM57" s="1588" t="str">
        <f>A59</f>
        <v/>
      </c>
      <c r="AN57" s="1587" t="str">
        <f ca="1">IF(D59="","",MAX(F59:Q59))</f>
        <v/>
      </c>
      <c r="AO57" s="1587" t="str">
        <f>X59</f>
        <v/>
      </c>
      <c r="AP57" s="1589" t="str">
        <f ca="1">D59</f>
        <v/>
      </c>
      <c r="AQ57" s="920"/>
      <c r="AR57" s="1592"/>
      <c r="AS57"/>
      <c r="AT57"/>
      <c r="AU57"/>
      <c r="AV57"/>
      <c r="AW57"/>
      <c r="AX57"/>
      <c r="AY57"/>
    </row>
    <row r="58" spans="1:51" ht="30" customHeight="1" thickBot="1">
      <c r="A58" s="935" t="str">
        <f>IF(SUM(AD57)=0,"",A$4)</f>
        <v/>
      </c>
      <c r="B58" s="1689"/>
      <c r="C58" s="1690" t="str">
        <f>IF(AD57=0,"",AD57)</f>
        <v/>
      </c>
      <c r="D58" s="3713" t="str">
        <f>IF(C58="","",$A$2)</f>
        <v/>
      </c>
      <c r="E58" s="3714"/>
      <c r="F58" s="2579"/>
      <c r="G58" s="2579"/>
      <c r="H58" s="2579"/>
      <c r="I58" s="2579"/>
      <c r="J58" s="2579"/>
      <c r="K58" s="2579"/>
      <c r="L58" s="2579"/>
      <c r="M58" s="2579"/>
      <c r="N58" s="2579"/>
      <c r="O58" s="2579"/>
      <c r="P58" s="2579"/>
      <c r="Q58" s="2580"/>
      <c r="R58" s="1224" t="str">
        <f>IF(A56="","",SUM(F58:Q58))</f>
        <v/>
      </c>
      <c r="S58" s="1225" t="str">
        <f>IF(A56="","",IF(R58="","",S$7))</f>
        <v/>
      </c>
      <c r="T58" s="1226" t="str">
        <f>IF(A56="","",(AE57*AL56))</f>
        <v/>
      </c>
      <c r="U58" s="1225" t="str">
        <f>IF(A56="","",IF(T58="","",U$7))</f>
        <v/>
      </c>
      <c r="V58" s="201" t="str">
        <f>IF(A56="","",SUM(V56:V57,R58,T58))</f>
        <v/>
      </c>
      <c r="W58" s="959" t="str">
        <f>IF(D57="","",IF(V58="","",W$7))</f>
        <v/>
      </c>
      <c r="X58" s="3716"/>
      <c r="Y58" s="920">
        <f t="shared" si="33"/>
        <v>0</v>
      </c>
      <c r="Z58" s="1587"/>
      <c r="AA58" s="1587"/>
      <c r="AB58" s="1587"/>
      <c r="AC58" s="1587"/>
      <c r="AD58" s="1587"/>
      <c r="AE58" s="1587"/>
      <c r="AF58" s="1587"/>
      <c r="AG58" s="1587"/>
      <c r="AH58" s="1587"/>
      <c r="AI58" s="1587"/>
      <c r="AJ58" s="1587"/>
      <c r="AK58" s="1587"/>
      <c r="AL58" s="920"/>
      <c r="AM58" s="1588" t="str">
        <f>A62</f>
        <v/>
      </c>
      <c r="AN58" s="1587" t="str">
        <f ca="1">IF(D62="","",MAX(F62:Q62))</f>
        <v/>
      </c>
      <c r="AO58" s="1587" t="str">
        <f>X62</f>
        <v/>
      </c>
      <c r="AP58" s="1589" t="str">
        <f ca="1">D62</f>
        <v/>
      </c>
      <c r="AQ58" s="920"/>
      <c r="AR58" s="1592"/>
      <c r="AS58"/>
      <c r="AT58"/>
      <c r="AU58"/>
      <c r="AV58"/>
      <c r="AW58"/>
      <c r="AX58"/>
      <c r="AY58"/>
    </row>
    <row r="59" spans="1:51" ht="30" customHeight="1">
      <c r="A59" s="892" t="str">
        <f>IF('4 Eingabe Friseure'!A31="","",'4 Eingabe Friseure'!A31)</f>
        <v/>
      </c>
      <c r="B59" s="936" t="str">
        <f>IF(B60="","",AA$7)</f>
        <v/>
      </c>
      <c r="C59" s="936" t="str">
        <f>IF(C60="","",AB$7)</f>
        <v/>
      </c>
      <c r="D59" s="893" t="str">
        <f ca="1">IF('1 Erklärung'!AA2="","",'4 Eingabe Friseure'!CD31)</f>
        <v/>
      </c>
      <c r="E59" s="893"/>
      <c r="F59" s="3234" t="str">
        <f t="shared" ref="F59:Q59" si="34">IF(SUM(F60,F61)=0,Z59,SUM(F60,F61,Z59))</f>
        <v/>
      </c>
      <c r="G59" s="3234" t="str">
        <f t="shared" si="34"/>
        <v/>
      </c>
      <c r="H59" s="3234" t="str">
        <f t="shared" si="34"/>
        <v/>
      </c>
      <c r="I59" s="3234" t="str">
        <f t="shared" si="34"/>
        <v/>
      </c>
      <c r="J59" s="3234" t="str">
        <f t="shared" si="34"/>
        <v/>
      </c>
      <c r="K59" s="3234" t="str">
        <f t="shared" si="34"/>
        <v/>
      </c>
      <c r="L59" s="3234" t="str">
        <f t="shared" si="34"/>
        <v/>
      </c>
      <c r="M59" s="3234" t="str">
        <f t="shared" si="34"/>
        <v/>
      </c>
      <c r="N59" s="3234" t="str">
        <f t="shared" si="34"/>
        <v/>
      </c>
      <c r="O59" s="3234" t="str">
        <f t="shared" si="34"/>
        <v/>
      </c>
      <c r="P59" s="3234" t="str">
        <f t="shared" si="34"/>
        <v/>
      </c>
      <c r="Q59" s="3234" t="str">
        <f t="shared" si="34"/>
        <v/>
      </c>
      <c r="R59" s="894" t="str">
        <f ca="1">IF('1 Erklärung'!AA$2="","",IF(A59="","",SUM(F59:Q59)))</f>
        <v/>
      </c>
      <c r="S59" s="205"/>
      <c r="T59" s="1269" t="str">
        <f>IF(A59="","",SUM(R59,-R61,-R60))</f>
        <v/>
      </c>
      <c r="U59" s="1228" t="str">
        <f>IF(A59="","",IF(T59="","",U$5))</f>
        <v/>
      </c>
      <c r="V59" s="1227" t="str">
        <f>IF(A59="","",SUM(T59,R60,T60))</f>
        <v/>
      </c>
      <c r="W59" s="1229" t="str">
        <f>IF(A59="","",IF(V59="","",W$5))</f>
        <v/>
      </c>
      <c r="X59" s="206" t="str">
        <f>IF(A59="","",R59/AL59)</f>
        <v/>
      </c>
      <c r="Y59" s="920"/>
      <c r="Z59" s="1587" t="str">
        <f>IF('4 Eingabe Friseure'!CE31&gt;0.4,'4 Eingabe Friseure'!$CD31*'4 Eingabe Friseure'!CE31,"")</f>
        <v/>
      </c>
      <c r="AA59" s="1587" t="str">
        <f>IF('4 Eingabe Friseure'!CF31&gt;0.4,'4 Eingabe Friseure'!$CD31*'4 Eingabe Friseure'!CF31,"")</f>
        <v/>
      </c>
      <c r="AB59" s="1587" t="str">
        <f>IF('4 Eingabe Friseure'!CG31&gt;0.4,'4 Eingabe Friseure'!$CD31*'4 Eingabe Friseure'!CG31,"")</f>
        <v/>
      </c>
      <c r="AC59" s="1587" t="str">
        <f>IF('4 Eingabe Friseure'!CH31&gt;0.4,'4 Eingabe Friseure'!$CD31*'4 Eingabe Friseure'!CH31,"")</f>
        <v/>
      </c>
      <c r="AD59" s="1587" t="str">
        <f>IF('4 Eingabe Friseure'!CI31&gt;0.4,'4 Eingabe Friseure'!$CD31*'4 Eingabe Friseure'!CI31,"")</f>
        <v/>
      </c>
      <c r="AE59" s="1587" t="str">
        <f>IF('4 Eingabe Friseure'!CJ31&gt;0.4,'4 Eingabe Friseure'!$CD31*'4 Eingabe Friseure'!CJ31,"")</f>
        <v/>
      </c>
      <c r="AF59" s="1587" t="str">
        <f>IF('4 Eingabe Friseure'!CK31&gt;0.4,'4 Eingabe Friseure'!$CD31*'4 Eingabe Friseure'!CK31,"")</f>
        <v/>
      </c>
      <c r="AG59" s="1587" t="str">
        <f>IF('4 Eingabe Friseure'!CL31&gt;0.4,'4 Eingabe Friseure'!$CD31*'4 Eingabe Friseure'!CL31,"")</f>
        <v/>
      </c>
      <c r="AH59" s="1587" t="str">
        <f>IF('4 Eingabe Friseure'!CM31&gt;0.4,'4 Eingabe Friseure'!$CD31*'4 Eingabe Friseure'!CM31,"")</f>
        <v/>
      </c>
      <c r="AI59" s="1587" t="str">
        <f>IF('4 Eingabe Friseure'!CN31&gt;0.4,'4 Eingabe Friseure'!$CD31*'4 Eingabe Friseure'!CN31,"")</f>
        <v/>
      </c>
      <c r="AJ59" s="1587" t="str">
        <f>IF('4 Eingabe Friseure'!CO31&gt;0.4,'4 Eingabe Friseure'!$CD31*'4 Eingabe Friseure'!CO31,"")</f>
        <v/>
      </c>
      <c r="AK59" s="1587" t="str">
        <f>IF('4 Eingabe Friseure'!CP31&gt;0.4,'4 Eingabe Friseure'!$CD31*'4 Eingabe Friseure'!CP31,"")</f>
        <v/>
      </c>
      <c r="AL59" s="920" t="str">
        <f>'4 Eingabe Friseure'!BG31</f>
        <v/>
      </c>
      <c r="AM59" s="1588" t="str">
        <f>A65</f>
        <v/>
      </c>
      <c r="AN59" s="1587" t="str">
        <f ca="1">IF(D65="","",MAX(F65:Q65))</f>
        <v/>
      </c>
      <c r="AO59" s="1587" t="str">
        <f>X65</f>
        <v/>
      </c>
      <c r="AP59" s="1589" t="str">
        <f ca="1">D65</f>
        <v/>
      </c>
      <c r="AQ59" s="920"/>
      <c r="AR59" s="1592"/>
      <c r="AS59"/>
      <c r="AT59"/>
      <c r="AU59"/>
      <c r="AV59"/>
      <c r="AW59"/>
      <c r="AX59"/>
      <c r="AY59"/>
    </row>
    <row r="60" spans="1:51" ht="30" customHeight="1">
      <c r="A60" s="934" t="str">
        <f>IF(SUM(AA60:AB60)=0,"",A$4)</f>
        <v/>
      </c>
      <c r="B60" s="1687" t="str">
        <f>IF(AA60=0,"",AA60)</f>
        <v/>
      </c>
      <c r="C60" s="1688" t="str">
        <f>IF(AB60=0,"",AB60)</f>
        <v/>
      </c>
      <c r="D60" s="3711" t="str">
        <f>IF(A59="","",$A$1)</f>
        <v/>
      </c>
      <c r="E60" s="3712"/>
      <c r="F60" s="2578"/>
      <c r="G60" s="2578"/>
      <c r="H60" s="2578"/>
      <c r="I60" s="2578"/>
      <c r="J60" s="2578"/>
      <c r="K60" s="2578"/>
      <c r="L60" s="2578"/>
      <c r="M60" s="2578"/>
      <c r="N60" s="2578"/>
      <c r="O60" s="2578"/>
      <c r="P60" s="2578"/>
      <c r="Q60" s="2578"/>
      <c r="R60" s="1221" t="str">
        <f>IF(A59="","",SUM(F60:Q60))</f>
        <v/>
      </c>
      <c r="S60" s="1222" t="str">
        <f>IF(A59="","",IF(R60="","",S$6))</f>
        <v/>
      </c>
      <c r="T60" s="1221" t="str">
        <f>IF(A59="","",(AL59*AC60))</f>
        <v/>
      </c>
      <c r="U60" s="1223" t="str">
        <f>IF(A59="","",IF(T60="","",U$6))</f>
        <v/>
      </c>
      <c r="V60" s="203" t="str">
        <f>IF(A59="","",SUM(V59)*IF(T59/COUNTIF(F59:Q59,"&gt;0")&lt;$X$4,$W$4,$V$4))</f>
        <v/>
      </c>
      <c r="W60" s="204" t="str">
        <f>IF(A59="","",IF(V60="","",W$6))</f>
        <v/>
      </c>
      <c r="X60" s="3715" t="str">
        <f>IF(A59="","",IF(X59="","",X$6))</f>
        <v/>
      </c>
      <c r="Y60" s="920">
        <f t="shared" si="33"/>
        <v>0</v>
      </c>
      <c r="Z60" s="1587"/>
      <c r="AA60" s="1587">
        <f>'4 Eingabe Friseure'!F31</f>
        <v>0</v>
      </c>
      <c r="AB60" s="1587">
        <f>'4 Eingabe Friseure'!G31</f>
        <v>0</v>
      </c>
      <c r="AC60" s="1587">
        <f>'4 Eingabe Friseure'!H31</f>
        <v>0</v>
      </c>
      <c r="AD60" s="1587">
        <f>'4 Eingabe Friseure'!I31</f>
        <v>0</v>
      </c>
      <c r="AE60" s="1587">
        <f>'4 Eingabe Friseure'!J31</f>
        <v>0</v>
      </c>
      <c r="AF60" s="1587"/>
      <c r="AG60" s="1587"/>
      <c r="AH60" s="1587"/>
      <c r="AI60" s="1587"/>
      <c r="AJ60" s="1587"/>
      <c r="AK60" s="1587"/>
      <c r="AL60" s="920"/>
      <c r="AM60" s="1588" t="str">
        <f>A68</f>
        <v/>
      </c>
      <c r="AN60" s="1587" t="str">
        <f ca="1">IF(D68="","",MAX(F68:Q68))</f>
        <v/>
      </c>
      <c r="AO60" s="1587" t="str">
        <f>X68</f>
        <v/>
      </c>
      <c r="AP60" s="1589" t="str">
        <f ca="1">D68</f>
        <v/>
      </c>
      <c r="AQ60" s="920"/>
      <c r="AR60" s="1592"/>
      <c r="AS60"/>
      <c r="AT60"/>
      <c r="AU60"/>
      <c r="AV60"/>
      <c r="AW60"/>
      <c r="AX60"/>
      <c r="AY60"/>
    </row>
    <row r="61" spans="1:51" ht="30" customHeight="1" thickBot="1">
      <c r="A61" s="935" t="str">
        <f>IF(SUM(AD60)=0,"",A$4)</f>
        <v/>
      </c>
      <c r="B61" s="1689"/>
      <c r="C61" s="1690" t="str">
        <f>IF(AD60=0,"",AD60)</f>
        <v/>
      </c>
      <c r="D61" s="3713" t="str">
        <f>IF(C61="","",$A$2)</f>
        <v/>
      </c>
      <c r="E61" s="3714"/>
      <c r="F61" s="2579"/>
      <c r="G61" s="2579"/>
      <c r="H61" s="2579"/>
      <c r="I61" s="2579"/>
      <c r="J61" s="2579"/>
      <c r="K61" s="2579"/>
      <c r="L61" s="2579"/>
      <c r="M61" s="2579"/>
      <c r="N61" s="2579"/>
      <c r="O61" s="2579"/>
      <c r="P61" s="2579"/>
      <c r="Q61" s="2580"/>
      <c r="R61" s="1224" t="str">
        <f>IF(A59="","",SUM(F61:Q61))</f>
        <v/>
      </c>
      <c r="S61" s="1225" t="str">
        <f>IF(A59="","",IF(R61="","",S$7))</f>
        <v/>
      </c>
      <c r="T61" s="1226" t="str">
        <f>IF(A59="","",(AE60*AL59))</f>
        <v/>
      </c>
      <c r="U61" s="1225" t="str">
        <f>IF(A59="","",IF(T61="","",U$7))</f>
        <v/>
      </c>
      <c r="V61" s="201" t="str">
        <f>IF(A59="","",SUM(V59:V60,R61,T61))</f>
        <v/>
      </c>
      <c r="W61" s="959" t="str">
        <f>IF(D60="","",IF(V61="","",W$7))</f>
        <v/>
      </c>
      <c r="X61" s="3716"/>
      <c r="Y61" s="920">
        <f t="shared" si="33"/>
        <v>0</v>
      </c>
      <c r="Z61" s="1587"/>
      <c r="AA61" s="1587"/>
      <c r="AB61" s="1587"/>
      <c r="AC61" s="1587"/>
      <c r="AD61" s="1587"/>
      <c r="AE61" s="1587"/>
      <c r="AF61" s="1587"/>
      <c r="AG61" s="1587"/>
      <c r="AH61" s="1587"/>
      <c r="AI61" s="1587"/>
      <c r="AJ61" s="1587"/>
      <c r="AK61" s="1587"/>
      <c r="AL61" s="920"/>
      <c r="AM61" s="1588" t="str">
        <f>A71</f>
        <v/>
      </c>
      <c r="AN61" s="1587" t="str">
        <f ca="1">IF(D71="","",MAX(F71:Q71))</f>
        <v/>
      </c>
      <c r="AO61" s="1587" t="str">
        <f>X71</f>
        <v/>
      </c>
      <c r="AP61" s="1589" t="str">
        <f ca="1">D71</f>
        <v/>
      </c>
      <c r="AQ61" s="920"/>
      <c r="AR61" s="1592"/>
      <c r="AS61"/>
      <c r="AT61"/>
      <c r="AU61"/>
      <c r="AV61"/>
      <c r="AW61"/>
      <c r="AX61"/>
      <c r="AY61"/>
    </row>
    <row r="62" spans="1:51" ht="30" customHeight="1">
      <c r="A62" s="892" t="str">
        <f>IF('4 Eingabe Friseure'!A32="","",'4 Eingabe Friseure'!A32)</f>
        <v/>
      </c>
      <c r="B62" s="936" t="str">
        <f>IF(B63="","",AA$7)</f>
        <v/>
      </c>
      <c r="C62" s="936" t="str">
        <f>IF(C63="","",AB$7)</f>
        <v/>
      </c>
      <c r="D62" s="893" t="str">
        <f ca="1">IF('1 Erklärung'!AA2="","",'4 Eingabe Friseure'!CD32)</f>
        <v/>
      </c>
      <c r="E62" s="893"/>
      <c r="F62" s="3234" t="str">
        <f t="shared" ref="F62:Q62" si="35">IF(SUM(F63,F64)=0,Z62,SUM(F63,F64,Z62))</f>
        <v/>
      </c>
      <c r="G62" s="3234" t="str">
        <f t="shared" si="35"/>
        <v/>
      </c>
      <c r="H62" s="3234" t="str">
        <f t="shared" si="35"/>
        <v/>
      </c>
      <c r="I62" s="3234" t="str">
        <f t="shared" si="35"/>
        <v/>
      </c>
      <c r="J62" s="3234" t="str">
        <f t="shared" si="35"/>
        <v/>
      </c>
      <c r="K62" s="3234" t="str">
        <f t="shared" si="35"/>
        <v/>
      </c>
      <c r="L62" s="3234" t="str">
        <f t="shared" si="35"/>
        <v/>
      </c>
      <c r="M62" s="3234" t="str">
        <f t="shared" si="35"/>
        <v/>
      </c>
      <c r="N62" s="3234" t="str">
        <f t="shared" si="35"/>
        <v/>
      </c>
      <c r="O62" s="3234" t="str">
        <f t="shared" si="35"/>
        <v/>
      </c>
      <c r="P62" s="3234" t="str">
        <f t="shared" si="35"/>
        <v/>
      </c>
      <c r="Q62" s="3234" t="str">
        <f t="shared" si="35"/>
        <v/>
      </c>
      <c r="R62" s="894" t="str">
        <f ca="1">IF('1 Erklärung'!AA$2="","",IF(A62="","",SUM(F62:Q62)))</f>
        <v/>
      </c>
      <c r="S62" s="205"/>
      <c r="T62" s="1269" t="str">
        <f>IF(A62="","",SUM(R62,-R64,-R63))</f>
        <v/>
      </c>
      <c r="U62" s="1228" t="str">
        <f>IF(A62="","",IF(T62="","",U$5))</f>
        <v/>
      </c>
      <c r="V62" s="1227" t="str">
        <f>IF(A62="","",SUM(T62,R63,T63))</f>
        <v/>
      </c>
      <c r="W62" s="1229" t="str">
        <f>IF(A62="","",IF(V62="","",W$5))</f>
        <v/>
      </c>
      <c r="X62" s="206" t="str">
        <f>IF(A62="","",R62/AL62)</f>
        <v/>
      </c>
      <c r="Y62" s="920"/>
      <c r="Z62" s="1587" t="str">
        <f>IF('4 Eingabe Friseure'!CE32&gt;0.4,'4 Eingabe Friseure'!$CD32*'4 Eingabe Friseure'!CE32,"")</f>
        <v/>
      </c>
      <c r="AA62" s="1587" t="str">
        <f>IF('4 Eingabe Friseure'!CF32&gt;0.4,'4 Eingabe Friseure'!$CD32*'4 Eingabe Friseure'!CF32,"")</f>
        <v/>
      </c>
      <c r="AB62" s="1587" t="str">
        <f>IF('4 Eingabe Friseure'!CG32&gt;0.4,'4 Eingabe Friseure'!$CD32*'4 Eingabe Friseure'!CG32,"")</f>
        <v/>
      </c>
      <c r="AC62" s="1587" t="str">
        <f>IF('4 Eingabe Friseure'!CH32&gt;0.4,'4 Eingabe Friseure'!$CD32*'4 Eingabe Friseure'!CH32,"")</f>
        <v/>
      </c>
      <c r="AD62" s="1587" t="str">
        <f>IF('4 Eingabe Friseure'!CI32&gt;0.4,'4 Eingabe Friseure'!$CD32*'4 Eingabe Friseure'!CI32,"")</f>
        <v/>
      </c>
      <c r="AE62" s="1587" t="str">
        <f>IF('4 Eingabe Friseure'!CJ32&gt;0.4,'4 Eingabe Friseure'!$CD32*'4 Eingabe Friseure'!CJ32,"")</f>
        <v/>
      </c>
      <c r="AF62" s="1587" t="str">
        <f>IF('4 Eingabe Friseure'!CK32&gt;0.4,'4 Eingabe Friseure'!$CD32*'4 Eingabe Friseure'!CK32,"")</f>
        <v/>
      </c>
      <c r="AG62" s="1587" t="str">
        <f>IF('4 Eingabe Friseure'!CL32&gt;0.4,'4 Eingabe Friseure'!$CD32*'4 Eingabe Friseure'!CL32,"")</f>
        <v/>
      </c>
      <c r="AH62" s="1587" t="str">
        <f>IF('4 Eingabe Friseure'!CM32&gt;0.4,'4 Eingabe Friseure'!$CD32*'4 Eingabe Friseure'!CM32,"")</f>
        <v/>
      </c>
      <c r="AI62" s="1587" t="str">
        <f>IF('4 Eingabe Friseure'!CN32&gt;0.4,'4 Eingabe Friseure'!$CD32*'4 Eingabe Friseure'!CN32,"")</f>
        <v/>
      </c>
      <c r="AJ62" s="1587" t="str">
        <f>IF('4 Eingabe Friseure'!CO32&gt;0.4,'4 Eingabe Friseure'!$CD32*'4 Eingabe Friseure'!CO32,"")</f>
        <v/>
      </c>
      <c r="AK62" s="1587" t="str">
        <f>IF('4 Eingabe Friseure'!CP32&gt;0.4,'4 Eingabe Friseure'!$CD32*'4 Eingabe Friseure'!CP32,"")</f>
        <v/>
      </c>
      <c r="AL62" s="920" t="str">
        <f>'4 Eingabe Friseure'!BG32</f>
        <v/>
      </c>
      <c r="AM62" s="1588" t="str">
        <f>A74</f>
        <v/>
      </c>
      <c r="AN62" s="1587" t="str">
        <f ca="1">IF(D74="","",MAX(F74:Q74))</f>
        <v/>
      </c>
      <c r="AO62" s="1587" t="str">
        <f>X74</f>
        <v/>
      </c>
      <c r="AP62" s="1589" t="str">
        <f ca="1">D74</f>
        <v/>
      </c>
      <c r="AQ62" s="920"/>
      <c r="AR62" s="1592"/>
      <c r="AS62"/>
      <c r="AT62"/>
      <c r="AU62"/>
      <c r="AV62"/>
      <c r="AW62"/>
      <c r="AX62"/>
      <c r="AY62"/>
    </row>
    <row r="63" spans="1:51" ht="30" customHeight="1">
      <c r="A63" s="934" t="str">
        <f>IF(SUM(AA63:AB63)=0,"",A$4)</f>
        <v/>
      </c>
      <c r="B63" s="1687" t="str">
        <f>IF(AA63=0,"",AA63)</f>
        <v/>
      </c>
      <c r="C63" s="1688" t="str">
        <f>IF(AB63=0,"",AB63)</f>
        <v/>
      </c>
      <c r="D63" s="3711" t="str">
        <f>IF(A62="","",$A$1)</f>
        <v/>
      </c>
      <c r="E63" s="3712"/>
      <c r="F63" s="2578"/>
      <c r="G63" s="2578"/>
      <c r="H63" s="2578"/>
      <c r="I63" s="2578"/>
      <c r="J63" s="2578"/>
      <c r="K63" s="2578"/>
      <c r="L63" s="2578"/>
      <c r="M63" s="2578"/>
      <c r="N63" s="2578"/>
      <c r="O63" s="2578"/>
      <c r="P63" s="2578"/>
      <c r="Q63" s="2578"/>
      <c r="R63" s="1221" t="str">
        <f>IF(A62="","",SUM(F63:Q63))</f>
        <v/>
      </c>
      <c r="S63" s="1222" t="str">
        <f>IF(A62="","",IF(R63="","",S$6))</f>
        <v/>
      </c>
      <c r="T63" s="1221" t="str">
        <f>IF(A62="","",(AL62*AC63))</f>
        <v/>
      </c>
      <c r="U63" s="1223" t="str">
        <f>IF(A62="","",IF(T63="","",U$6))</f>
        <v/>
      </c>
      <c r="V63" s="203" t="str">
        <f>IF(A62="","",SUM(V62)*IF(T62/COUNTIF(F62:Q62,"&gt;0")&lt;$X$4,$W$4,$V$4))</f>
        <v/>
      </c>
      <c r="W63" s="204" t="str">
        <f>IF(A62="","",IF(V63="","",W$6))</f>
        <v/>
      </c>
      <c r="X63" s="3715" t="str">
        <f>IF(A62="","",IF(X62="","",X$6))</f>
        <v/>
      </c>
      <c r="Y63" s="920">
        <f t="shared" si="33"/>
        <v>0</v>
      </c>
      <c r="Z63" s="1587"/>
      <c r="AA63" s="1587">
        <f>'4 Eingabe Friseure'!F32</f>
        <v>0</v>
      </c>
      <c r="AB63" s="1587">
        <f>'4 Eingabe Friseure'!G32</f>
        <v>0</v>
      </c>
      <c r="AC63" s="1587">
        <f>'4 Eingabe Friseure'!H32</f>
        <v>0</v>
      </c>
      <c r="AD63" s="1587">
        <f>'4 Eingabe Friseure'!I32</f>
        <v>0</v>
      </c>
      <c r="AE63" s="1587">
        <f>'4 Eingabe Friseure'!J32</f>
        <v>0</v>
      </c>
      <c r="AF63" s="1587"/>
      <c r="AG63" s="1587"/>
      <c r="AH63" s="1587"/>
      <c r="AI63" s="1587"/>
      <c r="AJ63" s="1587"/>
      <c r="AK63" s="1587"/>
      <c r="AL63" s="920"/>
      <c r="AM63" s="1588" t="str">
        <f>A77</f>
        <v/>
      </c>
      <c r="AN63" s="1587" t="str">
        <f ca="1">IF(D77="","",MAX(F77:Q77))</f>
        <v/>
      </c>
      <c r="AO63" s="1587" t="str">
        <f>X77</f>
        <v/>
      </c>
      <c r="AP63" s="1589" t="str">
        <f ca="1">D77</f>
        <v/>
      </c>
      <c r="AQ63" s="920"/>
      <c r="AR63" s="1592"/>
      <c r="AS63"/>
      <c r="AT63"/>
      <c r="AU63"/>
      <c r="AV63"/>
      <c r="AW63"/>
      <c r="AX63"/>
      <c r="AY63"/>
    </row>
    <row r="64" spans="1:51" ht="30" customHeight="1" thickBot="1">
      <c r="A64" s="935" t="str">
        <f>IF(SUM(AD63)=0,"",A$4)</f>
        <v/>
      </c>
      <c r="B64" s="1689"/>
      <c r="C64" s="1690" t="str">
        <f>IF(AD63=0,"",AD63)</f>
        <v/>
      </c>
      <c r="D64" s="3713" t="str">
        <f>IF(C64="","",$A$2)</f>
        <v/>
      </c>
      <c r="E64" s="3714"/>
      <c r="F64" s="2579"/>
      <c r="G64" s="2579"/>
      <c r="H64" s="2579"/>
      <c r="I64" s="2579"/>
      <c r="J64" s="2579"/>
      <c r="K64" s="2579"/>
      <c r="L64" s="2579"/>
      <c r="M64" s="2579"/>
      <c r="N64" s="2579"/>
      <c r="O64" s="2579"/>
      <c r="P64" s="2579"/>
      <c r="Q64" s="2580"/>
      <c r="R64" s="1224" t="str">
        <f>IF(A62="","",SUM(F64:Q64))</f>
        <v/>
      </c>
      <c r="S64" s="1225" t="str">
        <f>IF(A62="","",IF(R64="","",S$7))</f>
        <v/>
      </c>
      <c r="T64" s="1226" t="str">
        <f>IF(A62="","",(AE63*AL62))</f>
        <v/>
      </c>
      <c r="U64" s="1225" t="str">
        <f>IF(A62="","",IF(T64="","",U$7))</f>
        <v/>
      </c>
      <c r="V64" s="201" t="str">
        <f>IF(A62="","",SUM(V62:V63,R64,T64))</f>
        <v/>
      </c>
      <c r="W64" s="959" t="str">
        <f>IF(D63="","",IF(V64="","",W$7))</f>
        <v/>
      </c>
      <c r="X64" s="3716"/>
      <c r="Y64" s="920">
        <f t="shared" si="33"/>
        <v>0</v>
      </c>
      <c r="Z64" s="1587"/>
      <c r="AA64" s="1587"/>
      <c r="AB64" s="1587"/>
      <c r="AC64" s="1587"/>
      <c r="AD64" s="1587"/>
      <c r="AE64" s="1587"/>
      <c r="AF64" s="1587"/>
      <c r="AG64" s="1587"/>
      <c r="AH64" s="1587"/>
      <c r="AI64" s="1587"/>
      <c r="AJ64" s="1587"/>
      <c r="AK64" s="1587"/>
      <c r="AL64" s="920"/>
      <c r="AM64" s="1588" t="str">
        <f>A80</f>
        <v/>
      </c>
      <c r="AN64" s="1587" t="str">
        <f ca="1">IF(D80="","",MAX(F80:Q80))</f>
        <v/>
      </c>
      <c r="AO64" s="1587" t="str">
        <f>X80</f>
        <v/>
      </c>
      <c r="AP64" s="1589" t="str">
        <f ca="1">D80</f>
        <v/>
      </c>
      <c r="AQ64" s="920"/>
      <c r="AR64" s="1592"/>
      <c r="AS64"/>
      <c r="AT64"/>
      <c r="AU64"/>
      <c r="AV64"/>
      <c r="AW64"/>
      <c r="AX64"/>
      <c r="AY64"/>
    </row>
    <row r="65" spans="1:51" ht="30" customHeight="1">
      <c r="A65" s="892" t="str">
        <f>IF('4 Eingabe Friseure'!A33="","",'4 Eingabe Friseure'!A33)</f>
        <v/>
      </c>
      <c r="B65" s="936" t="str">
        <f>IF(B66="","",AA$7)</f>
        <v/>
      </c>
      <c r="C65" s="936" t="str">
        <f>IF(C66="","",AB$7)</f>
        <v/>
      </c>
      <c r="D65" s="893" t="str">
        <f ca="1">IF('1 Erklärung'!AA2="","",'4 Eingabe Friseure'!CD33)</f>
        <v/>
      </c>
      <c r="E65" s="893"/>
      <c r="F65" s="3234" t="str">
        <f t="shared" ref="F65:Q65" si="36">IF(SUM(F66,F67)=0,Z65,SUM(F66,F67,Z65))</f>
        <v/>
      </c>
      <c r="G65" s="3234" t="str">
        <f t="shared" si="36"/>
        <v/>
      </c>
      <c r="H65" s="3234" t="str">
        <f t="shared" si="36"/>
        <v/>
      </c>
      <c r="I65" s="3234" t="str">
        <f t="shared" si="36"/>
        <v/>
      </c>
      <c r="J65" s="3234" t="str">
        <f t="shared" si="36"/>
        <v/>
      </c>
      <c r="K65" s="3234" t="str">
        <f t="shared" si="36"/>
        <v/>
      </c>
      <c r="L65" s="3234" t="str">
        <f t="shared" si="36"/>
        <v/>
      </c>
      <c r="M65" s="3234" t="str">
        <f t="shared" si="36"/>
        <v/>
      </c>
      <c r="N65" s="3234" t="str">
        <f t="shared" si="36"/>
        <v/>
      </c>
      <c r="O65" s="3234" t="str">
        <f t="shared" si="36"/>
        <v/>
      </c>
      <c r="P65" s="3234" t="str">
        <f t="shared" si="36"/>
        <v/>
      </c>
      <c r="Q65" s="3234" t="str">
        <f t="shared" si="36"/>
        <v/>
      </c>
      <c r="R65" s="894" t="str">
        <f ca="1">IF('1 Erklärung'!AA$2="","",IF(A65="","",SUM(F65:Q65)))</f>
        <v/>
      </c>
      <c r="S65" s="205"/>
      <c r="T65" s="1269" t="str">
        <f>IF(A65="","",SUM(R65,-R67,-R66))</f>
        <v/>
      </c>
      <c r="U65" s="1228" t="str">
        <f>IF(A65="","",IF(T65="","",U$5))</f>
        <v/>
      </c>
      <c r="V65" s="1227" t="str">
        <f>IF(A65="","",SUM(T65,R66,T66))</f>
        <v/>
      </c>
      <c r="W65" s="1229" t="str">
        <f>IF(A65="","",IF(V65="","",W$5))</f>
        <v/>
      </c>
      <c r="X65" s="206" t="str">
        <f>IF(A65="","",R65/AL65)</f>
        <v/>
      </c>
      <c r="Y65" s="920"/>
      <c r="Z65" s="1587" t="str">
        <f>IF('4 Eingabe Friseure'!CE33&gt;0.4,'4 Eingabe Friseure'!$CD33*'4 Eingabe Friseure'!CE33,"")</f>
        <v/>
      </c>
      <c r="AA65" s="1587" t="str">
        <f>IF('4 Eingabe Friseure'!CF33&gt;0.4,'4 Eingabe Friseure'!$CD33*'4 Eingabe Friseure'!CF33,"")</f>
        <v/>
      </c>
      <c r="AB65" s="1587" t="str">
        <f>IF('4 Eingabe Friseure'!CG33&gt;0.4,'4 Eingabe Friseure'!$CD33*'4 Eingabe Friseure'!CG33,"")</f>
        <v/>
      </c>
      <c r="AC65" s="1587" t="str">
        <f>IF('4 Eingabe Friseure'!CH33&gt;0.4,'4 Eingabe Friseure'!$CD33*'4 Eingabe Friseure'!CH33,"")</f>
        <v/>
      </c>
      <c r="AD65" s="1587" t="str">
        <f>IF('4 Eingabe Friseure'!CI33&gt;0.4,'4 Eingabe Friseure'!$CD33*'4 Eingabe Friseure'!CI33,"")</f>
        <v/>
      </c>
      <c r="AE65" s="1587" t="str">
        <f>IF('4 Eingabe Friseure'!CJ33&gt;0.4,'4 Eingabe Friseure'!$CD33*'4 Eingabe Friseure'!CJ33,"")</f>
        <v/>
      </c>
      <c r="AF65" s="1587" t="str">
        <f>IF('4 Eingabe Friseure'!CK33&gt;0.4,'4 Eingabe Friseure'!$CD33*'4 Eingabe Friseure'!CK33,"")</f>
        <v/>
      </c>
      <c r="AG65" s="1587" t="str">
        <f>IF('4 Eingabe Friseure'!CL33&gt;0.4,'4 Eingabe Friseure'!$CD33*'4 Eingabe Friseure'!CL33,"")</f>
        <v/>
      </c>
      <c r="AH65" s="1587" t="str">
        <f>IF('4 Eingabe Friseure'!CM33&gt;0.4,'4 Eingabe Friseure'!$CD33*'4 Eingabe Friseure'!CM33,"")</f>
        <v/>
      </c>
      <c r="AI65" s="1587" t="str">
        <f>IF('4 Eingabe Friseure'!CN33&gt;0.4,'4 Eingabe Friseure'!$CD33*'4 Eingabe Friseure'!CN33,"")</f>
        <v/>
      </c>
      <c r="AJ65" s="1587" t="str">
        <f>IF('4 Eingabe Friseure'!CO33&gt;0.4,'4 Eingabe Friseure'!$CD33*'4 Eingabe Friseure'!CO33,"")</f>
        <v/>
      </c>
      <c r="AK65" s="1587" t="str">
        <f>IF('4 Eingabe Friseure'!CP33&gt;0.4,'4 Eingabe Friseure'!$CD33*'4 Eingabe Friseure'!CP33,"")</f>
        <v/>
      </c>
      <c r="AL65" s="920" t="str">
        <f>'4 Eingabe Friseure'!BG33</f>
        <v/>
      </c>
      <c r="AM65" s="1588" t="str">
        <f>A83</f>
        <v/>
      </c>
      <c r="AN65" s="1587" t="str">
        <f ca="1">IF(D83="","",MAX(F83:Q83))</f>
        <v/>
      </c>
      <c r="AO65" s="1587" t="str">
        <f>X83</f>
        <v/>
      </c>
      <c r="AP65" s="1589" t="str">
        <f ca="1">D83</f>
        <v/>
      </c>
      <c r="AQ65" s="920"/>
      <c r="AR65" s="1592"/>
      <c r="AS65"/>
      <c r="AT65"/>
      <c r="AU65"/>
      <c r="AV65"/>
      <c r="AW65"/>
      <c r="AX65"/>
      <c r="AY65"/>
    </row>
    <row r="66" spans="1:51" ht="30" customHeight="1">
      <c r="A66" s="934" t="str">
        <f>IF(SUM(AA66:AB66)=0,"",A$4)</f>
        <v/>
      </c>
      <c r="B66" s="1687" t="str">
        <f>IF(AA66=0,"",AA66)</f>
        <v/>
      </c>
      <c r="C66" s="1688" t="str">
        <f>IF(AB66=0,"",AB66)</f>
        <v/>
      </c>
      <c r="D66" s="3711" t="str">
        <f>IF(A65="","",$A$1)</f>
        <v/>
      </c>
      <c r="E66" s="3712"/>
      <c r="F66" s="2578"/>
      <c r="G66" s="2578"/>
      <c r="H66" s="2578"/>
      <c r="I66" s="2578"/>
      <c r="J66" s="2578"/>
      <c r="K66" s="2578"/>
      <c r="L66" s="2578"/>
      <c r="M66" s="2578"/>
      <c r="N66" s="2578"/>
      <c r="O66" s="2578"/>
      <c r="P66" s="2578"/>
      <c r="Q66" s="2578"/>
      <c r="R66" s="1221" t="str">
        <f>IF(A65="","",SUM(F66:Q66))</f>
        <v/>
      </c>
      <c r="S66" s="1222" t="str">
        <f>IF(A65="","",IF(R66="","",S$6))</f>
        <v/>
      </c>
      <c r="T66" s="1221" t="str">
        <f>IF(A65="","",(AL65*AC66))</f>
        <v/>
      </c>
      <c r="U66" s="1223" t="str">
        <f>IF(A65="","",IF(T66="","",U$6))</f>
        <v/>
      </c>
      <c r="V66" s="203" t="str">
        <f>IF(A65="","",SUM(V65)*IF(T65/COUNTIF(F65:Q65,"&gt;0")&lt;$X$4,$W$4,$V$4))</f>
        <v/>
      </c>
      <c r="W66" s="204" t="str">
        <f>IF(A65="","",IF(V66="","",W$6))</f>
        <v/>
      </c>
      <c r="X66" s="3715" t="str">
        <f>IF(A65="","",IF(X65="","",X$6))</f>
        <v/>
      </c>
      <c r="Y66" s="920">
        <f t="shared" si="33"/>
        <v>0</v>
      </c>
      <c r="Z66" s="1587"/>
      <c r="AA66" s="1587">
        <f>'4 Eingabe Friseure'!F33</f>
        <v>0</v>
      </c>
      <c r="AB66" s="1587">
        <f>'4 Eingabe Friseure'!G33</f>
        <v>0</v>
      </c>
      <c r="AC66" s="1587">
        <f>'4 Eingabe Friseure'!H33</f>
        <v>0</v>
      </c>
      <c r="AD66" s="1587">
        <f>'4 Eingabe Friseure'!I33</f>
        <v>0</v>
      </c>
      <c r="AE66" s="1587">
        <f>'4 Eingabe Friseure'!J33</f>
        <v>0</v>
      </c>
      <c r="AF66" s="1587"/>
      <c r="AG66" s="1587"/>
      <c r="AH66" s="1587"/>
      <c r="AI66" s="1587"/>
      <c r="AJ66" s="1587"/>
      <c r="AK66" s="1587"/>
      <c r="AL66" s="920"/>
      <c r="AM66" s="1588" t="str">
        <f>A86</f>
        <v/>
      </c>
      <c r="AN66" s="1587" t="str">
        <f ca="1">IF(D86="","",MAX(F86:Q86))</f>
        <v/>
      </c>
      <c r="AO66" s="1587" t="str">
        <f>X86</f>
        <v/>
      </c>
      <c r="AP66" s="1589" t="str">
        <f ca="1">D86</f>
        <v/>
      </c>
      <c r="AQ66" s="920"/>
      <c r="AR66" s="1592"/>
      <c r="AS66"/>
      <c r="AT66"/>
      <c r="AU66"/>
      <c r="AV66"/>
      <c r="AW66"/>
      <c r="AX66"/>
      <c r="AY66"/>
    </row>
    <row r="67" spans="1:51" ht="30" customHeight="1" thickBot="1">
      <c r="A67" s="935" t="str">
        <f>IF(SUM(AD66)=0,"",A$4)</f>
        <v/>
      </c>
      <c r="B67" s="1689"/>
      <c r="C67" s="1690" t="str">
        <f>IF(AD66=0,"",AD66)</f>
        <v/>
      </c>
      <c r="D67" s="3713" t="str">
        <f>IF(C67="","",$A$2)</f>
        <v/>
      </c>
      <c r="E67" s="3714"/>
      <c r="F67" s="2579"/>
      <c r="G67" s="2579"/>
      <c r="H67" s="2579"/>
      <c r="I67" s="2579"/>
      <c r="J67" s="2579"/>
      <c r="K67" s="2579"/>
      <c r="L67" s="2579"/>
      <c r="M67" s="2579"/>
      <c r="N67" s="2579"/>
      <c r="O67" s="2579"/>
      <c r="P67" s="2579"/>
      <c r="Q67" s="2580"/>
      <c r="R67" s="1224" t="str">
        <f>IF(A65="","",SUM(F67:Q67))</f>
        <v/>
      </c>
      <c r="S67" s="1225" t="str">
        <f>IF(A65="","",IF(R67="","",S$7))</f>
        <v/>
      </c>
      <c r="T67" s="1226" t="str">
        <f>IF(A65="","",(AE66*AL65))</f>
        <v/>
      </c>
      <c r="U67" s="1225" t="str">
        <f>IF(A65="","",IF(T67="","",U$7))</f>
        <v/>
      </c>
      <c r="V67" s="201" t="str">
        <f>IF(A65="","",SUM(V65:V66,R67,T67))</f>
        <v/>
      </c>
      <c r="W67" s="959" t="str">
        <f>IF(D66="","",IF(V67="","",W$7))</f>
        <v/>
      </c>
      <c r="X67" s="3716"/>
      <c r="Y67" s="920">
        <f t="shared" si="33"/>
        <v>0</v>
      </c>
      <c r="Z67" s="1587"/>
      <c r="AA67" s="1587"/>
      <c r="AB67" s="1587"/>
      <c r="AC67" s="1587"/>
      <c r="AD67" s="1587"/>
      <c r="AE67" s="1587"/>
      <c r="AF67" s="1587"/>
      <c r="AG67" s="1587"/>
      <c r="AH67" s="1587"/>
      <c r="AI67" s="1587"/>
      <c r="AJ67" s="1587"/>
      <c r="AK67" s="1587"/>
      <c r="AL67" s="920"/>
      <c r="AM67" s="1588" t="str">
        <f>A89</f>
        <v/>
      </c>
      <c r="AN67" s="1587" t="str">
        <f ca="1">IF(D89="","",MAX(F89:Q89))</f>
        <v/>
      </c>
      <c r="AO67" s="1587" t="str">
        <f>X89</f>
        <v/>
      </c>
      <c r="AP67" s="1589" t="str">
        <f ca="1">D89</f>
        <v/>
      </c>
      <c r="AQ67" s="920"/>
      <c r="AR67" s="1592"/>
      <c r="AS67"/>
      <c r="AT67"/>
      <c r="AU67"/>
      <c r="AV67"/>
      <c r="AW67"/>
      <c r="AX67"/>
      <c r="AY67"/>
    </row>
    <row r="68" spans="1:51" ht="30" customHeight="1">
      <c r="A68" s="892" t="str">
        <f>IF('4 Eingabe Friseure'!A34="","",'4 Eingabe Friseure'!A34)</f>
        <v/>
      </c>
      <c r="B68" s="936" t="str">
        <f>IF(B69="","",AA$7)</f>
        <v/>
      </c>
      <c r="C68" s="936" t="str">
        <f>IF(C69="","",AB$7)</f>
        <v/>
      </c>
      <c r="D68" s="893" t="str">
        <f ca="1">IF('1 Erklärung'!AA2="","",'4 Eingabe Friseure'!CD34)</f>
        <v/>
      </c>
      <c r="E68" s="893"/>
      <c r="F68" s="3234" t="str">
        <f t="shared" ref="F68:Q68" si="37">IF(SUM(F69,F70)=0,Z68,SUM(F69,F70,Z68))</f>
        <v/>
      </c>
      <c r="G68" s="3234" t="str">
        <f t="shared" si="37"/>
        <v/>
      </c>
      <c r="H68" s="3234" t="str">
        <f t="shared" si="37"/>
        <v/>
      </c>
      <c r="I68" s="3234" t="str">
        <f t="shared" si="37"/>
        <v/>
      </c>
      <c r="J68" s="3234" t="str">
        <f t="shared" si="37"/>
        <v/>
      </c>
      <c r="K68" s="3234" t="str">
        <f t="shared" si="37"/>
        <v/>
      </c>
      <c r="L68" s="3234" t="str">
        <f t="shared" si="37"/>
        <v/>
      </c>
      <c r="M68" s="3234" t="str">
        <f t="shared" si="37"/>
        <v/>
      </c>
      <c r="N68" s="3234" t="str">
        <f t="shared" si="37"/>
        <v/>
      </c>
      <c r="O68" s="3234" t="str">
        <f t="shared" si="37"/>
        <v/>
      </c>
      <c r="P68" s="3234" t="str">
        <f t="shared" si="37"/>
        <v/>
      </c>
      <c r="Q68" s="3234" t="str">
        <f t="shared" si="37"/>
        <v/>
      </c>
      <c r="R68" s="894" t="str">
        <f ca="1">IF('1 Erklärung'!AA$2="","",IF(A68="","",SUM(F68:Q68)))</f>
        <v/>
      </c>
      <c r="S68" s="205"/>
      <c r="T68" s="1269" t="str">
        <f>IF(A68="","",SUM(R68,-R70,-R69))</f>
        <v/>
      </c>
      <c r="U68" s="1228" t="str">
        <f>IF(A68="","",IF(T68="","",U$5))</f>
        <v/>
      </c>
      <c r="V68" s="1227" t="str">
        <f>IF(A68="","",SUM(T68,R69,T69))</f>
        <v/>
      </c>
      <c r="W68" s="1229" t="str">
        <f>IF(A68="","",IF(V68="","",W$5))</f>
        <v/>
      </c>
      <c r="X68" s="206" t="str">
        <f>IF(A68="","",R68/AL68)</f>
        <v/>
      </c>
      <c r="Y68" s="920"/>
      <c r="Z68" s="1587" t="str">
        <f>IF('4 Eingabe Friseure'!CE34&gt;0.4,'4 Eingabe Friseure'!$CD34*'4 Eingabe Friseure'!CE34,"")</f>
        <v/>
      </c>
      <c r="AA68" s="1587" t="str">
        <f>IF('4 Eingabe Friseure'!CF34&gt;0.4,'4 Eingabe Friseure'!$CD34*'4 Eingabe Friseure'!CF34,"")</f>
        <v/>
      </c>
      <c r="AB68" s="1587" t="str">
        <f>IF('4 Eingabe Friseure'!CG34&gt;0.4,'4 Eingabe Friseure'!$CD34*'4 Eingabe Friseure'!CG34,"")</f>
        <v/>
      </c>
      <c r="AC68" s="1587" t="str">
        <f>IF('4 Eingabe Friseure'!CH34&gt;0.4,'4 Eingabe Friseure'!$CD34*'4 Eingabe Friseure'!CH34,"")</f>
        <v/>
      </c>
      <c r="AD68" s="1587" t="str">
        <f>IF('4 Eingabe Friseure'!CI34&gt;0.4,'4 Eingabe Friseure'!$CD34*'4 Eingabe Friseure'!CI34,"")</f>
        <v/>
      </c>
      <c r="AE68" s="1587" t="str">
        <f>IF('4 Eingabe Friseure'!CJ34&gt;0.4,'4 Eingabe Friseure'!$CD34*'4 Eingabe Friseure'!CJ34,"")</f>
        <v/>
      </c>
      <c r="AF68" s="1587" t="str">
        <f>IF('4 Eingabe Friseure'!CK34&gt;0.4,'4 Eingabe Friseure'!$CD34*'4 Eingabe Friseure'!CK34,"")</f>
        <v/>
      </c>
      <c r="AG68" s="1587" t="str">
        <f>IF('4 Eingabe Friseure'!CL34&gt;0.4,'4 Eingabe Friseure'!$CD34*'4 Eingabe Friseure'!CL34,"")</f>
        <v/>
      </c>
      <c r="AH68" s="1587" t="str">
        <f>IF('4 Eingabe Friseure'!CM34&gt;0.4,'4 Eingabe Friseure'!$CD34*'4 Eingabe Friseure'!CM34,"")</f>
        <v/>
      </c>
      <c r="AI68" s="1587" t="str">
        <f>IF('4 Eingabe Friseure'!CN34&gt;0.4,'4 Eingabe Friseure'!$CD34*'4 Eingabe Friseure'!CN34,"")</f>
        <v/>
      </c>
      <c r="AJ68" s="1587" t="str">
        <f>IF('4 Eingabe Friseure'!CO34&gt;0.4,'4 Eingabe Friseure'!$CD34*'4 Eingabe Friseure'!CO34,"")</f>
        <v/>
      </c>
      <c r="AK68" s="1587" t="str">
        <f>IF('4 Eingabe Friseure'!CP34&gt;0.4,'4 Eingabe Friseure'!$CD34*'4 Eingabe Friseure'!CP34,"")</f>
        <v/>
      </c>
      <c r="AL68" s="920" t="str">
        <f>'4 Eingabe Friseure'!BG34</f>
        <v/>
      </c>
      <c r="AM68" s="1588" t="str">
        <f>A92</f>
        <v/>
      </c>
      <c r="AN68" s="1587" t="str">
        <f ca="1">IF(D92="","",MAX(F92:Q92))</f>
        <v/>
      </c>
      <c r="AO68" s="1587" t="str">
        <f>X92</f>
        <v/>
      </c>
      <c r="AP68" s="1589" t="str">
        <f ca="1">D92</f>
        <v/>
      </c>
      <c r="AQ68" s="920"/>
      <c r="AR68" s="1592"/>
      <c r="AS68"/>
      <c r="AT68"/>
      <c r="AU68"/>
      <c r="AV68"/>
      <c r="AW68"/>
      <c r="AX68"/>
      <c r="AY68"/>
    </row>
    <row r="69" spans="1:51" ht="30" customHeight="1">
      <c r="A69" s="934" t="str">
        <f>IF(SUM(AA69:AB69)=0,"",A$4)</f>
        <v/>
      </c>
      <c r="B69" s="1687" t="str">
        <f>IF(AA69=0,"",AA69)</f>
        <v/>
      </c>
      <c r="C69" s="1688" t="str">
        <f>IF(AB69=0,"",AB69)</f>
        <v/>
      </c>
      <c r="D69" s="3711" t="str">
        <f>IF(A68="","",$A$1)</f>
        <v/>
      </c>
      <c r="E69" s="3712"/>
      <c r="F69" s="2578"/>
      <c r="G69" s="2578"/>
      <c r="H69" s="2578"/>
      <c r="I69" s="2578"/>
      <c r="J69" s="2578"/>
      <c r="K69" s="2578"/>
      <c r="L69" s="2578"/>
      <c r="M69" s="2578"/>
      <c r="N69" s="2578"/>
      <c r="O69" s="2578"/>
      <c r="P69" s="2578"/>
      <c r="Q69" s="2578"/>
      <c r="R69" s="1221" t="str">
        <f>IF(A68="","",SUM(F69:Q69))</f>
        <v/>
      </c>
      <c r="S69" s="1222" t="str">
        <f>IF(A68="","",IF(R69="","",S$6))</f>
        <v/>
      </c>
      <c r="T69" s="1221" t="str">
        <f>IF(A68="","",(AL68*AC69))</f>
        <v/>
      </c>
      <c r="U69" s="1223" t="str">
        <f>IF(A68="","",IF(T69="","",U$6))</f>
        <v/>
      </c>
      <c r="V69" s="203" t="str">
        <f>IF(A68="","",SUM(V68)*IF(T68/COUNTIF(F68:Q68,"&gt;0")&lt;$X$4,$W$4,$V$4))</f>
        <v/>
      </c>
      <c r="W69" s="204" t="str">
        <f>IF(A68="","",IF(V69="","",W$6))</f>
        <v/>
      </c>
      <c r="X69" s="3715" t="str">
        <f>IF(A68="","",IF(X68="","",X$6))</f>
        <v/>
      </c>
      <c r="Y69" s="920">
        <f t="shared" si="33"/>
        <v>0</v>
      </c>
      <c r="Z69" s="1587"/>
      <c r="AA69" s="1587">
        <f>'4 Eingabe Friseure'!F34</f>
        <v>0</v>
      </c>
      <c r="AB69" s="1587">
        <f>'4 Eingabe Friseure'!G34</f>
        <v>0</v>
      </c>
      <c r="AC69" s="1587">
        <f>'4 Eingabe Friseure'!H34</f>
        <v>0</v>
      </c>
      <c r="AD69" s="1587">
        <f>'4 Eingabe Friseure'!I34</f>
        <v>0</v>
      </c>
      <c r="AE69" s="1587">
        <f>'4 Eingabe Friseure'!J34</f>
        <v>0</v>
      </c>
      <c r="AF69" s="1587"/>
      <c r="AG69" s="1587"/>
      <c r="AH69" s="1587"/>
      <c r="AI69" s="1587"/>
      <c r="AJ69" s="1587"/>
      <c r="AK69" s="1587"/>
      <c r="AL69" s="920"/>
      <c r="AM69" s="1588" t="str">
        <f>A95</f>
        <v/>
      </c>
      <c r="AN69" s="1587" t="str">
        <f ca="1">IF(D95="","",MAX(F95:Q95))</f>
        <v/>
      </c>
      <c r="AO69" s="1587" t="str">
        <f>X95</f>
        <v/>
      </c>
      <c r="AP69" s="1589" t="str">
        <f ca="1">D95</f>
        <v/>
      </c>
      <c r="AQ69" s="920"/>
      <c r="AR69" s="1592"/>
      <c r="AS69"/>
      <c r="AT69"/>
      <c r="AU69"/>
      <c r="AV69"/>
      <c r="AW69"/>
      <c r="AX69"/>
      <c r="AY69"/>
    </row>
    <row r="70" spans="1:51" ht="30" customHeight="1" thickBot="1">
      <c r="A70" s="935" t="str">
        <f>IF(SUM(AD69)=0,"",A$4)</f>
        <v/>
      </c>
      <c r="B70" s="1689"/>
      <c r="C70" s="1690" t="str">
        <f>IF(AD69=0,"",AD69)</f>
        <v/>
      </c>
      <c r="D70" s="3713" t="str">
        <f>IF(C70="","",$A$2)</f>
        <v/>
      </c>
      <c r="E70" s="3714"/>
      <c r="F70" s="2579"/>
      <c r="G70" s="2579"/>
      <c r="H70" s="2579"/>
      <c r="I70" s="2579"/>
      <c r="J70" s="2579"/>
      <c r="K70" s="2579"/>
      <c r="L70" s="2579"/>
      <c r="M70" s="2579"/>
      <c r="N70" s="2579"/>
      <c r="O70" s="2579"/>
      <c r="P70" s="2579"/>
      <c r="Q70" s="2580"/>
      <c r="R70" s="1224" t="str">
        <f>IF(A68="","",SUM(F70:Q70))</f>
        <v/>
      </c>
      <c r="S70" s="1225" t="str">
        <f>IF(A68="","",IF(R70="","",S$7))</f>
        <v/>
      </c>
      <c r="T70" s="1226" t="str">
        <f>IF(A68="","",(AE69*AL68))</f>
        <v/>
      </c>
      <c r="U70" s="1225" t="str">
        <f>IF(A68="","",IF(T70="","",U$7))</f>
        <v/>
      </c>
      <c r="V70" s="201" t="str">
        <f>IF(A68="","",SUM(V68:V69,R70,T70))</f>
        <v/>
      </c>
      <c r="W70" s="959" t="str">
        <f>IF(D69="","",IF(V70="","",W$7))</f>
        <v/>
      </c>
      <c r="X70" s="3716"/>
      <c r="Y70" s="920">
        <f t="shared" si="33"/>
        <v>0</v>
      </c>
      <c r="Z70" s="1587"/>
      <c r="AA70" s="1587"/>
      <c r="AB70" s="1587"/>
      <c r="AC70" s="1587"/>
      <c r="AD70" s="1587"/>
      <c r="AE70" s="1587"/>
      <c r="AF70" s="1587"/>
      <c r="AG70" s="1587"/>
      <c r="AH70" s="1587"/>
      <c r="AI70" s="1587"/>
      <c r="AJ70" s="1587"/>
      <c r="AK70" s="1587"/>
      <c r="AL70" s="920"/>
      <c r="AM70" s="1588" t="str">
        <f>A98</f>
        <v/>
      </c>
      <c r="AN70" s="1587" t="str">
        <f ca="1">IF(D98="","",MAX(F98:Q98))</f>
        <v/>
      </c>
      <c r="AO70" s="1587" t="str">
        <f>X98</f>
        <v/>
      </c>
      <c r="AP70" s="1589" t="str">
        <f ca="1">D98</f>
        <v/>
      </c>
      <c r="AQ70" s="920"/>
      <c r="AR70" s="1592"/>
      <c r="AS70"/>
      <c r="AT70"/>
      <c r="AU70"/>
      <c r="AV70"/>
      <c r="AW70"/>
      <c r="AX70"/>
      <c r="AY70"/>
    </row>
    <row r="71" spans="1:51" ht="30" customHeight="1">
      <c r="A71" s="892" t="str">
        <f>IF('4 Eingabe Friseure'!A35="","",'4 Eingabe Friseure'!A35)</f>
        <v/>
      </c>
      <c r="B71" s="936" t="str">
        <f>IF(B72="","",AA$7)</f>
        <v/>
      </c>
      <c r="C71" s="936" t="str">
        <f>IF(C72="","",AB$7)</f>
        <v/>
      </c>
      <c r="D71" s="893" t="str">
        <f ca="1">IF('1 Erklärung'!AA2="","",'4 Eingabe Friseure'!CD35)</f>
        <v/>
      </c>
      <c r="E71" s="893"/>
      <c r="F71" s="3234" t="str">
        <f t="shared" ref="F71:Q71" si="38">IF(SUM(F72,F73)=0,Z71,SUM(F72,F73,Z71))</f>
        <v/>
      </c>
      <c r="G71" s="3234" t="str">
        <f t="shared" si="38"/>
        <v/>
      </c>
      <c r="H71" s="3234" t="str">
        <f t="shared" si="38"/>
        <v/>
      </c>
      <c r="I71" s="3234" t="str">
        <f t="shared" si="38"/>
        <v/>
      </c>
      <c r="J71" s="3234" t="str">
        <f t="shared" si="38"/>
        <v/>
      </c>
      <c r="K71" s="3234" t="str">
        <f t="shared" si="38"/>
        <v/>
      </c>
      <c r="L71" s="3234" t="str">
        <f t="shared" si="38"/>
        <v/>
      </c>
      <c r="M71" s="3234" t="str">
        <f t="shared" si="38"/>
        <v/>
      </c>
      <c r="N71" s="3234" t="str">
        <f t="shared" si="38"/>
        <v/>
      </c>
      <c r="O71" s="3234" t="str">
        <f t="shared" si="38"/>
        <v/>
      </c>
      <c r="P71" s="3234" t="str">
        <f t="shared" si="38"/>
        <v/>
      </c>
      <c r="Q71" s="3234" t="str">
        <f t="shared" si="38"/>
        <v/>
      </c>
      <c r="R71" s="894" t="str">
        <f ca="1">IF('1 Erklärung'!AA$2="","",IF(A71="","",SUM(F71:Q71)))</f>
        <v/>
      </c>
      <c r="S71" s="205"/>
      <c r="T71" s="1269" t="str">
        <f>IF(A71="","",SUM(R71,-R73,-R72))</f>
        <v/>
      </c>
      <c r="U71" s="1228" t="str">
        <f>IF(A71="","",IF(T71="","",U$5))</f>
        <v/>
      </c>
      <c r="V71" s="1227" t="str">
        <f>IF(A71="","",SUM(T71,R72,T72))</f>
        <v/>
      </c>
      <c r="W71" s="1229" t="str">
        <f>IF(A71="","",IF(V71="","",W$5))</f>
        <v/>
      </c>
      <c r="X71" s="206" t="str">
        <f>IF(A71="","",R71/AL71)</f>
        <v/>
      </c>
      <c r="Y71" s="920"/>
      <c r="Z71" s="1587" t="str">
        <f>IF('4 Eingabe Friseure'!CE35&gt;0.4,'4 Eingabe Friseure'!$CD35*'4 Eingabe Friseure'!CE35,"")</f>
        <v/>
      </c>
      <c r="AA71" s="1587" t="str">
        <f>IF('4 Eingabe Friseure'!CF35&gt;0.4,'4 Eingabe Friseure'!$CD35*'4 Eingabe Friseure'!CF35,"")</f>
        <v/>
      </c>
      <c r="AB71" s="1587" t="str">
        <f>IF('4 Eingabe Friseure'!CG35&gt;0.4,'4 Eingabe Friseure'!$CD35*'4 Eingabe Friseure'!CG35,"")</f>
        <v/>
      </c>
      <c r="AC71" s="1587" t="str">
        <f>IF('4 Eingabe Friseure'!CH35&gt;0.4,'4 Eingabe Friseure'!$CD35*'4 Eingabe Friseure'!CH35,"")</f>
        <v/>
      </c>
      <c r="AD71" s="1587" t="str">
        <f>IF('4 Eingabe Friseure'!CI35&gt;0.4,'4 Eingabe Friseure'!$CD35*'4 Eingabe Friseure'!CI35,"")</f>
        <v/>
      </c>
      <c r="AE71" s="1587" t="str">
        <f>IF('4 Eingabe Friseure'!CJ35&gt;0.4,'4 Eingabe Friseure'!$CD35*'4 Eingabe Friseure'!CJ35,"")</f>
        <v/>
      </c>
      <c r="AF71" s="1587" t="str">
        <f>IF('4 Eingabe Friseure'!CK35&gt;0.4,'4 Eingabe Friseure'!$CD35*'4 Eingabe Friseure'!CK35,"")</f>
        <v/>
      </c>
      <c r="AG71" s="1587" t="str">
        <f>IF('4 Eingabe Friseure'!CL35&gt;0.4,'4 Eingabe Friseure'!$CD35*'4 Eingabe Friseure'!CL35,"")</f>
        <v/>
      </c>
      <c r="AH71" s="1587" t="str">
        <f>IF('4 Eingabe Friseure'!CM35&gt;0.4,'4 Eingabe Friseure'!$CD35*'4 Eingabe Friseure'!CM35,"")</f>
        <v/>
      </c>
      <c r="AI71" s="1587" t="str">
        <f>IF('4 Eingabe Friseure'!CN35&gt;0.4,'4 Eingabe Friseure'!$CD35*'4 Eingabe Friseure'!CN35,"")</f>
        <v/>
      </c>
      <c r="AJ71" s="1587" t="str">
        <f>IF('4 Eingabe Friseure'!CO35&gt;0.4,'4 Eingabe Friseure'!$CD35*'4 Eingabe Friseure'!CO35,"")</f>
        <v/>
      </c>
      <c r="AK71" s="1587" t="str">
        <f>IF('4 Eingabe Friseure'!CP35&gt;0.4,'4 Eingabe Friseure'!$CD35*'4 Eingabe Friseure'!CP35,"")</f>
        <v/>
      </c>
      <c r="AL71" s="920" t="str">
        <f>'4 Eingabe Friseure'!BG35</f>
        <v/>
      </c>
      <c r="AM71" s="1588" t="str">
        <f>A101</f>
        <v/>
      </c>
      <c r="AN71" s="1587" t="str">
        <f ca="1">IF(D101="","",MAX(F101:Q101))</f>
        <v/>
      </c>
      <c r="AO71" s="1587" t="str">
        <f>X101</f>
        <v/>
      </c>
      <c r="AP71" s="1589" t="str">
        <f ca="1">D101</f>
        <v/>
      </c>
      <c r="AQ71" s="920"/>
      <c r="AR71" s="1592"/>
      <c r="AS71"/>
      <c r="AT71"/>
      <c r="AU71"/>
      <c r="AV71"/>
      <c r="AW71"/>
      <c r="AX71"/>
      <c r="AY71"/>
    </row>
    <row r="72" spans="1:51" ht="30" customHeight="1">
      <c r="A72" s="934" t="str">
        <f>IF(SUM(AA72:AB72)=0,"",A$6)</f>
        <v/>
      </c>
      <c r="B72" s="1687" t="str">
        <f>IF(AA72=0,"",AA72)</f>
        <v/>
      </c>
      <c r="C72" s="1688" t="str">
        <f>IF(AB72=0,"",AB72)</f>
        <v/>
      </c>
      <c r="D72" s="3711" t="str">
        <f>IF(A71="","",$A$1)</f>
        <v/>
      </c>
      <c r="E72" s="3712"/>
      <c r="F72" s="2578"/>
      <c r="G72" s="2578"/>
      <c r="H72" s="2578"/>
      <c r="I72" s="2578"/>
      <c r="J72" s="2578"/>
      <c r="K72" s="2578"/>
      <c r="L72" s="2578"/>
      <c r="M72" s="2578"/>
      <c r="N72" s="2578"/>
      <c r="O72" s="2578"/>
      <c r="P72" s="2578"/>
      <c r="Q72" s="2578"/>
      <c r="R72" s="1221" t="str">
        <f>IF(A71="","",SUM(F72:Q72))</f>
        <v/>
      </c>
      <c r="S72" s="1222" t="str">
        <f>IF(A71="","",IF(R72="","",S$6))</f>
        <v/>
      </c>
      <c r="T72" s="1221" t="str">
        <f>IF(A71="","",(AL71*AC72))</f>
        <v/>
      </c>
      <c r="U72" s="1223" t="str">
        <f>IF(A71="","",IF(T72="","",U$6))</f>
        <v/>
      </c>
      <c r="V72" s="203" t="str">
        <f>IF(A71="","",SUM(V71)*IF(T71/COUNTIF(F71:Q71,"&gt;0")&lt;$X$4,$W$4,$V$4))</f>
        <v/>
      </c>
      <c r="W72" s="204" t="str">
        <f>IF(A71="","",IF(V72="","",W$6))</f>
        <v/>
      </c>
      <c r="X72" s="3715" t="str">
        <f>IF(A71="","",IF(X71="","",X$6))</f>
        <v/>
      </c>
      <c r="Y72" s="920">
        <f t="shared" si="33"/>
        <v>0</v>
      </c>
      <c r="Z72" s="1587"/>
      <c r="AA72" s="1587">
        <f>'4 Eingabe Friseure'!F35</f>
        <v>0</v>
      </c>
      <c r="AB72" s="1587">
        <f>'4 Eingabe Friseure'!G35</f>
        <v>0</v>
      </c>
      <c r="AC72" s="1587">
        <f>'4 Eingabe Friseure'!H35</f>
        <v>0</v>
      </c>
      <c r="AD72" s="1587">
        <f>'4 Eingabe Friseure'!I35</f>
        <v>0</v>
      </c>
      <c r="AE72" s="1587">
        <f>'4 Eingabe Friseure'!J35</f>
        <v>0</v>
      </c>
      <c r="AF72" s="1587"/>
      <c r="AG72" s="1587"/>
      <c r="AH72" s="1587"/>
      <c r="AI72" s="1587"/>
      <c r="AJ72" s="1587"/>
      <c r="AK72" s="1587"/>
      <c r="AL72" s="920"/>
      <c r="AM72" s="920"/>
      <c r="AN72" s="920"/>
      <c r="AO72" s="920"/>
      <c r="AP72" s="920"/>
      <c r="AQ72" s="920"/>
      <c r="AR72" s="1592"/>
      <c r="AS72"/>
      <c r="AT72"/>
      <c r="AU72"/>
      <c r="AV72"/>
      <c r="AW72"/>
      <c r="AX72"/>
      <c r="AY72"/>
    </row>
    <row r="73" spans="1:51" ht="30" customHeight="1" thickBot="1">
      <c r="A73" s="935" t="str">
        <f>IF(SUM(AD72)=0,"",A$7)</f>
        <v/>
      </c>
      <c r="B73" s="1689"/>
      <c r="C73" s="1690" t="str">
        <f>IF(AD72=0,"",AD72)</f>
        <v/>
      </c>
      <c r="D73" s="3713" t="str">
        <f>IF(C73="","",$A$2)</f>
        <v/>
      </c>
      <c r="E73" s="3714"/>
      <c r="F73" s="2579"/>
      <c r="G73" s="2579"/>
      <c r="H73" s="2579"/>
      <c r="I73" s="2579"/>
      <c r="J73" s="2579"/>
      <c r="K73" s="2579"/>
      <c r="L73" s="2579"/>
      <c r="M73" s="2579"/>
      <c r="N73" s="2579"/>
      <c r="O73" s="2579"/>
      <c r="P73" s="2579"/>
      <c r="Q73" s="2580"/>
      <c r="R73" s="1224" t="str">
        <f>IF(A71="","",SUM(F73:Q73))</f>
        <v/>
      </c>
      <c r="S73" s="1225" t="str">
        <f>IF(A71="","",IF(R73="","",S$7))</f>
        <v/>
      </c>
      <c r="T73" s="1226" t="str">
        <f>IF(A71="","",(AE72*AL71))</f>
        <v/>
      </c>
      <c r="U73" s="1225" t="str">
        <f>IF(A71="","",IF(T73="","",U$7))</f>
        <v/>
      </c>
      <c r="V73" s="201" t="str">
        <f>IF(A71="","",SUM(V71:V72,R73,T73))</f>
        <v/>
      </c>
      <c r="W73" s="959" t="str">
        <f>IF(D72="","",IF(V73="","",W$7))</f>
        <v/>
      </c>
      <c r="X73" s="3716"/>
      <c r="Y73" s="920">
        <f t="shared" si="33"/>
        <v>0</v>
      </c>
      <c r="Z73" s="1587"/>
      <c r="AA73" s="1587"/>
      <c r="AB73" s="1587"/>
      <c r="AC73" s="1587"/>
      <c r="AD73" s="1587"/>
      <c r="AE73" s="1587"/>
      <c r="AF73" s="1587"/>
      <c r="AG73" s="1587"/>
      <c r="AH73" s="1587"/>
      <c r="AI73" s="1587"/>
      <c r="AJ73" s="1587"/>
      <c r="AK73" s="1587"/>
      <c r="AL73" s="920"/>
      <c r="AM73" s="920"/>
      <c r="AN73" s="920"/>
      <c r="AO73" s="920"/>
      <c r="AP73" s="920"/>
      <c r="AQ73" s="920"/>
      <c r="AR73" s="1592"/>
      <c r="AS73"/>
      <c r="AT73"/>
      <c r="AU73"/>
      <c r="AV73"/>
      <c r="AW73"/>
      <c r="AX73"/>
      <c r="AY73"/>
    </row>
    <row r="74" spans="1:51" ht="30" customHeight="1">
      <c r="A74" s="892" t="str">
        <f>IF('4 Eingabe Friseure'!A36="","",'4 Eingabe Friseure'!A36)</f>
        <v/>
      </c>
      <c r="B74" s="936" t="str">
        <f>IF(B75="","",AA$7)</f>
        <v/>
      </c>
      <c r="C74" s="936" t="str">
        <f>IF(C75="","",AB$7)</f>
        <v/>
      </c>
      <c r="D74" s="893" t="str">
        <f ca="1">IF('1 Erklärung'!AA2="","",'4 Eingabe Friseure'!CD36)</f>
        <v/>
      </c>
      <c r="E74" s="893"/>
      <c r="F74" s="3234" t="str">
        <f t="shared" ref="F74:Q74" si="39">IF(SUM(F75,F76)=0,Z74,SUM(F75,F76,Z74))</f>
        <v/>
      </c>
      <c r="G74" s="3234" t="str">
        <f t="shared" si="39"/>
        <v/>
      </c>
      <c r="H74" s="3234" t="str">
        <f t="shared" si="39"/>
        <v/>
      </c>
      <c r="I74" s="3234" t="str">
        <f t="shared" si="39"/>
        <v/>
      </c>
      <c r="J74" s="3234" t="str">
        <f t="shared" si="39"/>
        <v/>
      </c>
      <c r="K74" s="3234" t="str">
        <f t="shared" si="39"/>
        <v/>
      </c>
      <c r="L74" s="3234" t="str">
        <f t="shared" si="39"/>
        <v/>
      </c>
      <c r="M74" s="3234" t="str">
        <f t="shared" si="39"/>
        <v/>
      </c>
      <c r="N74" s="3234" t="str">
        <f t="shared" si="39"/>
        <v/>
      </c>
      <c r="O74" s="3234" t="str">
        <f t="shared" si="39"/>
        <v/>
      </c>
      <c r="P74" s="3234" t="str">
        <f t="shared" si="39"/>
        <v/>
      </c>
      <c r="Q74" s="3234" t="str">
        <f t="shared" si="39"/>
        <v/>
      </c>
      <c r="R74" s="894" t="str">
        <f ca="1">IF('1 Erklärung'!AA$2="","",IF(A74="","",SUM(F74:Q74)))</f>
        <v/>
      </c>
      <c r="S74" s="205"/>
      <c r="T74" s="1269" t="str">
        <f>IF(A74="","",SUM(R74,-R76,-R75))</f>
        <v/>
      </c>
      <c r="U74" s="1228" t="str">
        <f>IF(A74="","",IF(T74="","",U$5))</f>
        <v/>
      </c>
      <c r="V74" s="1227" t="str">
        <f>IF(A74="","",SUM(T74,R75,T75))</f>
        <v/>
      </c>
      <c r="W74" s="1229" t="str">
        <f>IF(A74="","",IF(V74="","",W$5))</f>
        <v/>
      </c>
      <c r="X74" s="206" t="str">
        <f>IF(A74="","",R74/AL74)</f>
        <v/>
      </c>
      <c r="Y74" s="920"/>
      <c r="Z74" s="1587" t="str">
        <f>IF('4 Eingabe Friseure'!CE36&gt;0.4,'4 Eingabe Friseure'!$CD36*'4 Eingabe Friseure'!CE36,"")</f>
        <v/>
      </c>
      <c r="AA74" s="1587" t="str">
        <f>IF('4 Eingabe Friseure'!CF36&gt;0.4,'4 Eingabe Friseure'!$CD36*'4 Eingabe Friseure'!CF36,"")</f>
        <v/>
      </c>
      <c r="AB74" s="1587" t="str">
        <f>IF('4 Eingabe Friseure'!CG36&gt;0.4,'4 Eingabe Friseure'!$CD36*'4 Eingabe Friseure'!CG36,"")</f>
        <v/>
      </c>
      <c r="AC74" s="1587" t="str">
        <f>IF('4 Eingabe Friseure'!CH36&gt;0.4,'4 Eingabe Friseure'!$CD36*'4 Eingabe Friseure'!CH36,"")</f>
        <v/>
      </c>
      <c r="AD74" s="1587" t="str">
        <f>IF('4 Eingabe Friseure'!CI36&gt;0.4,'4 Eingabe Friseure'!$CD36*'4 Eingabe Friseure'!CI36,"")</f>
        <v/>
      </c>
      <c r="AE74" s="1587" t="str">
        <f>IF('4 Eingabe Friseure'!CJ36&gt;0.4,'4 Eingabe Friseure'!$CD36*'4 Eingabe Friseure'!CJ36,"")</f>
        <v/>
      </c>
      <c r="AF74" s="1587" t="str">
        <f>IF('4 Eingabe Friseure'!CK36&gt;0.4,'4 Eingabe Friseure'!$CD36*'4 Eingabe Friseure'!CK36,"")</f>
        <v/>
      </c>
      <c r="AG74" s="1587" t="str">
        <f>IF('4 Eingabe Friseure'!CL36&gt;0.4,'4 Eingabe Friseure'!$CD36*'4 Eingabe Friseure'!CL36,"")</f>
        <v/>
      </c>
      <c r="AH74" s="1587" t="str">
        <f>IF('4 Eingabe Friseure'!CM36&gt;0.4,'4 Eingabe Friseure'!$CD36*'4 Eingabe Friseure'!CM36,"")</f>
        <v/>
      </c>
      <c r="AI74" s="1587" t="str">
        <f>IF('4 Eingabe Friseure'!CN36&gt;0.4,'4 Eingabe Friseure'!$CD36*'4 Eingabe Friseure'!CN36,"")</f>
        <v/>
      </c>
      <c r="AJ74" s="1587" t="str">
        <f>IF('4 Eingabe Friseure'!CO36&gt;0.4,'4 Eingabe Friseure'!$CD36*'4 Eingabe Friseure'!CO36,"")</f>
        <v/>
      </c>
      <c r="AK74" s="1587" t="str">
        <f>IF('4 Eingabe Friseure'!CP36&gt;0.4,'4 Eingabe Friseure'!$CD36*'4 Eingabe Friseure'!CP36,"")</f>
        <v/>
      </c>
      <c r="AL74" s="920" t="str">
        <f>'4 Eingabe Friseure'!BG36</f>
        <v/>
      </c>
      <c r="AM74" s="920"/>
      <c r="AN74" s="920"/>
      <c r="AO74" s="920"/>
      <c r="AP74" s="920"/>
      <c r="AQ74" s="920"/>
      <c r="AR74" s="1592"/>
      <c r="AS74"/>
      <c r="AT74"/>
      <c r="AU74"/>
      <c r="AV74"/>
      <c r="AW74"/>
      <c r="AX74"/>
      <c r="AY74"/>
    </row>
    <row r="75" spans="1:51" ht="30" customHeight="1">
      <c r="A75" s="934" t="str">
        <f>IF(SUM(AA75:AB75)=0,"",A$6)</f>
        <v/>
      </c>
      <c r="B75" s="1687" t="str">
        <f>IF(AA75=0,"",AA75)</f>
        <v/>
      </c>
      <c r="C75" s="1688" t="str">
        <f>IF(AB75=0,"",AB75)</f>
        <v/>
      </c>
      <c r="D75" s="3711" t="str">
        <f>IF(A74="","",$A$1)</f>
        <v/>
      </c>
      <c r="E75" s="3712"/>
      <c r="F75" s="2578"/>
      <c r="G75" s="2578"/>
      <c r="H75" s="2578"/>
      <c r="I75" s="2578"/>
      <c r="J75" s="2578"/>
      <c r="K75" s="2578"/>
      <c r="L75" s="2578"/>
      <c r="M75" s="2578"/>
      <c r="N75" s="2578"/>
      <c r="O75" s="2578"/>
      <c r="P75" s="2578"/>
      <c r="Q75" s="2578"/>
      <c r="R75" s="1221" t="str">
        <f>IF(A74="","",SUM(F75:Q75))</f>
        <v/>
      </c>
      <c r="S75" s="1222" t="str">
        <f>IF(A74="","",IF(R75="","",S$6))</f>
        <v/>
      </c>
      <c r="T75" s="1221" t="str">
        <f>IF(A74="","",(AL74*AC75))</f>
        <v/>
      </c>
      <c r="U75" s="1223" t="str">
        <f>IF(A74="","",IF(T75="","",U$6))</f>
        <v/>
      </c>
      <c r="V75" s="203" t="str">
        <f>IF(A74="","",SUM(V74)*IF(T74/COUNTIF(F74:Q74,"&gt;0")&lt;$X$4,$W$4,$V$4))</f>
        <v/>
      </c>
      <c r="W75" s="204" t="str">
        <f>IF(A74="","",IF(V75="","",W$6))</f>
        <v/>
      </c>
      <c r="X75" s="3715" t="str">
        <f>IF(A74="","",IF(X74="","",X$6))</f>
        <v/>
      </c>
      <c r="Y75" s="920">
        <f t="shared" si="33"/>
        <v>0</v>
      </c>
      <c r="Z75" s="1587"/>
      <c r="AA75" s="1587">
        <f>'4 Eingabe Friseure'!F36</f>
        <v>0</v>
      </c>
      <c r="AB75" s="1587">
        <f>'4 Eingabe Friseure'!G36</f>
        <v>0</v>
      </c>
      <c r="AC75" s="1587">
        <f>'4 Eingabe Friseure'!H36</f>
        <v>0</v>
      </c>
      <c r="AD75" s="1587">
        <f>'4 Eingabe Friseure'!I36</f>
        <v>0</v>
      </c>
      <c r="AE75" s="1587">
        <f>'4 Eingabe Friseure'!J36</f>
        <v>0</v>
      </c>
      <c r="AF75" s="1587"/>
      <c r="AG75" s="1587"/>
      <c r="AH75" s="1587"/>
      <c r="AI75" s="1587"/>
      <c r="AJ75" s="1587"/>
      <c r="AK75" s="1587"/>
      <c r="AL75" s="920"/>
      <c r="AM75" s="920"/>
      <c r="AN75" s="920"/>
      <c r="AO75" s="920"/>
      <c r="AP75" s="920"/>
      <c r="AQ75" s="920"/>
      <c r="AR75" s="1592"/>
      <c r="AS75"/>
      <c r="AT75"/>
      <c r="AU75"/>
      <c r="AV75"/>
      <c r="AW75"/>
      <c r="AX75"/>
      <c r="AY75"/>
    </row>
    <row r="76" spans="1:51" ht="30" customHeight="1" thickBot="1">
      <c r="A76" s="935" t="str">
        <f>IF(SUM(AD75)=0,"",A$7)</f>
        <v/>
      </c>
      <c r="B76" s="1689"/>
      <c r="C76" s="1690" t="str">
        <f>IF(AD75=0,"",AD75)</f>
        <v/>
      </c>
      <c r="D76" s="3713" t="str">
        <f>IF(C76="","",$A$2)</f>
        <v/>
      </c>
      <c r="E76" s="3714"/>
      <c r="F76" s="2579"/>
      <c r="G76" s="2579"/>
      <c r="H76" s="2579"/>
      <c r="I76" s="2579"/>
      <c r="J76" s="2579"/>
      <c r="K76" s="2579"/>
      <c r="L76" s="2579"/>
      <c r="M76" s="2579"/>
      <c r="N76" s="2579"/>
      <c r="O76" s="2579"/>
      <c r="P76" s="2579"/>
      <c r="Q76" s="2580"/>
      <c r="R76" s="1224" t="str">
        <f>IF(A74="","",SUM(F76:Q76))</f>
        <v/>
      </c>
      <c r="S76" s="1225" t="str">
        <f>IF(A74="","",IF(R76="","",S$7))</f>
        <v/>
      </c>
      <c r="T76" s="1226" t="str">
        <f>IF(A74="","",(AE75*AL74))</f>
        <v/>
      </c>
      <c r="U76" s="1225" t="str">
        <f>IF(A74="","",IF(T76="","",U$7))</f>
        <v/>
      </c>
      <c r="V76" s="201" t="str">
        <f>IF(A74="","",SUM(V74:V75,R76,T76))</f>
        <v/>
      </c>
      <c r="W76" s="959" t="str">
        <f>IF(D75="","",IF(V76="","",W$7))</f>
        <v/>
      </c>
      <c r="X76" s="3716"/>
      <c r="Y76" s="920">
        <f t="shared" si="33"/>
        <v>0</v>
      </c>
      <c r="Z76" s="1587"/>
      <c r="AA76" s="1587"/>
      <c r="AB76" s="1587"/>
      <c r="AC76" s="1587"/>
      <c r="AD76" s="1587"/>
      <c r="AE76" s="1587"/>
      <c r="AF76" s="1587"/>
      <c r="AG76" s="1587"/>
      <c r="AH76" s="1587"/>
      <c r="AI76" s="1587"/>
      <c r="AJ76" s="1587"/>
      <c r="AK76" s="1587"/>
      <c r="AL76" s="920"/>
      <c r="AM76" s="920"/>
      <c r="AN76" s="920"/>
      <c r="AO76" s="920"/>
      <c r="AP76" s="920"/>
      <c r="AQ76" s="920"/>
      <c r="AR76" s="1592"/>
      <c r="AS76"/>
      <c r="AT76"/>
      <c r="AU76"/>
      <c r="AV76"/>
      <c r="AW76"/>
      <c r="AX76"/>
      <c r="AY76"/>
    </row>
    <row r="77" spans="1:51" ht="30" customHeight="1">
      <c r="A77" s="892" t="str">
        <f>IF('4 Eingabe Friseure'!A37="","",'4 Eingabe Friseure'!A37)</f>
        <v/>
      </c>
      <c r="B77" s="936" t="str">
        <f>IF(B78="","",AA$7)</f>
        <v/>
      </c>
      <c r="C77" s="936" t="str">
        <f>IF(C78="","",AB$7)</f>
        <v/>
      </c>
      <c r="D77" s="893" t="str">
        <f ca="1">IF('1 Erklärung'!AA2="","",'4 Eingabe Friseure'!CD37)</f>
        <v/>
      </c>
      <c r="E77" s="893"/>
      <c r="F77" s="3234" t="str">
        <f t="shared" ref="F77:Q77" si="40">IF(SUM(F78,F79)=0,Z77,SUM(F78,F79,Z77))</f>
        <v/>
      </c>
      <c r="G77" s="3234" t="str">
        <f t="shared" si="40"/>
        <v/>
      </c>
      <c r="H77" s="3234" t="str">
        <f t="shared" si="40"/>
        <v/>
      </c>
      <c r="I77" s="3234" t="str">
        <f t="shared" si="40"/>
        <v/>
      </c>
      <c r="J77" s="3234" t="str">
        <f t="shared" si="40"/>
        <v/>
      </c>
      <c r="K77" s="3234" t="str">
        <f t="shared" si="40"/>
        <v/>
      </c>
      <c r="L77" s="3234" t="str">
        <f t="shared" si="40"/>
        <v/>
      </c>
      <c r="M77" s="3234" t="str">
        <f t="shared" si="40"/>
        <v/>
      </c>
      <c r="N77" s="3234" t="str">
        <f t="shared" si="40"/>
        <v/>
      </c>
      <c r="O77" s="3234" t="str">
        <f t="shared" si="40"/>
        <v/>
      </c>
      <c r="P77" s="3234" t="str">
        <f t="shared" si="40"/>
        <v/>
      </c>
      <c r="Q77" s="3234" t="str">
        <f t="shared" si="40"/>
        <v/>
      </c>
      <c r="R77" s="894" t="str">
        <f ca="1">IF('1 Erklärung'!AA$2="","",IF(A77="","",SUM(F77:Q77)))</f>
        <v/>
      </c>
      <c r="S77" s="205"/>
      <c r="T77" s="1269" t="str">
        <f>IF(A77="","",SUM(R77,-R79,-R78))</f>
        <v/>
      </c>
      <c r="U77" s="1228" t="str">
        <f>IF(A77="","",IF(T77="","",U$5))</f>
        <v/>
      </c>
      <c r="V77" s="1227" t="str">
        <f>IF(A77="","",SUM(T77,R78,T78))</f>
        <v/>
      </c>
      <c r="W77" s="1229" t="str">
        <f>IF(A77="","",IF(V77="","",W$5))</f>
        <v/>
      </c>
      <c r="X77" s="206" t="str">
        <f>IF(A77="","",R77/AL77)</f>
        <v/>
      </c>
      <c r="Y77" s="920"/>
      <c r="Z77" s="1587" t="str">
        <f>IF('4 Eingabe Friseure'!CE37&gt;0.4,'4 Eingabe Friseure'!$CD37*'4 Eingabe Friseure'!CE37,"")</f>
        <v/>
      </c>
      <c r="AA77" s="1587" t="str">
        <f>IF('4 Eingabe Friseure'!CF37&gt;0.4,'4 Eingabe Friseure'!$CD37*'4 Eingabe Friseure'!CF37,"")</f>
        <v/>
      </c>
      <c r="AB77" s="1587" t="str">
        <f>IF('4 Eingabe Friseure'!CG37&gt;0.4,'4 Eingabe Friseure'!$CD37*'4 Eingabe Friseure'!CG37,"")</f>
        <v/>
      </c>
      <c r="AC77" s="1587" t="str">
        <f>IF('4 Eingabe Friseure'!CH37&gt;0.4,'4 Eingabe Friseure'!$CD37*'4 Eingabe Friseure'!CH37,"")</f>
        <v/>
      </c>
      <c r="AD77" s="1587" t="str">
        <f>IF('4 Eingabe Friseure'!CI37&gt;0.4,'4 Eingabe Friseure'!$CD37*'4 Eingabe Friseure'!CI37,"")</f>
        <v/>
      </c>
      <c r="AE77" s="1587" t="str">
        <f>IF('4 Eingabe Friseure'!CJ37&gt;0.4,'4 Eingabe Friseure'!$CD37*'4 Eingabe Friseure'!CJ37,"")</f>
        <v/>
      </c>
      <c r="AF77" s="1587" t="str">
        <f>IF('4 Eingabe Friseure'!CK37&gt;0.4,'4 Eingabe Friseure'!$CD37*'4 Eingabe Friseure'!CK37,"")</f>
        <v/>
      </c>
      <c r="AG77" s="1587" t="str">
        <f>IF('4 Eingabe Friseure'!CL37&gt;0.4,'4 Eingabe Friseure'!$CD37*'4 Eingabe Friseure'!CL37,"")</f>
        <v/>
      </c>
      <c r="AH77" s="1587" t="str">
        <f>IF('4 Eingabe Friseure'!CM37&gt;0.4,'4 Eingabe Friseure'!$CD37*'4 Eingabe Friseure'!CM37,"")</f>
        <v/>
      </c>
      <c r="AI77" s="1587" t="str">
        <f>IF('4 Eingabe Friseure'!CN37&gt;0.4,'4 Eingabe Friseure'!$CD37*'4 Eingabe Friseure'!CN37,"")</f>
        <v/>
      </c>
      <c r="AJ77" s="1587" t="str">
        <f>IF('4 Eingabe Friseure'!CO37&gt;0.4,'4 Eingabe Friseure'!$CD37*'4 Eingabe Friseure'!CO37,"")</f>
        <v/>
      </c>
      <c r="AK77" s="1587" t="str">
        <f>IF('4 Eingabe Friseure'!CP37&gt;0.4,'4 Eingabe Friseure'!$CD37*'4 Eingabe Friseure'!CP37,"")</f>
        <v/>
      </c>
      <c r="AL77" s="920" t="str">
        <f>'4 Eingabe Friseure'!BG37</f>
        <v/>
      </c>
      <c r="AM77" s="920"/>
      <c r="AN77" s="920"/>
      <c r="AO77" s="920"/>
      <c r="AP77" s="920"/>
      <c r="AQ77" s="920"/>
      <c r="AR77" s="1592"/>
      <c r="AS77"/>
      <c r="AT77"/>
      <c r="AU77"/>
      <c r="AV77"/>
      <c r="AW77"/>
      <c r="AX77"/>
      <c r="AY77"/>
    </row>
    <row r="78" spans="1:51" ht="30" customHeight="1">
      <c r="A78" s="934" t="str">
        <f>IF(SUM(AA78:AB78)=0,"",A$6)</f>
        <v/>
      </c>
      <c r="B78" s="1687" t="str">
        <f>IF(AA78=0,"",AA78)</f>
        <v/>
      </c>
      <c r="C78" s="1688" t="str">
        <f>IF(AB78=0,"",AB78)</f>
        <v/>
      </c>
      <c r="D78" s="3711" t="str">
        <f>IF(A77="","",$A$1)</f>
        <v/>
      </c>
      <c r="E78" s="3712"/>
      <c r="F78" s="2578"/>
      <c r="G78" s="2578"/>
      <c r="H78" s="2578"/>
      <c r="I78" s="2578"/>
      <c r="J78" s="2578"/>
      <c r="K78" s="2578"/>
      <c r="L78" s="2578"/>
      <c r="M78" s="2578"/>
      <c r="N78" s="2578"/>
      <c r="O78" s="2578"/>
      <c r="P78" s="2578"/>
      <c r="Q78" s="2578"/>
      <c r="R78" s="1221" t="str">
        <f>IF(A77="","",SUM(F78:Q78))</f>
        <v/>
      </c>
      <c r="S78" s="1222" t="str">
        <f>IF(A77="","",IF(R78="","",S$6))</f>
        <v/>
      </c>
      <c r="T78" s="1221" t="str">
        <f>IF(A77="","",(AL77*AC78))</f>
        <v/>
      </c>
      <c r="U78" s="1223" t="str">
        <f>IF(A77="","",IF(T78="","",U$6))</f>
        <v/>
      </c>
      <c r="V78" s="203" t="str">
        <f>IF(A77="","",SUM(V77)*IF(T77/COUNTIF(F77:Q77,"&gt;0")&lt;$X$4,$W$4,$V$4))</f>
        <v/>
      </c>
      <c r="W78" s="204" t="str">
        <f>IF(A77="","",IF(V78="","",W$6))</f>
        <v/>
      </c>
      <c r="X78" s="3715" t="str">
        <f>IF(A77="","",IF(X77="","",X$6))</f>
        <v/>
      </c>
      <c r="Y78" s="920">
        <f t="shared" si="33"/>
        <v>0</v>
      </c>
      <c r="Z78" s="1587"/>
      <c r="AA78" s="1587">
        <f>'4 Eingabe Friseure'!F37</f>
        <v>0</v>
      </c>
      <c r="AB78" s="1587">
        <f>'4 Eingabe Friseure'!G37</f>
        <v>0</v>
      </c>
      <c r="AC78" s="1587">
        <f>'4 Eingabe Friseure'!H37</f>
        <v>0</v>
      </c>
      <c r="AD78" s="1587">
        <f>'4 Eingabe Friseure'!I37</f>
        <v>0</v>
      </c>
      <c r="AE78" s="1587">
        <f>'4 Eingabe Friseure'!J37</f>
        <v>0</v>
      </c>
      <c r="AF78" s="1587"/>
      <c r="AG78" s="1587"/>
      <c r="AH78" s="1587"/>
      <c r="AI78" s="1587"/>
      <c r="AJ78" s="1587"/>
      <c r="AK78" s="1587"/>
      <c r="AL78" s="920"/>
      <c r="AM78" s="920"/>
      <c r="AN78" s="920"/>
      <c r="AO78" s="920"/>
      <c r="AP78" s="920"/>
      <c r="AQ78" s="920"/>
      <c r="AR78" s="1592"/>
      <c r="AS78"/>
      <c r="AT78"/>
      <c r="AU78"/>
      <c r="AV78"/>
      <c r="AW78"/>
      <c r="AX78"/>
      <c r="AY78"/>
    </row>
    <row r="79" spans="1:51" ht="30" customHeight="1" thickBot="1">
      <c r="A79" s="935" t="str">
        <f>IF(SUM(AD78)=0,"",A$7)</f>
        <v/>
      </c>
      <c r="B79" s="1689"/>
      <c r="C79" s="1690" t="str">
        <f>IF(AD78=0,"",AD78)</f>
        <v/>
      </c>
      <c r="D79" s="3713" t="str">
        <f>IF(C79="","",$A$2)</f>
        <v/>
      </c>
      <c r="E79" s="3714"/>
      <c r="F79" s="2579"/>
      <c r="G79" s="2579"/>
      <c r="H79" s="2579"/>
      <c r="I79" s="2579"/>
      <c r="J79" s="2579"/>
      <c r="K79" s="2579"/>
      <c r="L79" s="2579"/>
      <c r="M79" s="2579"/>
      <c r="N79" s="2579"/>
      <c r="O79" s="2579"/>
      <c r="P79" s="2579"/>
      <c r="Q79" s="2580"/>
      <c r="R79" s="1224" t="str">
        <f>IF(A77="","",SUM(F79:Q79))</f>
        <v/>
      </c>
      <c r="S79" s="1225" t="str">
        <f>IF(A77="","",IF(R79="","",S$7))</f>
        <v/>
      </c>
      <c r="T79" s="1226" t="str">
        <f>IF(A77="","",(AE78*AL77))</f>
        <v/>
      </c>
      <c r="U79" s="1225" t="str">
        <f>IF(A77="","",IF(T79="","",U$7))</f>
        <v/>
      </c>
      <c r="V79" s="201" t="str">
        <f>IF(A77="","",SUM(V77:V78,R79,T79))</f>
        <v/>
      </c>
      <c r="W79" s="959" t="str">
        <f>IF(D78="","",IF(V79="","",W$7))</f>
        <v/>
      </c>
      <c r="X79" s="3716"/>
      <c r="Y79" s="920">
        <f t="shared" si="33"/>
        <v>0</v>
      </c>
      <c r="Z79" s="1587"/>
      <c r="AA79" s="1587"/>
      <c r="AB79" s="1587"/>
      <c r="AC79" s="1587"/>
      <c r="AD79" s="1587"/>
      <c r="AE79" s="1587"/>
      <c r="AF79" s="1587"/>
      <c r="AG79" s="1587"/>
      <c r="AH79" s="1587"/>
      <c r="AI79" s="1587"/>
      <c r="AJ79" s="1587"/>
      <c r="AK79" s="1587"/>
      <c r="AL79" s="920"/>
      <c r="AM79" s="920"/>
      <c r="AN79" s="920"/>
      <c r="AO79" s="920"/>
      <c r="AP79" s="920"/>
      <c r="AQ79" s="920"/>
      <c r="AR79" s="1592"/>
      <c r="AS79"/>
      <c r="AT79"/>
      <c r="AU79"/>
      <c r="AV79"/>
      <c r="AW79"/>
      <c r="AX79"/>
      <c r="AY79"/>
    </row>
    <row r="80" spans="1:51" ht="30" customHeight="1">
      <c r="A80" s="892" t="str">
        <f>IF('4 Eingabe Friseure'!A38="","",'4 Eingabe Friseure'!A38)</f>
        <v/>
      </c>
      <c r="B80" s="936" t="str">
        <f>IF(B81="","",AA$7)</f>
        <v/>
      </c>
      <c r="C80" s="936" t="str">
        <f>IF(C81="","",AB$7)</f>
        <v/>
      </c>
      <c r="D80" s="893" t="str">
        <f ca="1">IF('1 Erklärung'!AA2="","",'4 Eingabe Friseure'!CD38)</f>
        <v/>
      </c>
      <c r="E80" s="893"/>
      <c r="F80" s="3234" t="str">
        <f t="shared" ref="F80:Q80" si="41">IF(SUM(F81,F82)=0,Z80,SUM(F81,F82,Z80))</f>
        <v/>
      </c>
      <c r="G80" s="3234" t="str">
        <f t="shared" si="41"/>
        <v/>
      </c>
      <c r="H80" s="3234" t="str">
        <f t="shared" si="41"/>
        <v/>
      </c>
      <c r="I80" s="3234" t="str">
        <f t="shared" si="41"/>
        <v/>
      </c>
      <c r="J80" s="3234" t="str">
        <f t="shared" si="41"/>
        <v/>
      </c>
      <c r="K80" s="3234" t="str">
        <f t="shared" si="41"/>
        <v/>
      </c>
      <c r="L80" s="3234" t="str">
        <f t="shared" si="41"/>
        <v/>
      </c>
      <c r="M80" s="3234" t="str">
        <f t="shared" si="41"/>
        <v/>
      </c>
      <c r="N80" s="3234" t="str">
        <f t="shared" si="41"/>
        <v/>
      </c>
      <c r="O80" s="3234" t="str">
        <f t="shared" si="41"/>
        <v/>
      </c>
      <c r="P80" s="3234" t="str">
        <f t="shared" si="41"/>
        <v/>
      </c>
      <c r="Q80" s="3234" t="str">
        <f t="shared" si="41"/>
        <v/>
      </c>
      <c r="R80" s="894" t="str">
        <f ca="1">IF('1 Erklärung'!AA$2="","",IF(A80="","",SUM(F80:Q80)))</f>
        <v/>
      </c>
      <c r="S80" s="205"/>
      <c r="T80" s="1269" t="str">
        <f>IF(A80="","",SUM(R80,-R82,-R81))</f>
        <v/>
      </c>
      <c r="U80" s="1228" t="str">
        <f>IF(A80="","",IF(T80="","",U$5))</f>
        <v/>
      </c>
      <c r="V80" s="1227" t="str">
        <f>IF(A80="","",SUM(T80,R81,T81))</f>
        <v/>
      </c>
      <c r="W80" s="1229" t="str">
        <f>IF(A80="","",IF(V80="","",W$5))</f>
        <v/>
      </c>
      <c r="X80" s="206" t="str">
        <f>IF(A80="","",R80/AL80)</f>
        <v/>
      </c>
      <c r="Y80" s="920"/>
      <c r="Z80" s="1587" t="str">
        <f>IF('4 Eingabe Friseure'!CE38&gt;0.4,'4 Eingabe Friseure'!$CD38*'4 Eingabe Friseure'!CE38,"")</f>
        <v/>
      </c>
      <c r="AA80" s="1587" t="str">
        <f>IF('4 Eingabe Friseure'!CF38&gt;0.4,'4 Eingabe Friseure'!$CD38*'4 Eingabe Friseure'!CF38,"")</f>
        <v/>
      </c>
      <c r="AB80" s="1587" t="str">
        <f>IF('4 Eingabe Friseure'!CG38&gt;0.4,'4 Eingabe Friseure'!$CD38*'4 Eingabe Friseure'!CG38,"")</f>
        <v/>
      </c>
      <c r="AC80" s="1587" t="str">
        <f>IF('4 Eingabe Friseure'!CH38&gt;0.4,'4 Eingabe Friseure'!$CD38*'4 Eingabe Friseure'!CH38,"")</f>
        <v/>
      </c>
      <c r="AD80" s="1587" t="str">
        <f>IF('4 Eingabe Friseure'!CI38&gt;0.4,'4 Eingabe Friseure'!$CD38*'4 Eingabe Friseure'!CI38,"")</f>
        <v/>
      </c>
      <c r="AE80" s="1587" t="str">
        <f>IF('4 Eingabe Friseure'!CJ38&gt;0.4,'4 Eingabe Friseure'!$CD38*'4 Eingabe Friseure'!CJ38,"")</f>
        <v/>
      </c>
      <c r="AF80" s="1587" t="str">
        <f>IF('4 Eingabe Friseure'!CK38&gt;0.4,'4 Eingabe Friseure'!$CD38*'4 Eingabe Friseure'!CK38,"")</f>
        <v/>
      </c>
      <c r="AG80" s="1587" t="str">
        <f>IF('4 Eingabe Friseure'!CL38&gt;0.4,'4 Eingabe Friseure'!$CD38*'4 Eingabe Friseure'!CL38,"")</f>
        <v/>
      </c>
      <c r="AH80" s="1587" t="str">
        <f>IF('4 Eingabe Friseure'!CM38&gt;0.4,'4 Eingabe Friseure'!$CD38*'4 Eingabe Friseure'!CM38,"")</f>
        <v/>
      </c>
      <c r="AI80" s="1587" t="str">
        <f>IF('4 Eingabe Friseure'!CN38&gt;0.4,'4 Eingabe Friseure'!$CD38*'4 Eingabe Friseure'!CN38,"")</f>
        <v/>
      </c>
      <c r="AJ80" s="1587" t="str">
        <f>IF('4 Eingabe Friseure'!CO38&gt;0.4,'4 Eingabe Friseure'!$CD38*'4 Eingabe Friseure'!CO38,"")</f>
        <v/>
      </c>
      <c r="AK80" s="1587" t="str">
        <f>IF('4 Eingabe Friseure'!CP38&gt;0.4,'4 Eingabe Friseure'!$CD38*'4 Eingabe Friseure'!CP38,"")</f>
        <v/>
      </c>
      <c r="AL80" s="920" t="str">
        <f>'4 Eingabe Friseure'!BG38</f>
        <v/>
      </c>
      <c r="AM80" s="920"/>
      <c r="AN80" s="920"/>
      <c r="AO80" s="920"/>
      <c r="AP80" s="920"/>
      <c r="AQ80" s="920"/>
      <c r="AR80" s="1592"/>
      <c r="AS80"/>
      <c r="AT80"/>
      <c r="AU80"/>
      <c r="AV80"/>
      <c r="AW80"/>
      <c r="AX80"/>
      <c r="AY80"/>
    </row>
    <row r="81" spans="1:51" ht="30" customHeight="1">
      <c r="A81" s="934" t="str">
        <f>IF(SUM(AA81:AB81)=0,"",A$6)</f>
        <v/>
      </c>
      <c r="B81" s="1687" t="str">
        <f>IF(AA81=0,"",AA81)</f>
        <v/>
      </c>
      <c r="C81" s="1688" t="str">
        <f>IF(AB81=0,"",AB81)</f>
        <v/>
      </c>
      <c r="D81" s="3711" t="str">
        <f>IF(A80="","",$A$1)</f>
        <v/>
      </c>
      <c r="E81" s="3712"/>
      <c r="F81" s="2578"/>
      <c r="G81" s="2578"/>
      <c r="H81" s="2578"/>
      <c r="I81" s="2578"/>
      <c r="J81" s="2578"/>
      <c r="K81" s="2578"/>
      <c r="L81" s="2578"/>
      <c r="M81" s="2578"/>
      <c r="N81" s="2578"/>
      <c r="O81" s="2578"/>
      <c r="P81" s="2578"/>
      <c r="Q81" s="2578"/>
      <c r="R81" s="1221" t="str">
        <f>IF(A80="","",SUM(F81:Q81))</f>
        <v/>
      </c>
      <c r="S81" s="1222" t="str">
        <f>IF(A80="","",IF(R81="","",S$6))</f>
        <v/>
      </c>
      <c r="T81" s="1221" t="str">
        <f>IF(A80="","",(AL80*AC81))</f>
        <v/>
      </c>
      <c r="U81" s="1223" t="str">
        <f>IF(A80="","",IF(T81="","",U$6))</f>
        <v/>
      </c>
      <c r="V81" s="203" t="str">
        <f>IF(A80="","",SUM(V80)*IF(T80/COUNTIF(F80:Q80,"&gt;0")&lt;$X$4,$W$4,$V$4))</f>
        <v/>
      </c>
      <c r="W81" s="204" t="str">
        <f>IF(A80="","",IF(V81="","",W$6))</f>
        <v/>
      </c>
      <c r="X81" s="3715" t="str">
        <f>IF(A80="","",IF(X80="","",X$6))</f>
        <v/>
      </c>
      <c r="Y81" s="920">
        <f t="shared" si="33"/>
        <v>0</v>
      </c>
      <c r="Z81" s="1587"/>
      <c r="AA81" s="1587">
        <f>'4 Eingabe Friseure'!F38</f>
        <v>0</v>
      </c>
      <c r="AB81" s="1587">
        <f>'4 Eingabe Friseure'!G38</f>
        <v>0</v>
      </c>
      <c r="AC81" s="1587">
        <f>'4 Eingabe Friseure'!H38</f>
        <v>0</v>
      </c>
      <c r="AD81" s="1587">
        <f>'4 Eingabe Friseure'!I38</f>
        <v>0</v>
      </c>
      <c r="AE81" s="1587">
        <f>'4 Eingabe Friseure'!J38</f>
        <v>0</v>
      </c>
      <c r="AF81" s="1587"/>
      <c r="AG81" s="1587"/>
      <c r="AH81" s="1587"/>
      <c r="AI81" s="1587"/>
      <c r="AJ81" s="1587"/>
      <c r="AK81" s="1587"/>
      <c r="AL81" s="920"/>
      <c r="AM81" s="920"/>
      <c r="AN81" s="920"/>
      <c r="AO81" s="920"/>
      <c r="AP81" s="920"/>
      <c r="AQ81" s="920"/>
      <c r="AR81" s="1592"/>
      <c r="AS81"/>
      <c r="AT81"/>
      <c r="AU81"/>
      <c r="AV81"/>
      <c r="AW81"/>
      <c r="AX81"/>
      <c r="AY81"/>
    </row>
    <row r="82" spans="1:51" ht="30" customHeight="1" thickBot="1">
      <c r="A82" s="935" t="str">
        <f>IF(SUM(AD81)=0,"",A$7)</f>
        <v/>
      </c>
      <c r="B82" s="1689"/>
      <c r="C82" s="1690" t="str">
        <f>IF(AD81=0,"",AD81)</f>
        <v/>
      </c>
      <c r="D82" s="3713" t="str">
        <f>IF(C82="","",$A$2)</f>
        <v/>
      </c>
      <c r="E82" s="3714"/>
      <c r="F82" s="2579"/>
      <c r="G82" s="2579"/>
      <c r="H82" s="2579"/>
      <c r="I82" s="2579"/>
      <c r="J82" s="2579"/>
      <c r="K82" s="2579"/>
      <c r="L82" s="2579"/>
      <c r="M82" s="2579"/>
      <c r="N82" s="2579"/>
      <c r="O82" s="2579"/>
      <c r="P82" s="2579"/>
      <c r="Q82" s="2580"/>
      <c r="R82" s="1224" t="str">
        <f>IF(A80="","",SUM(F82:Q82))</f>
        <v/>
      </c>
      <c r="S82" s="1225" t="str">
        <f>IF(A80="","",IF(R82="","",S$7))</f>
        <v/>
      </c>
      <c r="T82" s="1226" t="str">
        <f>IF(A80="","",(AE81*AL80))</f>
        <v/>
      </c>
      <c r="U82" s="1225" t="str">
        <f>IF(A80="","",IF(T82="","",U$7))</f>
        <v/>
      </c>
      <c r="V82" s="201" t="str">
        <f>IF(A80="","",SUM(V80:V81,R82,T82))</f>
        <v/>
      </c>
      <c r="W82" s="959" t="str">
        <f>IF(D81="","",IF(V82="","",W$7))</f>
        <v/>
      </c>
      <c r="X82" s="3716"/>
      <c r="Y82" s="920">
        <f t="shared" si="33"/>
        <v>0</v>
      </c>
      <c r="Z82" s="1587"/>
      <c r="AA82" s="1587"/>
      <c r="AB82" s="1587"/>
      <c r="AC82" s="1587"/>
      <c r="AD82" s="1587"/>
      <c r="AE82" s="1587"/>
      <c r="AF82" s="1587"/>
      <c r="AG82" s="1587"/>
      <c r="AH82" s="1587"/>
      <c r="AI82" s="1587"/>
      <c r="AJ82" s="1587"/>
      <c r="AK82" s="1587"/>
      <c r="AL82" s="920"/>
      <c r="AM82" s="920"/>
      <c r="AN82" s="920"/>
      <c r="AO82" s="920"/>
      <c r="AP82" s="920"/>
      <c r="AQ82" s="920"/>
      <c r="AR82" s="1592"/>
      <c r="AS82"/>
      <c r="AT82"/>
      <c r="AU82"/>
      <c r="AV82"/>
      <c r="AW82"/>
      <c r="AX82"/>
      <c r="AY82"/>
    </row>
    <row r="83" spans="1:51" ht="30" customHeight="1">
      <c r="A83" s="892" t="str">
        <f>IF('4 Eingabe Friseure'!A39="","",'4 Eingabe Friseure'!A39)</f>
        <v/>
      </c>
      <c r="B83" s="936" t="str">
        <f>IF(B84="","",AA$7)</f>
        <v/>
      </c>
      <c r="C83" s="936" t="str">
        <f>IF(C84="","",AB$7)</f>
        <v/>
      </c>
      <c r="D83" s="893" t="str">
        <f ca="1">IF('1 Erklärung'!AA2="","",'4 Eingabe Friseure'!CD39)</f>
        <v/>
      </c>
      <c r="E83" s="893"/>
      <c r="F83" s="3234" t="str">
        <f t="shared" ref="F83:Q83" si="42">IF(SUM(F84,F85)=0,Z83,SUM(F84,F85,Z83))</f>
        <v/>
      </c>
      <c r="G83" s="3234" t="str">
        <f t="shared" si="42"/>
        <v/>
      </c>
      <c r="H83" s="3234" t="str">
        <f t="shared" si="42"/>
        <v/>
      </c>
      <c r="I83" s="3234" t="str">
        <f t="shared" si="42"/>
        <v/>
      </c>
      <c r="J83" s="3234" t="str">
        <f t="shared" si="42"/>
        <v/>
      </c>
      <c r="K83" s="3234" t="str">
        <f t="shared" si="42"/>
        <v/>
      </c>
      <c r="L83" s="3234" t="str">
        <f t="shared" si="42"/>
        <v/>
      </c>
      <c r="M83" s="3234" t="str">
        <f t="shared" si="42"/>
        <v/>
      </c>
      <c r="N83" s="3234" t="str">
        <f t="shared" si="42"/>
        <v/>
      </c>
      <c r="O83" s="3234" t="str">
        <f t="shared" si="42"/>
        <v/>
      </c>
      <c r="P83" s="3234" t="str">
        <f t="shared" si="42"/>
        <v/>
      </c>
      <c r="Q83" s="3234" t="str">
        <f t="shared" si="42"/>
        <v/>
      </c>
      <c r="R83" s="894" t="str">
        <f ca="1">IF('1 Erklärung'!AA$2="","",IF(A83="","",SUM(F83:Q83)))</f>
        <v/>
      </c>
      <c r="S83" s="205"/>
      <c r="T83" s="1269" t="str">
        <f>IF(A83="","",SUM(R83,-R85,-R84))</f>
        <v/>
      </c>
      <c r="U83" s="1228" t="str">
        <f>IF(A83="","",IF(T83="","",U$5))</f>
        <v/>
      </c>
      <c r="V83" s="1227" t="str">
        <f>IF(A83="","",SUM(T83,R84,T84))</f>
        <v/>
      </c>
      <c r="W83" s="1229" t="str">
        <f>IF(A83="","",IF(V83="","",W$5))</f>
        <v/>
      </c>
      <c r="X83" s="206" t="str">
        <f>IF(A83="","",R83/AL83)</f>
        <v/>
      </c>
      <c r="Y83" s="920"/>
      <c r="Z83" s="1587" t="str">
        <f>IF('4 Eingabe Friseure'!CE39&gt;0.4,'4 Eingabe Friseure'!$CD39*'4 Eingabe Friseure'!CE39,"")</f>
        <v/>
      </c>
      <c r="AA83" s="1587" t="str">
        <f>IF('4 Eingabe Friseure'!CF39&gt;0.4,'4 Eingabe Friseure'!$CD39*'4 Eingabe Friseure'!CF39,"")</f>
        <v/>
      </c>
      <c r="AB83" s="1587" t="str">
        <f>IF('4 Eingabe Friseure'!CG39&gt;0.4,'4 Eingabe Friseure'!$CD39*'4 Eingabe Friseure'!CG39,"")</f>
        <v/>
      </c>
      <c r="AC83" s="1587" t="str">
        <f>IF('4 Eingabe Friseure'!CH39&gt;0.4,'4 Eingabe Friseure'!$CD39*'4 Eingabe Friseure'!CH39,"")</f>
        <v/>
      </c>
      <c r="AD83" s="1587" t="str">
        <f>IF('4 Eingabe Friseure'!CI39&gt;0.4,'4 Eingabe Friseure'!$CD39*'4 Eingabe Friseure'!CI39,"")</f>
        <v/>
      </c>
      <c r="AE83" s="1587" t="str">
        <f>IF('4 Eingabe Friseure'!CJ39&gt;0.4,'4 Eingabe Friseure'!$CD39*'4 Eingabe Friseure'!CJ39,"")</f>
        <v/>
      </c>
      <c r="AF83" s="1587" t="str">
        <f>IF('4 Eingabe Friseure'!CK39&gt;0.4,'4 Eingabe Friseure'!$CD39*'4 Eingabe Friseure'!CK39,"")</f>
        <v/>
      </c>
      <c r="AG83" s="1587" t="str">
        <f>IF('4 Eingabe Friseure'!CL39&gt;0.4,'4 Eingabe Friseure'!$CD39*'4 Eingabe Friseure'!CL39,"")</f>
        <v/>
      </c>
      <c r="AH83" s="1587" t="str">
        <f>IF('4 Eingabe Friseure'!CM39&gt;0.4,'4 Eingabe Friseure'!$CD39*'4 Eingabe Friseure'!CM39,"")</f>
        <v/>
      </c>
      <c r="AI83" s="1587" t="str">
        <f>IF('4 Eingabe Friseure'!CN39&gt;0.4,'4 Eingabe Friseure'!$CD39*'4 Eingabe Friseure'!CN39,"")</f>
        <v/>
      </c>
      <c r="AJ83" s="1587" t="str">
        <f>IF('4 Eingabe Friseure'!CO39&gt;0.4,'4 Eingabe Friseure'!$CD39*'4 Eingabe Friseure'!CO39,"")</f>
        <v/>
      </c>
      <c r="AK83" s="1587" t="str">
        <f>IF('4 Eingabe Friseure'!CP39&gt;0.4,'4 Eingabe Friseure'!$CD39*'4 Eingabe Friseure'!CP39,"")</f>
        <v/>
      </c>
      <c r="AL83" s="920" t="str">
        <f>'4 Eingabe Friseure'!BG39</f>
        <v/>
      </c>
      <c r="AM83" s="920"/>
      <c r="AN83" s="920"/>
      <c r="AO83" s="920"/>
      <c r="AP83" s="920"/>
      <c r="AQ83" s="920"/>
      <c r="AR83" s="1592"/>
      <c r="AS83"/>
      <c r="AT83"/>
      <c r="AU83"/>
      <c r="AV83"/>
      <c r="AW83"/>
      <c r="AX83"/>
      <c r="AY83"/>
    </row>
    <row r="84" spans="1:51" ht="30" customHeight="1">
      <c r="A84" s="934" t="str">
        <f>IF(SUM(AA84:AB84)=0,"",A$6)</f>
        <v/>
      </c>
      <c r="B84" s="1687" t="str">
        <f>IF(AA84=0,"",AA84)</f>
        <v/>
      </c>
      <c r="C84" s="1688" t="str">
        <f>IF(AB84=0,"",AB84)</f>
        <v/>
      </c>
      <c r="D84" s="3711" t="str">
        <f>IF(A83="","",$A$1)</f>
        <v/>
      </c>
      <c r="E84" s="3712"/>
      <c r="F84" s="2578"/>
      <c r="G84" s="2578"/>
      <c r="H84" s="2578"/>
      <c r="I84" s="2578"/>
      <c r="J84" s="2578"/>
      <c r="K84" s="2578"/>
      <c r="L84" s="2578"/>
      <c r="M84" s="2578"/>
      <c r="N84" s="2578"/>
      <c r="O84" s="2578"/>
      <c r="P84" s="2578"/>
      <c r="Q84" s="2578"/>
      <c r="R84" s="1221" t="str">
        <f>IF(A83="","",SUM(F84:Q84))</f>
        <v/>
      </c>
      <c r="S84" s="1222" t="str">
        <f>IF(A83="","",IF(R84="","",S$6))</f>
        <v/>
      </c>
      <c r="T84" s="1221" t="str">
        <f>IF(A83="","",(AL83*AC84))</f>
        <v/>
      </c>
      <c r="U84" s="1223" t="str">
        <f>IF(A83="","",IF(T84="","",U$6))</f>
        <v/>
      </c>
      <c r="V84" s="203" t="str">
        <f>IF(A83="","",SUM(V83)*IF(T83/COUNTIF(F83:Q83,"&gt;0")&lt;$X$4,$W$4,$V$4))</f>
        <v/>
      </c>
      <c r="W84" s="204" t="str">
        <f>IF(A83="","",IF(V84="","",W$6))</f>
        <v/>
      </c>
      <c r="X84" s="3715" t="str">
        <f>IF(A83="","",IF(X83="","",X$6))</f>
        <v/>
      </c>
      <c r="Y84" s="920">
        <f t="shared" si="33"/>
        <v>0</v>
      </c>
      <c r="Z84" s="1587"/>
      <c r="AA84" s="1587">
        <f>'4 Eingabe Friseure'!F39</f>
        <v>0</v>
      </c>
      <c r="AB84" s="1587">
        <f>'4 Eingabe Friseure'!G39</f>
        <v>0</v>
      </c>
      <c r="AC84" s="1587">
        <f>'4 Eingabe Friseure'!H39</f>
        <v>0</v>
      </c>
      <c r="AD84" s="1587">
        <f>'4 Eingabe Friseure'!I39</f>
        <v>0</v>
      </c>
      <c r="AE84" s="1587">
        <f>'4 Eingabe Friseure'!J39</f>
        <v>0</v>
      </c>
      <c r="AF84" s="1587"/>
      <c r="AG84" s="1587"/>
      <c r="AH84" s="1587"/>
      <c r="AI84" s="1587"/>
      <c r="AJ84" s="1587"/>
      <c r="AK84" s="1587"/>
      <c r="AL84" s="920"/>
      <c r="AM84" s="920"/>
      <c r="AN84" s="920"/>
      <c r="AO84" s="920"/>
      <c r="AP84" s="920"/>
      <c r="AQ84" s="920"/>
      <c r="AR84" s="1592"/>
      <c r="AS84"/>
      <c r="AT84"/>
      <c r="AU84"/>
      <c r="AV84"/>
      <c r="AW84"/>
      <c r="AX84"/>
      <c r="AY84"/>
    </row>
    <row r="85" spans="1:51" ht="30" customHeight="1" thickBot="1">
      <c r="A85" s="935" t="str">
        <f>IF(SUM(AD84)=0,"",A$7)</f>
        <v/>
      </c>
      <c r="B85" s="1689"/>
      <c r="C85" s="1690" t="str">
        <f>IF(AD84=0,"",AD84)</f>
        <v/>
      </c>
      <c r="D85" s="3713" t="str">
        <f>IF(C85="","",$A$2)</f>
        <v/>
      </c>
      <c r="E85" s="3714"/>
      <c r="F85" s="2579"/>
      <c r="G85" s="2579"/>
      <c r="H85" s="2579"/>
      <c r="I85" s="2579"/>
      <c r="J85" s="2579"/>
      <c r="K85" s="2579"/>
      <c r="L85" s="2579"/>
      <c r="M85" s="2579"/>
      <c r="N85" s="2579"/>
      <c r="O85" s="2579"/>
      <c r="P85" s="2579"/>
      <c r="Q85" s="2580"/>
      <c r="R85" s="1224" t="str">
        <f>IF(A83="","",SUM(F85:Q85))</f>
        <v/>
      </c>
      <c r="S85" s="1225" t="str">
        <f>IF(A83="","",IF(R85="","",S$7))</f>
        <v/>
      </c>
      <c r="T85" s="1226" t="str">
        <f>IF(A83="","",(AE84*AL83))</f>
        <v/>
      </c>
      <c r="U85" s="1225" t="str">
        <f>IF(A83="","",IF(T85="","",U$7))</f>
        <v/>
      </c>
      <c r="V85" s="201" t="str">
        <f>IF(A83="","",SUM(V83:V84,R85,T85))</f>
        <v/>
      </c>
      <c r="W85" s="959" t="str">
        <f>IF(D84="","",IF(V85="","",W$7))</f>
        <v/>
      </c>
      <c r="X85" s="3716"/>
      <c r="Y85" s="920">
        <f t="shared" si="33"/>
        <v>0</v>
      </c>
      <c r="Z85" s="1587"/>
      <c r="AA85" s="1587"/>
      <c r="AB85" s="1587"/>
      <c r="AC85" s="1587"/>
      <c r="AD85" s="1587"/>
      <c r="AE85" s="1587"/>
      <c r="AF85" s="1587"/>
      <c r="AG85" s="1587"/>
      <c r="AH85" s="1587"/>
      <c r="AI85" s="1587"/>
      <c r="AJ85" s="1587"/>
      <c r="AK85" s="1587"/>
      <c r="AL85" s="920"/>
      <c r="AM85" s="920"/>
      <c r="AN85" s="920"/>
      <c r="AO85" s="920"/>
      <c r="AP85" s="920"/>
      <c r="AQ85" s="920"/>
      <c r="AR85" s="1592"/>
      <c r="AS85"/>
      <c r="AT85"/>
      <c r="AU85"/>
      <c r="AV85"/>
      <c r="AW85"/>
      <c r="AX85"/>
      <c r="AY85"/>
    </row>
    <row r="86" spans="1:51" ht="30" customHeight="1">
      <c r="A86" s="892" t="str">
        <f>IF('4 Eingabe Friseure'!A40="","",'4 Eingabe Friseure'!A40)</f>
        <v/>
      </c>
      <c r="B86" s="936" t="str">
        <f>IF(B87="","",AA$7)</f>
        <v/>
      </c>
      <c r="C86" s="936" t="str">
        <f>IF(C87="","",AB$7)</f>
        <v/>
      </c>
      <c r="D86" s="893" t="str">
        <f ca="1">IF('1 Erklärung'!AA2="","",'4 Eingabe Friseure'!CD40)</f>
        <v/>
      </c>
      <c r="E86" s="893"/>
      <c r="F86" s="3234" t="str">
        <f t="shared" ref="F86:Q86" si="43">IF(SUM(F87,F88)=0,Z86,SUM(F87,F88,Z86))</f>
        <v/>
      </c>
      <c r="G86" s="3234" t="str">
        <f t="shared" si="43"/>
        <v/>
      </c>
      <c r="H86" s="3234" t="str">
        <f t="shared" si="43"/>
        <v/>
      </c>
      <c r="I86" s="3234" t="str">
        <f t="shared" si="43"/>
        <v/>
      </c>
      <c r="J86" s="3234" t="str">
        <f t="shared" si="43"/>
        <v/>
      </c>
      <c r="K86" s="3234" t="str">
        <f t="shared" si="43"/>
        <v/>
      </c>
      <c r="L86" s="3234" t="str">
        <f t="shared" si="43"/>
        <v/>
      </c>
      <c r="M86" s="3234" t="str">
        <f t="shared" si="43"/>
        <v/>
      </c>
      <c r="N86" s="3234" t="str">
        <f t="shared" si="43"/>
        <v/>
      </c>
      <c r="O86" s="3234" t="str">
        <f t="shared" si="43"/>
        <v/>
      </c>
      <c r="P86" s="3234" t="str">
        <f t="shared" si="43"/>
        <v/>
      </c>
      <c r="Q86" s="3234" t="str">
        <f t="shared" si="43"/>
        <v/>
      </c>
      <c r="R86" s="894" t="str">
        <f ca="1">IF('1 Erklärung'!AA$2="","",IF(A86="","",SUM(F86:Q86)))</f>
        <v/>
      </c>
      <c r="S86" s="205"/>
      <c r="T86" s="1269" t="str">
        <f>IF(A86="","",SUM(R86,-R88,-R87))</f>
        <v/>
      </c>
      <c r="U86" s="1228" t="str">
        <f>IF(A86="","",IF(T86="","",U$5))</f>
        <v/>
      </c>
      <c r="V86" s="1227" t="str">
        <f>IF(A86="","",SUM(T86,R87,T87))</f>
        <v/>
      </c>
      <c r="W86" s="1229" t="str">
        <f>IF(A86="","",IF(V86="","",W$5))</f>
        <v/>
      </c>
      <c r="X86" s="206" t="str">
        <f>IF(A86="","",R86/AL86)</f>
        <v/>
      </c>
      <c r="Y86" s="920"/>
      <c r="Z86" s="1587" t="str">
        <f>IF('4 Eingabe Friseure'!CE40&gt;0.4,'4 Eingabe Friseure'!$CD40*'4 Eingabe Friseure'!CE40,"")</f>
        <v/>
      </c>
      <c r="AA86" s="1587" t="str">
        <f>IF('4 Eingabe Friseure'!CF40&gt;0.4,'4 Eingabe Friseure'!$CD40*'4 Eingabe Friseure'!CF40,"")</f>
        <v/>
      </c>
      <c r="AB86" s="1587" t="str">
        <f>IF('4 Eingabe Friseure'!CG40&gt;0.4,'4 Eingabe Friseure'!$CD40*'4 Eingabe Friseure'!CG40,"")</f>
        <v/>
      </c>
      <c r="AC86" s="1587" t="str">
        <f>IF('4 Eingabe Friseure'!CH40&gt;0.4,'4 Eingabe Friseure'!$CD40*'4 Eingabe Friseure'!CH40,"")</f>
        <v/>
      </c>
      <c r="AD86" s="1587" t="str">
        <f>IF('4 Eingabe Friseure'!CI40&gt;0.4,'4 Eingabe Friseure'!$CD40*'4 Eingabe Friseure'!CI40,"")</f>
        <v/>
      </c>
      <c r="AE86" s="1587" t="str">
        <f>IF('4 Eingabe Friseure'!CJ40&gt;0.4,'4 Eingabe Friseure'!$CD40*'4 Eingabe Friseure'!CJ40,"")</f>
        <v/>
      </c>
      <c r="AF86" s="1587" t="str">
        <f>IF('4 Eingabe Friseure'!CK40&gt;0.4,'4 Eingabe Friseure'!$CD40*'4 Eingabe Friseure'!CK40,"")</f>
        <v/>
      </c>
      <c r="AG86" s="1587" t="str">
        <f>IF('4 Eingabe Friseure'!CL40&gt;0.4,'4 Eingabe Friseure'!$CD40*'4 Eingabe Friseure'!CL40,"")</f>
        <v/>
      </c>
      <c r="AH86" s="1587" t="str">
        <f>IF('4 Eingabe Friseure'!CM40&gt;0.4,'4 Eingabe Friseure'!$CD40*'4 Eingabe Friseure'!CM40,"")</f>
        <v/>
      </c>
      <c r="AI86" s="1587" t="str">
        <f>IF('4 Eingabe Friseure'!CN40&gt;0.4,'4 Eingabe Friseure'!$CD40*'4 Eingabe Friseure'!CN40,"")</f>
        <v/>
      </c>
      <c r="AJ86" s="1587" t="str">
        <f>IF('4 Eingabe Friseure'!CO40&gt;0.4,'4 Eingabe Friseure'!$CD40*'4 Eingabe Friseure'!CO40,"")</f>
        <v/>
      </c>
      <c r="AK86" s="1587" t="str">
        <f>IF('4 Eingabe Friseure'!CP40&gt;0.4,'4 Eingabe Friseure'!$CD40*'4 Eingabe Friseure'!CP40,"")</f>
        <v/>
      </c>
      <c r="AL86" s="920" t="str">
        <f>'4 Eingabe Friseure'!BG40</f>
        <v/>
      </c>
      <c r="AM86" s="920"/>
      <c r="AN86" s="920"/>
      <c r="AO86" s="920"/>
      <c r="AP86" s="920"/>
      <c r="AQ86" s="920"/>
      <c r="AR86" s="1592"/>
      <c r="AS86"/>
      <c r="AT86"/>
      <c r="AU86"/>
      <c r="AV86"/>
      <c r="AW86"/>
      <c r="AX86"/>
      <c r="AY86"/>
    </row>
    <row r="87" spans="1:51" ht="30" customHeight="1">
      <c r="A87" s="934" t="str">
        <f>IF(SUM(AA87:AB87)=0,"",A$6)</f>
        <v/>
      </c>
      <c r="B87" s="1687" t="str">
        <f>IF(AA87=0,"",AA87)</f>
        <v/>
      </c>
      <c r="C87" s="1688" t="str">
        <f>IF(AB87=0,"",AB87)</f>
        <v/>
      </c>
      <c r="D87" s="3711" t="str">
        <f>IF(A86="","",$A$1)</f>
        <v/>
      </c>
      <c r="E87" s="3712"/>
      <c r="F87" s="2578"/>
      <c r="G87" s="2578"/>
      <c r="H87" s="2578"/>
      <c r="I87" s="2578"/>
      <c r="J87" s="2578"/>
      <c r="K87" s="2578"/>
      <c r="L87" s="2578"/>
      <c r="M87" s="2578"/>
      <c r="N87" s="2578"/>
      <c r="O87" s="2578"/>
      <c r="P87" s="2578"/>
      <c r="Q87" s="2578"/>
      <c r="R87" s="1221" t="str">
        <f>IF(A86="","",SUM(F87:Q87))</f>
        <v/>
      </c>
      <c r="S87" s="1222" t="str">
        <f>IF(A86="","",IF(R87="","",S$6))</f>
        <v/>
      </c>
      <c r="T87" s="1221" t="str">
        <f>IF(A86="","",(AL86*AC87))</f>
        <v/>
      </c>
      <c r="U87" s="1223" t="str">
        <f>IF(A86="","",IF(T87="","",U$6))</f>
        <v/>
      </c>
      <c r="V87" s="203" t="str">
        <f>IF(A86="","",SUM(V86)*IF(T86/COUNTIF(F86:Q86,"&gt;0")&lt;$X$4,$W$4,$V$4))</f>
        <v/>
      </c>
      <c r="W87" s="204" t="str">
        <f>IF(A86="","",IF(V87="","",W$6))</f>
        <v/>
      </c>
      <c r="X87" s="3715" t="str">
        <f>IF(A86="","",IF(X86="","",X$6))</f>
        <v/>
      </c>
      <c r="Y87" s="920">
        <f t="shared" si="33"/>
        <v>0</v>
      </c>
      <c r="Z87" s="1587"/>
      <c r="AA87" s="1587">
        <f>'4 Eingabe Friseure'!F40</f>
        <v>0</v>
      </c>
      <c r="AB87" s="1587">
        <f>'4 Eingabe Friseure'!G40</f>
        <v>0</v>
      </c>
      <c r="AC87" s="1587">
        <f>'4 Eingabe Friseure'!H40</f>
        <v>0</v>
      </c>
      <c r="AD87" s="1587">
        <f>'4 Eingabe Friseure'!I40</f>
        <v>0</v>
      </c>
      <c r="AE87" s="1587">
        <f>'4 Eingabe Friseure'!J40</f>
        <v>0</v>
      </c>
      <c r="AF87" s="1587"/>
      <c r="AG87" s="1587"/>
      <c r="AH87" s="1587"/>
      <c r="AI87" s="1587"/>
      <c r="AJ87" s="1587"/>
      <c r="AK87" s="1587"/>
      <c r="AL87" s="920"/>
      <c r="AM87" s="920"/>
      <c r="AN87" s="920"/>
      <c r="AO87" s="920"/>
      <c r="AP87" s="920"/>
      <c r="AQ87" s="920"/>
      <c r="AR87" s="1592"/>
      <c r="AS87"/>
      <c r="AT87"/>
      <c r="AU87"/>
      <c r="AV87"/>
      <c r="AW87"/>
      <c r="AX87"/>
      <c r="AY87"/>
    </row>
    <row r="88" spans="1:51" ht="30" customHeight="1" thickBot="1">
      <c r="A88" s="935" t="str">
        <f>IF(SUM(AD87)=0,"",A$7)</f>
        <v/>
      </c>
      <c r="B88" s="1689"/>
      <c r="C88" s="1690" t="str">
        <f>IF(AD87=0,"",AD87)</f>
        <v/>
      </c>
      <c r="D88" s="3713" t="str">
        <f>IF(C88="","",$A$2)</f>
        <v/>
      </c>
      <c r="E88" s="3714"/>
      <c r="F88" s="2579"/>
      <c r="G88" s="2579"/>
      <c r="H88" s="2579"/>
      <c r="I88" s="2579"/>
      <c r="J88" s="2579"/>
      <c r="K88" s="2579"/>
      <c r="L88" s="2579"/>
      <c r="M88" s="2579"/>
      <c r="N88" s="2579"/>
      <c r="O88" s="2579"/>
      <c r="P88" s="2579"/>
      <c r="Q88" s="2580"/>
      <c r="R88" s="1224" t="str">
        <f>IF(A86="","",SUM(F88:Q88))</f>
        <v/>
      </c>
      <c r="S88" s="1225" t="str">
        <f>IF(A86="","",IF(R88="","",S$7))</f>
        <v/>
      </c>
      <c r="T88" s="1226" t="str">
        <f>IF(A86="","",(AE87*AL86))</f>
        <v/>
      </c>
      <c r="U88" s="1225" t="str">
        <f>IF(A86="","",IF(T88="","",U$7))</f>
        <v/>
      </c>
      <c r="V88" s="201" t="str">
        <f>IF(A86="","",SUM(V86:V87,R88,T88))</f>
        <v/>
      </c>
      <c r="W88" s="959" t="str">
        <f>IF(D87="","",IF(V88="","",W$7))</f>
        <v/>
      </c>
      <c r="X88" s="3716"/>
      <c r="Y88" s="920">
        <f t="shared" si="33"/>
        <v>0</v>
      </c>
      <c r="Z88" s="1587"/>
      <c r="AA88" s="1587"/>
      <c r="AB88" s="1587"/>
      <c r="AC88" s="1587"/>
      <c r="AD88" s="1587"/>
      <c r="AE88" s="1587"/>
      <c r="AF88" s="1587"/>
      <c r="AG88" s="1587"/>
      <c r="AH88" s="1587"/>
      <c r="AI88" s="1587"/>
      <c r="AJ88" s="1587"/>
      <c r="AK88" s="1587"/>
      <c r="AL88" s="920"/>
      <c r="AM88" s="920"/>
      <c r="AN88" s="920"/>
      <c r="AO88" s="920"/>
      <c r="AP88" s="920"/>
      <c r="AQ88" s="920"/>
      <c r="AR88" s="1592"/>
      <c r="AS88"/>
      <c r="AT88"/>
      <c r="AU88"/>
      <c r="AV88"/>
      <c r="AW88"/>
      <c r="AX88"/>
      <c r="AY88"/>
    </row>
    <row r="89" spans="1:51" ht="30" customHeight="1">
      <c r="A89" s="892" t="str">
        <f>IF('4 Eingabe Friseure'!A41="","",'4 Eingabe Friseure'!A41)</f>
        <v/>
      </c>
      <c r="B89" s="936" t="str">
        <f>IF(B90="","",AA$7)</f>
        <v/>
      </c>
      <c r="C89" s="936" t="str">
        <f>IF(C90="","",AB$7)</f>
        <v/>
      </c>
      <c r="D89" s="893" t="str">
        <f ca="1">IF('1 Erklärung'!AA2="","",'4 Eingabe Friseure'!CD41)</f>
        <v/>
      </c>
      <c r="E89" s="893"/>
      <c r="F89" s="3234" t="str">
        <f t="shared" ref="F89:Q89" si="44">IF(SUM(F90,F91)=0,Z89,SUM(F90,F91,Z89))</f>
        <v/>
      </c>
      <c r="G89" s="3234" t="str">
        <f t="shared" si="44"/>
        <v/>
      </c>
      <c r="H89" s="3234" t="str">
        <f t="shared" si="44"/>
        <v/>
      </c>
      <c r="I89" s="3234" t="str">
        <f t="shared" si="44"/>
        <v/>
      </c>
      <c r="J89" s="3234" t="str">
        <f t="shared" si="44"/>
        <v/>
      </c>
      <c r="K89" s="3234" t="str">
        <f t="shared" si="44"/>
        <v/>
      </c>
      <c r="L89" s="3234" t="str">
        <f t="shared" si="44"/>
        <v/>
      </c>
      <c r="M89" s="3234" t="str">
        <f t="shared" si="44"/>
        <v/>
      </c>
      <c r="N89" s="3234" t="str">
        <f t="shared" si="44"/>
        <v/>
      </c>
      <c r="O89" s="3234" t="str">
        <f t="shared" si="44"/>
        <v/>
      </c>
      <c r="P89" s="3234" t="str">
        <f t="shared" si="44"/>
        <v/>
      </c>
      <c r="Q89" s="3234" t="str">
        <f t="shared" si="44"/>
        <v/>
      </c>
      <c r="R89" s="894" t="str">
        <f ca="1">IF('1 Erklärung'!AA$2="","",IF(A89="","",SUM(F89:Q89)))</f>
        <v/>
      </c>
      <c r="S89" s="205"/>
      <c r="T89" s="1269" t="str">
        <f>IF(A89="","",SUM(R89,-R91,-R90))</f>
        <v/>
      </c>
      <c r="U89" s="1228" t="str">
        <f>IF(A89="","",IF(T89="","",U$5))</f>
        <v/>
      </c>
      <c r="V89" s="1227" t="str">
        <f>IF(A89="","",SUM(T89,R90,T90))</f>
        <v/>
      </c>
      <c r="W89" s="1229" t="str">
        <f>IF(A89="","",IF(V89="","",W$5))</f>
        <v/>
      </c>
      <c r="X89" s="206" t="str">
        <f>IF(A89="","",R89/AL89)</f>
        <v/>
      </c>
      <c r="Y89" s="920"/>
      <c r="Z89" s="1587" t="str">
        <f>IF('4 Eingabe Friseure'!CE41&gt;0.4,'4 Eingabe Friseure'!$CD41*'4 Eingabe Friseure'!CE41,"")</f>
        <v/>
      </c>
      <c r="AA89" s="1587" t="str">
        <f>IF('4 Eingabe Friseure'!CF41&gt;0.4,'4 Eingabe Friseure'!$CD41*'4 Eingabe Friseure'!CF41,"")</f>
        <v/>
      </c>
      <c r="AB89" s="1587" t="str">
        <f>IF('4 Eingabe Friseure'!CG41&gt;0.4,'4 Eingabe Friseure'!$CD41*'4 Eingabe Friseure'!CG41,"")</f>
        <v/>
      </c>
      <c r="AC89" s="1587" t="str">
        <f>IF('4 Eingabe Friseure'!CH41&gt;0.4,'4 Eingabe Friseure'!$CD41*'4 Eingabe Friseure'!CH41,"")</f>
        <v/>
      </c>
      <c r="AD89" s="1587" t="str">
        <f>IF('4 Eingabe Friseure'!CI41&gt;0.4,'4 Eingabe Friseure'!$CD41*'4 Eingabe Friseure'!CI41,"")</f>
        <v/>
      </c>
      <c r="AE89" s="1587" t="str">
        <f>IF('4 Eingabe Friseure'!CJ41&gt;0.4,'4 Eingabe Friseure'!$CD41*'4 Eingabe Friseure'!CJ41,"")</f>
        <v/>
      </c>
      <c r="AF89" s="1587" t="str">
        <f>IF('4 Eingabe Friseure'!CK41&gt;0.4,'4 Eingabe Friseure'!$CD41*'4 Eingabe Friseure'!CK41,"")</f>
        <v/>
      </c>
      <c r="AG89" s="1587" t="str">
        <f>IF('4 Eingabe Friseure'!CL41&gt;0.4,'4 Eingabe Friseure'!$CD41*'4 Eingabe Friseure'!CL41,"")</f>
        <v/>
      </c>
      <c r="AH89" s="1587" t="str">
        <f>IF('4 Eingabe Friseure'!CM41&gt;0.4,'4 Eingabe Friseure'!$CD41*'4 Eingabe Friseure'!CM41,"")</f>
        <v/>
      </c>
      <c r="AI89" s="1587" t="str">
        <f>IF('4 Eingabe Friseure'!CN41&gt;0.4,'4 Eingabe Friseure'!$CD41*'4 Eingabe Friseure'!CN41,"")</f>
        <v/>
      </c>
      <c r="AJ89" s="1587" t="str">
        <f>IF('4 Eingabe Friseure'!CO41&gt;0.4,'4 Eingabe Friseure'!$CD41*'4 Eingabe Friseure'!CO41,"")</f>
        <v/>
      </c>
      <c r="AK89" s="1587" t="str">
        <f>IF('4 Eingabe Friseure'!CP41&gt;0.4,'4 Eingabe Friseure'!$CD41*'4 Eingabe Friseure'!CP41,"")</f>
        <v/>
      </c>
      <c r="AL89" s="920" t="str">
        <f>'4 Eingabe Friseure'!BG41</f>
        <v/>
      </c>
      <c r="AM89" s="920"/>
      <c r="AN89" s="920"/>
      <c r="AO89" s="920"/>
      <c r="AP89" s="920"/>
      <c r="AQ89" s="920"/>
      <c r="AR89" s="1592"/>
      <c r="AS89"/>
      <c r="AT89"/>
      <c r="AU89"/>
      <c r="AV89"/>
      <c r="AW89"/>
      <c r="AX89"/>
      <c r="AY89"/>
    </row>
    <row r="90" spans="1:51" ht="30" customHeight="1">
      <c r="A90" s="934" t="str">
        <f>IF(SUM(AA90:AB90)=0,"",A$6)</f>
        <v/>
      </c>
      <c r="B90" s="1687" t="str">
        <f>IF(AA90=0,"",AA90)</f>
        <v/>
      </c>
      <c r="C90" s="1688" t="str">
        <f>IF(AB90=0,"",AB90)</f>
        <v/>
      </c>
      <c r="D90" s="3711" t="str">
        <f>IF(A89="","",$A$1)</f>
        <v/>
      </c>
      <c r="E90" s="3712"/>
      <c r="F90" s="2578"/>
      <c r="G90" s="2578"/>
      <c r="H90" s="2578"/>
      <c r="I90" s="2578"/>
      <c r="J90" s="2578"/>
      <c r="K90" s="2578"/>
      <c r="L90" s="2578"/>
      <c r="M90" s="2578"/>
      <c r="N90" s="2578"/>
      <c r="O90" s="2578"/>
      <c r="P90" s="2578"/>
      <c r="Q90" s="2578"/>
      <c r="R90" s="1221" t="str">
        <f>IF(A89="","",SUM(F90:Q90))</f>
        <v/>
      </c>
      <c r="S90" s="1222" t="str">
        <f>IF(A89="","",IF(R90="","",S$6))</f>
        <v/>
      </c>
      <c r="T90" s="1221" t="str">
        <f>IF(A89="","",(AL89*AC90))</f>
        <v/>
      </c>
      <c r="U90" s="1223" t="str">
        <f>IF(A89="","",IF(T90="","",U$6))</f>
        <v/>
      </c>
      <c r="V90" s="203" t="str">
        <f>IF(A89="","",SUM(V89)*IF(T89/COUNTIF(F89:Q89,"&gt;0")&lt;$X$4,$W$4,$V$4))</f>
        <v/>
      </c>
      <c r="W90" s="204" t="str">
        <f>IF(A89="","",IF(V90="","",W$6))</f>
        <v/>
      </c>
      <c r="X90" s="3715" t="str">
        <f>IF(A89="","",IF(X89="","",X$6))</f>
        <v/>
      </c>
      <c r="Y90" s="920">
        <f t="shared" si="33"/>
        <v>0</v>
      </c>
      <c r="Z90" s="1587"/>
      <c r="AA90" s="1587">
        <f>'4 Eingabe Friseure'!F41</f>
        <v>0</v>
      </c>
      <c r="AB90" s="1587">
        <f>'4 Eingabe Friseure'!G41</f>
        <v>0</v>
      </c>
      <c r="AC90" s="1587">
        <f>'4 Eingabe Friseure'!H41</f>
        <v>0</v>
      </c>
      <c r="AD90" s="1587">
        <f>'4 Eingabe Friseure'!I41</f>
        <v>0</v>
      </c>
      <c r="AE90" s="1587">
        <f>'4 Eingabe Friseure'!J41</f>
        <v>0</v>
      </c>
      <c r="AF90" s="1587"/>
      <c r="AG90" s="1587"/>
      <c r="AH90" s="1587"/>
      <c r="AI90" s="1587"/>
      <c r="AJ90" s="1587"/>
      <c r="AK90" s="1587"/>
      <c r="AL90" s="920"/>
      <c r="AM90" s="920"/>
      <c r="AN90" s="920"/>
      <c r="AO90" s="920"/>
      <c r="AP90" s="920"/>
      <c r="AQ90" s="920"/>
      <c r="AR90" s="1592"/>
      <c r="AS90"/>
      <c r="AT90"/>
      <c r="AU90"/>
      <c r="AV90"/>
      <c r="AW90"/>
      <c r="AX90"/>
      <c r="AY90"/>
    </row>
    <row r="91" spans="1:51" ht="30" customHeight="1" thickBot="1">
      <c r="A91" s="935" t="str">
        <f>IF(SUM(AD90)=0,"",A$7)</f>
        <v/>
      </c>
      <c r="B91" s="1689"/>
      <c r="C91" s="1690" t="str">
        <f>IF(AD90=0,"",AD90)</f>
        <v/>
      </c>
      <c r="D91" s="3713" t="str">
        <f>IF(C91="","",$A$2)</f>
        <v/>
      </c>
      <c r="E91" s="3714"/>
      <c r="F91" s="2579"/>
      <c r="G91" s="2579"/>
      <c r="H91" s="2579"/>
      <c r="I91" s="2579"/>
      <c r="J91" s="2579"/>
      <c r="K91" s="2579"/>
      <c r="L91" s="2579"/>
      <c r="M91" s="2579"/>
      <c r="N91" s="2579"/>
      <c r="O91" s="2579"/>
      <c r="P91" s="2579"/>
      <c r="Q91" s="2580"/>
      <c r="R91" s="1224" t="str">
        <f>IF(A89="","",SUM(F91:Q91))</f>
        <v/>
      </c>
      <c r="S91" s="1225" t="str">
        <f>IF(A89="","",IF(R91="","",S$7))</f>
        <v/>
      </c>
      <c r="T91" s="1226" t="str">
        <f>IF(A89="","",(AE90*AL89))</f>
        <v/>
      </c>
      <c r="U91" s="1225" t="str">
        <f>IF(A89="","",IF(T91="","",U$7))</f>
        <v/>
      </c>
      <c r="V91" s="201" t="str">
        <f>IF(A89="","",SUM(V89:V90,R91,T91))</f>
        <v/>
      </c>
      <c r="W91" s="959" t="str">
        <f>IF(D90="","",IF(V91="","",W$7))</f>
        <v/>
      </c>
      <c r="X91" s="3716"/>
      <c r="Y91" s="920">
        <f t="shared" si="33"/>
        <v>0</v>
      </c>
      <c r="Z91" s="1587"/>
      <c r="AA91" s="1587"/>
      <c r="AB91" s="1587"/>
      <c r="AC91" s="1587"/>
      <c r="AD91" s="1587"/>
      <c r="AE91" s="1587"/>
      <c r="AF91" s="1587"/>
      <c r="AG91" s="1587"/>
      <c r="AH91" s="1587"/>
      <c r="AI91" s="1587"/>
      <c r="AJ91" s="1587"/>
      <c r="AK91" s="1587"/>
      <c r="AL91" s="920"/>
      <c r="AM91" s="920"/>
      <c r="AN91" s="920"/>
      <c r="AO91" s="920"/>
      <c r="AP91" s="920"/>
      <c r="AQ91" s="920"/>
      <c r="AR91" s="1592"/>
      <c r="AS91"/>
      <c r="AT91"/>
      <c r="AU91"/>
      <c r="AV91"/>
      <c r="AW91"/>
      <c r="AX91"/>
      <c r="AY91"/>
    </row>
    <row r="92" spans="1:51" ht="30" customHeight="1">
      <c r="A92" s="892" t="str">
        <f>IF('4 Eingabe Friseure'!A42="","",'4 Eingabe Friseure'!A42)</f>
        <v/>
      </c>
      <c r="B92" s="936" t="str">
        <f>IF(B93="","",AA$7)</f>
        <v/>
      </c>
      <c r="C92" s="936" t="str">
        <f>IF(C93="","",AB$7)</f>
        <v/>
      </c>
      <c r="D92" s="893" t="str">
        <f ca="1">IF('1 Erklärung'!AA2="","",'4 Eingabe Friseure'!CD42)</f>
        <v/>
      </c>
      <c r="E92" s="893"/>
      <c r="F92" s="3234" t="str">
        <f t="shared" ref="F92:Q92" si="45">IF(SUM(F93,F94)=0,Z92,SUM(F93,F94,Z92))</f>
        <v/>
      </c>
      <c r="G92" s="3234" t="str">
        <f t="shared" si="45"/>
        <v/>
      </c>
      <c r="H92" s="3234" t="str">
        <f t="shared" si="45"/>
        <v/>
      </c>
      <c r="I92" s="3234" t="str">
        <f t="shared" si="45"/>
        <v/>
      </c>
      <c r="J92" s="3234" t="str">
        <f t="shared" si="45"/>
        <v/>
      </c>
      <c r="K92" s="3234" t="str">
        <f t="shared" si="45"/>
        <v/>
      </c>
      <c r="L92" s="3234" t="str">
        <f t="shared" si="45"/>
        <v/>
      </c>
      <c r="M92" s="3234" t="str">
        <f t="shared" si="45"/>
        <v/>
      </c>
      <c r="N92" s="3234" t="str">
        <f t="shared" si="45"/>
        <v/>
      </c>
      <c r="O92" s="3234" t="str">
        <f t="shared" si="45"/>
        <v/>
      </c>
      <c r="P92" s="3234" t="str">
        <f t="shared" si="45"/>
        <v/>
      </c>
      <c r="Q92" s="3234" t="str">
        <f t="shared" si="45"/>
        <v/>
      </c>
      <c r="R92" s="894" t="str">
        <f ca="1">IF('1 Erklärung'!AA$2="","",IF(A92="","",SUM(F92:Q92)))</f>
        <v/>
      </c>
      <c r="S92" s="205"/>
      <c r="T92" s="1269" t="str">
        <f>IF(A92="","",SUM(R92,-R94,-R93))</f>
        <v/>
      </c>
      <c r="U92" s="1228" t="str">
        <f>IF(A92="","",IF(T92="","",U$5))</f>
        <v/>
      </c>
      <c r="V92" s="1227" t="str">
        <f>IF(A92="","",SUM(T92,R93,T93))</f>
        <v/>
      </c>
      <c r="W92" s="1229" t="str">
        <f>IF(A92="","",IF(V92="","",W$5))</f>
        <v/>
      </c>
      <c r="X92" s="206" t="str">
        <f>IF(A92="","",R92/AL92)</f>
        <v/>
      </c>
      <c r="Y92" s="920"/>
      <c r="Z92" s="1587" t="str">
        <f>IF('4 Eingabe Friseure'!CE42&gt;0.4,'4 Eingabe Friseure'!$CD42*'4 Eingabe Friseure'!CE42,"")</f>
        <v/>
      </c>
      <c r="AA92" s="1587" t="str">
        <f>IF('4 Eingabe Friseure'!CF42&gt;0.4,'4 Eingabe Friseure'!$CD42*'4 Eingabe Friseure'!CF42,"")</f>
        <v/>
      </c>
      <c r="AB92" s="1587" t="str">
        <f>IF('4 Eingabe Friseure'!CG42&gt;0.4,'4 Eingabe Friseure'!$CD42*'4 Eingabe Friseure'!CG42,"")</f>
        <v/>
      </c>
      <c r="AC92" s="1587" t="str">
        <f>IF('4 Eingabe Friseure'!CH42&gt;0.4,'4 Eingabe Friseure'!$CD42*'4 Eingabe Friseure'!CH42,"")</f>
        <v/>
      </c>
      <c r="AD92" s="1587" t="str">
        <f>IF('4 Eingabe Friseure'!CI42&gt;0.4,'4 Eingabe Friseure'!$CD42*'4 Eingabe Friseure'!CI42,"")</f>
        <v/>
      </c>
      <c r="AE92" s="1587" t="str">
        <f>IF('4 Eingabe Friseure'!CJ42&gt;0.4,'4 Eingabe Friseure'!$CD42*'4 Eingabe Friseure'!CJ42,"")</f>
        <v/>
      </c>
      <c r="AF92" s="1587" t="str">
        <f>IF('4 Eingabe Friseure'!CK42&gt;0.4,'4 Eingabe Friseure'!$CD42*'4 Eingabe Friseure'!CK42,"")</f>
        <v/>
      </c>
      <c r="AG92" s="1587" t="str">
        <f>IF('4 Eingabe Friseure'!CL42&gt;0.4,'4 Eingabe Friseure'!$CD42*'4 Eingabe Friseure'!CL42,"")</f>
        <v/>
      </c>
      <c r="AH92" s="1587" t="str">
        <f>IF('4 Eingabe Friseure'!CM42&gt;0.4,'4 Eingabe Friseure'!$CD42*'4 Eingabe Friseure'!CM42,"")</f>
        <v/>
      </c>
      <c r="AI92" s="1587" t="str">
        <f>IF('4 Eingabe Friseure'!CN42&gt;0.4,'4 Eingabe Friseure'!$CD42*'4 Eingabe Friseure'!CN42,"")</f>
        <v/>
      </c>
      <c r="AJ92" s="1587" t="str">
        <f>IF('4 Eingabe Friseure'!CO42&gt;0.4,'4 Eingabe Friseure'!$CD42*'4 Eingabe Friseure'!CO42,"")</f>
        <v/>
      </c>
      <c r="AK92" s="1587" t="str">
        <f>IF('4 Eingabe Friseure'!CP42&gt;0.4,'4 Eingabe Friseure'!$CD42*'4 Eingabe Friseure'!CP42,"")</f>
        <v/>
      </c>
      <c r="AL92" s="920" t="str">
        <f>'4 Eingabe Friseure'!BG42</f>
        <v/>
      </c>
      <c r="AM92" s="920"/>
      <c r="AN92" s="920"/>
      <c r="AO92" s="920"/>
      <c r="AP92" s="920"/>
      <c r="AQ92" s="920"/>
      <c r="AR92" s="1592"/>
      <c r="AS92"/>
      <c r="AT92"/>
      <c r="AU92"/>
      <c r="AV92"/>
      <c r="AW92"/>
      <c r="AX92"/>
      <c r="AY92"/>
    </row>
    <row r="93" spans="1:51" ht="30" customHeight="1">
      <c r="A93" s="934" t="str">
        <f>IF(SUM(AA93:AB93)=0,"",A$6)</f>
        <v/>
      </c>
      <c r="B93" s="1687" t="str">
        <f>IF(AA93=0,"",AA93)</f>
        <v/>
      </c>
      <c r="C93" s="1688" t="str">
        <f>IF(AB93=0,"",AB93)</f>
        <v/>
      </c>
      <c r="D93" s="3711" t="str">
        <f>IF(A92="","",$A$1)</f>
        <v/>
      </c>
      <c r="E93" s="3712"/>
      <c r="F93" s="2578"/>
      <c r="G93" s="2578"/>
      <c r="H93" s="2578"/>
      <c r="I93" s="2578"/>
      <c r="J93" s="2578"/>
      <c r="K93" s="2578"/>
      <c r="L93" s="2578"/>
      <c r="M93" s="2578"/>
      <c r="N93" s="2578"/>
      <c r="O93" s="2578"/>
      <c r="P93" s="2578"/>
      <c r="Q93" s="2578"/>
      <c r="R93" s="1221" t="str">
        <f>IF(A92="","",SUM(F93:Q93))</f>
        <v/>
      </c>
      <c r="S93" s="1222" t="str">
        <f>IF(A92="","",IF(R93="","",S$6))</f>
        <v/>
      </c>
      <c r="T93" s="1221" t="str">
        <f>IF(A92="","",(AL92*AC93))</f>
        <v/>
      </c>
      <c r="U93" s="1223" t="str">
        <f>IF(A92="","",IF(T93="","",U$6))</f>
        <v/>
      </c>
      <c r="V93" s="203" t="str">
        <f>IF(A92="","",SUM(V92)*IF(T92/COUNTIF(F92:Q92,"&gt;0")&lt;$X$4,$W$4,$V$4))</f>
        <v/>
      </c>
      <c r="W93" s="204" t="str">
        <f>IF(A92="","",IF(V93="","",W$6))</f>
        <v/>
      </c>
      <c r="X93" s="3715" t="str">
        <f>IF(A92="","",IF(X92="","",X$6))</f>
        <v/>
      </c>
      <c r="Y93" s="920">
        <f t="shared" si="33"/>
        <v>0</v>
      </c>
      <c r="Z93" s="1587"/>
      <c r="AA93" s="1587">
        <f>'4 Eingabe Friseure'!F42</f>
        <v>0</v>
      </c>
      <c r="AB93" s="1587">
        <f>'4 Eingabe Friseure'!G42</f>
        <v>0</v>
      </c>
      <c r="AC93" s="1587">
        <f>'4 Eingabe Friseure'!H42</f>
        <v>0</v>
      </c>
      <c r="AD93" s="1587">
        <f>'4 Eingabe Friseure'!I42</f>
        <v>0</v>
      </c>
      <c r="AE93" s="1587">
        <f>'4 Eingabe Friseure'!J42</f>
        <v>0</v>
      </c>
      <c r="AF93" s="1587"/>
      <c r="AG93" s="1587"/>
      <c r="AH93" s="1587"/>
      <c r="AI93" s="1587"/>
      <c r="AJ93" s="1587"/>
      <c r="AK93" s="1587"/>
      <c r="AL93" s="920"/>
      <c r="AM93" s="920"/>
      <c r="AN93" s="920"/>
      <c r="AO93" s="920"/>
      <c r="AP93" s="920"/>
      <c r="AQ93" s="920"/>
      <c r="AR93" s="1592"/>
      <c r="AS93"/>
      <c r="AT93"/>
      <c r="AU93"/>
      <c r="AV93"/>
      <c r="AW93"/>
      <c r="AX93"/>
      <c r="AY93"/>
    </row>
    <row r="94" spans="1:51" ht="30" customHeight="1" thickBot="1">
      <c r="A94" s="935" t="str">
        <f>IF(SUM(AD93)=0,"",A$7)</f>
        <v/>
      </c>
      <c r="B94" s="1689"/>
      <c r="C94" s="1690" t="str">
        <f>IF(AD93=0,"",AD93)</f>
        <v/>
      </c>
      <c r="D94" s="3713" t="str">
        <f>IF(C94="","",$A$2)</f>
        <v/>
      </c>
      <c r="E94" s="3714"/>
      <c r="F94" s="2579"/>
      <c r="G94" s="2579"/>
      <c r="H94" s="2579"/>
      <c r="I94" s="2579"/>
      <c r="J94" s="2579"/>
      <c r="K94" s="2579"/>
      <c r="L94" s="2579"/>
      <c r="M94" s="2579"/>
      <c r="N94" s="2579"/>
      <c r="O94" s="2579"/>
      <c r="P94" s="2579"/>
      <c r="Q94" s="2580"/>
      <c r="R94" s="1224" t="str">
        <f>IF(A92="","",SUM(F94:Q94))</f>
        <v/>
      </c>
      <c r="S94" s="1225" t="str">
        <f>IF(A92="","",IF(R94="","",S$7))</f>
        <v/>
      </c>
      <c r="T94" s="1226" t="str">
        <f>IF(A92="","",(AE93*AL92))</f>
        <v/>
      </c>
      <c r="U94" s="1225" t="str">
        <f>IF(A92="","",IF(T94="","",U$7))</f>
        <v/>
      </c>
      <c r="V94" s="201" t="str">
        <f>IF(A92="","",SUM(V92:V93,R94,T94))</f>
        <v/>
      </c>
      <c r="W94" s="959" t="str">
        <f>IF(D93="","",IF(V94="","",W$7))</f>
        <v/>
      </c>
      <c r="X94" s="3716"/>
      <c r="Y94" s="920">
        <f t="shared" si="33"/>
        <v>0</v>
      </c>
      <c r="Z94" s="1587"/>
      <c r="AA94" s="1587"/>
      <c r="AB94" s="1587"/>
      <c r="AC94" s="1587"/>
      <c r="AD94" s="1587"/>
      <c r="AE94" s="1587"/>
      <c r="AF94" s="1587"/>
      <c r="AG94" s="1587"/>
      <c r="AH94" s="1587"/>
      <c r="AI94" s="1587"/>
      <c r="AJ94" s="1587"/>
      <c r="AK94" s="1587"/>
      <c r="AL94" s="920"/>
      <c r="AM94" s="920"/>
      <c r="AN94" s="920"/>
      <c r="AO94" s="920"/>
      <c r="AP94" s="920"/>
      <c r="AQ94" s="920"/>
      <c r="AR94" s="1592"/>
      <c r="AS94"/>
      <c r="AT94"/>
      <c r="AU94"/>
      <c r="AV94"/>
      <c r="AW94"/>
      <c r="AX94"/>
      <c r="AY94"/>
    </row>
    <row r="95" spans="1:51" ht="30" customHeight="1">
      <c r="A95" s="892" t="str">
        <f>IF('4 Eingabe Friseure'!A43="","",'4 Eingabe Friseure'!A43)</f>
        <v/>
      </c>
      <c r="B95" s="936" t="str">
        <f>IF(B96="","",AA$7)</f>
        <v/>
      </c>
      <c r="C95" s="936" t="str">
        <f>IF(C96="","",AB$7)</f>
        <v/>
      </c>
      <c r="D95" s="893" t="str">
        <f ca="1">IF('1 Erklärung'!AA2="","",'4 Eingabe Friseure'!CD43)</f>
        <v/>
      </c>
      <c r="E95" s="893"/>
      <c r="F95" s="3234" t="str">
        <f t="shared" ref="F95:Q95" si="46">IF(SUM(F96,F97)=0,Z95,SUM(F96,F97,Z95))</f>
        <v/>
      </c>
      <c r="G95" s="3234" t="str">
        <f t="shared" si="46"/>
        <v/>
      </c>
      <c r="H95" s="3234" t="str">
        <f t="shared" si="46"/>
        <v/>
      </c>
      <c r="I95" s="3234" t="str">
        <f t="shared" si="46"/>
        <v/>
      </c>
      <c r="J95" s="3234" t="str">
        <f t="shared" si="46"/>
        <v/>
      </c>
      <c r="K95" s="3234" t="str">
        <f t="shared" si="46"/>
        <v/>
      </c>
      <c r="L95" s="3234" t="str">
        <f t="shared" si="46"/>
        <v/>
      </c>
      <c r="M95" s="3234" t="str">
        <f t="shared" si="46"/>
        <v/>
      </c>
      <c r="N95" s="3234" t="str">
        <f t="shared" si="46"/>
        <v/>
      </c>
      <c r="O95" s="3234" t="str">
        <f t="shared" si="46"/>
        <v/>
      </c>
      <c r="P95" s="3234" t="str">
        <f t="shared" si="46"/>
        <v/>
      </c>
      <c r="Q95" s="3234" t="str">
        <f t="shared" si="46"/>
        <v/>
      </c>
      <c r="R95" s="894" t="str">
        <f ca="1">IF('1 Erklärung'!AA$2="","",IF(A95="","",SUM(F95:Q95)))</f>
        <v/>
      </c>
      <c r="S95" s="205"/>
      <c r="T95" s="1269" t="str">
        <f>IF(A95="","",SUM(R95,-R97,-R96))</f>
        <v/>
      </c>
      <c r="U95" s="1228" t="str">
        <f>IF(A95="","",IF(T95="","",U$5))</f>
        <v/>
      </c>
      <c r="V95" s="1227" t="str">
        <f>IF(A95="","",SUM(T95,R96,T96))</f>
        <v/>
      </c>
      <c r="W95" s="1229" t="str">
        <f>IF(A95="","",IF(V95="","",W$5))</f>
        <v/>
      </c>
      <c r="X95" s="206" t="str">
        <f>IF(A95="","",R95/AL95)</f>
        <v/>
      </c>
      <c r="Y95" s="920"/>
      <c r="Z95" s="1587" t="str">
        <f>IF('4 Eingabe Friseure'!CE43&gt;0.4,'4 Eingabe Friseure'!$CD43*'4 Eingabe Friseure'!CE43,"")</f>
        <v/>
      </c>
      <c r="AA95" s="1587" t="str">
        <f>IF('4 Eingabe Friseure'!CF43&gt;0.4,'4 Eingabe Friseure'!$CD43*'4 Eingabe Friseure'!CF43,"")</f>
        <v/>
      </c>
      <c r="AB95" s="1587" t="str">
        <f>IF('4 Eingabe Friseure'!CG43&gt;0.4,'4 Eingabe Friseure'!$CD43*'4 Eingabe Friseure'!CG43,"")</f>
        <v/>
      </c>
      <c r="AC95" s="1587" t="str">
        <f>IF('4 Eingabe Friseure'!CH43&gt;0.4,'4 Eingabe Friseure'!$CD43*'4 Eingabe Friseure'!CH43,"")</f>
        <v/>
      </c>
      <c r="AD95" s="1587" t="str">
        <f>IF('4 Eingabe Friseure'!CI43&gt;0.4,'4 Eingabe Friseure'!$CD43*'4 Eingabe Friseure'!CI43,"")</f>
        <v/>
      </c>
      <c r="AE95" s="1587" t="str">
        <f>IF('4 Eingabe Friseure'!CJ43&gt;0.4,'4 Eingabe Friseure'!$CD43*'4 Eingabe Friseure'!CJ43,"")</f>
        <v/>
      </c>
      <c r="AF95" s="1587" t="str">
        <f>IF('4 Eingabe Friseure'!CK43&gt;0.4,'4 Eingabe Friseure'!$CD43*'4 Eingabe Friseure'!CK43,"")</f>
        <v/>
      </c>
      <c r="AG95" s="1587" t="str">
        <f>IF('4 Eingabe Friseure'!CL43&gt;0.4,'4 Eingabe Friseure'!$CD43*'4 Eingabe Friseure'!CL43,"")</f>
        <v/>
      </c>
      <c r="AH95" s="1587" t="str">
        <f>IF('4 Eingabe Friseure'!CM43&gt;0.4,'4 Eingabe Friseure'!$CD43*'4 Eingabe Friseure'!CM43,"")</f>
        <v/>
      </c>
      <c r="AI95" s="1587" t="str">
        <f>IF('4 Eingabe Friseure'!CN43&gt;0.4,'4 Eingabe Friseure'!$CD43*'4 Eingabe Friseure'!CN43,"")</f>
        <v/>
      </c>
      <c r="AJ95" s="1587" t="str">
        <f>IF('4 Eingabe Friseure'!CO43&gt;0.4,'4 Eingabe Friseure'!$CD43*'4 Eingabe Friseure'!CO43,"")</f>
        <v/>
      </c>
      <c r="AK95" s="1587" t="str">
        <f>IF('4 Eingabe Friseure'!CP43&gt;0.4,'4 Eingabe Friseure'!$CD43*'4 Eingabe Friseure'!CP43,"")</f>
        <v/>
      </c>
      <c r="AL95" s="920" t="str">
        <f>'4 Eingabe Friseure'!BG43</f>
        <v/>
      </c>
      <c r="AM95" s="920"/>
      <c r="AN95" s="920"/>
      <c r="AO95" s="920"/>
      <c r="AP95" s="920"/>
      <c r="AQ95" s="920"/>
      <c r="AR95" s="1592"/>
      <c r="AS95"/>
      <c r="AT95"/>
      <c r="AU95"/>
      <c r="AV95"/>
      <c r="AW95"/>
      <c r="AX95"/>
      <c r="AY95"/>
    </row>
    <row r="96" spans="1:51" ht="30" customHeight="1">
      <c r="A96" s="934" t="str">
        <f>IF(SUM(AA96:AB96)=0,"",A$6)</f>
        <v/>
      </c>
      <c r="B96" s="1687" t="str">
        <f>IF(AA96=0,"",AA96)</f>
        <v/>
      </c>
      <c r="C96" s="1688" t="str">
        <f>IF(AB96=0,"",AB96)</f>
        <v/>
      </c>
      <c r="D96" s="3711" t="str">
        <f>IF(A95="","",$A$1)</f>
        <v/>
      </c>
      <c r="E96" s="3712"/>
      <c r="F96" s="2578"/>
      <c r="G96" s="2578"/>
      <c r="H96" s="2578"/>
      <c r="I96" s="2578"/>
      <c r="J96" s="2578"/>
      <c r="K96" s="2578"/>
      <c r="L96" s="2578"/>
      <c r="M96" s="2578"/>
      <c r="N96" s="2578"/>
      <c r="O96" s="2578"/>
      <c r="P96" s="2578"/>
      <c r="Q96" s="2578"/>
      <c r="R96" s="1221" t="str">
        <f>IF(A95="","",SUM(F96:Q96))</f>
        <v/>
      </c>
      <c r="S96" s="1222" t="str">
        <f>IF(A95="","",IF(R96="","",S$6))</f>
        <v/>
      </c>
      <c r="T96" s="1221" t="str">
        <f>IF(A95="","",(AL95*AC96))</f>
        <v/>
      </c>
      <c r="U96" s="1223" t="str">
        <f>IF(A95="","",IF(T96="","",U$6))</f>
        <v/>
      </c>
      <c r="V96" s="203" t="str">
        <f>IF(A95="","",SUM(V95)*IF(T95/COUNTIF(F95:Q95,"&gt;0")&lt;$X$4,$W$4,$V$4))</f>
        <v/>
      </c>
      <c r="W96" s="204" t="str">
        <f>IF(A95="","",IF(V96="","",W$6))</f>
        <v/>
      </c>
      <c r="X96" s="3715" t="str">
        <f>IF(A95="","",IF(X95="","",X$6))</f>
        <v/>
      </c>
      <c r="Y96" s="920">
        <f t="shared" si="33"/>
        <v>0</v>
      </c>
      <c r="Z96" s="1587"/>
      <c r="AA96" s="1587">
        <f>'4 Eingabe Friseure'!F43</f>
        <v>0</v>
      </c>
      <c r="AB96" s="1587">
        <f>'4 Eingabe Friseure'!G43</f>
        <v>0</v>
      </c>
      <c r="AC96" s="1587">
        <f>'4 Eingabe Friseure'!H43</f>
        <v>0</v>
      </c>
      <c r="AD96" s="1587">
        <f>'4 Eingabe Friseure'!I43</f>
        <v>0</v>
      </c>
      <c r="AE96" s="1587">
        <f>'4 Eingabe Friseure'!J43</f>
        <v>0</v>
      </c>
      <c r="AF96" s="1587"/>
      <c r="AG96" s="1587"/>
      <c r="AH96" s="1587"/>
      <c r="AI96" s="1587"/>
      <c r="AJ96" s="1587"/>
      <c r="AK96" s="1587"/>
      <c r="AL96" s="920"/>
      <c r="AM96" s="920"/>
      <c r="AN96" s="920"/>
      <c r="AO96" s="920"/>
      <c r="AP96" s="920"/>
      <c r="AQ96" s="920"/>
      <c r="AR96" s="1592"/>
      <c r="AS96"/>
      <c r="AT96"/>
      <c r="AU96"/>
      <c r="AV96"/>
      <c r="AW96"/>
      <c r="AX96"/>
      <c r="AY96"/>
    </row>
    <row r="97" spans="1:51" ht="30" customHeight="1" thickBot="1">
      <c r="A97" s="935" t="str">
        <f>IF(SUM(AD96)=0,"",A$7)</f>
        <v/>
      </c>
      <c r="B97" s="1689"/>
      <c r="C97" s="1690" t="str">
        <f>IF(AD96=0,"",AD96)</f>
        <v/>
      </c>
      <c r="D97" s="3713" t="str">
        <f>IF(C97="","",$A$2)</f>
        <v/>
      </c>
      <c r="E97" s="3714"/>
      <c r="F97" s="2579"/>
      <c r="G97" s="2579"/>
      <c r="H97" s="2579"/>
      <c r="I97" s="2579"/>
      <c r="J97" s="2579"/>
      <c r="K97" s="2579"/>
      <c r="L97" s="2579"/>
      <c r="M97" s="2579"/>
      <c r="N97" s="2579"/>
      <c r="O97" s="2579"/>
      <c r="P97" s="2579"/>
      <c r="Q97" s="2580"/>
      <c r="R97" s="1224" t="str">
        <f>IF(A95="","",SUM(F97:Q97))</f>
        <v/>
      </c>
      <c r="S97" s="1225" t="str">
        <f>IF(A95="","",IF(R97="","",S$7))</f>
        <v/>
      </c>
      <c r="T97" s="1226" t="str">
        <f>IF(A95="","",(AE96*AL95))</f>
        <v/>
      </c>
      <c r="U97" s="1225" t="str">
        <f>IF(A95="","",IF(T97="","",U$7))</f>
        <v/>
      </c>
      <c r="V97" s="201" t="str">
        <f>IF(A95="","",SUM(V95:V96,R97,T97))</f>
        <v/>
      </c>
      <c r="W97" s="959" t="str">
        <f>IF(D96="","",IF(V97="","",W$7))</f>
        <v/>
      </c>
      <c r="X97" s="3716"/>
      <c r="Y97" s="920">
        <f t="shared" si="33"/>
        <v>0</v>
      </c>
      <c r="Z97" s="1587"/>
      <c r="AA97" s="1587"/>
      <c r="AB97" s="1587"/>
      <c r="AC97" s="1587"/>
      <c r="AD97" s="1587"/>
      <c r="AE97" s="1587"/>
      <c r="AF97" s="1587"/>
      <c r="AG97" s="1587"/>
      <c r="AH97" s="1587"/>
      <c r="AI97" s="1587"/>
      <c r="AJ97" s="1587"/>
      <c r="AK97" s="1587"/>
      <c r="AL97" s="920"/>
      <c r="AM97" s="920"/>
      <c r="AN97" s="920"/>
      <c r="AO97" s="920"/>
      <c r="AP97" s="920"/>
      <c r="AQ97" s="920"/>
      <c r="AR97" s="1592"/>
      <c r="AS97"/>
      <c r="AT97"/>
      <c r="AU97"/>
      <c r="AV97"/>
      <c r="AW97"/>
      <c r="AX97"/>
      <c r="AY97"/>
    </row>
    <row r="98" spans="1:51" ht="30" customHeight="1">
      <c r="A98" s="892" t="str">
        <f>IF('4 Eingabe Friseure'!A44="","",'4 Eingabe Friseure'!A44)</f>
        <v/>
      </c>
      <c r="B98" s="936" t="str">
        <f>IF(B99="","",AA$7)</f>
        <v/>
      </c>
      <c r="C98" s="936" t="str">
        <f>IF(C99="","",AB$7)</f>
        <v/>
      </c>
      <c r="D98" s="893" t="str">
        <f ca="1">IF('1 Erklärung'!AA2="","",'4 Eingabe Friseure'!CD44)</f>
        <v/>
      </c>
      <c r="E98" s="893"/>
      <c r="F98" s="3234" t="str">
        <f t="shared" ref="F98:Q98" si="47">IF(SUM(F99,F100)=0,Z98,SUM(F99,F100,Z98))</f>
        <v/>
      </c>
      <c r="G98" s="3234" t="str">
        <f t="shared" si="47"/>
        <v/>
      </c>
      <c r="H98" s="3234" t="str">
        <f t="shared" si="47"/>
        <v/>
      </c>
      <c r="I98" s="3234" t="str">
        <f t="shared" si="47"/>
        <v/>
      </c>
      <c r="J98" s="3234" t="str">
        <f t="shared" si="47"/>
        <v/>
      </c>
      <c r="K98" s="3234" t="str">
        <f t="shared" si="47"/>
        <v/>
      </c>
      <c r="L98" s="3234" t="str">
        <f t="shared" si="47"/>
        <v/>
      </c>
      <c r="M98" s="3234" t="str">
        <f t="shared" si="47"/>
        <v/>
      </c>
      <c r="N98" s="3234" t="str">
        <f t="shared" si="47"/>
        <v/>
      </c>
      <c r="O98" s="3234" t="str">
        <f t="shared" si="47"/>
        <v/>
      </c>
      <c r="P98" s="3234" t="str">
        <f t="shared" si="47"/>
        <v/>
      </c>
      <c r="Q98" s="3234" t="str">
        <f t="shared" si="47"/>
        <v/>
      </c>
      <c r="R98" s="894" t="str">
        <f ca="1">IF('1 Erklärung'!AA$2="","",IF(A98="","",SUM(F98:Q98)))</f>
        <v/>
      </c>
      <c r="S98" s="205"/>
      <c r="T98" s="1269" t="str">
        <f>IF(A98="","",SUM(R98,-R100,-R99))</f>
        <v/>
      </c>
      <c r="U98" s="1228" t="str">
        <f>IF(A98="","",IF(T98="","",U$5))</f>
        <v/>
      </c>
      <c r="V98" s="1227" t="str">
        <f>IF(A98="","",SUM(T98,R99,T99))</f>
        <v/>
      </c>
      <c r="W98" s="1229" t="str">
        <f>IF(A98="","",IF(V98="","",W$5))</f>
        <v/>
      </c>
      <c r="X98" s="206" t="str">
        <f>IF(A98="","",R98/AL98)</f>
        <v/>
      </c>
      <c r="Y98" s="920"/>
      <c r="Z98" s="1587" t="str">
        <f>IF('4 Eingabe Friseure'!CE44&gt;0.4,'4 Eingabe Friseure'!$CD44*'4 Eingabe Friseure'!CE44,"")</f>
        <v/>
      </c>
      <c r="AA98" s="1587" t="str">
        <f>IF('4 Eingabe Friseure'!CF44&gt;0.4,'4 Eingabe Friseure'!$CD44*'4 Eingabe Friseure'!CF44,"")</f>
        <v/>
      </c>
      <c r="AB98" s="1587" t="str">
        <f>IF('4 Eingabe Friseure'!CG44&gt;0.4,'4 Eingabe Friseure'!$CD44*'4 Eingabe Friseure'!CG44,"")</f>
        <v/>
      </c>
      <c r="AC98" s="1587" t="str">
        <f>IF('4 Eingabe Friseure'!CH44&gt;0.4,'4 Eingabe Friseure'!$CD44*'4 Eingabe Friseure'!CH44,"")</f>
        <v/>
      </c>
      <c r="AD98" s="1587" t="str">
        <f>IF('4 Eingabe Friseure'!CI44&gt;0.4,'4 Eingabe Friseure'!$CD44*'4 Eingabe Friseure'!CI44,"")</f>
        <v/>
      </c>
      <c r="AE98" s="1587" t="str">
        <f>IF('4 Eingabe Friseure'!CJ44&gt;0.4,'4 Eingabe Friseure'!$CD44*'4 Eingabe Friseure'!CJ44,"")</f>
        <v/>
      </c>
      <c r="AF98" s="1587" t="str">
        <f>IF('4 Eingabe Friseure'!CK44&gt;0.4,'4 Eingabe Friseure'!$CD44*'4 Eingabe Friseure'!CK44,"")</f>
        <v/>
      </c>
      <c r="AG98" s="1587" t="str">
        <f>IF('4 Eingabe Friseure'!CL44&gt;0.4,'4 Eingabe Friseure'!$CD44*'4 Eingabe Friseure'!CL44,"")</f>
        <v/>
      </c>
      <c r="AH98" s="1587" t="str">
        <f>IF('4 Eingabe Friseure'!CM44&gt;0.4,'4 Eingabe Friseure'!$CD44*'4 Eingabe Friseure'!CM44,"")</f>
        <v/>
      </c>
      <c r="AI98" s="1587" t="str">
        <f>IF('4 Eingabe Friseure'!CN44&gt;0.4,'4 Eingabe Friseure'!$CD44*'4 Eingabe Friseure'!CN44,"")</f>
        <v/>
      </c>
      <c r="AJ98" s="1587" t="str">
        <f>IF('4 Eingabe Friseure'!CO44&gt;0.4,'4 Eingabe Friseure'!$CD44*'4 Eingabe Friseure'!CO44,"")</f>
        <v/>
      </c>
      <c r="AK98" s="1587" t="str">
        <f>IF('4 Eingabe Friseure'!CP44&gt;0.4,'4 Eingabe Friseure'!$CD44*'4 Eingabe Friseure'!CP44,"")</f>
        <v/>
      </c>
      <c r="AL98" s="920" t="str">
        <f>'4 Eingabe Friseure'!BG44</f>
        <v/>
      </c>
      <c r="AM98" s="920"/>
      <c r="AN98" s="920"/>
      <c r="AO98" s="920"/>
      <c r="AP98" s="920"/>
      <c r="AQ98" s="920"/>
      <c r="AR98" s="1592"/>
      <c r="AS98"/>
      <c r="AT98"/>
      <c r="AU98"/>
      <c r="AV98"/>
      <c r="AW98"/>
      <c r="AX98"/>
      <c r="AY98"/>
    </row>
    <row r="99" spans="1:51" ht="30" customHeight="1">
      <c r="A99" s="934" t="str">
        <f>IF(SUM(AA99:AB99)=0,"",A$6)</f>
        <v/>
      </c>
      <c r="B99" s="1687" t="str">
        <f>IF(AA99=0,"",AA99)</f>
        <v/>
      </c>
      <c r="C99" s="1688" t="str">
        <f>IF(AB99=0,"",AB99)</f>
        <v/>
      </c>
      <c r="D99" s="3711" t="str">
        <f>IF(A98="","",$A$1)</f>
        <v/>
      </c>
      <c r="E99" s="3712"/>
      <c r="F99" s="2578"/>
      <c r="G99" s="2578"/>
      <c r="H99" s="2578"/>
      <c r="I99" s="2578"/>
      <c r="J99" s="2578"/>
      <c r="K99" s="2578"/>
      <c r="L99" s="2578"/>
      <c r="M99" s="2578"/>
      <c r="N99" s="2578"/>
      <c r="O99" s="2578"/>
      <c r="P99" s="2578"/>
      <c r="Q99" s="2578"/>
      <c r="R99" s="1221" t="str">
        <f>IF(A98="","",SUM(F99:Q99))</f>
        <v/>
      </c>
      <c r="S99" s="1222" t="str">
        <f>IF(A98="","",IF(R99="","",S$6))</f>
        <v/>
      </c>
      <c r="T99" s="1221" t="str">
        <f>IF(A98="","",(AL98*AC99))</f>
        <v/>
      </c>
      <c r="U99" s="1223" t="str">
        <f>IF(A98="","",IF(T99="","",U$6))</f>
        <v/>
      </c>
      <c r="V99" s="203" t="str">
        <f>IF(A98="","",SUM(V98)*IF(T98/COUNTIF(F98:Q98,"&gt;0")&lt;$X$4,$W$4,$V$4))</f>
        <v/>
      </c>
      <c r="W99" s="204" t="str">
        <f>IF(A98="","",IF(V99="","",W$6))</f>
        <v/>
      </c>
      <c r="X99" s="3715" t="str">
        <f>IF(A98="","",IF(X98="","",X$6))</f>
        <v/>
      </c>
      <c r="Y99" s="920">
        <f t="shared" si="33"/>
        <v>0</v>
      </c>
      <c r="Z99" s="1587"/>
      <c r="AA99" s="1587">
        <f>'4 Eingabe Friseure'!F44</f>
        <v>0</v>
      </c>
      <c r="AB99" s="1587">
        <f>'4 Eingabe Friseure'!G44</f>
        <v>0</v>
      </c>
      <c r="AC99" s="1587">
        <f>'4 Eingabe Friseure'!H44</f>
        <v>0</v>
      </c>
      <c r="AD99" s="1587">
        <f>'4 Eingabe Friseure'!I44</f>
        <v>0</v>
      </c>
      <c r="AE99" s="1587">
        <f>'4 Eingabe Friseure'!J44</f>
        <v>0</v>
      </c>
      <c r="AF99" s="1587"/>
      <c r="AG99" s="1587"/>
      <c r="AH99" s="1587"/>
      <c r="AI99" s="1587"/>
      <c r="AJ99" s="1587"/>
      <c r="AK99" s="1587"/>
      <c r="AL99" s="920"/>
      <c r="AM99" s="920"/>
      <c r="AN99" s="920"/>
      <c r="AO99" s="920"/>
      <c r="AP99" s="920"/>
      <c r="AQ99" s="920"/>
      <c r="AR99" s="1592"/>
      <c r="AS99"/>
      <c r="AT99"/>
      <c r="AU99"/>
      <c r="AV99"/>
      <c r="AW99"/>
      <c r="AX99"/>
      <c r="AY99"/>
    </row>
    <row r="100" spans="1:51" ht="30" customHeight="1" thickBot="1">
      <c r="A100" s="935" t="str">
        <f>IF(SUM(AD99)=0,"",A$7)</f>
        <v/>
      </c>
      <c r="B100" s="1689"/>
      <c r="C100" s="1690" t="str">
        <f>IF(AD99=0,"",AD99)</f>
        <v/>
      </c>
      <c r="D100" s="3713" t="str">
        <f>IF(C100="","",$A$2)</f>
        <v/>
      </c>
      <c r="E100" s="3714"/>
      <c r="F100" s="2579"/>
      <c r="G100" s="2579"/>
      <c r="H100" s="2579"/>
      <c r="I100" s="2579"/>
      <c r="J100" s="2579"/>
      <c r="K100" s="2579"/>
      <c r="L100" s="2579"/>
      <c r="M100" s="2579"/>
      <c r="N100" s="2579"/>
      <c r="O100" s="2579"/>
      <c r="P100" s="2579"/>
      <c r="Q100" s="2580"/>
      <c r="R100" s="1224" t="str">
        <f>IF(A98="","",SUM(F100:Q100))</f>
        <v/>
      </c>
      <c r="S100" s="1225" t="str">
        <f>IF(A98="","",IF(R100="","",S$7))</f>
        <v/>
      </c>
      <c r="T100" s="1226" t="str">
        <f>IF(A98="","",(AE99*AL98))</f>
        <v/>
      </c>
      <c r="U100" s="1225" t="str">
        <f>IF(A98="","",IF(T100="","",U$7))</f>
        <v/>
      </c>
      <c r="V100" s="201" t="str">
        <f>IF(A98="","",SUM(V98:V99,R100,T100))</f>
        <v/>
      </c>
      <c r="W100" s="959" t="str">
        <f>IF(D99="","",IF(V100="","",W$7))</f>
        <v/>
      </c>
      <c r="X100" s="3716"/>
      <c r="Y100" s="920">
        <f t="shared" si="33"/>
        <v>0</v>
      </c>
      <c r="Z100" s="1587"/>
      <c r="AA100" s="1587"/>
      <c r="AB100" s="1587"/>
      <c r="AC100" s="1587"/>
      <c r="AD100" s="1587"/>
      <c r="AE100" s="1587"/>
      <c r="AF100" s="1587"/>
      <c r="AG100" s="1587"/>
      <c r="AH100" s="1587"/>
      <c r="AI100" s="1587"/>
      <c r="AJ100" s="1587"/>
      <c r="AK100" s="1587"/>
      <c r="AL100" s="920"/>
      <c r="AM100" s="920"/>
      <c r="AN100" s="920"/>
      <c r="AO100" s="920"/>
      <c r="AP100" s="920"/>
      <c r="AQ100" s="920"/>
      <c r="AR100" s="1592"/>
      <c r="AS100"/>
      <c r="AT100"/>
      <c r="AU100"/>
      <c r="AV100"/>
      <c r="AW100"/>
      <c r="AX100"/>
      <c r="AY100"/>
    </row>
    <row r="101" spans="1:51" ht="30" customHeight="1">
      <c r="A101" s="892" t="str">
        <f>IF('4 Eingabe Friseure'!A45="","",IF('4 Eingabe Friseure'!A45="Chef/in","",'4 Eingabe Friseure'!A45))</f>
        <v/>
      </c>
      <c r="B101" s="936" t="str">
        <f>IF(B102="","",AA$7)</f>
        <v/>
      </c>
      <c r="C101" s="936" t="str">
        <f>IF(C102="","",AB$7)</f>
        <v/>
      </c>
      <c r="D101" s="893" t="str">
        <f ca="1">IF('1 Erklärung'!AA2="","",'4 Eingabe Friseure'!CD45)</f>
        <v/>
      </c>
      <c r="E101" s="893"/>
      <c r="F101" s="3234" t="str">
        <f t="shared" ref="F101:Q101" si="48">IF(SUM(F102,F103)=0,Z101,SUM(F102,F103,Z101))</f>
        <v/>
      </c>
      <c r="G101" s="3234" t="str">
        <f t="shared" si="48"/>
        <v/>
      </c>
      <c r="H101" s="3234" t="str">
        <f t="shared" si="48"/>
        <v/>
      </c>
      <c r="I101" s="3234" t="str">
        <f t="shared" si="48"/>
        <v/>
      </c>
      <c r="J101" s="3234" t="str">
        <f t="shared" si="48"/>
        <v/>
      </c>
      <c r="K101" s="3234" t="str">
        <f t="shared" si="48"/>
        <v/>
      </c>
      <c r="L101" s="3234" t="str">
        <f t="shared" si="48"/>
        <v/>
      </c>
      <c r="M101" s="3234" t="str">
        <f t="shared" si="48"/>
        <v/>
      </c>
      <c r="N101" s="3234" t="str">
        <f t="shared" si="48"/>
        <v/>
      </c>
      <c r="O101" s="3234" t="str">
        <f t="shared" si="48"/>
        <v/>
      </c>
      <c r="P101" s="3234" t="str">
        <f t="shared" si="48"/>
        <v/>
      </c>
      <c r="Q101" s="3234" t="str">
        <f t="shared" si="48"/>
        <v/>
      </c>
      <c r="R101" s="894" t="str">
        <f ca="1">IF('1 Erklärung'!AA$2="","",IF(A101="","",SUM(F101:Q101)))</f>
        <v/>
      </c>
      <c r="S101" s="205"/>
      <c r="T101" s="1269" t="str">
        <f>IF(A101="","",SUM(R101,-R103,-R102))</f>
        <v/>
      </c>
      <c r="U101" s="1228" t="str">
        <f>IF(A101="","",IF(T101="","",U$5))</f>
        <v/>
      </c>
      <c r="V101" s="1227" t="str">
        <f>IF(A101="","",SUM(T101,R102,T102))</f>
        <v/>
      </c>
      <c r="W101" s="1229" t="str">
        <f>IF(A101="","",IF(V101="","",W$5))</f>
        <v/>
      </c>
      <c r="X101" s="206" t="str">
        <f>IF(A101="","",R101/AL101)</f>
        <v/>
      </c>
      <c r="Y101" s="920"/>
      <c r="Z101" s="1587" t="str">
        <f>IF('4 Eingabe Friseure'!$A45="Chef/in","",IF('4 Eingabe Friseure'!CE45&gt;0.4,'4 Eingabe Friseure'!$CD45*'4 Eingabe Friseure'!CE45,""))</f>
        <v/>
      </c>
      <c r="AA101" s="1587" t="str">
        <f>IF('4 Eingabe Friseure'!$A45="Chef/in","",IF('4 Eingabe Friseure'!CF45&gt;0.4,'4 Eingabe Friseure'!$CD45*'4 Eingabe Friseure'!CF45,""))</f>
        <v/>
      </c>
      <c r="AB101" s="1587" t="str">
        <f>IF('4 Eingabe Friseure'!$A45="Chef/in","",IF('4 Eingabe Friseure'!CG45&gt;0.4,'4 Eingabe Friseure'!$CD45*'4 Eingabe Friseure'!CG45,""))</f>
        <v/>
      </c>
      <c r="AC101" s="1587" t="str">
        <f>IF('4 Eingabe Friseure'!$A45="Chef/in","",IF('4 Eingabe Friseure'!CH45&gt;0.4,'4 Eingabe Friseure'!$CD45*'4 Eingabe Friseure'!CH45,""))</f>
        <v/>
      </c>
      <c r="AD101" s="1587" t="str">
        <f>IF('4 Eingabe Friseure'!$A45="Chef/in","",IF('4 Eingabe Friseure'!CI45&gt;0.4,'4 Eingabe Friseure'!$CD45*'4 Eingabe Friseure'!CI45,""))</f>
        <v/>
      </c>
      <c r="AE101" s="1587" t="str">
        <f>IF('4 Eingabe Friseure'!$A45="Chef/in","",IF('4 Eingabe Friseure'!CJ45&gt;0.4,'4 Eingabe Friseure'!$CD45*'4 Eingabe Friseure'!CJ45,""))</f>
        <v/>
      </c>
      <c r="AF101" s="1587" t="str">
        <f>IF('4 Eingabe Friseure'!$A45="Chef/in","",IF('4 Eingabe Friseure'!CK45&gt;0.4,'4 Eingabe Friseure'!$CD45*'4 Eingabe Friseure'!CK45,""))</f>
        <v/>
      </c>
      <c r="AG101" s="1587" t="str">
        <f>IF('4 Eingabe Friseure'!$A45="Chef/in","",IF('4 Eingabe Friseure'!CL45&gt;0.4,'4 Eingabe Friseure'!$CD45*'4 Eingabe Friseure'!CL45,""))</f>
        <v/>
      </c>
      <c r="AH101" s="1587" t="str">
        <f>IF('4 Eingabe Friseure'!$A45="Chef/in","",IF('4 Eingabe Friseure'!CM45&gt;0.4,'4 Eingabe Friseure'!$CD45*'4 Eingabe Friseure'!CM45,""))</f>
        <v/>
      </c>
      <c r="AI101" s="1587" t="str">
        <f>IF('4 Eingabe Friseure'!$A45="Chef/in","",IF('4 Eingabe Friseure'!CN45&gt;0.4,'4 Eingabe Friseure'!$CD45*'4 Eingabe Friseure'!CN45,""))</f>
        <v/>
      </c>
      <c r="AJ101" s="1587" t="str">
        <f>IF('4 Eingabe Friseure'!$A45="Chef/in","",IF('4 Eingabe Friseure'!CO45&gt;0.4,'4 Eingabe Friseure'!$CD45*'4 Eingabe Friseure'!CO45,""))</f>
        <v/>
      </c>
      <c r="AK101" s="1587" t="str">
        <f>IF('4 Eingabe Friseure'!$A45="Chef/in","",IF('4 Eingabe Friseure'!CP45&gt;0.4,'4 Eingabe Friseure'!$CD45*'4 Eingabe Friseure'!CP45,""))</f>
        <v/>
      </c>
      <c r="AL101" s="921" t="str">
        <f>'4 Eingabe Friseure'!BG45</f>
        <v/>
      </c>
      <c r="AM101" s="920"/>
      <c r="AN101" s="920"/>
      <c r="AO101" s="920"/>
      <c r="AP101" s="920"/>
      <c r="AQ101" s="920"/>
      <c r="AR101" s="1592"/>
      <c r="AS101"/>
      <c r="AT101"/>
      <c r="AU101"/>
      <c r="AV101"/>
      <c r="AW101"/>
      <c r="AX101"/>
      <c r="AY101"/>
    </row>
    <row r="102" spans="1:51" ht="30" customHeight="1">
      <c r="A102" s="934" t="str">
        <f>IF(SUM(AA102:AB102)=0,"",A$6)</f>
        <v/>
      </c>
      <c r="B102" s="1687" t="str">
        <f>IF(AA102=0,"",AA102)</f>
        <v/>
      </c>
      <c r="C102" s="1688" t="str">
        <f>IF(AB102=0,"",AB102)</f>
        <v/>
      </c>
      <c r="D102" s="3711" t="str">
        <f>IF(A101="","",$A$1)</f>
        <v/>
      </c>
      <c r="E102" s="3712"/>
      <c r="F102" s="2578"/>
      <c r="G102" s="2578"/>
      <c r="H102" s="2578"/>
      <c r="I102" s="2578"/>
      <c r="J102" s="2578"/>
      <c r="K102" s="2578"/>
      <c r="L102" s="2578"/>
      <c r="M102" s="2578"/>
      <c r="N102" s="2578"/>
      <c r="O102" s="2578"/>
      <c r="P102" s="2578"/>
      <c r="Q102" s="2578"/>
      <c r="R102" s="1221" t="str">
        <f>IF(A101="","",SUM(F102:Q102))</f>
        <v/>
      </c>
      <c r="S102" s="1222" t="str">
        <f>IF(A101="","",IF(R102="","",S$6))</f>
        <v/>
      </c>
      <c r="T102" s="1221" t="str">
        <f>IF(A101="","",(AL101*AC102))</f>
        <v/>
      </c>
      <c r="U102" s="1223" t="str">
        <f>IF(A101="","",IF(T102="","",U$6))</f>
        <v/>
      </c>
      <c r="V102" s="203" t="str">
        <f>IF(A101="","",SUM(V101)*IF(T101/COUNTIF(F101:Q101,"&gt;0")&lt;$X$4,$W$4,$V$4))</f>
        <v/>
      </c>
      <c r="W102" s="204" t="str">
        <f>IF(A101="","",IF(V102="","",W$6))</f>
        <v/>
      </c>
      <c r="X102" s="3715" t="str">
        <f>IF(A101="","",IF(X101="","",X$6))</f>
        <v/>
      </c>
      <c r="Y102" s="920">
        <f t="shared" si="33"/>
        <v>0</v>
      </c>
      <c r="Z102" s="1587"/>
      <c r="AA102" s="1587">
        <f>'4 Eingabe Friseure'!F45</f>
        <v>0</v>
      </c>
      <c r="AB102" s="1587">
        <f>'4 Eingabe Friseure'!G45</f>
        <v>0</v>
      </c>
      <c r="AC102" s="1587">
        <f>'4 Eingabe Friseure'!H45</f>
        <v>0</v>
      </c>
      <c r="AD102" s="1587">
        <f>'4 Eingabe Friseure'!I45</f>
        <v>0</v>
      </c>
      <c r="AE102" s="1587">
        <f>'4 Eingabe Friseure'!J45</f>
        <v>0</v>
      </c>
      <c r="AF102" s="1587"/>
      <c r="AG102" s="1587"/>
      <c r="AH102" s="1587"/>
      <c r="AI102" s="1587"/>
      <c r="AJ102" s="1587"/>
      <c r="AK102" s="1587"/>
      <c r="AL102" s="920"/>
      <c r="AM102" s="920"/>
      <c r="AN102" s="920"/>
      <c r="AO102" s="920"/>
      <c r="AP102" s="920"/>
      <c r="AQ102" s="920"/>
      <c r="AR102" s="1592"/>
      <c r="AS102"/>
      <c r="AT102"/>
      <c r="AU102"/>
      <c r="AV102"/>
      <c r="AW102"/>
      <c r="AX102"/>
      <c r="AY102"/>
    </row>
    <row r="103" spans="1:51" ht="30" customHeight="1" thickBot="1">
      <c r="A103" s="935" t="str">
        <f>IF(SUM(AD102)=0,"",A$7)</f>
        <v/>
      </c>
      <c r="B103" s="1689"/>
      <c r="C103" s="1690" t="str">
        <f>IF(AD102=0,"",AD102)</f>
        <v/>
      </c>
      <c r="D103" s="3713" t="str">
        <f>IF(C103="","",$A$2)</f>
        <v/>
      </c>
      <c r="E103" s="3714"/>
      <c r="F103" s="2579"/>
      <c r="G103" s="2579"/>
      <c r="H103" s="2579"/>
      <c r="I103" s="2579"/>
      <c r="J103" s="2579"/>
      <c r="K103" s="2579"/>
      <c r="L103" s="2579"/>
      <c r="M103" s="2579"/>
      <c r="N103" s="2579"/>
      <c r="O103" s="2579"/>
      <c r="P103" s="2579"/>
      <c r="Q103" s="2580"/>
      <c r="R103" s="1224" t="str">
        <f>IF(A101="","",SUM(F103:Q103))</f>
        <v/>
      </c>
      <c r="S103" s="1225" t="str">
        <f>IF(A101="","",IF(R103="","",S$7))</f>
        <v/>
      </c>
      <c r="T103" s="1226" t="str">
        <f>IF(A101="","",(AE102*AL101))</f>
        <v/>
      </c>
      <c r="U103" s="1225" t="str">
        <f>IF(A101="","",IF(T103="","",U$7))</f>
        <v/>
      </c>
      <c r="V103" s="201" t="str">
        <f>IF(A101="","",SUM(V101:V102,R103,T103))</f>
        <v/>
      </c>
      <c r="W103" s="959" t="str">
        <f>IF(D102="","",IF(V103="","",W$7))</f>
        <v/>
      </c>
      <c r="X103" s="3716"/>
      <c r="Y103" s="920">
        <f t="shared" si="33"/>
        <v>0</v>
      </c>
      <c r="Z103" s="1587"/>
      <c r="AA103" s="1587"/>
      <c r="AB103" s="1587"/>
      <c r="AC103" s="1587"/>
      <c r="AD103" s="1587"/>
      <c r="AE103" s="1587"/>
      <c r="AF103" s="1587"/>
      <c r="AG103" s="1587"/>
      <c r="AH103" s="1587"/>
      <c r="AI103" s="1587"/>
      <c r="AJ103" s="1587"/>
      <c r="AK103" s="1587"/>
      <c r="AL103" s="920"/>
      <c r="AM103" s="920"/>
      <c r="AN103" s="920"/>
      <c r="AO103" s="920"/>
      <c r="AP103" s="920"/>
      <c r="AQ103" s="920"/>
      <c r="AR103" s="1592"/>
      <c r="AS103"/>
      <c r="AT103"/>
      <c r="AU103"/>
      <c r="AV103"/>
      <c r="AW103"/>
      <c r="AX103"/>
      <c r="AY103"/>
    </row>
    <row r="104" spans="1:51">
      <c r="A104" s="920"/>
      <c r="B104" s="920"/>
      <c r="C104" s="920"/>
      <c r="D104" s="920"/>
      <c r="E104" s="920"/>
      <c r="F104" s="920"/>
      <c r="G104" s="920"/>
      <c r="H104" s="920"/>
      <c r="I104" s="920"/>
      <c r="J104" s="920"/>
      <c r="K104" s="920"/>
      <c r="L104" s="920"/>
      <c r="M104" s="920"/>
      <c r="N104" s="920"/>
      <c r="O104" s="920"/>
      <c r="P104" s="920"/>
      <c r="Q104" s="920"/>
      <c r="R104" s="920"/>
      <c r="S104" s="920"/>
      <c r="T104" s="920"/>
      <c r="U104" s="920"/>
      <c r="V104" s="920"/>
      <c r="W104" s="920"/>
      <c r="X104" s="920"/>
      <c r="Y104" s="920"/>
      <c r="Z104" s="1587"/>
      <c r="AA104" s="920"/>
      <c r="AK104" s="920"/>
      <c r="AL104" s="920"/>
      <c r="AM104" s="920"/>
      <c r="AN104" s="920"/>
      <c r="AO104" s="920"/>
      <c r="AP104" s="920"/>
      <c r="AQ104" s="920"/>
      <c r="AR104" s="1592"/>
      <c r="AS104"/>
      <c r="AT104"/>
      <c r="AU104"/>
      <c r="AV104"/>
      <c r="AW104"/>
      <c r="AX104"/>
      <c r="AY104"/>
    </row>
    <row r="105" spans="1:51">
      <c r="A105" s="920"/>
      <c r="B105" s="920"/>
      <c r="C105" s="920"/>
      <c r="D105" s="920"/>
      <c r="E105" s="920"/>
      <c r="F105" s="920"/>
      <c r="G105" s="920"/>
      <c r="H105" s="920"/>
      <c r="I105" s="920"/>
      <c r="J105" s="920"/>
      <c r="K105" s="920"/>
      <c r="L105" s="920"/>
      <c r="M105" s="920"/>
      <c r="N105" s="920"/>
      <c r="O105" s="920"/>
      <c r="P105" s="920"/>
      <c r="Q105" s="920"/>
      <c r="R105" s="920"/>
      <c r="S105" s="920"/>
      <c r="T105" s="920"/>
      <c r="U105" s="920"/>
      <c r="V105" s="920"/>
      <c r="W105" s="920"/>
      <c r="X105" s="920"/>
      <c r="Y105" s="920"/>
      <c r="Z105" s="1587"/>
      <c r="AA105" s="920"/>
      <c r="AK105" s="920"/>
      <c r="AL105" s="920"/>
      <c r="AM105" s="920"/>
      <c r="AN105" s="920"/>
      <c r="AO105" s="920"/>
      <c r="AP105" s="920"/>
      <c r="AQ105" s="920"/>
      <c r="AR105" s="1592"/>
      <c r="AS105"/>
      <c r="AT105"/>
      <c r="AU105"/>
      <c r="AV105"/>
      <c r="AW105"/>
      <c r="AX105"/>
      <c r="AY105"/>
    </row>
    <row r="106" spans="1:51" ht="27">
      <c r="A106" s="920"/>
      <c r="B106" s="920"/>
      <c r="C106" s="920"/>
      <c r="D106" s="1576" t="s">
        <v>267</v>
      </c>
      <c r="E106" s="1576"/>
      <c r="F106" s="1593">
        <f t="shared" ref="F106:R106" si="49">SUM(F56,F59,F62,F65,F68,F71,F74,F77,F80,F83,F86,F89,F92,F95,F98,F101,)</f>
        <v>0</v>
      </c>
      <c r="G106" s="1593">
        <f t="shared" si="49"/>
        <v>0</v>
      </c>
      <c r="H106" s="1593">
        <f t="shared" si="49"/>
        <v>0</v>
      </c>
      <c r="I106" s="1593">
        <f t="shared" si="49"/>
        <v>0</v>
      </c>
      <c r="J106" s="1593">
        <f t="shared" si="49"/>
        <v>0</v>
      </c>
      <c r="K106" s="1593">
        <f t="shared" si="49"/>
        <v>0</v>
      </c>
      <c r="L106" s="1593">
        <f t="shared" si="49"/>
        <v>0</v>
      </c>
      <c r="M106" s="1593">
        <f t="shared" si="49"/>
        <v>0</v>
      </c>
      <c r="N106" s="1593">
        <f t="shared" si="49"/>
        <v>0</v>
      </c>
      <c r="O106" s="1593">
        <f t="shared" si="49"/>
        <v>0</v>
      </c>
      <c r="P106" s="1593">
        <f t="shared" si="49"/>
        <v>0</v>
      </c>
      <c r="Q106" s="1593">
        <f>SUM(Q56,Q59,Q62,Q65,Q68,Q71,Q74,Q77,Q80,Q83,Q86,Q89,Q92,Q95,Q98,Q101,)</f>
        <v>0</v>
      </c>
      <c r="R106" s="1600">
        <f t="shared" ca="1" si="49"/>
        <v>0</v>
      </c>
      <c r="S106" s="1601" t="s">
        <v>160</v>
      </c>
      <c r="T106" s="1600">
        <f>SUM(T56,T59,T62,T65,T68,T71,T74,T77,T80,T83,T86,T89,T92,T95,T98,T101,)</f>
        <v>0</v>
      </c>
      <c r="U106" s="1601" t="s">
        <v>161</v>
      </c>
      <c r="V106" s="1600">
        <f>SUM(V56,V59,V62,V65,V68,V71,V74,V77,V80,V83,V86,V89,V92,V95,V98,V101,)</f>
        <v>0</v>
      </c>
      <c r="W106" s="1601" t="s">
        <v>166</v>
      </c>
      <c r="X106" s="920"/>
      <c r="Y106" s="920"/>
      <c r="Z106" s="1587"/>
      <c r="AA106" s="920"/>
      <c r="AK106" s="920"/>
      <c r="AL106" s="920"/>
      <c r="AM106" s="920"/>
      <c r="AN106" s="920"/>
      <c r="AO106" s="920"/>
      <c r="AP106" s="920"/>
      <c r="AQ106" s="920"/>
      <c r="AR106" s="1592"/>
      <c r="AS106"/>
      <c r="AT106"/>
      <c r="AU106"/>
      <c r="AV106"/>
      <c r="AW106"/>
      <c r="AX106"/>
      <c r="AY106"/>
    </row>
    <row r="107" spans="1:51" ht="18">
      <c r="A107" s="920"/>
      <c r="B107" s="920"/>
      <c r="C107" s="920"/>
      <c r="D107" s="1576" t="s">
        <v>269</v>
      </c>
      <c r="E107" s="1576"/>
      <c r="F107" s="1593">
        <f>SUM(F58,F61,F64,F67,F70,F73,F76,F79,F82,F85,F88,F91,F94,F97,F100,F103,)</f>
        <v>0</v>
      </c>
      <c r="G107" s="1593">
        <f t="shared" ref="G107:Q107" si="50">SUM(G58,G61,G64,G67,G70,G73,G76,G79,G82,G85,G88,G91,G94,G97,G100,G103,)</f>
        <v>0</v>
      </c>
      <c r="H107" s="1593">
        <f t="shared" si="50"/>
        <v>0</v>
      </c>
      <c r="I107" s="1593">
        <f t="shared" si="50"/>
        <v>0</v>
      </c>
      <c r="J107" s="1593">
        <f t="shared" si="50"/>
        <v>0</v>
      </c>
      <c r="K107" s="1593">
        <f t="shared" si="50"/>
        <v>0</v>
      </c>
      <c r="L107" s="1593">
        <f t="shared" si="50"/>
        <v>0</v>
      </c>
      <c r="M107" s="1593">
        <f t="shared" si="50"/>
        <v>0</v>
      </c>
      <c r="N107" s="1593">
        <f t="shared" si="50"/>
        <v>0</v>
      </c>
      <c r="O107" s="1593">
        <f t="shared" si="50"/>
        <v>0</v>
      </c>
      <c r="P107" s="1593">
        <f t="shared" si="50"/>
        <v>0</v>
      </c>
      <c r="Q107" s="1593">
        <f t="shared" si="50"/>
        <v>0</v>
      </c>
      <c r="R107" s="1600">
        <f>SUM(R57,R60,R63,R66,R69,R72,R75,R78,R81,R84,R87,R90,R93,R96,R99,R102,)</f>
        <v>0</v>
      </c>
      <c r="S107" s="1601" t="s">
        <v>164</v>
      </c>
      <c r="T107" s="1600">
        <f>SUM(T57,T60,T63,T66,T69,T72,T75,T78,T81,T84,T87,T90,T93,T96,T99,T102,)</f>
        <v>0</v>
      </c>
      <c r="U107" s="1602" t="s">
        <v>165</v>
      </c>
      <c r="V107" s="1600">
        <f>SUM(V57,V60,V63,V66,V69,V72,V75,V78,V81,V84,V87,V90,V93,V96,V99,V102,)</f>
        <v>0</v>
      </c>
      <c r="W107" s="1601" t="s">
        <v>158</v>
      </c>
      <c r="X107" s="920"/>
      <c r="Y107" s="920"/>
      <c r="Z107" s="920"/>
      <c r="AA107" s="920"/>
      <c r="AK107" s="920"/>
      <c r="AL107" s="920"/>
      <c r="AM107" s="920"/>
      <c r="AN107" s="920"/>
      <c r="AO107" s="920"/>
      <c r="AP107" s="920"/>
      <c r="AQ107" s="920"/>
      <c r="AR107" s="1592"/>
      <c r="AS107"/>
      <c r="AT107"/>
      <c r="AU107"/>
      <c r="AV107"/>
      <c r="AW107"/>
      <c r="AX107"/>
      <c r="AY107"/>
    </row>
    <row r="108" spans="1:51" ht="18.600000000000001" thickBot="1">
      <c r="A108" s="920"/>
      <c r="B108" s="920"/>
      <c r="C108" s="920"/>
      <c r="D108" s="1576" t="s">
        <v>268</v>
      </c>
      <c r="E108" s="1576"/>
      <c r="F108" s="1593">
        <f t="shared" ref="F108:P108" si="51">F106-F107</f>
        <v>0</v>
      </c>
      <c r="G108" s="1593">
        <f t="shared" si="51"/>
        <v>0</v>
      </c>
      <c r="H108" s="1593">
        <f t="shared" si="51"/>
        <v>0</v>
      </c>
      <c r="I108" s="1593">
        <f t="shared" si="51"/>
        <v>0</v>
      </c>
      <c r="J108" s="1593">
        <f t="shared" si="51"/>
        <v>0</v>
      </c>
      <c r="K108" s="1593">
        <f t="shared" si="51"/>
        <v>0</v>
      </c>
      <c r="L108" s="1593">
        <f t="shared" si="51"/>
        <v>0</v>
      </c>
      <c r="M108" s="1593">
        <f t="shared" si="51"/>
        <v>0</v>
      </c>
      <c r="N108" s="1593">
        <f t="shared" si="51"/>
        <v>0</v>
      </c>
      <c r="O108" s="1593">
        <f t="shared" si="51"/>
        <v>0</v>
      </c>
      <c r="P108" s="1593">
        <f t="shared" si="51"/>
        <v>0</v>
      </c>
      <c r="Q108" s="1593">
        <f>Q106-Q107</f>
        <v>0</v>
      </c>
      <c r="R108" s="1600">
        <f>SUM(R58,R61,R64,R67,R70,R73,R76,R79,R82,R85,R88,R91,R94,R97,R100,R103,)</f>
        <v>0</v>
      </c>
      <c r="S108" s="1603" t="s">
        <v>163</v>
      </c>
      <c r="T108" s="1600">
        <f>SUM(T58,T61,T64,T67,T70,T73,T76,T79,T82,T85,T88,T91,T94,T97,T100,T103,)</f>
        <v>0</v>
      </c>
      <c r="U108" s="1603" t="s">
        <v>159</v>
      </c>
      <c r="V108" s="1600">
        <f>SUM(V58,V61,V64,V67,V70,V73,V76,V79,V82,V85,V88,V91,V94,V97,V100,V103,)</f>
        <v>0</v>
      </c>
      <c r="W108" s="1603" t="s">
        <v>167</v>
      </c>
      <c r="X108" s="920"/>
      <c r="Y108" s="920"/>
      <c r="Z108" s="920"/>
      <c r="AA108" s="920"/>
      <c r="AK108" s="920"/>
      <c r="AL108" s="920"/>
      <c r="AM108" s="920"/>
      <c r="AN108" s="920"/>
      <c r="AO108" s="920"/>
      <c r="AP108" s="920"/>
      <c r="AQ108" s="920"/>
      <c r="AR108" s="1592"/>
      <c r="AS108"/>
      <c r="AT108"/>
      <c r="AU108"/>
      <c r="AV108"/>
      <c r="AW108"/>
      <c r="AX108"/>
      <c r="AY108"/>
    </row>
    <row r="109" spans="1:51">
      <c r="A109" s="920"/>
      <c r="B109" s="920"/>
      <c r="C109" s="920"/>
      <c r="D109" s="920" t="s">
        <v>270</v>
      </c>
      <c r="E109" s="920"/>
      <c r="F109" s="1593">
        <f t="shared" ref="F109:Q109" si="52">F108*25%</f>
        <v>0</v>
      </c>
      <c r="G109" s="1593">
        <f t="shared" si="52"/>
        <v>0</v>
      </c>
      <c r="H109" s="1593">
        <f t="shared" si="52"/>
        <v>0</v>
      </c>
      <c r="I109" s="1593">
        <f t="shared" si="52"/>
        <v>0</v>
      </c>
      <c r="J109" s="1593">
        <f t="shared" si="52"/>
        <v>0</v>
      </c>
      <c r="K109" s="1593">
        <f t="shared" si="52"/>
        <v>0</v>
      </c>
      <c r="L109" s="1593">
        <f t="shared" si="52"/>
        <v>0</v>
      </c>
      <c r="M109" s="1593">
        <f t="shared" si="52"/>
        <v>0</v>
      </c>
      <c r="N109" s="1593">
        <f t="shared" si="52"/>
        <v>0</v>
      </c>
      <c r="O109" s="1593">
        <f t="shared" si="52"/>
        <v>0</v>
      </c>
      <c r="P109" s="1593">
        <f t="shared" si="52"/>
        <v>0</v>
      </c>
      <c r="Q109" s="1538">
        <f t="shared" si="52"/>
        <v>0</v>
      </c>
      <c r="R109" s="920"/>
      <c r="S109" s="920"/>
      <c r="T109" s="920"/>
      <c r="U109" s="920"/>
      <c r="V109" s="920"/>
      <c r="W109" s="920"/>
      <c r="X109" s="920"/>
      <c r="Y109" s="920"/>
      <c r="Z109" s="920"/>
      <c r="AA109" s="920"/>
      <c r="AR109"/>
      <c r="AS109"/>
      <c r="AT109"/>
      <c r="AU109"/>
      <c r="AV109"/>
      <c r="AW109"/>
      <c r="AX109"/>
      <c r="AY109"/>
    </row>
    <row r="110" spans="1:51" ht="18">
      <c r="A110" s="920"/>
      <c r="B110" s="920"/>
      <c r="C110" s="920"/>
      <c r="D110" s="920" t="s">
        <v>271</v>
      </c>
      <c r="E110" s="920"/>
      <c r="F110" s="1593">
        <f t="shared" ref="F110:Q110" si="53">SUM(F107:F109)</f>
        <v>0</v>
      </c>
      <c r="G110" s="1593">
        <f t="shared" si="53"/>
        <v>0</v>
      </c>
      <c r="H110" s="1593">
        <f t="shared" si="53"/>
        <v>0</v>
      </c>
      <c r="I110" s="1593">
        <f t="shared" si="53"/>
        <v>0</v>
      </c>
      <c r="J110" s="1593">
        <f t="shared" si="53"/>
        <v>0</v>
      </c>
      <c r="K110" s="1593">
        <f t="shared" si="53"/>
        <v>0</v>
      </c>
      <c r="L110" s="1593">
        <f t="shared" si="53"/>
        <v>0</v>
      </c>
      <c r="M110" s="1593">
        <f t="shared" si="53"/>
        <v>0</v>
      </c>
      <c r="N110" s="1593">
        <f t="shared" si="53"/>
        <v>0</v>
      </c>
      <c r="O110" s="1593">
        <f t="shared" si="53"/>
        <v>0</v>
      </c>
      <c r="P110" s="1593">
        <f t="shared" si="53"/>
        <v>0</v>
      </c>
      <c r="Q110" s="1538">
        <f t="shared" si="53"/>
        <v>0</v>
      </c>
      <c r="R110" s="1596">
        <f>SUM(F110:Q110)</f>
        <v>0</v>
      </c>
      <c r="S110" s="3213" t="s">
        <v>167</v>
      </c>
      <c r="T110" s="920"/>
      <c r="U110" s="920"/>
      <c r="V110" s="920"/>
      <c r="W110" s="920"/>
      <c r="X110" s="920"/>
      <c r="Y110" s="920"/>
      <c r="Z110" s="920"/>
      <c r="AA110" s="920"/>
      <c r="AR110"/>
      <c r="AS110"/>
      <c r="AT110"/>
      <c r="AU110"/>
      <c r="AV110"/>
      <c r="AW110"/>
      <c r="AX110"/>
      <c r="AY110"/>
    </row>
    <row r="111" spans="1:51">
      <c r="A111" s="920"/>
      <c r="B111" s="920"/>
      <c r="C111" s="920"/>
      <c r="D111" s="920"/>
      <c r="E111" s="920"/>
      <c r="F111" s="920"/>
      <c r="G111" s="920"/>
      <c r="H111" s="920"/>
      <c r="I111" s="920"/>
      <c r="J111" s="920"/>
      <c r="K111" s="920"/>
      <c r="L111" s="920"/>
      <c r="M111" s="920"/>
      <c r="N111" s="920"/>
      <c r="O111" s="920"/>
      <c r="P111" s="920"/>
      <c r="Q111" s="920"/>
      <c r="R111" s="920"/>
      <c r="S111" s="920"/>
      <c r="T111" s="920"/>
      <c r="U111" s="920"/>
      <c r="V111" s="920"/>
      <c r="W111" s="920"/>
      <c r="X111" s="920"/>
      <c r="Y111" s="920"/>
      <c r="Z111" s="920"/>
      <c r="AA111" s="920"/>
      <c r="AR111"/>
      <c r="AS111"/>
      <c r="AT111"/>
      <c r="AU111"/>
      <c r="AV111"/>
      <c r="AW111"/>
      <c r="AX111"/>
      <c r="AY111"/>
    </row>
    <row r="112" spans="1:51">
      <c r="A112" s="920"/>
      <c r="B112" s="920"/>
      <c r="C112" s="920"/>
      <c r="D112" s="920"/>
      <c r="E112" s="920"/>
      <c r="F112" s="920"/>
      <c r="G112" s="920"/>
      <c r="H112" s="920"/>
      <c r="I112" s="920"/>
      <c r="J112" s="920"/>
      <c r="K112" s="920"/>
      <c r="L112" s="920"/>
      <c r="M112" s="920"/>
      <c r="N112" s="920"/>
      <c r="O112" s="920"/>
      <c r="P112" s="920"/>
      <c r="Q112" s="920"/>
      <c r="R112" s="920"/>
      <c r="S112" s="920"/>
      <c r="T112" s="920"/>
      <c r="U112" s="920"/>
      <c r="V112" s="920"/>
      <c r="W112" s="920"/>
      <c r="X112" s="920"/>
      <c r="Y112" s="920"/>
      <c r="Z112" s="920"/>
      <c r="AA112" s="920"/>
      <c r="AR112"/>
      <c r="AS112"/>
      <c r="AT112"/>
      <c r="AU112"/>
      <c r="AV112"/>
      <c r="AW112"/>
      <c r="AX112"/>
      <c r="AY112"/>
    </row>
    <row r="113" spans="1:51">
      <c r="A113" s="920"/>
      <c r="B113" s="920"/>
      <c r="C113" s="920"/>
      <c r="D113" s="920"/>
      <c r="E113" s="920"/>
      <c r="F113" s="1593"/>
      <c r="G113" s="1593"/>
      <c r="H113" s="1593"/>
      <c r="I113" s="1593"/>
      <c r="J113" s="1593"/>
      <c r="K113" s="1593"/>
      <c r="L113" s="1593"/>
      <c r="M113" s="1593"/>
      <c r="N113" s="1593"/>
      <c r="O113" s="1593"/>
      <c r="P113" s="1593"/>
      <c r="Q113" s="1593"/>
      <c r="R113" s="1596"/>
      <c r="S113" s="3213"/>
      <c r="T113" s="920"/>
      <c r="U113" s="920"/>
      <c r="V113" s="920"/>
      <c r="W113" s="920"/>
      <c r="X113" s="920"/>
      <c r="Y113" s="920"/>
      <c r="Z113" s="920"/>
      <c r="AA113" s="920"/>
      <c r="AR113"/>
      <c r="AS113"/>
      <c r="AT113"/>
      <c r="AU113"/>
      <c r="AV113"/>
      <c r="AW113"/>
      <c r="AX113"/>
      <c r="AY113"/>
    </row>
    <row r="114" spans="1:51">
      <c r="A114" s="920"/>
      <c r="B114" s="920"/>
      <c r="C114" s="920"/>
      <c r="D114" s="920"/>
      <c r="E114" s="920"/>
      <c r="F114" s="1593">
        <f t="shared" ref="F114:P114" si="54">SUM(F7,F10,F13,F16,F19,F22,F25,F28,F31,F34,F37,F40,F43,F46,F49,F52)</f>
        <v>0</v>
      </c>
      <c r="G114" s="1593">
        <f t="shared" si="54"/>
        <v>0</v>
      </c>
      <c r="H114" s="1593">
        <f t="shared" si="54"/>
        <v>0</v>
      </c>
      <c r="I114" s="1593">
        <f t="shared" si="54"/>
        <v>0</v>
      </c>
      <c r="J114" s="1593">
        <f t="shared" si="54"/>
        <v>0</v>
      </c>
      <c r="K114" s="1593">
        <f t="shared" si="54"/>
        <v>0</v>
      </c>
      <c r="L114" s="1593">
        <f t="shared" si="54"/>
        <v>250</v>
      </c>
      <c r="M114" s="1593">
        <f t="shared" si="54"/>
        <v>0</v>
      </c>
      <c r="N114" s="1593">
        <f t="shared" si="54"/>
        <v>0</v>
      </c>
      <c r="O114" s="1593">
        <f t="shared" si="54"/>
        <v>0</v>
      </c>
      <c r="P114" s="1593">
        <f t="shared" si="54"/>
        <v>0</v>
      </c>
      <c r="Q114" s="1593">
        <f>SUM(Q7,Q10,Q13,Q16,Q19,Q22,Q25,Q28,Q31,Q34,Q37,Q40,Q43,Q46,Q49,Q52)</f>
        <v>0</v>
      </c>
      <c r="R114" s="1596"/>
      <c r="S114" s="3213"/>
      <c r="T114" s="920"/>
      <c r="U114" s="920"/>
      <c r="V114" s="920"/>
      <c r="W114" s="920"/>
      <c r="X114" s="920"/>
      <c r="Y114" s="920"/>
      <c r="Z114" s="920"/>
      <c r="AA114" s="920"/>
      <c r="AR114"/>
      <c r="AS114"/>
      <c r="AT114"/>
      <c r="AU114"/>
      <c r="AV114"/>
      <c r="AW114"/>
      <c r="AX114"/>
      <c r="AY114"/>
    </row>
    <row r="115" spans="1:51">
      <c r="A115" s="920"/>
      <c r="B115" s="920"/>
      <c r="C115" s="920"/>
      <c r="D115" s="920"/>
      <c r="E115" s="920"/>
      <c r="F115" s="1593">
        <f t="shared" ref="F115:P115" si="55">SUM(F58,F61,F64,F67,F70,F73,F76,F79,F82,F85,F88,F91,F94,F97,F100,F103,)</f>
        <v>0</v>
      </c>
      <c r="G115" s="1593">
        <f t="shared" si="55"/>
        <v>0</v>
      </c>
      <c r="H115" s="1593">
        <f t="shared" si="55"/>
        <v>0</v>
      </c>
      <c r="I115" s="1593">
        <f t="shared" si="55"/>
        <v>0</v>
      </c>
      <c r="J115" s="1593">
        <f t="shared" si="55"/>
        <v>0</v>
      </c>
      <c r="K115" s="1593">
        <f t="shared" si="55"/>
        <v>0</v>
      </c>
      <c r="L115" s="1593">
        <f t="shared" si="55"/>
        <v>0</v>
      </c>
      <c r="M115" s="1593">
        <f t="shared" si="55"/>
        <v>0</v>
      </c>
      <c r="N115" s="1593">
        <f t="shared" si="55"/>
        <v>0</v>
      </c>
      <c r="O115" s="1593">
        <f t="shared" si="55"/>
        <v>0</v>
      </c>
      <c r="P115" s="1593">
        <f t="shared" si="55"/>
        <v>0</v>
      </c>
      <c r="Q115" s="1593">
        <f>SUM(Q58,Q61,Q64,Q67,Q70,Q73,Q76,Q79,Q82,Q85,Q88,Q91,Q94,Q97,Q100,Q103,)</f>
        <v>0</v>
      </c>
      <c r="R115" s="1596"/>
      <c r="S115" s="3213"/>
      <c r="T115" s="920"/>
      <c r="U115" s="920"/>
      <c r="V115" s="920"/>
      <c r="W115" s="920"/>
      <c r="X115" s="920"/>
      <c r="Y115" s="920"/>
      <c r="Z115" s="920"/>
      <c r="AA115" s="920"/>
      <c r="AR115"/>
      <c r="AS115"/>
      <c r="AT115"/>
      <c r="AU115"/>
      <c r="AV115"/>
      <c r="AW115"/>
      <c r="AX115"/>
      <c r="AY115"/>
    </row>
    <row r="116" spans="1:51">
      <c r="A116" s="920"/>
      <c r="B116" s="920"/>
      <c r="C116" s="920"/>
      <c r="D116" s="920"/>
      <c r="E116" s="920"/>
      <c r="F116" s="920"/>
      <c r="G116" s="920"/>
      <c r="H116" s="920"/>
      <c r="I116" s="920"/>
      <c r="J116" s="920"/>
      <c r="K116" s="920"/>
      <c r="L116" s="920"/>
      <c r="M116" s="920"/>
      <c r="N116" s="920"/>
      <c r="O116" s="920"/>
      <c r="P116" s="920"/>
      <c r="Q116" s="920"/>
      <c r="R116" s="920"/>
      <c r="S116" s="920"/>
      <c r="T116" s="920"/>
      <c r="U116" s="920"/>
      <c r="V116" s="920"/>
      <c r="W116" s="920"/>
      <c r="X116" s="920"/>
      <c r="Y116" s="920"/>
      <c r="Z116" s="920"/>
      <c r="AA116" s="920"/>
      <c r="AR116"/>
      <c r="AS116"/>
      <c r="AT116"/>
      <c r="AU116"/>
      <c r="AV116"/>
      <c r="AW116"/>
      <c r="AX116"/>
      <c r="AY116"/>
    </row>
    <row r="117" spans="1:51">
      <c r="A117" s="920"/>
      <c r="B117" s="920"/>
      <c r="C117" s="920"/>
      <c r="D117" s="920"/>
      <c r="E117" s="920"/>
      <c r="F117" s="1593"/>
      <c r="G117" s="1593"/>
      <c r="H117" s="1593"/>
      <c r="I117" s="1593"/>
      <c r="J117" s="1593"/>
      <c r="K117" s="1593"/>
      <c r="L117" s="1593"/>
      <c r="M117" s="1593"/>
      <c r="N117" s="1593"/>
      <c r="O117" s="1593"/>
      <c r="P117" s="1593"/>
      <c r="Q117" s="1593"/>
      <c r="R117" s="1596"/>
      <c r="S117" s="3213"/>
      <c r="T117" s="920"/>
      <c r="U117" s="920"/>
      <c r="V117" s="920"/>
      <c r="W117" s="920"/>
      <c r="X117" s="920"/>
      <c r="Y117" s="920"/>
      <c r="Z117" s="920"/>
      <c r="AA117" s="920"/>
      <c r="AR117"/>
      <c r="AS117"/>
      <c r="AT117"/>
      <c r="AU117"/>
      <c r="AV117"/>
      <c r="AW117"/>
      <c r="AX117"/>
      <c r="AY117"/>
    </row>
    <row r="118" spans="1:51">
      <c r="A118" s="920"/>
      <c r="B118" s="920"/>
      <c r="C118" s="920"/>
      <c r="D118" s="920" t="s">
        <v>681</v>
      </c>
      <c r="E118" s="920">
        <f>SUM(F118:Q118)</f>
        <v>0</v>
      </c>
      <c r="F118" s="920">
        <f>'11 Gesamt PK'!N17</f>
        <v>0</v>
      </c>
      <c r="G118" s="920">
        <f>'11 Gesamt PK'!O17</f>
        <v>0</v>
      </c>
      <c r="H118" s="920">
        <f>'11 Gesamt PK'!P17</f>
        <v>0</v>
      </c>
      <c r="I118" s="920">
        <f>'11 Gesamt PK'!Q17</f>
        <v>0</v>
      </c>
      <c r="J118" s="920">
        <f>'11 Gesamt PK'!R17</f>
        <v>0</v>
      </c>
      <c r="K118" s="920">
        <f>'11 Gesamt PK'!S17</f>
        <v>0</v>
      </c>
      <c r="L118" s="920">
        <f>'11 Gesamt PK'!T17</f>
        <v>0</v>
      </c>
      <c r="M118" s="920">
        <f>'11 Gesamt PK'!U17</f>
        <v>0</v>
      </c>
      <c r="N118" s="920">
        <f>'11 Gesamt PK'!V17</f>
        <v>0</v>
      </c>
      <c r="O118" s="920">
        <f>'11 Gesamt PK'!W17</f>
        <v>0</v>
      </c>
      <c r="P118" s="920">
        <f>'11 Gesamt PK'!X17</f>
        <v>0</v>
      </c>
      <c r="Q118" s="920">
        <f>'11 Gesamt PK'!Y17</f>
        <v>0</v>
      </c>
      <c r="R118" s="920"/>
      <c r="S118" s="920"/>
      <c r="T118" s="920"/>
      <c r="U118" s="920"/>
      <c r="V118" s="920"/>
      <c r="W118" s="920"/>
      <c r="X118" s="920"/>
      <c r="Y118" s="920"/>
      <c r="Z118" s="920"/>
      <c r="AA118" s="920"/>
      <c r="AR118"/>
      <c r="AS118"/>
      <c r="AT118"/>
      <c r="AU118"/>
      <c r="AV118"/>
      <c r="AW118"/>
      <c r="AX118"/>
      <c r="AY118"/>
    </row>
    <row r="119" spans="1:51" ht="26.25" customHeight="1">
      <c r="A119" s="920"/>
      <c r="B119" s="920"/>
      <c r="C119" s="920"/>
      <c r="D119" s="1576" t="s">
        <v>267</v>
      </c>
      <c r="E119" s="1576" t="str">
        <f>IF(E118=0,"","mit Provisionen")</f>
        <v/>
      </c>
      <c r="F119" s="1593">
        <f t="shared" ref="F119:P119" si="56">SUM(F5,F8,F11,F14,F17,F20,F23,F26,F29,F32,F35,F38,F41,F44,F47,F50,F106)+F118</f>
        <v>11065.610350000001</v>
      </c>
      <c r="G119" s="1593">
        <f t="shared" si="56"/>
        <v>11065.610350000001</v>
      </c>
      <c r="H119" s="1593">
        <f t="shared" si="56"/>
        <v>11065.610350000001</v>
      </c>
      <c r="I119" s="1593">
        <f t="shared" si="56"/>
        <v>11065.610350000001</v>
      </c>
      <c r="J119" s="1593">
        <f t="shared" si="56"/>
        <v>11065.610350000001</v>
      </c>
      <c r="K119" s="1593">
        <f t="shared" si="56"/>
        <v>11065.610350000001</v>
      </c>
      <c r="L119" s="1593">
        <f t="shared" si="56"/>
        <v>11315.610350000001</v>
      </c>
      <c r="M119" s="1593">
        <f t="shared" si="56"/>
        <v>11338.72515</v>
      </c>
      <c r="N119" s="1593">
        <f t="shared" si="56"/>
        <v>11338.72515</v>
      </c>
      <c r="O119" s="1593">
        <f t="shared" si="56"/>
        <v>11338.72515</v>
      </c>
      <c r="P119" s="1593">
        <f t="shared" si="56"/>
        <v>11338.72515</v>
      </c>
      <c r="Q119" s="1593">
        <f>SUM(Q5,Q8,Q11,Q14,Q17,Q20,Q23,Q26,Q29,Q32,Q35,Q38,Q41,Q44,Q47,Q50,Q106)+Q118</f>
        <v>11338.72515</v>
      </c>
      <c r="R119" s="1594">
        <f ca="1">SUM(R5,R8,R11,R14,R17,R20,R23,R26,R29,R32,R35,R38,R41,R44,R47,R50,R106)</f>
        <v>134402.8982</v>
      </c>
      <c r="S119" s="1595"/>
      <c r="T119" s="1594">
        <f ca="1">SUM(T5,T8,T11,T14,T17,T20,T23,T26,T29,T32,T35,T38,T41,T44,T47,T50,T106)</f>
        <v>134152.8982</v>
      </c>
      <c r="U119" s="1595" t="str">
        <f>U5</f>
        <v>Bruttolohn ohne Zusatzzahlung</v>
      </c>
      <c r="V119" s="1594">
        <f ca="1">SUM(V5,V8,V11,V14,V17,V20,V23,V26,V29,V32,V35,V38,V41,V44,V47,V50,V106)</f>
        <v>134152.8982</v>
      </c>
      <c r="W119" s="1595" t="str">
        <f>W5</f>
        <v>St.-pfl. Bruttolohn mit st-pfl. Zusatzz.</v>
      </c>
      <c r="X119" s="920"/>
      <c r="Y119" s="920"/>
      <c r="Z119" s="1587"/>
      <c r="AA119" s="920"/>
    </row>
    <row r="120" spans="1:51" ht="26.25" customHeight="1">
      <c r="A120" s="920"/>
      <c r="B120" s="920"/>
      <c r="C120" s="920"/>
      <c r="D120" s="1576" t="s">
        <v>269</v>
      </c>
      <c r="E120" s="1576"/>
      <c r="F120" s="1593">
        <f t="shared" ref="F120:P120" si="57">IF(F140=0,0,$R$121/$U$140)</f>
        <v>20.833333333333332</v>
      </c>
      <c r="G120" s="1593">
        <f t="shared" si="57"/>
        <v>20.833333333333332</v>
      </c>
      <c r="H120" s="1593">
        <f t="shared" si="57"/>
        <v>20.833333333333332</v>
      </c>
      <c r="I120" s="1593">
        <f t="shared" si="57"/>
        <v>20.833333333333332</v>
      </c>
      <c r="J120" s="1593">
        <f t="shared" si="57"/>
        <v>20.833333333333332</v>
      </c>
      <c r="K120" s="1593">
        <f t="shared" si="57"/>
        <v>20.833333333333332</v>
      </c>
      <c r="L120" s="1593">
        <f t="shared" si="57"/>
        <v>20.833333333333332</v>
      </c>
      <c r="M120" s="1593">
        <f t="shared" si="57"/>
        <v>20.833333333333332</v>
      </c>
      <c r="N120" s="1593">
        <f t="shared" si="57"/>
        <v>20.833333333333332</v>
      </c>
      <c r="O120" s="1593">
        <f t="shared" si="57"/>
        <v>20.833333333333332</v>
      </c>
      <c r="P120" s="1593">
        <f t="shared" si="57"/>
        <v>20.833333333333332</v>
      </c>
      <c r="Q120" s="1593">
        <f>IF(Q140=0,0,$R$121/$U$140)</f>
        <v>20.833333333333332</v>
      </c>
      <c r="R120" s="1594">
        <f>SUM(R6,R9,R12,R15,R18,R21,R24,R27,R30,R33,R36,R39,R42,R45,R48,R51,R107)</f>
        <v>0</v>
      </c>
      <c r="S120" s="1595" t="str">
        <f>S6</f>
        <v>Erhöhung steuerpfl. Nicht regelmäßig</v>
      </c>
      <c r="T120" s="1594">
        <f>SUM(T6,T9,T12,T15,T18,T21,T24,T27,T30,T33,T36,T39,T42,T45,T48,T51,T107)</f>
        <v>0</v>
      </c>
      <c r="U120" s="1595" t="str">
        <f>U6</f>
        <v>Monatl. steuerpfl.
Sonderzahl.</v>
      </c>
      <c r="V120" s="1594">
        <f ca="1">SUM(V6,V9,V12,V15,V18,V21,V24,V27,V30,V33,V36,V39,V42,V45,V48,V51,V107)</f>
        <v>33538.224549999999</v>
      </c>
      <c r="W120" s="1595" t="str">
        <f>W6</f>
        <v>AG-anteil</v>
      </c>
      <c r="X120" s="920"/>
      <c r="Y120" s="920"/>
      <c r="Z120" s="920"/>
      <c r="AA120" s="920"/>
    </row>
    <row r="121" spans="1:51" ht="26.25" customHeight="1">
      <c r="A121" s="920"/>
      <c r="B121" s="920"/>
      <c r="C121" s="920"/>
      <c r="D121" s="1576" t="s">
        <v>268</v>
      </c>
      <c r="E121" s="1576"/>
      <c r="F121" s="1593">
        <f t="shared" ref="F121:P121" si="58">IF(F140=0,0,F119-F120+($T120/$U$140))</f>
        <v>11044.777016666667</v>
      </c>
      <c r="G121" s="1593">
        <f t="shared" si="58"/>
        <v>11044.777016666667</v>
      </c>
      <c r="H121" s="1593">
        <f t="shared" si="58"/>
        <v>11044.777016666667</v>
      </c>
      <c r="I121" s="1593">
        <f t="shared" si="58"/>
        <v>11044.777016666667</v>
      </c>
      <c r="J121" s="1593">
        <f t="shared" si="58"/>
        <v>11044.777016666667</v>
      </c>
      <c r="K121" s="1593">
        <f t="shared" si="58"/>
        <v>11044.777016666667</v>
      </c>
      <c r="L121" s="1593">
        <f t="shared" si="58"/>
        <v>11294.777016666667</v>
      </c>
      <c r="M121" s="1593">
        <f t="shared" si="58"/>
        <v>11317.891816666666</v>
      </c>
      <c r="N121" s="1593">
        <f t="shared" si="58"/>
        <v>11317.891816666666</v>
      </c>
      <c r="O121" s="1593">
        <f t="shared" si="58"/>
        <v>11317.891816666666</v>
      </c>
      <c r="P121" s="1593">
        <f t="shared" si="58"/>
        <v>11317.891816666666</v>
      </c>
      <c r="Q121" s="1593">
        <f>IF(Q140=0,0,Q119-Q120+($T120/$U$140))</f>
        <v>11317.891816666666</v>
      </c>
      <c r="R121" s="1594">
        <f>SUM(R7,R10,R13,R16,R19,R22,R25,R28,R31,R34,R37,R40,R43,R46,R49,R52,R108)</f>
        <v>250</v>
      </c>
      <c r="S121" s="1595" t="str">
        <f>S7</f>
        <v>Erhöhung steuerfrei nicht regelmäßig</v>
      </c>
      <c r="T121" s="1594">
        <f>SUM(T7,T10,T13,T16,T19,T22,T25,T28,T31,T34,T37,T40,T43,T46,T49,T52,T108)</f>
        <v>0</v>
      </c>
      <c r="U121" s="1595" t="str">
        <f>U7</f>
        <v>Monatl. steuerfreie
Sonderzahl.</v>
      </c>
      <c r="V121" s="1594">
        <f ca="1">SUM(V7,V10,V13,V16,V19,V22,V25,V28,V31,V34,V37,V40,V43,V46,V49,V52,V108)</f>
        <v>167941.12275000001</v>
      </c>
      <c r="W121" s="1595" t="str">
        <f>W7</f>
        <v>Summe PK incl. 
st-freien Zusatzz.</v>
      </c>
      <c r="X121" s="920"/>
      <c r="Y121" s="920"/>
      <c r="Z121" s="920"/>
      <c r="AA121" s="920"/>
    </row>
    <row r="122" spans="1:51" ht="20.25" customHeight="1">
      <c r="A122" s="920"/>
      <c r="B122" s="920"/>
      <c r="C122" s="920"/>
      <c r="D122" s="920" t="s">
        <v>270</v>
      </c>
      <c r="E122" s="920"/>
      <c r="F122" s="1538">
        <f t="shared" ref="F122:P122" si="59">F121*$V$4</f>
        <v>2761.1942541666667</v>
      </c>
      <c r="G122" s="1538">
        <f t="shared" si="59"/>
        <v>2761.1942541666667</v>
      </c>
      <c r="H122" s="1538">
        <f t="shared" si="59"/>
        <v>2761.1942541666667</v>
      </c>
      <c r="I122" s="1538">
        <f t="shared" si="59"/>
        <v>2761.1942541666667</v>
      </c>
      <c r="J122" s="1538">
        <f t="shared" si="59"/>
        <v>2761.1942541666667</v>
      </c>
      <c r="K122" s="1538">
        <f t="shared" si="59"/>
        <v>2761.1942541666667</v>
      </c>
      <c r="L122" s="1538">
        <f t="shared" si="59"/>
        <v>2823.6942541666667</v>
      </c>
      <c r="M122" s="1538">
        <f t="shared" si="59"/>
        <v>2829.4729541666666</v>
      </c>
      <c r="N122" s="1538">
        <f t="shared" si="59"/>
        <v>2829.4729541666666</v>
      </c>
      <c r="O122" s="1538">
        <f t="shared" si="59"/>
        <v>2829.4729541666666</v>
      </c>
      <c r="P122" s="1538">
        <f t="shared" si="59"/>
        <v>2829.4729541666666</v>
      </c>
      <c r="Q122" s="1538">
        <f>Q121*$V$4</f>
        <v>2829.4729541666666</v>
      </c>
      <c r="R122" s="1587">
        <f>SUM(F122:Q122)</f>
        <v>33538.224550000006</v>
      </c>
      <c r="S122" s="920"/>
      <c r="T122" s="920"/>
      <c r="U122" s="920"/>
      <c r="V122" s="920"/>
      <c r="W122" s="920"/>
      <c r="X122" s="920"/>
      <c r="Y122" s="920"/>
      <c r="Z122" s="920"/>
      <c r="AA122" s="920"/>
    </row>
    <row r="123" spans="1:51" ht="20.25" customHeight="1">
      <c r="A123" s="920"/>
      <c r="B123" s="920"/>
      <c r="C123" s="920"/>
      <c r="D123" s="920" t="s">
        <v>271</v>
      </c>
      <c r="E123" s="920"/>
      <c r="F123" s="1538">
        <f t="shared" ref="F123:P123" si="60">IF(F140=0,0,SUM(F120:F122)+(($T121+$R121)/$U$140))</f>
        <v>13847.637937500001</v>
      </c>
      <c r="G123" s="1538">
        <f t="shared" si="60"/>
        <v>13847.637937500001</v>
      </c>
      <c r="H123" s="1538">
        <f t="shared" si="60"/>
        <v>13847.637937500001</v>
      </c>
      <c r="I123" s="1538">
        <f t="shared" si="60"/>
        <v>13847.637937500001</v>
      </c>
      <c r="J123" s="1538">
        <f t="shared" si="60"/>
        <v>13847.637937500001</v>
      </c>
      <c r="K123" s="1538">
        <f t="shared" si="60"/>
        <v>13847.637937500001</v>
      </c>
      <c r="L123" s="1538">
        <f t="shared" si="60"/>
        <v>14160.137937500001</v>
      </c>
      <c r="M123" s="1538">
        <f t="shared" si="60"/>
        <v>14189.0314375</v>
      </c>
      <c r="N123" s="1538">
        <f t="shared" si="60"/>
        <v>14189.0314375</v>
      </c>
      <c r="O123" s="1538">
        <f t="shared" si="60"/>
        <v>14189.0314375</v>
      </c>
      <c r="P123" s="1538">
        <f t="shared" si="60"/>
        <v>14189.0314375</v>
      </c>
      <c r="Q123" s="1538">
        <f>IF(Q140=0,0,SUM(Q120:Q122)+(($T121+$R121)/$U$140))</f>
        <v>14189.0314375</v>
      </c>
      <c r="R123" s="1596">
        <f>SUM(F123:Q123)</f>
        <v>168191.12275000001</v>
      </c>
      <c r="S123" s="1597" t="s">
        <v>167</v>
      </c>
      <c r="T123" s="920"/>
      <c r="U123" s="920"/>
      <c r="V123" s="920"/>
      <c r="W123" s="920"/>
      <c r="X123" s="920"/>
      <c r="Y123" s="920"/>
      <c r="Z123" s="920"/>
      <c r="AA123" s="920"/>
    </row>
    <row r="124" spans="1:51">
      <c r="A124" s="920"/>
      <c r="B124" s="920"/>
      <c r="C124" s="920"/>
      <c r="D124" s="920"/>
      <c r="E124" s="920"/>
      <c r="F124" s="920"/>
      <c r="G124" s="920"/>
      <c r="H124" s="920"/>
      <c r="I124" s="920"/>
      <c r="J124" s="920"/>
      <c r="K124" s="920"/>
      <c r="L124" s="920"/>
      <c r="M124" s="920"/>
      <c r="N124" s="920"/>
      <c r="O124" s="920"/>
      <c r="P124" s="920"/>
      <c r="Q124" s="920"/>
      <c r="R124" s="920"/>
      <c r="S124" s="920"/>
      <c r="T124" s="920"/>
      <c r="U124" s="920"/>
      <c r="V124" s="920"/>
      <c r="W124" s="920"/>
      <c r="X124" s="920"/>
      <c r="Y124" s="920"/>
      <c r="Z124" s="920"/>
      <c r="AA124" s="920"/>
    </row>
    <row r="125" spans="1:51">
      <c r="A125" s="920"/>
      <c r="B125" s="920"/>
      <c r="C125" s="920"/>
      <c r="D125" s="920"/>
      <c r="E125" s="920"/>
      <c r="F125" s="920"/>
      <c r="G125" s="920"/>
      <c r="H125" s="920"/>
      <c r="I125" s="920"/>
      <c r="J125" s="920"/>
      <c r="K125" s="920"/>
      <c r="L125" s="920"/>
      <c r="M125" s="920"/>
      <c r="N125" s="920"/>
      <c r="O125" s="920"/>
      <c r="P125" s="920"/>
      <c r="Q125" s="920"/>
      <c r="R125" s="920"/>
      <c r="S125" s="920"/>
      <c r="T125" s="920"/>
      <c r="U125" s="920"/>
      <c r="V125" s="920"/>
      <c r="W125" s="920"/>
      <c r="X125" s="920"/>
      <c r="Y125" s="920"/>
      <c r="Z125" s="920"/>
      <c r="AA125" s="920"/>
    </row>
    <row r="126" spans="1:51" ht="18">
      <c r="A126" s="920"/>
      <c r="B126" s="920"/>
      <c r="C126" s="920"/>
      <c r="D126" s="920" t="s">
        <v>272</v>
      </c>
      <c r="E126" s="920"/>
      <c r="F126" s="1593">
        <f>F123</f>
        <v>13847.637937500001</v>
      </c>
      <c r="G126" s="1593">
        <f t="shared" ref="G126:Q126" si="61">G123</f>
        <v>13847.637937500001</v>
      </c>
      <c r="H126" s="1593">
        <f t="shared" si="61"/>
        <v>13847.637937500001</v>
      </c>
      <c r="I126" s="1593">
        <f t="shared" si="61"/>
        <v>13847.637937500001</v>
      </c>
      <c r="J126" s="1593">
        <f t="shared" si="61"/>
        <v>13847.637937500001</v>
      </c>
      <c r="K126" s="1593">
        <f t="shared" si="61"/>
        <v>13847.637937500001</v>
      </c>
      <c r="L126" s="1593">
        <f t="shared" si="61"/>
        <v>14160.137937500001</v>
      </c>
      <c r="M126" s="1593">
        <f t="shared" si="61"/>
        <v>14189.0314375</v>
      </c>
      <c r="N126" s="1593">
        <f t="shared" si="61"/>
        <v>14189.0314375</v>
      </c>
      <c r="O126" s="1593">
        <f t="shared" si="61"/>
        <v>14189.0314375</v>
      </c>
      <c r="P126" s="1593">
        <f t="shared" si="61"/>
        <v>14189.0314375</v>
      </c>
      <c r="Q126" s="1593">
        <f t="shared" si="61"/>
        <v>14189.0314375</v>
      </c>
      <c r="R126" s="1596">
        <f>SUM(F126:Q126)</f>
        <v>168191.12275000001</v>
      </c>
      <c r="S126" s="1597" t="s">
        <v>167</v>
      </c>
      <c r="T126" s="920"/>
      <c r="U126" s="920"/>
      <c r="V126" s="920"/>
      <c r="W126" s="920"/>
      <c r="X126" s="920"/>
      <c r="Y126" s="920"/>
      <c r="Z126" s="920"/>
      <c r="AA126" s="920"/>
    </row>
    <row r="127" spans="1:51" ht="18">
      <c r="A127" s="920"/>
      <c r="B127" s="920"/>
      <c r="C127" s="920"/>
      <c r="D127" s="920" t="s">
        <v>273</v>
      </c>
      <c r="E127" s="920"/>
      <c r="F127" s="1593">
        <f ca="1">'8 Verteil. auf Monate Orga'!F59</f>
        <v>2000</v>
      </c>
      <c r="G127" s="1593">
        <f ca="1">'8 Verteil. auf Monate Orga'!G59</f>
        <v>2000</v>
      </c>
      <c r="H127" s="1593">
        <f ca="1">'8 Verteil. auf Monate Orga'!H59</f>
        <v>2000</v>
      </c>
      <c r="I127" s="1593">
        <f ca="1">'8 Verteil. auf Monate Orga'!I59</f>
        <v>2000</v>
      </c>
      <c r="J127" s="1593">
        <f ca="1">'8 Verteil. auf Monate Orga'!J59</f>
        <v>2000</v>
      </c>
      <c r="K127" s="1593">
        <f ca="1">'8 Verteil. auf Monate Orga'!K59</f>
        <v>2000</v>
      </c>
      <c r="L127" s="1593">
        <f ca="1">'8 Verteil. auf Monate Orga'!L59</f>
        <v>2000</v>
      </c>
      <c r="M127" s="1593">
        <f ca="1">'8 Verteil. auf Monate Orga'!M59</f>
        <v>2000</v>
      </c>
      <c r="N127" s="1593">
        <f ca="1">'8 Verteil. auf Monate Orga'!N59</f>
        <v>2000</v>
      </c>
      <c r="O127" s="1593">
        <f ca="1">'8 Verteil. auf Monate Orga'!O59</f>
        <v>2000</v>
      </c>
      <c r="P127" s="1593">
        <f ca="1">'8 Verteil. auf Monate Orga'!P59</f>
        <v>2000</v>
      </c>
      <c r="Q127" s="1593">
        <f ca="1">'8 Verteil. auf Monate Orga'!Q59</f>
        <v>2000</v>
      </c>
      <c r="R127" s="1596">
        <f ca="1">SUM(F127:Q127)</f>
        <v>24000</v>
      </c>
      <c r="S127" s="1597" t="s">
        <v>167</v>
      </c>
      <c r="T127" s="920"/>
      <c r="U127" s="920"/>
      <c r="V127" s="920"/>
      <c r="W127" s="920"/>
      <c r="X127" s="920"/>
      <c r="Y127" s="920"/>
      <c r="Z127" s="920"/>
      <c r="AA127" s="920"/>
    </row>
    <row r="128" spans="1:51" ht="18">
      <c r="A128" s="920"/>
      <c r="B128" s="920"/>
      <c r="C128" s="920"/>
      <c r="D128" s="920" t="s">
        <v>274</v>
      </c>
      <c r="E128" s="920"/>
      <c r="F128" s="1593">
        <f ca="1">'9 Verteil. auf Monate Azubi'!F59</f>
        <v>1513.0729166666667</v>
      </c>
      <c r="G128" s="1593">
        <f ca="1">'9 Verteil. auf Monate Azubi'!G59</f>
        <v>1513.0729166666667</v>
      </c>
      <c r="H128" s="1593">
        <f ca="1">'9 Verteil. auf Monate Azubi'!H59</f>
        <v>1513.0729166666667</v>
      </c>
      <c r="I128" s="1593">
        <f ca="1">'9 Verteil. auf Monate Azubi'!I59</f>
        <v>1513.0729166666667</v>
      </c>
      <c r="J128" s="1593">
        <f ca="1">'9 Verteil. auf Monate Azubi'!J59</f>
        <v>1513.0729166666667</v>
      </c>
      <c r="K128" s="1593">
        <f ca="1">'9 Verteil. auf Monate Azubi'!K59</f>
        <v>1513.0729166666667</v>
      </c>
      <c r="L128" s="1593">
        <f ca="1">'9 Verteil. auf Monate Azubi'!L59</f>
        <v>1513.0729166666667</v>
      </c>
      <c r="M128" s="1593">
        <f ca="1">'9 Verteil. auf Monate Azubi'!M59</f>
        <v>1710.5729166666667</v>
      </c>
      <c r="N128" s="1593">
        <f ca="1">'9 Verteil. auf Monate Azubi'!N59</f>
        <v>1710.5729166666667</v>
      </c>
      <c r="O128" s="1593">
        <f ca="1">'9 Verteil. auf Monate Azubi'!O59</f>
        <v>1710.5729166666667</v>
      </c>
      <c r="P128" s="1593">
        <f ca="1">'9 Verteil. auf Monate Azubi'!P59</f>
        <v>1710.5729166666667</v>
      </c>
      <c r="Q128" s="1593">
        <f ca="1">'9 Verteil. auf Monate Azubi'!Q59</f>
        <v>1710.5729166666667</v>
      </c>
      <c r="R128" s="1596">
        <f ca="1">SUM(F128:Q128)</f>
        <v>19144.375</v>
      </c>
      <c r="S128" s="1597" t="s">
        <v>167</v>
      </c>
      <c r="T128" s="920"/>
      <c r="U128" s="920"/>
      <c r="V128" s="920"/>
      <c r="W128" s="920"/>
      <c r="X128" s="920"/>
      <c r="Y128" s="920"/>
      <c r="Z128" s="920"/>
      <c r="AA128" s="920"/>
    </row>
    <row r="129" spans="1:27">
      <c r="A129" s="920"/>
      <c r="B129" s="920"/>
      <c r="C129" s="920"/>
      <c r="D129" s="920"/>
      <c r="E129" s="920"/>
      <c r="F129" s="920"/>
      <c r="G129" s="920"/>
      <c r="H129" s="920"/>
      <c r="I129" s="920"/>
      <c r="J129" s="920"/>
      <c r="K129" s="920"/>
      <c r="L129" s="920"/>
      <c r="M129" s="920"/>
      <c r="N129" s="920"/>
      <c r="O129" s="920"/>
      <c r="P129" s="920"/>
      <c r="Q129" s="920"/>
      <c r="R129" s="920"/>
      <c r="S129" s="920"/>
      <c r="T129" s="920"/>
      <c r="U129" s="920"/>
      <c r="V129" s="920"/>
      <c r="W129" s="920"/>
      <c r="X129" s="920"/>
      <c r="Y129" s="920"/>
      <c r="Z129" s="920"/>
      <c r="AA129" s="920"/>
    </row>
    <row r="130" spans="1:27" ht="18">
      <c r="A130" s="920"/>
      <c r="B130" s="920"/>
      <c r="C130" s="920"/>
      <c r="D130" s="920" t="s">
        <v>275</v>
      </c>
      <c r="E130" s="920"/>
      <c r="F130" s="1593">
        <f ca="1">SUM(F126:F129)</f>
        <v>17360.710854166668</v>
      </c>
      <c r="G130" s="1593">
        <f t="shared" ref="G130:Q130" ca="1" si="62">SUM(G126:G129)</f>
        <v>17360.710854166668</v>
      </c>
      <c r="H130" s="1593">
        <f t="shared" ca="1" si="62"/>
        <v>17360.710854166668</v>
      </c>
      <c r="I130" s="1593">
        <f t="shared" ca="1" si="62"/>
        <v>17360.710854166668</v>
      </c>
      <c r="J130" s="1593">
        <f t="shared" ca="1" si="62"/>
        <v>17360.710854166668</v>
      </c>
      <c r="K130" s="1593">
        <f t="shared" ca="1" si="62"/>
        <v>17360.710854166668</v>
      </c>
      <c r="L130" s="1593">
        <f t="shared" ca="1" si="62"/>
        <v>17673.210854166668</v>
      </c>
      <c r="M130" s="1593">
        <f t="shared" ca="1" si="62"/>
        <v>17899.604354166666</v>
      </c>
      <c r="N130" s="1593">
        <f t="shared" ca="1" si="62"/>
        <v>17899.604354166666</v>
      </c>
      <c r="O130" s="1593">
        <f t="shared" ca="1" si="62"/>
        <v>17899.604354166666</v>
      </c>
      <c r="P130" s="1593">
        <f t="shared" ca="1" si="62"/>
        <v>17899.604354166666</v>
      </c>
      <c r="Q130" s="1593">
        <f t="shared" ca="1" si="62"/>
        <v>17899.604354166666</v>
      </c>
      <c r="R130" s="1596">
        <f ca="1">SUM(F130:Q130)</f>
        <v>211335.49774999998</v>
      </c>
      <c r="S130" s="1597" t="s">
        <v>167</v>
      </c>
      <c r="T130" s="920"/>
      <c r="U130" s="920"/>
      <c r="V130" s="920"/>
      <c r="W130" s="920"/>
      <c r="X130" s="920"/>
      <c r="Y130" s="920"/>
      <c r="Z130" s="920"/>
      <c r="AA130" s="920"/>
    </row>
    <row r="131" spans="1:27">
      <c r="A131" s="920"/>
      <c r="B131" s="920"/>
      <c r="C131" s="920"/>
      <c r="D131" s="920"/>
      <c r="E131" s="920"/>
      <c r="F131" s="920"/>
      <c r="G131" s="920"/>
      <c r="H131" s="920"/>
      <c r="I131" s="920"/>
      <c r="J131" s="920"/>
      <c r="K131" s="920"/>
      <c r="L131" s="920"/>
      <c r="M131" s="920"/>
      <c r="N131" s="920"/>
      <c r="O131" s="920"/>
      <c r="P131" s="920"/>
      <c r="Q131" s="920"/>
      <c r="R131" s="920"/>
      <c r="S131" s="920"/>
      <c r="T131" s="920"/>
      <c r="U131" s="920"/>
      <c r="V131" s="920"/>
      <c r="W131" s="920"/>
      <c r="X131" s="920"/>
      <c r="Y131" s="920"/>
      <c r="Z131" s="920"/>
      <c r="AA131" s="920"/>
    </row>
    <row r="132" spans="1:27">
      <c r="A132" s="920"/>
      <c r="B132" s="920"/>
      <c r="C132" s="1598">
        <f>1-'10 PK Kosten Diagramm'!N3</f>
        <v>0.99199999999999999</v>
      </c>
      <c r="D132" s="920" t="s">
        <v>450</v>
      </c>
      <c r="E132" s="920"/>
      <c r="F132" s="1587">
        <f>(F121/$C132)*(1-$C132)</f>
        <v>89.070782392473205</v>
      </c>
      <c r="G132" s="1587">
        <f t="shared" ref="G132:Q132" si="63">(G121/$C132)*(1-$C132)</f>
        <v>89.070782392473205</v>
      </c>
      <c r="H132" s="1587">
        <f t="shared" si="63"/>
        <v>89.070782392473205</v>
      </c>
      <c r="I132" s="1587">
        <f t="shared" si="63"/>
        <v>89.070782392473205</v>
      </c>
      <c r="J132" s="1587">
        <f t="shared" si="63"/>
        <v>89.070782392473205</v>
      </c>
      <c r="K132" s="1587">
        <f t="shared" si="63"/>
        <v>89.070782392473205</v>
      </c>
      <c r="L132" s="1587">
        <f t="shared" si="63"/>
        <v>91.086911424731255</v>
      </c>
      <c r="M132" s="1587">
        <f t="shared" si="63"/>
        <v>91.273321102150618</v>
      </c>
      <c r="N132" s="1587">
        <f t="shared" si="63"/>
        <v>91.273321102150618</v>
      </c>
      <c r="O132" s="1587">
        <f t="shared" si="63"/>
        <v>91.273321102150618</v>
      </c>
      <c r="P132" s="1587">
        <f t="shared" si="63"/>
        <v>91.273321102150618</v>
      </c>
      <c r="Q132" s="1587">
        <f t="shared" si="63"/>
        <v>91.273321102150618</v>
      </c>
      <c r="R132" s="1587">
        <f>SUM(F132:Q132)</f>
        <v>1081.8782112903236</v>
      </c>
      <c r="S132" s="1587"/>
      <c r="T132" s="920"/>
      <c r="U132" s="920"/>
      <c r="V132" s="920"/>
      <c r="W132" s="920"/>
      <c r="X132" s="920"/>
      <c r="Y132" s="920"/>
      <c r="Z132" s="920"/>
      <c r="AA132" s="920"/>
    </row>
    <row r="133" spans="1:27">
      <c r="A133" s="920"/>
      <c r="B133" s="920"/>
      <c r="C133" s="920"/>
      <c r="D133" s="920" t="str">
        <f>'8 Verteil. auf Monate Orga'!E61</f>
        <v>BWG Orga</v>
      </c>
      <c r="E133" s="920"/>
      <c r="F133" s="1587">
        <f>'8 Verteil. auf Monate Orga'!F61</f>
        <v>12.903225806451625</v>
      </c>
      <c r="G133" s="1587">
        <f>'8 Verteil. auf Monate Orga'!G61</f>
        <v>12.903225806451625</v>
      </c>
      <c r="H133" s="1587">
        <f>'8 Verteil. auf Monate Orga'!H61</f>
        <v>12.903225806451625</v>
      </c>
      <c r="I133" s="1587">
        <f>'8 Verteil. auf Monate Orga'!I61</f>
        <v>12.903225806451625</v>
      </c>
      <c r="J133" s="1587">
        <f>'8 Verteil. auf Monate Orga'!J61</f>
        <v>12.903225806451625</v>
      </c>
      <c r="K133" s="1587">
        <f>'8 Verteil. auf Monate Orga'!K61</f>
        <v>12.903225806451625</v>
      </c>
      <c r="L133" s="1587">
        <f>'8 Verteil. auf Monate Orga'!L61</f>
        <v>12.903225806451625</v>
      </c>
      <c r="M133" s="1587">
        <f>'8 Verteil. auf Monate Orga'!M61</f>
        <v>12.903225806451625</v>
      </c>
      <c r="N133" s="1587">
        <f>'8 Verteil. auf Monate Orga'!N61</f>
        <v>12.903225806451625</v>
      </c>
      <c r="O133" s="1587">
        <f>'8 Verteil. auf Monate Orga'!O61</f>
        <v>12.903225806451625</v>
      </c>
      <c r="P133" s="1587">
        <f>'8 Verteil. auf Monate Orga'!P61</f>
        <v>12.903225806451625</v>
      </c>
      <c r="Q133" s="1587">
        <f>'8 Verteil. auf Monate Orga'!Q61</f>
        <v>12.903225806451625</v>
      </c>
      <c r="R133" s="1587">
        <f>'8 Verteil. auf Monate Orga'!R61</f>
        <v>154.8387096774195</v>
      </c>
      <c r="S133" s="1587"/>
      <c r="T133" s="920"/>
      <c r="U133" s="920"/>
      <c r="V133" s="920"/>
      <c r="W133" s="920"/>
      <c r="X133" s="920"/>
      <c r="Y133" s="920"/>
      <c r="Z133" s="920"/>
      <c r="AA133" s="920"/>
    </row>
    <row r="134" spans="1:27">
      <c r="A134" s="920"/>
      <c r="B134" s="920"/>
      <c r="C134" s="920"/>
      <c r="D134" s="920" t="str">
        <f>'9 Verteil. auf Monate Azubi'!E61</f>
        <v>BWG Azubi</v>
      </c>
      <c r="E134" s="920"/>
      <c r="F134" s="1587">
        <f>'9 Verteil. auf Monate Azubi'!F61</f>
        <v>9.6290322580645249</v>
      </c>
      <c r="G134" s="1587">
        <f>'9 Verteil. auf Monate Azubi'!G61</f>
        <v>9.6290322580645249</v>
      </c>
      <c r="H134" s="1587">
        <f>'9 Verteil. auf Monate Azubi'!H61</f>
        <v>9.6290322580645249</v>
      </c>
      <c r="I134" s="1587">
        <f>'9 Verteil. auf Monate Azubi'!I61</f>
        <v>9.6290322580645249</v>
      </c>
      <c r="J134" s="1587">
        <f>'9 Verteil. auf Monate Azubi'!J61</f>
        <v>9.6290322580645249</v>
      </c>
      <c r="K134" s="1587">
        <f>'9 Verteil. auf Monate Azubi'!K61</f>
        <v>9.6290322580645249</v>
      </c>
      <c r="L134" s="1587">
        <f>'9 Verteil. auf Monate Azubi'!L61</f>
        <v>9.6290322580645249</v>
      </c>
      <c r="M134" s="1587">
        <f>'9 Verteil. auf Monate Azubi'!M61</f>
        <v>11.221774193548397</v>
      </c>
      <c r="N134" s="1587">
        <f>'9 Verteil. auf Monate Azubi'!N61</f>
        <v>11.221774193548397</v>
      </c>
      <c r="O134" s="1587">
        <f>'9 Verteil. auf Monate Azubi'!O61</f>
        <v>11.221774193548397</v>
      </c>
      <c r="P134" s="1587">
        <f>'9 Verteil. auf Monate Azubi'!P61</f>
        <v>11.221774193548397</v>
      </c>
      <c r="Q134" s="1587">
        <f>'9 Verteil. auf Monate Azubi'!Q61</f>
        <v>11.221774193548397</v>
      </c>
      <c r="R134" s="1587">
        <f>'9 Verteil. auf Monate Azubi'!R61</f>
        <v>123.51209677419367</v>
      </c>
      <c r="S134" s="1587"/>
      <c r="T134" s="920"/>
      <c r="U134" s="920"/>
      <c r="V134" s="920"/>
      <c r="W134" s="920"/>
      <c r="X134" s="920"/>
      <c r="Y134" s="920"/>
      <c r="Z134" s="920"/>
      <c r="AA134" s="920"/>
    </row>
    <row r="135" spans="1:27">
      <c r="A135" s="920"/>
      <c r="B135" s="920"/>
      <c r="C135" s="920"/>
      <c r="D135" s="920" t="s">
        <v>94</v>
      </c>
      <c r="E135" s="920"/>
      <c r="F135" s="1587">
        <f>SUM(F132:F134)</f>
        <v>111.60304045698936</v>
      </c>
      <c r="G135" s="1587">
        <f t="shared" ref="G135:R135" si="64">SUM(G132:G134)</f>
        <v>111.60304045698936</v>
      </c>
      <c r="H135" s="1587">
        <f t="shared" si="64"/>
        <v>111.60304045698936</v>
      </c>
      <c r="I135" s="1587">
        <f t="shared" si="64"/>
        <v>111.60304045698936</v>
      </c>
      <c r="J135" s="1587">
        <f t="shared" si="64"/>
        <v>111.60304045698936</v>
      </c>
      <c r="K135" s="1587">
        <f t="shared" si="64"/>
        <v>111.60304045698936</v>
      </c>
      <c r="L135" s="1587">
        <f t="shared" si="64"/>
        <v>113.61916948924741</v>
      </c>
      <c r="M135" s="1587">
        <f t="shared" si="64"/>
        <v>115.39832110215065</v>
      </c>
      <c r="N135" s="1587">
        <f t="shared" si="64"/>
        <v>115.39832110215065</v>
      </c>
      <c r="O135" s="1587">
        <f t="shared" si="64"/>
        <v>115.39832110215065</v>
      </c>
      <c r="P135" s="1587">
        <f t="shared" si="64"/>
        <v>115.39832110215065</v>
      </c>
      <c r="Q135" s="1587">
        <f t="shared" si="64"/>
        <v>115.39832110215065</v>
      </c>
      <c r="R135" s="1587">
        <f t="shared" si="64"/>
        <v>1360.2290177419368</v>
      </c>
      <c r="S135" s="1587"/>
      <c r="T135" s="920"/>
      <c r="U135" s="920"/>
      <c r="V135" s="920"/>
      <c r="W135" s="920"/>
      <c r="X135" s="920"/>
      <c r="Y135" s="920"/>
      <c r="Z135" s="920"/>
      <c r="AA135" s="920"/>
    </row>
    <row r="136" spans="1:27">
      <c r="A136" s="920"/>
      <c r="B136" s="920"/>
      <c r="C136" s="920"/>
      <c r="D136" s="920"/>
      <c r="E136" s="920"/>
      <c r="F136" s="920"/>
      <c r="G136" s="920"/>
      <c r="H136" s="920"/>
      <c r="I136" s="920"/>
      <c r="J136" s="920"/>
      <c r="K136" s="920"/>
      <c r="L136" s="920"/>
      <c r="M136" s="920"/>
      <c r="N136" s="920"/>
      <c r="O136" s="920"/>
      <c r="P136" s="920"/>
      <c r="Q136" s="920"/>
      <c r="R136" s="920"/>
      <c r="S136" s="920"/>
      <c r="T136" s="920"/>
      <c r="U136" s="920"/>
      <c r="V136" s="920"/>
      <c r="W136" s="920"/>
      <c r="X136" s="920"/>
      <c r="Y136" s="920"/>
      <c r="Z136" s="920"/>
      <c r="AA136" s="920"/>
    </row>
    <row r="137" spans="1:27">
      <c r="A137" s="920"/>
      <c r="B137" s="920"/>
      <c r="C137" s="920" t="s">
        <v>453</v>
      </c>
      <c r="D137" s="920" t="s">
        <v>454</v>
      </c>
      <c r="E137" s="920"/>
      <c r="F137" s="1587">
        <f ca="1">F130-F135</f>
        <v>17249.107813709677</v>
      </c>
      <c r="G137" s="1587">
        <f t="shared" ref="G137:Q137" ca="1" si="65">G130-G135</f>
        <v>17249.107813709677</v>
      </c>
      <c r="H137" s="1587">
        <f t="shared" ca="1" si="65"/>
        <v>17249.107813709677</v>
      </c>
      <c r="I137" s="1587">
        <f t="shared" ca="1" si="65"/>
        <v>17249.107813709677</v>
      </c>
      <c r="J137" s="1587">
        <f t="shared" ca="1" si="65"/>
        <v>17249.107813709677</v>
      </c>
      <c r="K137" s="1587">
        <f t="shared" ca="1" si="65"/>
        <v>17249.107813709677</v>
      </c>
      <c r="L137" s="1587">
        <f t="shared" ca="1" si="65"/>
        <v>17559.59168467742</v>
      </c>
      <c r="M137" s="1587">
        <f t="shared" ca="1" si="65"/>
        <v>17784.206033064514</v>
      </c>
      <c r="N137" s="1587">
        <f t="shared" ca="1" si="65"/>
        <v>17784.206033064514</v>
      </c>
      <c r="O137" s="1587">
        <f t="shared" ca="1" si="65"/>
        <v>17784.206033064514</v>
      </c>
      <c r="P137" s="1587">
        <f t="shared" ca="1" si="65"/>
        <v>17784.206033064514</v>
      </c>
      <c r="Q137" s="1587">
        <f t="shared" ca="1" si="65"/>
        <v>17784.206033064514</v>
      </c>
      <c r="R137" s="1587">
        <f ca="1">SUM(F137:Q137)</f>
        <v>209975.26873225806</v>
      </c>
      <c r="S137" s="920"/>
      <c r="T137" s="920"/>
      <c r="U137" s="920"/>
      <c r="V137" s="920"/>
      <c r="W137" s="920"/>
      <c r="X137" s="920"/>
      <c r="Y137" s="920"/>
      <c r="Z137" s="920"/>
      <c r="AA137" s="920"/>
    </row>
    <row r="138" spans="1:27">
      <c r="A138" s="920"/>
      <c r="B138" s="920"/>
      <c r="C138" s="920"/>
      <c r="D138" s="920"/>
      <c r="E138" s="920"/>
      <c r="F138" s="1599">
        <f>F4</f>
        <v>44927</v>
      </c>
      <c r="G138" s="1599">
        <f t="shared" ref="G138:Q138" si="66">G4</f>
        <v>44959</v>
      </c>
      <c r="H138" s="1599">
        <f t="shared" si="66"/>
        <v>44991</v>
      </c>
      <c r="I138" s="1599">
        <f t="shared" si="66"/>
        <v>45023</v>
      </c>
      <c r="J138" s="1599">
        <f t="shared" si="66"/>
        <v>45055</v>
      </c>
      <c r="K138" s="1599">
        <f t="shared" si="66"/>
        <v>45087</v>
      </c>
      <c r="L138" s="1599">
        <f t="shared" si="66"/>
        <v>45119</v>
      </c>
      <c r="M138" s="1599">
        <f t="shared" si="66"/>
        <v>45151</v>
      </c>
      <c r="N138" s="1599">
        <f t="shared" si="66"/>
        <v>45183</v>
      </c>
      <c r="O138" s="1599">
        <f t="shared" si="66"/>
        <v>45215</v>
      </c>
      <c r="P138" s="1599">
        <f t="shared" si="66"/>
        <v>45247</v>
      </c>
      <c r="Q138" s="1599">
        <f t="shared" si="66"/>
        <v>45279</v>
      </c>
      <c r="R138" s="920"/>
      <c r="S138" s="920"/>
      <c r="T138" s="920"/>
      <c r="U138" s="920"/>
      <c r="V138" s="920"/>
      <c r="W138" s="920"/>
      <c r="X138" s="920"/>
      <c r="Y138" s="920"/>
      <c r="Z138" s="920"/>
      <c r="AA138" s="920"/>
    </row>
    <row r="139" spans="1:27">
      <c r="A139" s="920"/>
      <c r="B139" s="920"/>
      <c r="C139" s="920"/>
      <c r="D139" s="920"/>
      <c r="E139" s="920"/>
      <c r="F139" s="920" t="str">
        <f>IF(F138=$C138,$R135,"")</f>
        <v/>
      </c>
      <c r="G139" s="920" t="str">
        <f>IF(G138=$C138,$R135,"")</f>
        <v/>
      </c>
      <c r="H139" s="920"/>
      <c r="I139" s="920" t="str">
        <f t="shared" ref="I139:Q139" si="67">IF(I138=$C138,$R135,"")</f>
        <v/>
      </c>
      <c r="J139" s="920" t="str">
        <f t="shared" si="67"/>
        <v/>
      </c>
      <c r="K139" s="920" t="str">
        <f t="shared" si="67"/>
        <v/>
      </c>
      <c r="L139" s="920" t="str">
        <f t="shared" si="67"/>
        <v/>
      </c>
      <c r="M139" s="920" t="str">
        <f t="shared" si="67"/>
        <v/>
      </c>
      <c r="N139" s="920" t="str">
        <f t="shared" si="67"/>
        <v/>
      </c>
      <c r="O139" s="920" t="str">
        <f t="shared" si="67"/>
        <v/>
      </c>
      <c r="P139" s="920" t="str">
        <f t="shared" si="67"/>
        <v/>
      </c>
      <c r="Q139" s="920" t="str">
        <f t="shared" si="67"/>
        <v/>
      </c>
      <c r="R139" s="920"/>
      <c r="S139" s="920"/>
      <c r="T139" s="920"/>
      <c r="U139" s="920"/>
      <c r="V139" s="920"/>
      <c r="W139" s="920"/>
      <c r="X139" s="920"/>
      <c r="Y139" s="920"/>
      <c r="Z139" s="920"/>
      <c r="AA139" s="920"/>
    </row>
    <row r="140" spans="1:27">
      <c r="A140" s="920"/>
      <c r="B140" s="920"/>
      <c r="C140" s="920"/>
      <c r="D140" s="920"/>
      <c r="E140" s="920"/>
      <c r="F140" s="1587">
        <f>'2 Unternehmensdaten'!B26</f>
        <v>1</v>
      </c>
      <c r="G140" s="1587">
        <f>'2 Unternehmensdaten'!C26</f>
        <v>1</v>
      </c>
      <c r="H140" s="1587">
        <f>'2 Unternehmensdaten'!D26</f>
        <v>1</v>
      </c>
      <c r="I140" s="1587">
        <f>'2 Unternehmensdaten'!E26</f>
        <v>1</v>
      </c>
      <c r="J140" s="1587">
        <f>'2 Unternehmensdaten'!F26</f>
        <v>1</v>
      </c>
      <c r="K140" s="1587">
        <f>'2 Unternehmensdaten'!G26</f>
        <v>1</v>
      </c>
      <c r="L140" s="1587">
        <f>'2 Unternehmensdaten'!B28</f>
        <v>1</v>
      </c>
      <c r="M140" s="1587">
        <f>'2 Unternehmensdaten'!C28</f>
        <v>1</v>
      </c>
      <c r="N140" s="1587">
        <f>'2 Unternehmensdaten'!D28</f>
        <v>1</v>
      </c>
      <c r="O140" s="1587">
        <f>'2 Unternehmensdaten'!E28</f>
        <v>1</v>
      </c>
      <c r="P140" s="1587">
        <f>'2 Unternehmensdaten'!F28</f>
        <v>1</v>
      </c>
      <c r="Q140" s="1587">
        <f>'2 Unternehmensdaten'!G28</f>
        <v>1</v>
      </c>
      <c r="R140" s="1587"/>
      <c r="S140" s="920"/>
      <c r="T140" s="920" t="s">
        <v>1035</v>
      </c>
      <c r="U140" s="1587">
        <f>SUM(F140:Q140)</f>
        <v>12</v>
      </c>
      <c r="V140" s="920"/>
      <c r="W140" s="920"/>
      <c r="X140" s="920"/>
      <c r="Y140" s="920"/>
      <c r="Z140" s="920"/>
      <c r="AA140" s="920"/>
    </row>
    <row r="141" spans="1:27">
      <c r="A141" s="920"/>
      <c r="B141" s="920"/>
      <c r="C141" s="920"/>
      <c r="D141" s="920"/>
      <c r="E141" s="920"/>
      <c r="F141" s="920"/>
      <c r="G141" s="920"/>
      <c r="H141" s="920"/>
      <c r="I141" s="920"/>
      <c r="J141" s="920"/>
      <c r="K141" s="920"/>
      <c r="L141" s="920"/>
      <c r="M141" s="920"/>
      <c r="N141" s="920"/>
      <c r="O141" s="920"/>
      <c r="P141" s="920"/>
      <c r="Q141" s="920"/>
      <c r="R141" s="920"/>
      <c r="S141" s="920"/>
      <c r="T141" s="920"/>
      <c r="U141" s="920"/>
      <c r="V141" s="920"/>
      <c r="W141" s="920"/>
      <c r="X141" s="920"/>
      <c r="Y141" s="920"/>
      <c r="Z141" s="920"/>
      <c r="AA141" s="920"/>
    </row>
    <row r="142" spans="1:27">
      <c r="A142" s="920"/>
      <c r="B142" s="920"/>
      <c r="C142" s="920"/>
      <c r="D142" s="920"/>
      <c r="E142" s="920"/>
      <c r="F142" s="920"/>
      <c r="G142" s="920"/>
      <c r="H142" s="1587"/>
      <c r="I142" s="920"/>
      <c r="J142" s="920"/>
      <c r="K142" s="920"/>
      <c r="L142" s="920"/>
      <c r="M142" s="920"/>
      <c r="N142" s="920"/>
      <c r="O142" s="920"/>
      <c r="P142" s="920"/>
      <c r="Q142" s="920"/>
      <c r="R142" s="920"/>
      <c r="S142" s="920"/>
      <c r="T142" s="920"/>
      <c r="U142" s="920"/>
      <c r="V142" s="920"/>
      <c r="W142" s="920"/>
      <c r="X142" s="920"/>
      <c r="Y142" s="920"/>
      <c r="Z142" s="920"/>
      <c r="AA142" s="920"/>
    </row>
    <row r="143" spans="1:27">
      <c r="A143" s="920"/>
      <c r="B143" s="920"/>
      <c r="C143" s="920"/>
      <c r="D143" s="920"/>
      <c r="E143" s="920"/>
      <c r="F143" s="920"/>
      <c r="G143" s="920"/>
      <c r="H143" s="920"/>
      <c r="I143" s="920"/>
      <c r="J143" s="920"/>
      <c r="K143" s="920"/>
      <c r="L143" s="920"/>
      <c r="M143" s="920"/>
      <c r="N143" s="920"/>
      <c r="O143" s="920"/>
      <c r="P143" s="920"/>
      <c r="Q143" s="920"/>
      <c r="R143" s="920"/>
      <c r="S143" s="920"/>
      <c r="T143" s="920"/>
      <c r="U143" s="920"/>
      <c r="V143" s="920"/>
      <c r="W143" s="920"/>
      <c r="X143" s="920"/>
      <c r="Y143" s="920"/>
      <c r="Z143" s="920"/>
      <c r="AA143" s="920"/>
    </row>
  </sheetData>
  <sheetProtection algorithmName="SHA-512" hashValue="v4h3e7+CSP9BWoCyLYXZji3Ws5IHPi+cNrOXX/QWtr+Tr5IOuvtTDCBpSsgt7fyJRN0cLdN3qvoEAgKlOr88sw==" saltValue="IcxVN7tR/AcVakbE8JCxbw==" spinCount="100000" sheet="1" objects="1" scenarios="1"/>
  <customSheetViews>
    <customSheetView guid="{91EE9386-9500-473B-B86C-27DB8DF0BA46}" showGridLines="0">
      <pageMargins left="0.25" right="0.25" top="0.75" bottom="0.75" header="0.3" footer="0.3"/>
      <pageSetup paperSize="9" scale="65" orientation="landscape" r:id="rId1"/>
    </customSheetView>
    <customSheetView guid="{B8019777-F14C-4393-8CE3-CE0081D0CD28}" showGridLines="0">
      <selection activeCell="B8" sqref="B8"/>
      <pageMargins left="0.25" right="0.25" top="0.75" bottom="0.75" header="0.3" footer="0.3"/>
      <pageSetup paperSize="9" scale="65" orientation="landscape" r:id="rId2"/>
    </customSheetView>
  </customSheetViews>
  <mergeCells count="105">
    <mergeCell ref="X6:X7"/>
    <mergeCell ref="X9:X10"/>
    <mergeCell ref="X12:X13"/>
    <mergeCell ref="X15:X16"/>
    <mergeCell ref="X18:X19"/>
    <mergeCell ref="B1:M1"/>
    <mergeCell ref="B2:M2"/>
    <mergeCell ref="M3:R3"/>
    <mergeCell ref="D79:E79"/>
    <mergeCell ref="X57:X58"/>
    <mergeCell ref="X60:X61"/>
    <mergeCell ref="X24:X25"/>
    <mergeCell ref="X27:X28"/>
    <mergeCell ref="X30:X31"/>
    <mergeCell ref="X33:X34"/>
    <mergeCell ref="X21:X22"/>
    <mergeCell ref="X66:X67"/>
    <mergeCell ref="X69:X70"/>
    <mergeCell ref="D40:E40"/>
    <mergeCell ref="D43:E43"/>
    <mergeCell ref="D46:E46"/>
    <mergeCell ref="D49:E49"/>
    <mergeCell ref="D52:E52"/>
    <mergeCell ref="D60:E60"/>
    <mergeCell ref="B3:C3"/>
    <mergeCell ref="D10:E10"/>
    <mergeCell ref="F3:I3"/>
    <mergeCell ref="D73:E73"/>
    <mergeCell ref="D76:E76"/>
    <mergeCell ref="D16:E16"/>
    <mergeCell ref="D19:E19"/>
    <mergeCell ref="D22:E22"/>
    <mergeCell ref="D25:E25"/>
    <mergeCell ref="D28:E28"/>
    <mergeCell ref="D13:E13"/>
    <mergeCell ref="D21:E21"/>
    <mergeCell ref="D24:E24"/>
    <mergeCell ref="D27:E27"/>
    <mergeCell ref="D30:E30"/>
    <mergeCell ref="D57:E57"/>
    <mergeCell ref="D31:E31"/>
    <mergeCell ref="D34:E34"/>
    <mergeCell ref="D37:E37"/>
    <mergeCell ref="D63:E63"/>
    <mergeCell ref="B4:C4"/>
    <mergeCell ref="D3:D4"/>
    <mergeCell ref="D6:E6"/>
    <mergeCell ref="D33:E33"/>
    <mergeCell ref="X48:X49"/>
    <mergeCell ref="X51:X52"/>
    <mergeCell ref="X36:X37"/>
    <mergeCell ref="X39:X40"/>
    <mergeCell ref="X42:X43"/>
    <mergeCell ref="X45:X46"/>
    <mergeCell ref="D96:E96"/>
    <mergeCell ref="D64:E64"/>
    <mergeCell ref="D67:E67"/>
    <mergeCell ref="D70:E70"/>
    <mergeCell ref="D82:E82"/>
    <mergeCell ref="D85:E85"/>
    <mergeCell ref="D66:E66"/>
    <mergeCell ref="D69:E69"/>
    <mergeCell ref="D72:E72"/>
    <mergeCell ref="D75:E75"/>
    <mergeCell ref="D78:E78"/>
    <mergeCell ref="D48:E48"/>
    <mergeCell ref="D51:E51"/>
    <mergeCell ref="D36:E36"/>
    <mergeCell ref="D42:E42"/>
    <mergeCell ref="D45:E45"/>
    <mergeCell ref="D58:E58"/>
    <mergeCell ref="D61:E61"/>
    <mergeCell ref="X63:X64"/>
    <mergeCell ref="X72:X73"/>
    <mergeCell ref="X75:X76"/>
    <mergeCell ref="X78:X79"/>
    <mergeCell ref="X81:X82"/>
    <mergeCell ref="X84:X85"/>
    <mergeCell ref="X102:X103"/>
    <mergeCell ref="X87:X88"/>
    <mergeCell ref="X90:X91"/>
    <mergeCell ref="X93:X94"/>
    <mergeCell ref="X96:X97"/>
    <mergeCell ref="X99:X100"/>
    <mergeCell ref="D102:E102"/>
    <mergeCell ref="D94:E94"/>
    <mergeCell ref="D97:E97"/>
    <mergeCell ref="D100:E100"/>
    <mergeCell ref="D103:E103"/>
    <mergeCell ref="D91:E91"/>
    <mergeCell ref="D88:E88"/>
    <mergeCell ref="D81:E81"/>
    <mergeCell ref="D84:E84"/>
    <mergeCell ref="D87:E87"/>
    <mergeCell ref="D90:E90"/>
    <mergeCell ref="D93:E93"/>
    <mergeCell ref="O1:P2"/>
    <mergeCell ref="Q1:U2"/>
    <mergeCell ref="D9:E9"/>
    <mergeCell ref="D12:E12"/>
    <mergeCell ref="D18:E18"/>
    <mergeCell ref="D39:E39"/>
    <mergeCell ref="D7:E7"/>
    <mergeCell ref="D15:E15"/>
    <mergeCell ref="D99:E99"/>
  </mergeCells>
  <pageMargins left="0.25" right="0.25" top="0.75" bottom="0.75" header="0.3" footer="0.3"/>
  <pageSetup paperSize="9" scale="65" orientation="landscape"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49</vt:i4>
      </vt:variant>
      <vt:variant>
        <vt:lpstr>Benannte Bereiche</vt:lpstr>
      </vt:variant>
      <vt:variant>
        <vt:i4>21</vt:i4>
      </vt:variant>
    </vt:vector>
  </HeadingPairs>
  <TitlesOfParts>
    <vt:vector size="70" baseType="lpstr">
      <vt:lpstr>Start</vt:lpstr>
      <vt:lpstr>1 Erklärung</vt:lpstr>
      <vt:lpstr>2 Unternehmensdaten</vt:lpstr>
      <vt:lpstr>2a Chefeingaben</vt:lpstr>
      <vt:lpstr>3 Vorjahr</vt:lpstr>
      <vt:lpstr>4 Eingabe Friseure</vt:lpstr>
      <vt:lpstr>5 Eingabe Organisationskräfte</vt:lpstr>
      <vt:lpstr>6 Eingabe Azubis</vt:lpstr>
      <vt:lpstr>7 Verteil. auf Monate Friseure</vt:lpstr>
      <vt:lpstr>8 Verteil. auf Monate Orga</vt:lpstr>
      <vt:lpstr>9 Verteil. auf Monate Azubi</vt:lpstr>
      <vt:lpstr>10 PK Kosten Diagramm</vt:lpstr>
      <vt:lpstr>11 Gesamt PK</vt:lpstr>
      <vt:lpstr>12 GK Planung</vt:lpstr>
      <vt:lpstr>13 Werbung Weiterbildung</vt:lpstr>
      <vt:lpstr>14 Sonstige Kosten</vt:lpstr>
      <vt:lpstr>15 Zins + Tilgung</vt:lpstr>
      <vt:lpstr>16 Wareneingang</vt:lpstr>
      <vt:lpstr>16a Verkaufsplanung</vt:lpstr>
      <vt:lpstr>17 Chef-Ums.-Entn. od. GmbHgew.</vt:lpstr>
      <vt:lpstr>18 Zielumsatz Planungsjahr</vt:lpstr>
      <vt:lpstr>18a Was wäre wenn</vt:lpstr>
      <vt:lpstr>19 Sollumsatz pro Arbeitsmonat</vt:lpstr>
      <vt:lpstr>20 Bruttolohnsumme</vt:lpstr>
      <vt:lpstr>21 Lohnfaktor</vt:lpstr>
      <vt:lpstr>22 Sollumsatz pro MA </vt:lpstr>
      <vt:lpstr>23 LF individuell</vt:lpstr>
      <vt:lpstr>24 Umsatz pro Tag</vt:lpstr>
      <vt:lpstr>25 Sollumsatz nach Monaten</vt:lpstr>
      <vt:lpstr>25a Soll-Ist Vergl. + Provision</vt:lpstr>
      <vt:lpstr>26 Mitarbeiterdaten</vt:lpstr>
      <vt:lpstr>Preiskalkulation</vt:lpstr>
      <vt:lpstr>27 Gewinnaufschlag</vt:lpstr>
      <vt:lpstr>28 PK pro Minute</vt:lpstr>
      <vt:lpstr>29 GK pro Minute</vt:lpstr>
      <vt:lpstr>30 Preis Fönen</vt:lpstr>
      <vt:lpstr>31 Preis  Wa, Sch, Fö</vt:lpstr>
      <vt:lpstr>32 Preis Herrenhaarschnitt</vt:lpstr>
      <vt:lpstr>33 Preis Farbe 1</vt:lpstr>
      <vt:lpstr>34 Preis Farbe 2</vt:lpstr>
      <vt:lpstr>35 Preis Strähnen</vt:lpstr>
      <vt:lpstr>36 Preis DL offen</vt:lpstr>
      <vt:lpstr>37 offen 16 Preise</vt:lpstr>
      <vt:lpstr>38 Liquidität</vt:lpstr>
      <vt:lpstr>39 Datenübernahme</vt:lpstr>
      <vt:lpstr>42 Liquiditätsplan</vt:lpstr>
      <vt:lpstr>43 Eingabe Controlling</vt:lpstr>
      <vt:lpstr>44 Quartale</vt:lpstr>
      <vt:lpstr>MAdaten</vt:lpstr>
      <vt:lpstr>'10 PK Kosten Diagramm'!Druckbereich</vt:lpstr>
      <vt:lpstr>'11 Gesamt PK'!Druckbereich</vt:lpstr>
      <vt:lpstr>'12 GK Planung'!Druckbereich</vt:lpstr>
      <vt:lpstr>'13 Werbung Weiterbildung'!Druckbereich</vt:lpstr>
      <vt:lpstr>'14 Sonstige Kosten'!Druckbereich</vt:lpstr>
      <vt:lpstr>'15 Zins + Tilgung'!Druckbereich</vt:lpstr>
      <vt:lpstr>'16 Wareneingang'!Druckbereich</vt:lpstr>
      <vt:lpstr>'19 Sollumsatz pro Arbeitsmonat'!Druckbereich</vt:lpstr>
      <vt:lpstr>'20 Bruttolohnsumme'!Druckbereich</vt:lpstr>
      <vt:lpstr>'21 Lohnfaktor'!Druckbereich</vt:lpstr>
      <vt:lpstr>'22 Sollumsatz pro MA '!Druckbereich</vt:lpstr>
      <vt:lpstr>'23 LF individuell'!Druckbereich</vt:lpstr>
      <vt:lpstr>'24 Umsatz pro Tag'!Druckbereich</vt:lpstr>
      <vt:lpstr>'2a Chefeingaben'!Druckbereich</vt:lpstr>
      <vt:lpstr>'3 Vorjahr'!Druckbereich</vt:lpstr>
      <vt:lpstr>'4 Eingabe Friseure'!Druckbereich</vt:lpstr>
      <vt:lpstr>'5 Eingabe Organisationskräfte'!Druckbereich</vt:lpstr>
      <vt:lpstr>'6 Eingabe Azubis'!Druckbereich</vt:lpstr>
      <vt:lpstr>'7 Verteil. auf Monate Friseure'!Druckbereich</vt:lpstr>
      <vt:lpstr>'8 Verteil. auf Monate Orga'!Druckbereich</vt:lpstr>
      <vt:lpstr>'9 Verteil. auf Monate Azubi'!Druckbereich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L</dc:creator>
  <cp:lastModifiedBy>Peter Lehmann</cp:lastModifiedBy>
  <cp:lastPrinted>2022-12-28T15:37:15Z</cp:lastPrinted>
  <dcterms:created xsi:type="dcterms:W3CDTF">2002-10-07T15:50:12Z</dcterms:created>
  <dcterms:modified xsi:type="dcterms:W3CDTF">2023-01-13T11:54:13Z</dcterms:modified>
</cp:coreProperties>
</file>